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esktop\DATOS\Desktop\Nacho-toto-todo\Nacho\Gaceta\"/>
    </mc:Choice>
  </mc:AlternateContent>
  <xr:revisionPtr revIDLastSave="0" documentId="8_{711DA809-1A12-47DF-A183-AD40FEA9E900}" xr6:coauthVersionLast="47" xr6:coauthVersionMax="47" xr10:uidLastSave="{00000000-0000-0000-0000-000000000000}"/>
  <bookViews>
    <workbookView xWindow="2340" yWindow="2340" windowWidth="15375" windowHeight="7875" xr2:uid="{00000000-000D-0000-FFFF-FFFF00000000}"/>
  </bookViews>
  <sheets>
    <sheet name="Índice anual" sheetId="1" r:id="rId1"/>
    <sheet name="Fuentes y criterio" sheetId="2" r:id="rId2"/>
  </sheets>
  <calcPr calcId="0"/>
  <fileRecoveryPr repairLoad="1"/>
</workbook>
</file>

<file path=xl/calcChain.xml><?xml version="1.0" encoding="utf-8"?>
<calcChain xmlns="http://schemas.openxmlformats.org/spreadsheetml/2006/main">
  <c r="F552" i="2" l="1"/>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9042" i="1"/>
  <c r="J9041" i="1"/>
  <c r="J9040" i="1"/>
  <c r="J9039" i="1"/>
  <c r="J9038" i="1"/>
  <c r="J9037" i="1"/>
  <c r="J9036" i="1"/>
  <c r="J9035" i="1"/>
  <c r="J9034" i="1"/>
  <c r="J9033" i="1"/>
  <c r="J9032" i="1"/>
  <c r="J9031" i="1"/>
  <c r="J9030" i="1"/>
  <c r="J9029" i="1"/>
  <c r="J9028" i="1"/>
  <c r="J9027" i="1"/>
  <c r="J9026" i="1"/>
  <c r="J9025" i="1"/>
  <c r="J9024" i="1"/>
  <c r="J9023" i="1"/>
  <c r="J9022" i="1"/>
  <c r="J9021" i="1"/>
  <c r="J9020" i="1"/>
  <c r="J9019" i="1"/>
  <c r="J9018" i="1"/>
  <c r="J9017" i="1"/>
  <c r="J9016" i="1"/>
  <c r="J9015" i="1"/>
  <c r="J9014" i="1"/>
  <c r="J9013" i="1"/>
  <c r="J9012" i="1"/>
  <c r="J9011" i="1"/>
  <c r="J9010" i="1"/>
  <c r="J9009" i="1"/>
  <c r="J9008" i="1"/>
  <c r="J9007" i="1"/>
  <c r="J9006" i="1"/>
  <c r="J9005" i="1"/>
  <c r="J9004" i="1"/>
  <c r="J9003" i="1"/>
  <c r="J9002" i="1"/>
  <c r="J9001" i="1"/>
  <c r="J9000" i="1"/>
  <c r="J8999" i="1"/>
  <c r="J8998" i="1"/>
  <c r="J8997" i="1"/>
  <c r="J8996" i="1"/>
  <c r="J8995" i="1"/>
  <c r="J8994" i="1"/>
  <c r="J8993" i="1"/>
  <c r="J8992" i="1"/>
  <c r="J8991" i="1"/>
  <c r="J8990" i="1"/>
  <c r="J8989" i="1"/>
  <c r="J8988" i="1"/>
  <c r="J8987" i="1"/>
  <c r="J8986" i="1"/>
  <c r="J8985" i="1"/>
  <c r="J8984" i="1"/>
  <c r="J8983" i="1"/>
  <c r="J8982" i="1"/>
  <c r="J8981" i="1"/>
  <c r="J8980" i="1"/>
  <c r="J8979" i="1"/>
  <c r="J8978" i="1"/>
  <c r="J8977" i="1"/>
  <c r="J8976" i="1"/>
  <c r="J8975" i="1"/>
  <c r="J8974" i="1"/>
  <c r="J8973" i="1"/>
  <c r="J8972" i="1"/>
  <c r="J8971" i="1"/>
  <c r="J8970" i="1"/>
  <c r="J8969" i="1"/>
  <c r="J8968" i="1"/>
  <c r="J8967" i="1"/>
  <c r="J8966" i="1"/>
  <c r="J8965" i="1"/>
  <c r="J8964" i="1"/>
  <c r="J8963" i="1"/>
  <c r="J8962" i="1"/>
  <c r="J8961" i="1"/>
  <c r="J8960" i="1"/>
  <c r="J8959" i="1"/>
  <c r="J8958" i="1"/>
  <c r="J8957" i="1"/>
  <c r="J8956" i="1"/>
  <c r="J8955" i="1"/>
  <c r="J8954" i="1"/>
  <c r="J8953" i="1"/>
  <c r="J8952" i="1"/>
  <c r="J8951" i="1"/>
  <c r="J8950" i="1"/>
  <c r="J8949" i="1"/>
  <c r="J8948" i="1"/>
  <c r="J8947" i="1"/>
  <c r="J8946" i="1"/>
  <c r="J8945" i="1"/>
  <c r="J8944" i="1"/>
  <c r="J8943" i="1"/>
  <c r="J8942" i="1"/>
  <c r="J8941" i="1"/>
  <c r="J8940" i="1"/>
  <c r="J8939" i="1"/>
  <c r="J8938" i="1"/>
  <c r="J8937" i="1"/>
  <c r="J8936" i="1"/>
  <c r="J8935" i="1"/>
  <c r="J8934" i="1"/>
  <c r="J8933" i="1"/>
  <c r="J8932" i="1"/>
  <c r="J8931" i="1"/>
  <c r="J8930" i="1"/>
  <c r="J8929" i="1"/>
  <c r="J8928" i="1"/>
  <c r="J8927" i="1"/>
  <c r="J8926" i="1"/>
  <c r="J8925" i="1"/>
  <c r="J8924" i="1"/>
  <c r="J8923" i="1"/>
  <c r="J8922" i="1"/>
  <c r="J8921" i="1"/>
  <c r="J8920" i="1"/>
  <c r="J8919" i="1"/>
  <c r="J8918" i="1"/>
  <c r="J8917" i="1"/>
  <c r="J8916" i="1"/>
  <c r="J8915" i="1"/>
  <c r="J8914" i="1"/>
  <c r="J8913" i="1"/>
  <c r="J8912" i="1"/>
  <c r="J8911" i="1"/>
  <c r="J8910" i="1"/>
  <c r="J8909" i="1"/>
  <c r="J8908" i="1"/>
  <c r="J8907" i="1"/>
  <c r="J8906" i="1"/>
  <c r="J8905" i="1"/>
  <c r="J8904" i="1"/>
  <c r="J8903" i="1"/>
  <c r="J8902" i="1"/>
  <c r="J8901" i="1"/>
  <c r="J8900" i="1"/>
  <c r="J8899" i="1"/>
  <c r="J8898" i="1"/>
  <c r="J8897" i="1"/>
  <c r="J8896" i="1"/>
  <c r="J8895" i="1"/>
  <c r="J8894" i="1"/>
  <c r="J8893" i="1"/>
  <c r="J8892" i="1"/>
  <c r="J8891" i="1"/>
  <c r="J8890" i="1"/>
  <c r="J8889" i="1"/>
  <c r="J8888" i="1"/>
  <c r="J8887" i="1"/>
  <c r="J8886" i="1"/>
  <c r="J8885" i="1"/>
  <c r="J8884" i="1"/>
  <c r="J8883" i="1"/>
  <c r="J8882" i="1"/>
  <c r="J8881" i="1"/>
  <c r="J8880" i="1"/>
  <c r="J8879" i="1"/>
  <c r="J8878" i="1"/>
  <c r="J8877" i="1"/>
  <c r="J8876" i="1"/>
  <c r="J8875" i="1"/>
  <c r="J8874" i="1"/>
  <c r="J8873" i="1"/>
  <c r="J8872" i="1"/>
  <c r="J8871" i="1"/>
  <c r="J8870" i="1"/>
  <c r="J8869" i="1"/>
  <c r="J8868" i="1"/>
  <c r="J8867" i="1"/>
  <c r="J8866" i="1"/>
  <c r="J8865" i="1"/>
  <c r="J8864" i="1"/>
  <c r="J8863" i="1"/>
  <c r="J8862" i="1"/>
  <c r="J8861" i="1"/>
  <c r="J8860" i="1"/>
  <c r="J8859" i="1"/>
  <c r="J8858" i="1"/>
  <c r="J8857" i="1"/>
  <c r="J8856" i="1"/>
  <c r="J8855" i="1"/>
  <c r="J8854" i="1"/>
  <c r="J8853" i="1"/>
  <c r="J8852" i="1"/>
  <c r="J8851" i="1"/>
  <c r="J8850" i="1"/>
  <c r="J8849" i="1"/>
  <c r="J8848" i="1"/>
  <c r="J8847" i="1"/>
  <c r="J8846" i="1"/>
  <c r="J8845" i="1"/>
  <c r="J8844" i="1"/>
  <c r="J8843" i="1"/>
  <c r="J8842" i="1"/>
  <c r="J8841" i="1"/>
  <c r="J8840" i="1"/>
  <c r="J8839" i="1"/>
  <c r="J8838" i="1"/>
  <c r="J8837" i="1"/>
  <c r="J8836" i="1"/>
  <c r="J8835" i="1"/>
  <c r="J8834" i="1"/>
  <c r="J8833" i="1"/>
  <c r="J8832" i="1"/>
  <c r="J8831" i="1"/>
  <c r="J8830" i="1"/>
  <c r="J8829" i="1"/>
  <c r="J8828" i="1"/>
  <c r="J8827" i="1"/>
  <c r="J8826" i="1"/>
  <c r="J8825" i="1"/>
  <c r="J8824" i="1"/>
  <c r="J8823" i="1"/>
  <c r="J8822" i="1"/>
  <c r="J8821" i="1"/>
  <c r="J8820" i="1"/>
  <c r="J8819" i="1"/>
  <c r="J8818" i="1"/>
  <c r="J8817" i="1"/>
  <c r="J8816" i="1"/>
  <c r="J8815" i="1"/>
  <c r="J8814" i="1"/>
  <c r="J8813" i="1"/>
  <c r="J8812" i="1"/>
  <c r="J8811" i="1"/>
  <c r="J8810" i="1"/>
  <c r="J8809" i="1"/>
  <c r="J8808" i="1"/>
  <c r="J8807" i="1"/>
  <c r="J8806" i="1"/>
  <c r="J8805" i="1"/>
  <c r="J8804" i="1"/>
  <c r="J8803" i="1"/>
  <c r="J8802" i="1"/>
  <c r="J8801" i="1"/>
  <c r="J8800" i="1"/>
  <c r="J8799" i="1"/>
  <c r="J8798" i="1"/>
  <c r="J8797" i="1"/>
  <c r="J8796" i="1"/>
  <c r="J8795" i="1"/>
  <c r="J8794" i="1"/>
  <c r="J8793" i="1"/>
  <c r="J8792" i="1"/>
  <c r="J8791" i="1"/>
  <c r="J8790" i="1"/>
  <c r="J8789" i="1"/>
  <c r="J8788" i="1"/>
  <c r="J8787" i="1"/>
  <c r="J8786" i="1"/>
  <c r="J8785" i="1"/>
  <c r="J8784" i="1"/>
  <c r="J8783" i="1"/>
  <c r="J8782" i="1"/>
  <c r="J8781" i="1"/>
  <c r="J8780" i="1"/>
  <c r="J8779" i="1"/>
  <c r="J8778" i="1"/>
  <c r="J8777" i="1"/>
  <c r="J8776" i="1"/>
  <c r="J8775" i="1"/>
  <c r="J8774" i="1"/>
  <c r="J8773" i="1"/>
  <c r="J8772" i="1"/>
  <c r="J8771" i="1"/>
  <c r="J8770" i="1"/>
  <c r="J8769" i="1"/>
  <c r="J8768" i="1"/>
  <c r="J8767" i="1"/>
  <c r="J8766" i="1"/>
  <c r="J8765" i="1"/>
  <c r="J8764" i="1"/>
  <c r="J8763" i="1"/>
  <c r="J8762" i="1"/>
  <c r="J8761" i="1"/>
  <c r="J8760" i="1"/>
  <c r="J8759" i="1"/>
  <c r="J8758" i="1"/>
  <c r="J8757" i="1"/>
  <c r="J8756" i="1"/>
  <c r="J8755" i="1"/>
  <c r="J8754" i="1"/>
  <c r="J8753" i="1"/>
  <c r="J8752" i="1"/>
  <c r="J8751" i="1"/>
  <c r="J8750" i="1"/>
  <c r="J8749" i="1"/>
  <c r="J8748" i="1"/>
  <c r="J8747" i="1"/>
  <c r="J8746" i="1"/>
  <c r="J8745" i="1"/>
  <c r="J8744" i="1"/>
  <c r="J8743" i="1"/>
  <c r="J8742" i="1"/>
  <c r="J8741" i="1"/>
  <c r="J8740" i="1"/>
  <c r="J8739" i="1"/>
  <c r="J8738" i="1"/>
  <c r="J8737" i="1"/>
  <c r="J8736" i="1"/>
  <c r="J8735" i="1"/>
  <c r="J8734" i="1"/>
  <c r="J8733" i="1"/>
  <c r="J8732" i="1"/>
  <c r="J8731" i="1"/>
  <c r="J8730" i="1"/>
  <c r="J8729" i="1"/>
  <c r="J8728" i="1"/>
  <c r="J8727" i="1"/>
  <c r="J8726" i="1"/>
  <c r="J8725" i="1"/>
  <c r="J8724" i="1"/>
  <c r="J8723" i="1"/>
  <c r="J8722" i="1"/>
  <c r="J8721" i="1"/>
  <c r="J8720" i="1"/>
  <c r="J8719" i="1"/>
  <c r="J8718" i="1"/>
  <c r="J8717" i="1"/>
  <c r="J8716" i="1"/>
  <c r="J8715" i="1"/>
  <c r="J8714" i="1"/>
  <c r="J8713" i="1"/>
  <c r="J8712" i="1"/>
  <c r="J8711" i="1"/>
  <c r="J8710" i="1"/>
  <c r="J8709" i="1"/>
  <c r="J8708" i="1"/>
  <c r="J8707" i="1"/>
  <c r="J8706" i="1"/>
  <c r="J8705" i="1"/>
  <c r="J8704" i="1"/>
  <c r="J8703" i="1"/>
  <c r="J8702" i="1"/>
  <c r="J8701" i="1"/>
  <c r="J8700" i="1"/>
  <c r="J8699" i="1"/>
  <c r="J8698" i="1"/>
  <c r="J8697" i="1"/>
  <c r="J8696" i="1"/>
  <c r="J8695" i="1"/>
  <c r="J8694" i="1"/>
  <c r="J8693" i="1"/>
  <c r="J8692" i="1"/>
  <c r="J8691" i="1"/>
  <c r="J8690" i="1"/>
  <c r="J8689" i="1"/>
  <c r="J8688" i="1"/>
  <c r="J8687" i="1"/>
  <c r="J8686" i="1"/>
  <c r="J8685" i="1"/>
  <c r="J8684" i="1"/>
  <c r="J8683" i="1"/>
  <c r="J8682" i="1"/>
  <c r="J8681" i="1"/>
  <c r="J8680" i="1"/>
  <c r="J8679" i="1"/>
  <c r="J8678" i="1"/>
  <c r="J8677" i="1"/>
  <c r="J8676" i="1"/>
  <c r="J8675" i="1"/>
  <c r="J8674" i="1"/>
  <c r="J8673" i="1"/>
  <c r="J8672" i="1"/>
  <c r="J8671" i="1"/>
  <c r="J8670" i="1"/>
  <c r="J8669" i="1"/>
  <c r="J8668" i="1"/>
  <c r="J8667" i="1"/>
  <c r="J8666" i="1"/>
  <c r="J8665" i="1"/>
  <c r="J8664" i="1"/>
  <c r="J8663" i="1"/>
  <c r="J8662" i="1"/>
  <c r="J8661" i="1"/>
  <c r="J8660" i="1"/>
  <c r="J8659" i="1"/>
  <c r="J8658" i="1"/>
  <c r="J8657" i="1"/>
  <c r="J8656" i="1"/>
  <c r="J8655" i="1"/>
  <c r="J8654" i="1"/>
  <c r="J8653" i="1"/>
  <c r="J8652" i="1"/>
  <c r="J8651" i="1"/>
  <c r="J8650" i="1"/>
  <c r="J8649" i="1"/>
  <c r="J8648" i="1"/>
  <c r="J8647" i="1"/>
  <c r="J8646" i="1"/>
  <c r="J8645" i="1"/>
  <c r="J8644" i="1"/>
  <c r="J8643" i="1"/>
  <c r="J8642" i="1"/>
  <c r="J8641" i="1"/>
  <c r="J8640" i="1"/>
  <c r="J8639" i="1"/>
  <c r="J8638" i="1"/>
  <c r="J8637" i="1"/>
  <c r="J8636" i="1"/>
  <c r="J8635" i="1"/>
  <c r="J8634" i="1"/>
  <c r="J8633" i="1"/>
  <c r="J8632" i="1"/>
  <c r="J8631" i="1"/>
  <c r="J8630" i="1"/>
  <c r="J8629" i="1"/>
  <c r="J8628" i="1"/>
  <c r="J8627" i="1"/>
  <c r="J8626" i="1"/>
  <c r="J8625" i="1"/>
  <c r="J8624" i="1"/>
  <c r="J8623" i="1"/>
  <c r="J8622" i="1"/>
  <c r="J8621" i="1"/>
  <c r="J8620" i="1"/>
  <c r="J8619" i="1"/>
  <c r="J8618" i="1"/>
  <c r="J8617" i="1"/>
  <c r="J8616" i="1"/>
  <c r="J8615" i="1"/>
  <c r="J8614" i="1"/>
  <c r="J8613" i="1"/>
  <c r="J8612" i="1"/>
  <c r="J8611" i="1"/>
  <c r="J8610" i="1"/>
  <c r="J8609" i="1"/>
  <c r="J8608" i="1"/>
  <c r="J8607" i="1"/>
  <c r="J8606" i="1"/>
  <c r="J8605" i="1"/>
  <c r="J8604" i="1"/>
  <c r="J8603" i="1"/>
  <c r="J8602" i="1"/>
  <c r="J8601" i="1"/>
  <c r="J8600" i="1"/>
  <c r="J8599" i="1"/>
  <c r="J8598" i="1"/>
  <c r="J8597" i="1"/>
  <c r="J8596" i="1"/>
  <c r="J8595" i="1"/>
  <c r="J8594" i="1"/>
  <c r="J8593" i="1"/>
  <c r="J8592" i="1"/>
  <c r="J8591" i="1"/>
  <c r="J8590" i="1"/>
  <c r="J8589" i="1"/>
  <c r="J8588" i="1"/>
  <c r="J8587" i="1"/>
  <c r="J8586" i="1"/>
  <c r="J8585" i="1"/>
  <c r="J8584" i="1"/>
  <c r="J8583" i="1"/>
  <c r="J8582" i="1"/>
  <c r="J8581" i="1"/>
  <c r="J8580" i="1"/>
  <c r="J8579" i="1"/>
  <c r="J8578" i="1"/>
  <c r="J8577" i="1"/>
  <c r="J8576" i="1"/>
  <c r="J8575" i="1"/>
  <c r="J8574" i="1"/>
  <c r="J8573" i="1"/>
  <c r="J8572" i="1"/>
  <c r="J8571" i="1"/>
  <c r="J8570" i="1"/>
  <c r="J8569" i="1"/>
  <c r="J8568" i="1"/>
  <c r="J8567" i="1"/>
  <c r="J8566" i="1"/>
  <c r="J8565" i="1"/>
  <c r="J8564" i="1"/>
  <c r="J8563" i="1"/>
  <c r="J8562" i="1"/>
  <c r="J8561" i="1"/>
  <c r="J8560" i="1"/>
  <c r="J8559" i="1"/>
  <c r="J8558" i="1"/>
  <c r="J8557" i="1"/>
  <c r="J8556" i="1"/>
  <c r="J8555" i="1"/>
  <c r="J8554" i="1"/>
  <c r="J8553" i="1"/>
  <c r="J8552" i="1"/>
  <c r="J8551" i="1"/>
  <c r="J8550" i="1"/>
  <c r="J8549" i="1"/>
  <c r="J8548" i="1"/>
  <c r="J8547" i="1"/>
  <c r="J8546" i="1"/>
  <c r="J8545" i="1"/>
  <c r="J8544" i="1"/>
  <c r="J8543" i="1"/>
  <c r="J8542" i="1"/>
  <c r="J8541" i="1"/>
  <c r="J8540" i="1"/>
  <c r="J8539" i="1"/>
  <c r="J8538" i="1"/>
  <c r="J8537" i="1"/>
  <c r="J8536" i="1"/>
  <c r="J8535" i="1"/>
  <c r="J8534" i="1"/>
  <c r="J8533" i="1"/>
  <c r="J8532" i="1"/>
  <c r="J8531" i="1"/>
  <c r="J8530" i="1"/>
  <c r="J8529" i="1"/>
  <c r="J8528" i="1"/>
  <c r="J8527" i="1"/>
  <c r="J8526" i="1"/>
  <c r="J8525" i="1"/>
  <c r="J8524" i="1"/>
  <c r="J8523" i="1"/>
  <c r="J8522" i="1"/>
  <c r="J8521" i="1"/>
  <c r="J8520" i="1"/>
  <c r="J8519" i="1"/>
  <c r="J8518" i="1"/>
  <c r="J8517" i="1"/>
  <c r="J8516" i="1"/>
  <c r="J8515" i="1"/>
  <c r="J8514" i="1"/>
  <c r="J8513" i="1"/>
  <c r="J8512" i="1"/>
  <c r="J8511" i="1"/>
  <c r="J8510" i="1"/>
  <c r="J8509" i="1"/>
  <c r="J8508" i="1"/>
  <c r="J8507" i="1"/>
  <c r="J8506" i="1"/>
  <c r="J8505" i="1"/>
  <c r="J8504" i="1"/>
  <c r="J8503" i="1"/>
  <c r="J8502" i="1"/>
  <c r="J8501" i="1"/>
  <c r="J8500" i="1"/>
  <c r="J8499" i="1"/>
  <c r="J8498" i="1"/>
  <c r="J8497" i="1"/>
  <c r="J8496" i="1"/>
  <c r="J8495" i="1"/>
  <c r="J8494" i="1"/>
  <c r="J8493" i="1"/>
  <c r="J8492" i="1"/>
  <c r="J8491" i="1"/>
  <c r="J8490" i="1"/>
  <c r="J8489" i="1"/>
  <c r="J8488" i="1"/>
  <c r="J8487" i="1"/>
  <c r="J8486" i="1"/>
  <c r="J8485" i="1"/>
  <c r="J8484" i="1"/>
  <c r="J8483" i="1"/>
  <c r="J8482" i="1"/>
  <c r="J8481" i="1"/>
  <c r="J8480" i="1"/>
  <c r="J8479" i="1"/>
  <c r="J8478" i="1"/>
  <c r="J8477" i="1"/>
  <c r="J8476" i="1"/>
  <c r="J8475" i="1"/>
  <c r="J8474" i="1"/>
  <c r="J8473" i="1"/>
  <c r="J8472" i="1"/>
  <c r="J8471" i="1"/>
  <c r="J8470" i="1"/>
  <c r="J8469" i="1"/>
  <c r="J8468" i="1"/>
  <c r="J8467" i="1"/>
  <c r="J8466" i="1"/>
  <c r="J8465" i="1"/>
  <c r="J8464" i="1"/>
  <c r="J8463" i="1"/>
  <c r="J8462" i="1"/>
  <c r="J8461" i="1"/>
  <c r="J8460" i="1"/>
  <c r="J8459" i="1"/>
  <c r="J8458" i="1"/>
  <c r="J8457" i="1"/>
  <c r="J8456" i="1"/>
  <c r="J8455" i="1"/>
  <c r="J8454" i="1"/>
  <c r="J8453" i="1"/>
  <c r="J8452" i="1"/>
  <c r="J8451" i="1"/>
  <c r="J8450" i="1"/>
  <c r="J8449" i="1"/>
  <c r="J8448" i="1"/>
  <c r="J8447" i="1"/>
  <c r="J8446" i="1"/>
  <c r="J8445" i="1"/>
  <c r="J8444" i="1"/>
  <c r="J8443" i="1"/>
  <c r="J8442" i="1"/>
  <c r="J8441" i="1"/>
  <c r="J8440" i="1"/>
  <c r="J8439" i="1"/>
  <c r="J8438" i="1"/>
  <c r="J8437" i="1"/>
  <c r="J8436" i="1"/>
  <c r="J8435" i="1"/>
  <c r="J8434" i="1"/>
  <c r="J8433" i="1"/>
  <c r="J8432" i="1"/>
  <c r="J8431" i="1"/>
  <c r="J8430" i="1"/>
  <c r="J8429" i="1"/>
  <c r="J8428" i="1"/>
  <c r="J8427" i="1"/>
  <c r="J8426" i="1"/>
  <c r="J8425" i="1"/>
  <c r="J8424" i="1"/>
  <c r="J8423" i="1"/>
  <c r="J8422" i="1"/>
  <c r="J8421" i="1"/>
  <c r="J8420" i="1"/>
  <c r="J8419" i="1"/>
  <c r="J8418" i="1"/>
  <c r="J8417" i="1"/>
  <c r="J8416" i="1"/>
  <c r="J8415" i="1"/>
  <c r="J8414" i="1"/>
  <c r="J8413" i="1"/>
  <c r="J8412" i="1"/>
  <c r="J8411" i="1"/>
  <c r="J8410" i="1"/>
  <c r="J8409" i="1"/>
  <c r="J8408" i="1"/>
  <c r="J8407" i="1"/>
  <c r="J8406" i="1"/>
  <c r="J8405" i="1"/>
  <c r="J8404" i="1"/>
  <c r="J8403" i="1"/>
  <c r="J8402" i="1"/>
  <c r="J8401" i="1"/>
  <c r="J8400" i="1"/>
  <c r="J8399" i="1"/>
  <c r="J8398" i="1"/>
  <c r="J8397" i="1"/>
  <c r="J8396" i="1"/>
  <c r="J8395" i="1"/>
  <c r="J8394" i="1"/>
  <c r="J8393" i="1"/>
  <c r="J8392" i="1"/>
  <c r="J8391" i="1"/>
  <c r="J8390" i="1"/>
  <c r="J8389" i="1"/>
  <c r="J8388" i="1"/>
  <c r="J8387" i="1"/>
  <c r="J8386" i="1"/>
  <c r="J8385" i="1"/>
  <c r="J8384" i="1"/>
  <c r="J8383" i="1"/>
  <c r="J8382" i="1"/>
  <c r="J8381" i="1"/>
  <c r="J8380" i="1"/>
  <c r="J8379" i="1"/>
  <c r="J8378" i="1"/>
  <c r="J8377" i="1"/>
  <c r="J8376" i="1"/>
  <c r="J8375" i="1"/>
  <c r="J8374" i="1"/>
  <c r="J8373" i="1"/>
  <c r="J8372" i="1"/>
  <c r="J8371" i="1"/>
  <c r="J8370" i="1"/>
  <c r="J8369" i="1"/>
  <c r="J8368" i="1"/>
  <c r="J8367" i="1"/>
  <c r="J8366" i="1"/>
  <c r="J8365" i="1"/>
  <c r="J8364" i="1"/>
  <c r="J8363" i="1"/>
  <c r="J8362" i="1"/>
  <c r="J8361" i="1"/>
  <c r="J8360" i="1"/>
  <c r="J8359" i="1"/>
  <c r="J8358" i="1"/>
  <c r="J8357" i="1"/>
  <c r="J8356" i="1"/>
  <c r="J8355" i="1"/>
  <c r="J8354" i="1"/>
  <c r="J8353" i="1"/>
  <c r="J8352" i="1"/>
  <c r="J8351" i="1"/>
  <c r="J8350" i="1"/>
  <c r="J8349" i="1"/>
  <c r="J8348" i="1"/>
  <c r="J8347" i="1"/>
  <c r="J8346" i="1"/>
  <c r="J8345" i="1"/>
  <c r="J8344" i="1"/>
  <c r="J8343" i="1"/>
  <c r="J8342" i="1"/>
  <c r="J8341" i="1"/>
  <c r="J8340" i="1"/>
  <c r="J8339" i="1"/>
  <c r="J8338" i="1"/>
  <c r="J8337" i="1"/>
  <c r="J8336" i="1"/>
  <c r="J8335" i="1"/>
  <c r="J8334" i="1"/>
  <c r="J8333" i="1"/>
  <c r="J8332" i="1"/>
  <c r="J8331" i="1"/>
  <c r="J8330" i="1"/>
  <c r="J8329" i="1"/>
  <c r="J8328" i="1"/>
  <c r="J8327" i="1"/>
  <c r="J8326" i="1"/>
  <c r="J8325" i="1"/>
  <c r="J8324" i="1"/>
  <c r="J8323" i="1"/>
  <c r="J8322" i="1"/>
  <c r="J8321" i="1"/>
  <c r="J8320" i="1"/>
  <c r="J8319" i="1"/>
  <c r="J8318" i="1"/>
  <c r="J8317" i="1"/>
  <c r="J8316" i="1"/>
  <c r="J8315" i="1"/>
  <c r="J8314" i="1"/>
  <c r="J8313" i="1"/>
  <c r="J8312" i="1"/>
  <c r="J8311" i="1"/>
  <c r="J8310" i="1"/>
  <c r="J8309" i="1"/>
  <c r="J8308" i="1"/>
  <c r="J8307" i="1"/>
  <c r="J8306" i="1"/>
  <c r="J8305" i="1"/>
  <c r="J8304" i="1"/>
  <c r="J8303" i="1"/>
  <c r="J8302" i="1"/>
  <c r="J8301" i="1"/>
  <c r="J8300" i="1"/>
  <c r="J8299" i="1"/>
  <c r="J8298" i="1"/>
  <c r="J8297" i="1"/>
  <c r="J8296" i="1"/>
  <c r="J8295" i="1"/>
  <c r="J8294" i="1"/>
  <c r="J8293" i="1"/>
  <c r="J8292" i="1"/>
  <c r="J8291" i="1"/>
  <c r="J8290" i="1"/>
  <c r="J8289" i="1"/>
  <c r="J8288" i="1"/>
  <c r="J8287" i="1"/>
  <c r="J8286" i="1"/>
  <c r="J8285" i="1"/>
  <c r="J8284" i="1"/>
  <c r="J8283" i="1"/>
  <c r="J8282" i="1"/>
  <c r="J8281" i="1"/>
  <c r="J8280" i="1"/>
  <c r="J8279" i="1"/>
  <c r="J8278" i="1"/>
  <c r="J8277" i="1"/>
  <c r="J8276" i="1"/>
  <c r="J8275" i="1"/>
  <c r="J8274" i="1"/>
  <c r="J8273" i="1"/>
  <c r="J8272" i="1"/>
  <c r="J8271" i="1"/>
  <c r="J8270" i="1"/>
  <c r="J8269" i="1"/>
  <c r="J8268" i="1"/>
  <c r="J8267" i="1"/>
  <c r="J8266" i="1"/>
  <c r="J8265" i="1"/>
  <c r="J8264" i="1"/>
  <c r="J8263" i="1"/>
  <c r="J8262" i="1"/>
  <c r="J8261" i="1"/>
  <c r="J8260" i="1"/>
  <c r="J8259" i="1"/>
  <c r="J8258" i="1"/>
  <c r="J8257" i="1"/>
  <c r="J8256" i="1"/>
  <c r="J8255" i="1"/>
  <c r="J8254" i="1"/>
  <c r="J8253" i="1"/>
  <c r="J8252" i="1"/>
  <c r="J8251" i="1"/>
  <c r="J8250" i="1"/>
  <c r="J8249" i="1"/>
  <c r="J8248" i="1"/>
  <c r="J8247" i="1"/>
  <c r="J8246" i="1"/>
  <c r="J8245" i="1"/>
  <c r="J8244" i="1"/>
  <c r="J8243" i="1"/>
  <c r="J8242" i="1"/>
  <c r="J8241" i="1"/>
  <c r="J8240" i="1"/>
  <c r="J8239" i="1"/>
  <c r="J8238" i="1"/>
  <c r="J8237" i="1"/>
  <c r="J8236" i="1"/>
  <c r="J8235" i="1"/>
  <c r="J8234" i="1"/>
  <c r="J8233" i="1"/>
  <c r="J8232" i="1"/>
  <c r="J8231" i="1"/>
  <c r="J8230" i="1"/>
  <c r="J8229" i="1"/>
  <c r="J8228" i="1"/>
  <c r="J8227" i="1"/>
  <c r="J8226" i="1"/>
  <c r="J8225" i="1"/>
  <c r="J8224" i="1"/>
  <c r="J8223" i="1"/>
  <c r="J8222" i="1"/>
  <c r="J8221" i="1"/>
  <c r="J8220" i="1"/>
  <c r="J8219" i="1"/>
  <c r="J8218" i="1"/>
  <c r="J8217" i="1"/>
  <c r="J8216" i="1"/>
  <c r="J8215" i="1"/>
  <c r="J8214" i="1"/>
  <c r="J8213" i="1"/>
  <c r="J8212" i="1"/>
  <c r="J8211" i="1"/>
  <c r="J8210" i="1"/>
  <c r="J8209" i="1"/>
  <c r="J8208" i="1"/>
  <c r="J8207" i="1"/>
  <c r="J8206" i="1"/>
  <c r="J8205" i="1"/>
  <c r="J8204" i="1"/>
  <c r="J8203" i="1"/>
  <c r="J8202" i="1"/>
  <c r="J8201" i="1"/>
  <c r="J8200" i="1"/>
  <c r="J8199" i="1"/>
  <c r="J8198" i="1"/>
  <c r="J8197" i="1"/>
  <c r="J8196" i="1"/>
  <c r="J8195" i="1"/>
  <c r="J8194" i="1"/>
  <c r="J8193" i="1"/>
  <c r="J8192" i="1"/>
  <c r="J8191" i="1"/>
  <c r="J8190" i="1"/>
  <c r="J8189" i="1"/>
  <c r="J8188" i="1"/>
  <c r="J8187" i="1"/>
  <c r="J8186" i="1"/>
  <c r="J8185" i="1"/>
  <c r="J8184" i="1"/>
  <c r="J8183" i="1"/>
  <c r="J8182" i="1"/>
  <c r="J8181" i="1"/>
  <c r="J8180" i="1"/>
  <c r="J8179" i="1"/>
  <c r="J8178" i="1"/>
  <c r="J8177" i="1"/>
  <c r="J8176" i="1"/>
  <c r="J8175" i="1"/>
  <c r="J8174" i="1"/>
  <c r="J8173" i="1"/>
  <c r="J8172" i="1"/>
  <c r="J8171" i="1"/>
  <c r="J8170" i="1"/>
  <c r="J8169" i="1"/>
  <c r="J8168" i="1"/>
  <c r="J8167" i="1"/>
  <c r="J8166" i="1"/>
  <c r="J8165" i="1"/>
  <c r="J8164" i="1"/>
  <c r="J8163" i="1"/>
  <c r="J8162" i="1"/>
  <c r="J8161" i="1"/>
  <c r="J8160" i="1"/>
  <c r="J8159" i="1"/>
  <c r="J8158" i="1"/>
  <c r="J8157" i="1"/>
  <c r="J8156" i="1"/>
  <c r="J8155" i="1"/>
  <c r="J8154" i="1"/>
  <c r="J8153" i="1"/>
  <c r="J8152" i="1"/>
  <c r="J8151" i="1"/>
  <c r="J8150" i="1"/>
  <c r="J8149" i="1"/>
  <c r="J8148" i="1"/>
  <c r="J8147" i="1"/>
  <c r="J8146" i="1"/>
  <c r="J8145" i="1"/>
  <c r="J8144" i="1"/>
  <c r="J8143" i="1"/>
  <c r="J8142" i="1"/>
  <c r="J8141" i="1"/>
  <c r="J8140" i="1"/>
  <c r="J8139" i="1"/>
  <c r="J8138" i="1"/>
  <c r="J8137" i="1"/>
  <c r="J8136" i="1"/>
  <c r="J8135" i="1"/>
  <c r="J8134" i="1"/>
  <c r="J8133" i="1"/>
  <c r="J8132" i="1"/>
  <c r="J8131" i="1"/>
  <c r="J8130" i="1"/>
  <c r="J8129" i="1"/>
  <c r="J8128" i="1"/>
  <c r="J8127" i="1"/>
  <c r="J8126" i="1"/>
  <c r="J8125" i="1"/>
  <c r="J8124" i="1"/>
  <c r="J8123" i="1"/>
  <c r="J8122" i="1"/>
  <c r="J8121" i="1"/>
  <c r="J8120" i="1"/>
  <c r="J8119" i="1"/>
  <c r="J8118" i="1"/>
  <c r="J8117" i="1"/>
  <c r="J8116" i="1"/>
  <c r="J8115" i="1"/>
  <c r="J8114" i="1"/>
  <c r="J8113" i="1"/>
  <c r="J8112" i="1"/>
  <c r="J8111" i="1"/>
  <c r="J8110" i="1"/>
  <c r="J8109" i="1"/>
  <c r="J8108" i="1"/>
  <c r="J8107" i="1"/>
  <c r="J8106" i="1"/>
  <c r="J8105" i="1"/>
  <c r="J8104" i="1"/>
  <c r="J8103" i="1"/>
  <c r="J8102" i="1"/>
  <c r="J8101" i="1"/>
  <c r="J8100" i="1"/>
  <c r="J8099" i="1"/>
  <c r="J8098" i="1"/>
  <c r="J8097" i="1"/>
  <c r="J8096" i="1"/>
  <c r="J8095" i="1"/>
  <c r="J8094" i="1"/>
  <c r="J8093" i="1"/>
  <c r="J8092" i="1"/>
  <c r="J8091" i="1"/>
  <c r="J8090" i="1"/>
  <c r="J8089" i="1"/>
  <c r="J8088" i="1"/>
  <c r="J8087" i="1"/>
  <c r="J8086" i="1"/>
  <c r="J8085" i="1"/>
  <c r="J8084" i="1"/>
  <c r="J8083" i="1"/>
  <c r="J8082" i="1"/>
  <c r="J8081" i="1"/>
  <c r="J8080" i="1"/>
  <c r="J8079" i="1"/>
  <c r="J8078" i="1"/>
  <c r="J8077" i="1"/>
  <c r="J8076" i="1"/>
  <c r="J8075" i="1"/>
  <c r="J8074" i="1"/>
  <c r="J8073" i="1"/>
  <c r="J8072" i="1"/>
  <c r="J8071" i="1"/>
  <c r="J8070" i="1"/>
  <c r="J8069" i="1"/>
  <c r="J8068" i="1"/>
  <c r="J8067" i="1"/>
  <c r="J8066" i="1"/>
  <c r="J8065" i="1"/>
  <c r="J8064" i="1"/>
  <c r="J8063" i="1"/>
  <c r="J8062" i="1"/>
  <c r="J8061" i="1"/>
  <c r="J8060" i="1"/>
  <c r="J8059" i="1"/>
  <c r="J8058" i="1"/>
  <c r="J8057" i="1"/>
  <c r="J8056" i="1"/>
  <c r="J8055" i="1"/>
  <c r="J8054" i="1"/>
  <c r="J8053" i="1"/>
  <c r="J8052" i="1"/>
  <c r="J8051" i="1"/>
  <c r="J8050" i="1"/>
  <c r="J8049" i="1"/>
  <c r="J8048" i="1"/>
  <c r="J8047" i="1"/>
  <c r="J8046" i="1"/>
  <c r="J8045" i="1"/>
  <c r="J8044" i="1"/>
  <c r="J8043" i="1"/>
  <c r="J8042" i="1"/>
  <c r="J8041" i="1"/>
  <c r="J8040" i="1"/>
  <c r="J8039" i="1"/>
  <c r="J8038" i="1"/>
  <c r="J8037" i="1"/>
  <c r="J8036" i="1"/>
  <c r="J8035" i="1"/>
  <c r="J8034" i="1"/>
  <c r="J8033" i="1"/>
  <c r="J8032" i="1"/>
  <c r="J8031" i="1"/>
  <c r="J8030" i="1"/>
  <c r="J8029" i="1"/>
  <c r="J8028" i="1"/>
  <c r="J8027" i="1"/>
  <c r="J8026" i="1"/>
  <c r="J8025" i="1"/>
  <c r="J8024" i="1"/>
  <c r="J8023" i="1"/>
  <c r="J8022" i="1"/>
  <c r="J8021" i="1"/>
  <c r="J8020" i="1"/>
  <c r="J8019" i="1"/>
  <c r="J8018" i="1"/>
  <c r="J8017" i="1"/>
  <c r="J8016" i="1"/>
  <c r="J8015" i="1"/>
  <c r="J8014" i="1"/>
  <c r="J8013" i="1"/>
  <c r="J8012" i="1"/>
  <c r="J8011" i="1"/>
  <c r="J8010" i="1"/>
  <c r="J8009" i="1"/>
  <c r="J8008" i="1"/>
  <c r="J8007" i="1"/>
  <c r="J8006" i="1"/>
  <c r="J8005" i="1"/>
  <c r="J8004" i="1"/>
  <c r="J8003" i="1"/>
  <c r="J8002" i="1"/>
  <c r="J8001" i="1"/>
  <c r="J8000" i="1"/>
  <c r="J7999" i="1"/>
  <c r="J7998" i="1"/>
  <c r="J7997" i="1"/>
  <c r="J7996" i="1"/>
  <c r="J7995" i="1"/>
  <c r="J7994" i="1"/>
  <c r="J7993" i="1"/>
  <c r="J7992" i="1"/>
  <c r="J7991" i="1"/>
  <c r="J7990" i="1"/>
  <c r="J7989" i="1"/>
  <c r="J7988" i="1"/>
  <c r="J7987" i="1"/>
  <c r="J7986" i="1"/>
  <c r="J7985" i="1"/>
  <c r="J7984" i="1"/>
  <c r="J7983" i="1"/>
  <c r="J7982" i="1"/>
  <c r="J7981" i="1"/>
  <c r="J7980" i="1"/>
  <c r="J7979" i="1"/>
  <c r="J7978" i="1"/>
  <c r="J7977" i="1"/>
  <c r="J7976" i="1"/>
  <c r="J7975" i="1"/>
  <c r="J7974" i="1"/>
  <c r="J7973" i="1"/>
  <c r="J7972" i="1"/>
  <c r="J7971" i="1"/>
  <c r="J7970" i="1"/>
  <c r="J7969" i="1"/>
  <c r="J7968" i="1"/>
  <c r="J7967" i="1"/>
  <c r="J7966" i="1"/>
  <c r="J7965" i="1"/>
  <c r="J7964" i="1"/>
  <c r="J7963" i="1"/>
  <c r="J7962" i="1"/>
  <c r="J7961" i="1"/>
  <c r="J7960" i="1"/>
  <c r="J7959" i="1"/>
  <c r="J7958" i="1"/>
  <c r="J7957" i="1"/>
  <c r="J7956" i="1"/>
  <c r="J7955" i="1"/>
  <c r="J7954" i="1"/>
  <c r="J7953" i="1"/>
  <c r="J7952" i="1"/>
  <c r="J7951" i="1"/>
  <c r="J7950" i="1"/>
  <c r="J7949" i="1"/>
  <c r="J7948" i="1"/>
  <c r="J7947" i="1"/>
  <c r="J7946" i="1"/>
  <c r="J7945" i="1"/>
  <c r="J7944" i="1"/>
  <c r="J7943" i="1"/>
  <c r="J7942" i="1"/>
  <c r="J7941" i="1"/>
  <c r="J7940" i="1"/>
  <c r="J7939" i="1"/>
  <c r="J7938" i="1"/>
  <c r="J7937" i="1"/>
  <c r="J7936" i="1"/>
  <c r="J7935" i="1"/>
  <c r="J7934" i="1"/>
  <c r="J7933" i="1"/>
  <c r="J7932" i="1"/>
  <c r="J7931" i="1"/>
  <c r="J7930" i="1"/>
  <c r="J7929" i="1"/>
  <c r="J7928" i="1"/>
  <c r="J7927" i="1"/>
  <c r="J7926" i="1"/>
  <c r="J7925" i="1"/>
  <c r="J7924" i="1"/>
  <c r="J7923" i="1"/>
  <c r="J7922" i="1"/>
  <c r="J7921" i="1"/>
  <c r="J7920" i="1"/>
  <c r="J7919" i="1"/>
  <c r="J7918" i="1"/>
  <c r="J7917" i="1"/>
  <c r="J7916" i="1"/>
  <c r="J7915" i="1"/>
  <c r="J7914" i="1"/>
  <c r="J7913" i="1"/>
  <c r="J7912" i="1"/>
  <c r="J7911" i="1"/>
  <c r="J7910" i="1"/>
  <c r="J7909" i="1"/>
  <c r="J7908" i="1"/>
  <c r="J7907" i="1"/>
  <c r="J7906" i="1"/>
  <c r="J7905" i="1"/>
  <c r="J7904" i="1"/>
  <c r="J7903" i="1"/>
  <c r="J7902" i="1"/>
  <c r="J7901" i="1"/>
  <c r="J7900" i="1"/>
  <c r="J7899" i="1"/>
  <c r="J7898" i="1"/>
  <c r="J7897" i="1"/>
  <c r="J7896" i="1"/>
  <c r="J7895" i="1"/>
  <c r="J7894" i="1"/>
  <c r="J7893" i="1"/>
  <c r="J7892" i="1"/>
  <c r="J7891" i="1"/>
  <c r="J7890" i="1"/>
  <c r="J7889" i="1"/>
  <c r="J7888" i="1"/>
  <c r="J7887" i="1"/>
  <c r="J7886" i="1"/>
  <c r="J7885" i="1"/>
  <c r="J7884" i="1"/>
  <c r="J7883" i="1"/>
  <c r="J7882" i="1"/>
  <c r="J7881" i="1"/>
  <c r="J7880" i="1"/>
  <c r="J7879" i="1"/>
  <c r="J7878" i="1"/>
  <c r="J7877" i="1"/>
  <c r="J7876" i="1"/>
  <c r="J7875" i="1"/>
  <c r="J7874" i="1"/>
  <c r="J7873" i="1"/>
  <c r="J7872" i="1"/>
  <c r="J7871" i="1"/>
  <c r="J7870" i="1"/>
  <c r="J7869" i="1"/>
  <c r="J7868" i="1"/>
  <c r="J7867" i="1"/>
  <c r="J7866" i="1"/>
  <c r="J7865" i="1"/>
  <c r="J7864" i="1"/>
  <c r="J7863" i="1"/>
  <c r="J7862" i="1"/>
  <c r="J7861" i="1"/>
  <c r="J7860" i="1"/>
  <c r="J7859" i="1"/>
  <c r="J7858" i="1"/>
  <c r="J7857" i="1"/>
  <c r="J7856" i="1"/>
  <c r="J7855" i="1"/>
  <c r="J7854" i="1"/>
  <c r="J7853" i="1"/>
  <c r="J7852" i="1"/>
  <c r="J7851" i="1"/>
  <c r="J7850" i="1"/>
  <c r="J7849" i="1"/>
  <c r="J7848" i="1"/>
  <c r="J7847" i="1"/>
  <c r="J7846" i="1"/>
  <c r="J7845" i="1"/>
  <c r="J7844" i="1"/>
  <c r="J7843" i="1"/>
  <c r="J7842" i="1"/>
  <c r="J7841" i="1"/>
  <c r="J7840" i="1"/>
  <c r="J7839" i="1"/>
  <c r="J7838" i="1"/>
  <c r="J7837" i="1"/>
  <c r="J7836" i="1"/>
  <c r="J7835" i="1"/>
  <c r="J7834" i="1"/>
  <c r="J7833" i="1"/>
  <c r="J7832" i="1"/>
  <c r="J7831" i="1"/>
  <c r="J7830" i="1"/>
  <c r="J7829" i="1"/>
  <c r="J7828" i="1"/>
  <c r="J7827" i="1"/>
  <c r="J7826" i="1"/>
  <c r="J7825" i="1"/>
  <c r="J7824" i="1"/>
  <c r="J7823" i="1"/>
  <c r="J7822" i="1"/>
  <c r="J7821" i="1"/>
  <c r="J7820" i="1"/>
  <c r="J7819" i="1"/>
  <c r="J7818" i="1"/>
  <c r="J7817" i="1"/>
  <c r="J7816" i="1"/>
  <c r="J7815" i="1"/>
  <c r="J7814" i="1"/>
  <c r="J7813" i="1"/>
  <c r="J7812" i="1"/>
  <c r="J7811" i="1"/>
  <c r="J7810" i="1"/>
  <c r="J7809" i="1"/>
  <c r="J7808" i="1"/>
  <c r="J7807" i="1"/>
  <c r="J7806" i="1"/>
  <c r="J7805" i="1"/>
  <c r="J7804" i="1"/>
  <c r="J7803" i="1"/>
  <c r="J7802" i="1"/>
  <c r="J7801" i="1"/>
  <c r="J7800" i="1"/>
  <c r="J7799" i="1"/>
  <c r="J7798" i="1"/>
  <c r="J7797" i="1"/>
  <c r="J7796" i="1"/>
  <c r="J7795" i="1"/>
  <c r="J7794" i="1"/>
  <c r="J7793" i="1"/>
  <c r="J7792" i="1"/>
  <c r="J7791" i="1"/>
  <c r="J7790" i="1"/>
  <c r="J7789" i="1"/>
  <c r="J7788" i="1"/>
  <c r="J7787" i="1"/>
  <c r="J7786" i="1"/>
  <c r="J7785" i="1"/>
  <c r="J7784" i="1"/>
  <c r="J7783" i="1"/>
  <c r="J7782" i="1"/>
  <c r="J7781" i="1"/>
  <c r="J7780" i="1"/>
  <c r="J7779" i="1"/>
  <c r="J7778" i="1"/>
  <c r="J7777" i="1"/>
  <c r="J7776" i="1"/>
  <c r="J7775" i="1"/>
  <c r="J7774" i="1"/>
  <c r="J7773" i="1"/>
  <c r="J7772" i="1"/>
  <c r="J7771" i="1"/>
  <c r="J7770" i="1"/>
  <c r="J7769" i="1"/>
  <c r="J7768" i="1"/>
  <c r="J7767" i="1"/>
  <c r="J7766" i="1"/>
  <c r="J7765" i="1"/>
  <c r="J7764" i="1"/>
  <c r="J7763" i="1"/>
  <c r="J7762" i="1"/>
  <c r="J7761" i="1"/>
  <c r="J7760" i="1"/>
  <c r="J7759" i="1"/>
  <c r="J7758" i="1"/>
  <c r="J7757" i="1"/>
  <c r="J7756" i="1"/>
  <c r="J7755" i="1"/>
  <c r="J7754" i="1"/>
  <c r="J7753" i="1"/>
  <c r="J7752" i="1"/>
  <c r="J7751" i="1"/>
  <c r="J7750" i="1"/>
  <c r="J7749" i="1"/>
  <c r="J7748" i="1"/>
  <c r="J7747" i="1"/>
  <c r="J7746" i="1"/>
  <c r="J7745" i="1"/>
  <c r="J7744" i="1"/>
  <c r="J7743" i="1"/>
  <c r="J7742" i="1"/>
  <c r="J7741" i="1"/>
  <c r="J7740" i="1"/>
  <c r="J7739" i="1"/>
  <c r="J7738" i="1"/>
  <c r="J7737" i="1"/>
  <c r="J7736" i="1"/>
  <c r="J7735" i="1"/>
  <c r="J7734" i="1"/>
  <c r="J7733" i="1"/>
  <c r="J7732" i="1"/>
  <c r="J7731" i="1"/>
  <c r="J7730" i="1"/>
  <c r="J7729" i="1"/>
  <c r="J7728" i="1"/>
  <c r="J7727" i="1"/>
  <c r="J7726" i="1"/>
  <c r="J7725" i="1"/>
  <c r="J7724" i="1"/>
  <c r="J7723" i="1"/>
  <c r="J7722" i="1"/>
  <c r="J7721" i="1"/>
  <c r="J7720" i="1"/>
  <c r="J7719" i="1"/>
  <c r="J7718" i="1"/>
  <c r="J7717" i="1"/>
  <c r="J7716" i="1"/>
  <c r="J7715" i="1"/>
  <c r="J7714" i="1"/>
  <c r="J7713" i="1"/>
  <c r="J7712" i="1"/>
  <c r="J7711" i="1"/>
  <c r="J7710" i="1"/>
  <c r="J7709" i="1"/>
  <c r="J7708" i="1"/>
  <c r="J7707" i="1"/>
  <c r="J7706" i="1"/>
  <c r="J7705" i="1"/>
  <c r="J7704" i="1"/>
  <c r="J7703" i="1"/>
  <c r="J7702" i="1"/>
  <c r="J7701" i="1"/>
  <c r="J7700" i="1"/>
  <c r="J7699" i="1"/>
  <c r="J7698" i="1"/>
  <c r="J7697" i="1"/>
  <c r="J7696" i="1"/>
  <c r="J7695" i="1"/>
  <c r="J7694" i="1"/>
  <c r="J7693" i="1"/>
  <c r="J7692" i="1"/>
  <c r="J7691" i="1"/>
  <c r="J7690" i="1"/>
  <c r="J7689" i="1"/>
  <c r="J7688" i="1"/>
  <c r="J7687" i="1"/>
  <c r="J7686" i="1"/>
  <c r="J7685" i="1"/>
  <c r="J7684" i="1"/>
  <c r="J7683" i="1"/>
  <c r="J7682" i="1"/>
  <c r="J7681" i="1"/>
  <c r="J7680" i="1"/>
  <c r="J7679" i="1"/>
  <c r="J7678" i="1"/>
  <c r="J7677" i="1"/>
  <c r="J7676" i="1"/>
  <c r="J7675" i="1"/>
  <c r="J7674" i="1"/>
  <c r="J7673" i="1"/>
  <c r="J7672" i="1"/>
  <c r="J7671" i="1"/>
  <c r="J7670" i="1"/>
  <c r="J7669" i="1"/>
  <c r="J7668" i="1"/>
  <c r="J7667" i="1"/>
  <c r="J7666" i="1"/>
  <c r="J7665" i="1"/>
  <c r="J7664" i="1"/>
  <c r="J7663" i="1"/>
  <c r="J7662" i="1"/>
  <c r="J7661" i="1"/>
  <c r="J7660" i="1"/>
  <c r="J7659" i="1"/>
  <c r="J7658" i="1"/>
  <c r="J7657" i="1"/>
  <c r="J7656" i="1"/>
  <c r="J7655" i="1"/>
  <c r="J7654" i="1"/>
  <c r="J7653" i="1"/>
  <c r="J7652" i="1"/>
  <c r="J7651" i="1"/>
  <c r="J7650" i="1"/>
  <c r="J7649" i="1"/>
  <c r="J7648" i="1"/>
  <c r="J7647" i="1"/>
  <c r="J7646" i="1"/>
  <c r="J7645" i="1"/>
  <c r="J7644" i="1"/>
  <c r="J7643" i="1"/>
  <c r="J7642" i="1"/>
  <c r="J7641" i="1"/>
  <c r="J7640" i="1"/>
  <c r="J7639" i="1"/>
  <c r="J7638" i="1"/>
  <c r="J7637" i="1"/>
  <c r="J7636" i="1"/>
  <c r="J7635" i="1"/>
  <c r="J7634" i="1"/>
  <c r="J7633" i="1"/>
  <c r="J7632" i="1"/>
  <c r="J7631" i="1"/>
  <c r="J7630" i="1"/>
  <c r="J7629" i="1"/>
  <c r="J7628" i="1"/>
  <c r="J7627" i="1"/>
  <c r="J7626" i="1"/>
  <c r="J7625" i="1"/>
  <c r="J7624" i="1"/>
  <c r="J7623" i="1"/>
  <c r="J7622" i="1"/>
  <c r="J7621" i="1"/>
  <c r="J7620" i="1"/>
  <c r="J7619" i="1"/>
  <c r="J7618" i="1"/>
  <c r="J7617" i="1"/>
  <c r="J7616" i="1"/>
  <c r="J7615" i="1"/>
  <c r="J7614" i="1"/>
  <c r="J7613" i="1"/>
  <c r="J7612" i="1"/>
  <c r="J7611" i="1"/>
  <c r="J7610" i="1"/>
  <c r="J7609" i="1"/>
  <c r="J7608" i="1"/>
  <c r="J7607" i="1"/>
  <c r="J7606" i="1"/>
  <c r="J7605" i="1"/>
  <c r="J7604" i="1"/>
  <c r="J7603" i="1"/>
  <c r="J7602" i="1"/>
  <c r="J7601" i="1"/>
  <c r="J7600" i="1"/>
  <c r="J7599" i="1"/>
  <c r="J7598" i="1"/>
  <c r="J7597" i="1"/>
  <c r="J7596" i="1"/>
  <c r="J7595" i="1"/>
  <c r="J7594" i="1"/>
  <c r="J7593" i="1"/>
  <c r="J7592" i="1"/>
  <c r="J7591" i="1"/>
  <c r="J7590" i="1"/>
  <c r="J7589" i="1"/>
  <c r="J7588" i="1"/>
  <c r="J7587" i="1"/>
  <c r="J7586" i="1"/>
  <c r="J7585" i="1"/>
  <c r="J7584" i="1"/>
  <c r="J7583" i="1"/>
  <c r="J7582" i="1"/>
  <c r="J7581" i="1"/>
  <c r="J7580" i="1"/>
  <c r="J7579" i="1"/>
  <c r="J7578" i="1"/>
  <c r="J7577" i="1"/>
  <c r="J7576" i="1"/>
  <c r="J7575" i="1"/>
  <c r="J7574" i="1"/>
  <c r="J7573" i="1"/>
  <c r="J7572" i="1"/>
  <c r="J7571" i="1"/>
  <c r="J7570" i="1"/>
  <c r="J7569" i="1"/>
  <c r="J7568" i="1"/>
  <c r="J7567" i="1"/>
  <c r="J7566" i="1"/>
  <c r="J7565" i="1"/>
  <c r="J7564" i="1"/>
  <c r="J7563" i="1"/>
  <c r="J7562" i="1"/>
  <c r="J7561" i="1"/>
  <c r="J7560" i="1"/>
  <c r="J7559" i="1"/>
  <c r="J7558" i="1"/>
  <c r="J7557" i="1"/>
  <c r="J7556" i="1"/>
  <c r="J7555" i="1"/>
  <c r="J7554" i="1"/>
  <c r="J7553" i="1"/>
  <c r="J7552" i="1"/>
  <c r="J7551" i="1"/>
  <c r="J7550" i="1"/>
  <c r="J7549" i="1"/>
  <c r="J7548" i="1"/>
  <c r="J7547" i="1"/>
  <c r="J7546" i="1"/>
  <c r="J7545" i="1"/>
  <c r="J7544" i="1"/>
  <c r="J7543" i="1"/>
  <c r="J7542" i="1"/>
  <c r="J7541" i="1"/>
  <c r="J7540" i="1"/>
  <c r="J7539" i="1"/>
  <c r="J7538" i="1"/>
  <c r="J7537" i="1"/>
  <c r="J7536" i="1"/>
  <c r="J7535" i="1"/>
  <c r="J7534" i="1"/>
  <c r="J7533" i="1"/>
  <c r="J7532" i="1"/>
  <c r="J7531" i="1"/>
  <c r="J7530" i="1"/>
  <c r="J7529" i="1"/>
  <c r="J7528" i="1"/>
  <c r="J7527" i="1"/>
  <c r="J7526" i="1"/>
  <c r="J7525" i="1"/>
  <c r="J7524" i="1"/>
  <c r="J7523" i="1"/>
  <c r="J7522" i="1"/>
  <c r="J7521" i="1"/>
  <c r="J7520" i="1"/>
  <c r="J7519" i="1"/>
  <c r="J7518" i="1"/>
  <c r="J7517" i="1"/>
  <c r="J7516" i="1"/>
  <c r="J7515" i="1"/>
  <c r="J7514" i="1"/>
  <c r="J7513" i="1"/>
  <c r="J7512" i="1"/>
  <c r="J7511" i="1"/>
  <c r="J7510" i="1"/>
  <c r="J7509" i="1"/>
  <c r="J7508" i="1"/>
  <c r="J7507" i="1"/>
  <c r="J7506" i="1"/>
  <c r="J7505" i="1"/>
  <c r="J7504" i="1"/>
  <c r="J7503" i="1"/>
  <c r="J7502" i="1"/>
  <c r="J7501" i="1"/>
  <c r="J7500" i="1"/>
  <c r="J7499" i="1"/>
  <c r="J7498" i="1"/>
  <c r="J7497" i="1"/>
  <c r="J7496" i="1"/>
  <c r="J7495" i="1"/>
  <c r="J7494" i="1"/>
  <c r="J7493" i="1"/>
  <c r="J7492" i="1"/>
  <c r="J7491" i="1"/>
  <c r="J7490" i="1"/>
  <c r="J7489" i="1"/>
  <c r="J7488" i="1"/>
  <c r="J7487" i="1"/>
  <c r="J7486" i="1"/>
  <c r="J7485" i="1"/>
  <c r="J7484" i="1"/>
  <c r="J7483" i="1"/>
  <c r="J7482" i="1"/>
  <c r="J7481" i="1"/>
  <c r="J7480" i="1"/>
  <c r="J7479" i="1"/>
  <c r="J7478" i="1"/>
  <c r="J7477" i="1"/>
  <c r="J7476" i="1"/>
  <c r="J7475" i="1"/>
  <c r="J7474" i="1"/>
  <c r="J7473" i="1"/>
  <c r="J7472" i="1"/>
  <c r="J7471" i="1"/>
  <c r="J7470" i="1"/>
  <c r="J7469" i="1"/>
  <c r="J7468" i="1"/>
  <c r="J7467" i="1"/>
  <c r="J7466" i="1"/>
  <c r="J7465" i="1"/>
  <c r="J7464" i="1"/>
  <c r="J7463" i="1"/>
  <c r="J7462" i="1"/>
  <c r="J7461" i="1"/>
  <c r="J7460" i="1"/>
  <c r="J7459" i="1"/>
  <c r="J7458" i="1"/>
  <c r="J7457" i="1"/>
  <c r="J7456" i="1"/>
  <c r="J7455" i="1"/>
  <c r="J7454" i="1"/>
  <c r="J7453" i="1"/>
  <c r="J7452" i="1"/>
  <c r="J7451" i="1"/>
  <c r="J7450" i="1"/>
  <c r="J7449" i="1"/>
  <c r="J7448" i="1"/>
  <c r="J7447" i="1"/>
  <c r="J7446" i="1"/>
  <c r="J7445" i="1"/>
  <c r="J7444" i="1"/>
  <c r="J7443" i="1"/>
  <c r="J7442" i="1"/>
  <c r="J7441" i="1"/>
  <c r="J7440" i="1"/>
  <c r="J7439" i="1"/>
  <c r="J7438" i="1"/>
  <c r="J7437" i="1"/>
  <c r="J7436" i="1"/>
  <c r="J7435" i="1"/>
  <c r="J7434" i="1"/>
  <c r="J7433" i="1"/>
  <c r="J7432" i="1"/>
  <c r="J7431" i="1"/>
  <c r="J7430" i="1"/>
  <c r="J7429" i="1"/>
  <c r="J7428" i="1"/>
  <c r="J7427" i="1"/>
  <c r="J7426" i="1"/>
  <c r="J7425" i="1"/>
  <c r="J7424" i="1"/>
  <c r="J7423" i="1"/>
  <c r="J7422" i="1"/>
  <c r="J7421" i="1"/>
  <c r="J7420" i="1"/>
  <c r="J7419" i="1"/>
  <c r="J7418" i="1"/>
  <c r="J7417" i="1"/>
  <c r="J7416" i="1"/>
  <c r="J7415" i="1"/>
  <c r="J7414" i="1"/>
  <c r="J7413" i="1"/>
  <c r="J7412" i="1"/>
  <c r="J7411" i="1"/>
  <c r="J7410" i="1"/>
  <c r="J7409" i="1"/>
  <c r="J7408" i="1"/>
  <c r="J7407" i="1"/>
  <c r="J7406" i="1"/>
  <c r="J7405" i="1"/>
  <c r="J7404" i="1"/>
  <c r="J7403" i="1"/>
  <c r="J7402" i="1"/>
  <c r="J7401" i="1"/>
  <c r="J7400" i="1"/>
  <c r="J7399" i="1"/>
  <c r="J7398" i="1"/>
  <c r="J7397" i="1"/>
  <c r="J7396" i="1"/>
  <c r="J7395" i="1"/>
  <c r="J7394" i="1"/>
  <c r="J7393" i="1"/>
  <c r="J7392" i="1"/>
  <c r="J7391" i="1"/>
  <c r="J7390" i="1"/>
  <c r="J7389" i="1"/>
  <c r="J7388" i="1"/>
  <c r="J7387" i="1"/>
  <c r="J7386" i="1"/>
  <c r="J7385" i="1"/>
  <c r="J7384" i="1"/>
  <c r="J7383" i="1"/>
  <c r="J7382" i="1"/>
  <c r="J7381" i="1"/>
  <c r="J7380" i="1"/>
  <c r="J7379" i="1"/>
  <c r="J7378" i="1"/>
  <c r="J7377" i="1"/>
  <c r="J7376" i="1"/>
  <c r="J7375" i="1"/>
  <c r="J7374" i="1"/>
  <c r="J7373" i="1"/>
  <c r="J7372" i="1"/>
  <c r="J7371" i="1"/>
  <c r="J7370" i="1"/>
  <c r="J7369" i="1"/>
  <c r="J7368" i="1"/>
  <c r="J7367" i="1"/>
  <c r="J7366" i="1"/>
  <c r="J7365" i="1"/>
  <c r="J7364" i="1"/>
  <c r="J7363" i="1"/>
  <c r="J7362" i="1"/>
  <c r="J7361" i="1"/>
  <c r="J7360" i="1"/>
  <c r="J7359" i="1"/>
  <c r="J7358" i="1"/>
  <c r="J7357" i="1"/>
  <c r="J7356" i="1"/>
  <c r="J7355" i="1"/>
  <c r="J7354" i="1"/>
  <c r="J7353" i="1"/>
  <c r="J7352" i="1"/>
  <c r="J7351" i="1"/>
  <c r="J7350" i="1"/>
  <c r="J7349" i="1"/>
  <c r="J7348" i="1"/>
  <c r="J7347" i="1"/>
  <c r="J7346" i="1"/>
  <c r="J7345" i="1"/>
  <c r="J7344" i="1"/>
  <c r="J7343" i="1"/>
  <c r="J7342" i="1"/>
  <c r="J7341" i="1"/>
  <c r="J7340" i="1"/>
  <c r="J7339" i="1"/>
  <c r="J7338" i="1"/>
  <c r="J7337" i="1"/>
  <c r="J7336" i="1"/>
  <c r="J7335" i="1"/>
  <c r="J7334" i="1"/>
  <c r="J7333" i="1"/>
  <c r="J7332" i="1"/>
  <c r="J7331" i="1"/>
  <c r="J7330" i="1"/>
  <c r="J7329" i="1"/>
  <c r="J7328" i="1"/>
  <c r="J7327" i="1"/>
  <c r="J7326" i="1"/>
  <c r="J7325" i="1"/>
  <c r="J7324" i="1"/>
  <c r="J7323" i="1"/>
  <c r="J7322" i="1"/>
  <c r="J7321" i="1"/>
  <c r="J7320" i="1"/>
  <c r="J7319" i="1"/>
  <c r="J7318" i="1"/>
  <c r="J7317" i="1"/>
  <c r="J7316" i="1"/>
  <c r="J7315" i="1"/>
  <c r="J7314" i="1"/>
  <c r="J7313" i="1"/>
  <c r="J7312" i="1"/>
  <c r="J7311" i="1"/>
  <c r="J7310" i="1"/>
  <c r="J7309" i="1"/>
  <c r="J7308" i="1"/>
  <c r="J7307" i="1"/>
  <c r="J7306" i="1"/>
  <c r="J7305" i="1"/>
  <c r="J7304" i="1"/>
  <c r="J7303" i="1"/>
  <c r="J7302" i="1"/>
  <c r="J7301" i="1"/>
  <c r="J7300" i="1"/>
  <c r="J7299" i="1"/>
  <c r="J7298" i="1"/>
  <c r="J7297" i="1"/>
  <c r="J7296" i="1"/>
  <c r="J7295" i="1"/>
  <c r="J7294" i="1"/>
  <c r="J7293" i="1"/>
  <c r="J7292" i="1"/>
  <c r="J7291" i="1"/>
  <c r="J7290" i="1"/>
  <c r="J7289" i="1"/>
  <c r="J7288" i="1"/>
  <c r="J7287" i="1"/>
  <c r="J7286" i="1"/>
  <c r="J7285" i="1"/>
  <c r="J7284" i="1"/>
  <c r="J7283" i="1"/>
  <c r="J7282" i="1"/>
  <c r="J7281" i="1"/>
  <c r="J7280" i="1"/>
  <c r="J7279" i="1"/>
  <c r="J7278" i="1"/>
  <c r="J7277" i="1"/>
  <c r="J7276" i="1"/>
  <c r="J7275" i="1"/>
  <c r="J7274" i="1"/>
  <c r="J7273" i="1"/>
  <c r="J7272" i="1"/>
  <c r="J7271" i="1"/>
  <c r="J7270" i="1"/>
  <c r="J7269" i="1"/>
  <c r="J7268" i="1"/>
  <c r="J7267" i="1"/>
  <c r="J7266" i="1"/>
  <c r="J7265" i="1"/>
  <c r="J7264" i="1"/>
  <c r="J7263" i="1"/>
  <c r="J7262" i="1"/>
  <c r="J7261" i="1"/>
  <c r="J7260" i="1"/>
  <c r="J7259" i="1"/>
  <c r="J7258" i="1"/>
  <c r="J7257" i="1"/>
  <c r="J7256" i="1"/>
  <c r="J7255" i="1"/>
  <c r="J7254" i="1"/>
  <c r="J7253" i="1"/>
  <c r="J7252" i="1"/>
  <c r="J7251" i="1"/>
  <c r="J7250" i="1"/>
  <c r="J7249" i="1"/>
  <c r="J7248" i="1"/>
  <c r="J7247" i="1"/>
  <c r="J7246" i="1"/>
  <c r="J7245" i="1"/>
  <c r="J7244" i="1"/>
  <c r="J7243" i="1"/>
  <c r="J7242" i="1"/>
  <c r="J7241" i="1"/>
  <c r="J7240" i="1"/>
  <c r="J7239" i="1"/>
  <c r="J7238" i="1"/>
  <c r="J7237" i="1"/>
  <c r="J7236" i="1"/>
  <c r="J7235" i="1"/>
  <c r="J7234" i="1"/>
  <c r="J7233" i="1"/>
  <c r="J7232" i="1"/>
  <c r="J7231" i="1"/>
  <c r="J7230" i="1"/>
  <c r="J7229" i="1"/>
  <c r="J7228" i="1"/>
  <c r="J7227" i="1"/>
  <c r="J7226" i="1"/>
  <c r="J7225" i="1"/>
  <c r="J7224" i="1"/>
  <c r="J7223" i="1"/>
  <c r="J7222" i="1"/>
  <c r="J7221" i="1"/>
  <c r="J7220" i="1"/>
  <c r="J7219" i="1"/>
  <c r="J7218" i="1"/>
  <c r="J7217" i="1"/>
  <c r="J7216" i="1"/>
  <c r="J7215" i="1"/>
  <c r="J7214" i="1"/>
  <c r="J7213" i="1"/>
  <c r="J7212" i="1"/>
  <c r="J7211" i="1"/>
  <c r="J7210" i="1"/>
  <c r="J7209" i="1"/>
  <c r="J7208" i="1"/>
  <c r="J7207" i="1"/>
  <c r="J7206" i="1"/>
  <c r="J7205" i="1"/>
  <c r="J7204" i="1"/>
  <c r="J7203" i="1"/>
  <c r="J7202" i="1"/>
  <c r="J7201" i="1"/>
  <c r="J7200" i="1"/>
  <c r="J7199" i="1"/>
  <c r="J7198" i="1"/>
  <c r="J7197" i="1"/>
  <c r="J7196" i="1"/>
  <c r="J7195" i="1"/>
  <c r="J7194" i="1"/>
  <c r="J7193" i="1"/>
  <c r="J7192" i="1"/>
  <c r="J7191" i="1"/>
  <c r="J7190" i="1"/>
  <c r="J7189" i="1"/>
  <c r="J7188" i="1"/>
  <c r="J7187" i="1"/>
  <c r="J7186" i="1"/>
  <c r="J7185" i="1"/>
  <c r="J7184" i="1"/>
  <c r="J7183" i="1"/>
  <c r="J7182" i="1"/>
  <c r="J7181" i="1"/>
  <c r="J7180" i="1"/>
  <c r="J7179" i="1"/>
  <c r="J7178" i="1"/>
  <c r="J7177" i="1"/>
  <c r="J7176" i="1"/>
  <c r="J7175" i="1"/>
  <c r="J7174" i="1"/>
  <c r="J7173" i="1"/>
  <c r="J7172" i="1"/>
  <c r="J7171" i="1"/>
  <c r="J7170" i="1"/>
  <c r="J7169" i="1"/>
  <c r="J7168" i="1"/>
  <c r="J7167" i="1"/>
  <c r="J7166" i="1"/>
  <c r="J7165" i="1"/>
  <c r="J7164" i="1"/>
  <c r="J7163" i="1"/>
  <c r="J7162" i="1"/>
  <c r="J7161" i="1"/>
  <c r="J7160" i="1"/>
  <c r="J7159" i="1"/>
  <c r="J7158" i="1"/>
  <c r="J7157" i="1"/>
  <c r="J7156" i="1"/>
  <c r="J7155" i="1"/>
  <c r="J7154" i="1"/>
  <c r="J7153" i="1"/>
  <c r="J7152" i="1"/>
  <c r="J7151" i="1"/>
  <c r="J7150" i="1"/>
  <c r="J7149" i="1"/>
  <c r="J7148" i="1"/>
  <c r="J7147" i="1"/>
  <c r="J7146" i="1"/>
  <c r="J7145" i="1"/>
  <c r="J7144" i="1"/>
  <c r="J7143" i="1"/>
  <c r="J7142" i="1"/>
  <c r="J7141" i="1"/>
  <c r="J7140" i="1"/>
  <c r="J7139" i="1"/>
  <c r="J7138" i="1"/>
  <c r="J7137" i="1"/>
  <c r="J7136" i="1"/>
  <c r="J7135" i="1"/>
  <c r="J7134" i="1"/>
  <c r="J7133" i="1"/>
  <c r="J7132" i="1"/>
  <c r="J7131" i="1"/>
  <c r="J7130" i="1"/>
  <c r="J7129" i="1"/>
  <c r="J7128" i="1"/>
  <c r="J7127" i="1"/>
  <c r="J7126" i="1"/>
  <c r="J7125" i="1"/>
  <c r="J7124" i="1"/>
  <c r="J7123" i="1"/>
  <c r="J7122" i="1"/>
  <c r="J7121" i="1"/>
  <c r="J7120" i="1"/>
  <c r="J7119" i="1"/>
  <c r="J7118" i="1"/>
  <c r="J7117" i="1"/>
  <c r="J7116" i="1"/>
  <c r="J7115" i="1"/>
  <c r="J7114" i="1"/>
  <c r="J7113" i="1"/>
  <c r="J7112" i="1"/>
  <c r="J7111" i="1"/>
  <c r="J7110" i="1"/>
  <c r="J7109" i="1"/>
  <c r="J7108" i="1"/>
  <c r="J7107" i="1"/>
  <c r="J7106" i="1"/>
  <c r="J7105" i="1"/>
  <c r="J7104" i="1"/>
  <c r="J7103" i="1"/>
  <c r="J7102" i="1"/>
  <c r="J7101" i="1"/>
  <c r="J7100" i="1"/>
  <c r="J7099" i="1"/>
  <c r="J7098" i="1"/>
  <c r="J7097" i="1"/>
  <c r="J7096" i="1"/>
  <c r="J7095" i="1"/>
  <c r="J7094" i="1"/>
  <c r="J7093" i="1"/>
  <c r="J7092" i="1"/>
  <c r="J7091" i="1"/>
  <c r="J7090" i="1"/>
  <c r="J7089" i="1"/>
  <c r="J7088" i="1"/>
  <c r="J7087" i="1"/>
  <c r="J7086" i="1"/>
  <c r="J7085" i="1"/>
  <c r="J7084" i="1"/>
  <c r="J7083" i="1"/>
  <c r="J7082" i="1"/>
  <c r="J7081" i="1"/>
  <c r="J7080" i="1"/>
  <c r="J7079" i="1"/>
  <c r="J7078" i="1"/>
  <c r="J7077" i="1"/>
  <c r="J7076" i="1"/>
  <c r="J7075" i="1"/>
  <c r="J7074" i="1"/>
  <c r="J7073" i="1"/>
  <c r="J7072" i="1"/>
  <c r="J7071" i="1"/>
  <c r="J7070" i="1"/>
  <c r="J7069" i="1"/>
  <c r="J7068" i="1"/>
  <c r="J7067" i="1"/>
  <c r="J7066" i="1"/>
  <c r="J7065" i="1"/>
  <c r="J7064" i="1"/>
  <c r="J7063" i="1"/>
  <c r="J7062" i="1"/>
  <c r="J7061" i="1"/>
  <c r="J7060" i="1"/>
  <c r="J7059" i="1"/>
  <c r="J7058" i="1"/>
  <c r="J7057" i="1"/>
  <c r="J7056" i="1"/>
  <c r="J7055" i="1"/>
  <c r="J7054" i="1"/>
  <c r="J7053" i="1"/>
  <c r="J7052" i="1"/>
  <c r="J7051" i="1"/>
  <c r="J7050" i="1"/>
  <c r="J7049" i="1"/>
  <c r="J7048" i="1"/>
  <c r="J7047" i="1"/>
  <c r="J7046" i="1"/>
  <c r="J7045" i="1"/>
  <c r="J7044" i="1"/>
  <c r="J7043" i="1"/>
  <c r="J7042" i="1"/>
  <c r="J7041" i="1"/>
  <c r="J7040" i="1"/>
  <c r="J7039" i="1"/>
  <c r="J7038" i="1"/>
  <c r="J7037" i="1"/>
  <c r="J7036" i="1"/>
  <c r="J7035" i="1"/>
  <c r="J7034" i="1"/>
  <c r="J7033" i="1"/>
  <c r="J7032" i="1"/>
  <c r="J7031" i="1"/>
  <c r="J7030" i="1"/>
  <c r="J7029" i="1"/>
  <c r="J7028" i="1"/>
  <c r="J7027" i="1"/>
  <c r="J7026" i="1"/>
  <c r="J7025" i="1"/>
  <c r="J7024" i="1"/>
  <c r="J7023" i="1"/>
  <c r="J7022" i="1"/>
  <c r="J7021" i="1"/>
  <c r="J7020" i="1"/>
  <c r="J7019" i="1"/>
  <c r="J7018" i="1"/>
  <c r="J7017" i="1"/>
  <c r="J7016" i="1"/>
  <c r="J7015" i="1"/>
  <c r="J7014" i="1"/>
  <c r="J7013" i="1"/>
  <c r="J7012" i="1"/>
  <c r="J7011" i="1"/>
  <c r="J7010" i="1"/>
  <c r="J7009" i="1"/>
  <c r="J7008" i="1"/>
  <c r="J7007" i="1"/>
  <c r="J7006" i="1"/>
  <c r="J7005" i="1"/>
  <c r="J7004" i="1"/>
  <c r="J7003" i="1"/>
  <c r="J7002" i="1"/>
  <c r="J7001" i="1"/>
  <c r="J7000" i="1"/>
  <c r="J6999" i="1"/>
  <c r="J6998" i="1"/>
  <c r="J6997" i="1"/>
  <c r="J6996" i="1"/>
  <c r="J6995" i="1"/>
  <c r="J6994" i="1"/>
  <c r="J6993" i="1"/>
  <c r="J6992" i="1"/>
  <c r="J6991" i="1"/>
  <c r="J6990" i="1"/>
  <c r="J6989" i="1"/>
  <c r="J6988" i="1"/>
  <c r="J6987" i="1"/>
  <c r="J6986" i="1"/>
  <c r="J6985" i="1"/>
  <c r="J6984" i="1"/>
  <c r="J6983" i="1"/>
  <c r="J6982" i="1"/>
  <c r="J6981" i="1"/>
  <c r="J6980" i="1"/>
  <c r="J6979" i="1"/>
  <c r="J6978" i="1"/>
  <c r="J6977" i="1"/>
  <c r="J6976" i="1"/>
  <c r="J6975" i="1"/>
  <c r="J6974" i="1"/>
  <c r="J6973" i="1"/>
  <c r="J6972" i="1"/>
  <c r="J6971" i="1"/>
  <c r="J6970" i="1"/>
  <c r="J6969" i="1"/>
  <c r="J6968" i="1"/>
  <c r="J6967" i="1"/>
  <c r="J6966" i="1"/>
  <c r="J6965" i="1"/>
  <c r="J6964" i="1"/>
  <c r="J6963" i="1"/>
  <c r="J6962" i="1"/>
  <c r="J6961" i="1"/>
  <c r="J6960" i="1"/>
  <c r="J6959" i="1"/>
  <c r="J6958" i="1"/>
  <c r="J6957" i="1"/>
  <c r="J6956" i="1"/>
  <c r="J6955" i="1"/>
  <c r="J6954" i="1"/>
  <c r="J6953" i="1"/>
  <c r="J6952" i="1"/>
  <c r="J6951" i="1"/>
  <c r="J6950" i="1"/>
  <c r="J6949" i="1"/>
  <c r="J6948" i="1"/>
  <c r="J6947" i="1"/>
  <c r="J6946" i="1"/>
  <c r="J6945" i="1"/>
  <c r="J6944" i="1"/>
  <c r="J6943" i="1"/>
  <c r="J6942" i="1"/>
  <c r="J6941" i="1"/>
  <c r="J6940" i="1"/>
  <c r="J6939" i="1"/>
  <c r="J6938" i="1"/>
  <c r="J6937" i="1"/>
  <c r="J6936" i="1"/>
  <c r="J6935" i="1"/>
  <c r="J6934" i="1"/>
  <c r="J6933" i="1"/>
  <c r="J6932" i="1"/>
  <c r="J6931" i="1"/>
  <c r="J6930" i="1"/>
  <c r="J6929" i="1"/>
  <c r="J6928" i="1"/>
  <c r="J6927" i="1"/>
  <c r="J6926" i="1"/>
  <c r="J6925" i="1"/>
  <c r="J6924" i="1"/>
  <c r="J6923" i="1"/>
  <c r="J6922" i="1"/>
  <c r="J6921" i="1"/>
  <c r="J6920" i="1"/>
  <c r="J6919" i="1"/>
  <c r="J6918" i="1"/>
  <c r="J6917" i="1"/>
  <c r="J6916" i="1"/>
  <c r="J6915" i="1"/>
  <c r="J6914" i="1"/>
  <c r="J6913" i="1"/>
  <c r="J6912" i="1"/>
  <c r="J6911" i="1"/>
  <c r="J6910" i="1"/>
  <c r="J6909" i="1"/>
  <c r="J6908" i="1"/>
  <c r="J6907" i="1"/>
  <c r="J6906" i="1"/>
  <c r="J6905" i="1"/>
  <c r="J6904" i="1"/>
  <c r="J6903" i="1"/>
  <c r="J6902" i="1"/>
  <c r="J6901" i="1"/>
  <c r="J6900" i="1"/>
  <c r="J6899" i="1"/>
  <c r="J6898" i="1"/>
  <c r="J6897" i="1"/>
  <c r="J6896" i="1"/>
  <c r="J6895" i="1"/>
  <c r="J6894" i="1"/>
  <c r="J6893" i="1"/>
  <c r="J6892" i="1"/>
  <c r="J6891" i="1"/>
  <c r="J6890" i="1"/>
  <c r="J6889" i="1"/>
  <c r="J6888" i="1"/>
  <c r="J6887" i="1"/>
  <c r="J6886" i="1"/>
  <c r="J6885" i="1"/>
  <c r="J6884" i="1"/>
  <c r="J6883" i="1"/>
  <c r="J6882" i="1"/>
  <c r="J6881" i="1"/>
  <c r="J6880" i="1"/>
  <c r="J6879" i="1"/>
  <c r="J6878" i="1"/>
  <c r="J6877" i="1"/>
  <c r="J6876" i="1"/>
  <c r="J6875" i="1"/>
  <c r="J6874" i="1"/>
  <c r="J6873" i="1"/>
  <c r="J6872" i="1"/>
  <c r="J6871" i="1"/>
  <c r="J6870" i="1"/>
  <c r="J6869" i="1"/>
  <c r="J6868" i="1"/>
  <c r="J6867" i="1"/>
  <c r="J6866" i="1"/>
  <c r="J6865" i="1"/>
  <c r="J6864" i="1"/>
  <c r="J6863" i="1"/>
  <c r="J6862" i="1"/>
  <c r="J6861" i="1"/>
  <c r="J6860" i="1"/>
  <c r="J6859" i="1"/>
  <c r="J6858" i="1"/>
  <c r="J6857" i="1"/>
  <c r="J6856" i="1"/>
  <c r="J6855" i="1"/>
  <c r="J6854" i="1"/>
  <c r="J6853" i="1"/>
  <c r="J6852" i="1"/>
  <c r="J6851" i="1"/>
  <c r="J6850" i="1"/>
  <c r="J6849" i="1"/>
  <c r="J6848" i="1"/>
  <c r="J6847" i="1"/>
  <c r="J6846" i="1"/>
  <c r="J6845" i="1"/>
  <c r="J6844" i="1"/>
  <c r="J6843" i="1"/>
  <c r="J6842" i="1"/>
  <c r="J6841" i="1"/>
  <c r="J6840" i="1"/>
  <c r="J6839" i="1"/>
  <c r="J6838" i="1"/>
  <c r="J6837" i="1"/>
  <c r="J6836" i="1"/>
  <c r="J6835" i="1"/>
  <c r="J6834" i="1"/>
  <c r="J6833" i="1"/>
  <c r="J6832" i="1"/>
  <c r="J6831" i="1"/>
  <c r="J6830" i="1"/>
  <c r="J6829" i="1"/>
  <c r="J6828" i="1"/>
  <c r="J6827" i="1"/>
  <c r="J6826" i="1"/>
  <c r="J6825" i="1"/>
  <c r="J6824" i="1"/>
  <c r="J6823" i="1"/>
  <c r="J6822" i="1"/>
  <c r="J6821" i="1"/>
  <c r="J6820" i="1"/>
  <c r="J6819" i="1"/>
  <c r="J6818" i="1"/>
  <c r="J6817" i="1"/>
  <c r="J6816" i="1"/>
  <c r="J6815" i="1"/>
  <c r="J6814" i="1"/>
  <c r="J6813" i="1"/>
  <c r="J6812" i="1"/>
  <c r="J6811" i="1"/>
  <c r="J6810" i="1"/>
  <c r="J6809" i="1"/>
  <c r="J6808" i="1"/>
  <c r="J6807" i="1"/>
  <c r="J6806" i="1"/>
  <c r="J6805" i="1"/>
  <c r="J6804" i="1"/>
  <c r="J6803" i="1"/>
  <c r="J6802" i="1"/>
  <c r="J6801" i="1"/>
  <c r="J6800" i="1"/>
  <c r="J6799" i="1"/>
  <c r="J6798" i="1"/>
  <c r="J6797" i="1"/>
  <c r="J6796" i="1"/>
  <c r="J6795" i="1"/>
  <c r="J6794" i="1"/>
  <c r="J6793" i="1"/>
  <c r="J6792" i="1"/>
  <c r="J6791" i="1"/>
  <c r="J6790" i="1"/>
  <c r="J6789" i="1"/>
  <c r="J6788" i="1"/>
  <c r="J6787" i="1"/>
  <c r="J6786" i="1"/>
  <c r="J6785" i="1"/>
  <c r="J6784" i="1"/>
  <c r="J6783" i="1"/>
  <c r="J6782" i="1"/>
  <c r="J6781" i="1"/>
  <c r="J6780" i="1"/>
  <c r="J6779" i="1"/>
  <c r="J6778" i="1"/>
  <c r="J6777" i="1"/>
  <c r="J6776" i="1"/>
  <c r="J6775" i="1"/>
  <c r="J6774" i="1"/>
  <c r="J6773" i="1"/>
  <c r="J6772" i="1"/>
  <c r="J6771" i="1"/>
  <c r="J6770" i="1"/>
  <c r="J6769" i="1"/>
  <c r="J6768" i="1"/>
  <c r="J6767" i="1"/>
  <c r="J6766" i="1"/>
  <c r="J6765" i="1"/>
  <c r="J6764" i="1"/>
  <c r="J6763" i="1"/>
  <c r="J6762" i="1"/>
  <c r="J6761" i="1"/>
  <c r="J6760" i="1"/>
  <c r="J6759" i="1"/>
  <c r="J6758" i="1"/>
  <c r="J6757" i="1"/>
  <c r="J6756" i="1"/>
  <c r="J6755" i="1"/>
  <c r="J6754" i="1"/>
  <c r="J6753" i="1"/>
  <c r="J6752" i="1"/>
  <c r="J6751" i="1"/>
  <c r="J6750" i="1"/>
  <c r="J6749" i="1"/>
  <c r="J6748" i="1"/>
  <c r="J6747" i="1"/>
  <c r="J6746" i="1"/>
  <c r="J6745" i="1"/>
  <c r="J6744" i="1"/>
  <c r="J6743" i="1"/>
  <c r="J6742" i="1"/>
  <c r="J6741" i="1"/>
  <c r="J6740" i="1"/>
  <c r="J6739" i="1"/>
  <c r="J6738" i="1"/>
  <c r="J6737" i="1"/>
  <c r="J6736" i="1"/>
  <c r="J6735" i="1"/>
  <c r="J6734" i="1"/>
  <c r="J6733" i="1"/>
  <c r="J6732" i="1"/>
  <c r="J6731" i="1"/>
  <c r="J6730" i="1"/>
  <c r="J6729" i="1"/>
  <c r="J6728" i="1"/>
  <c r="J6727" i="1"/>
  <c r="J6726" i="1"/>
  <c r="J6725" i="1"/>
  <c r="J6724" i="1"/>
  <c r="J6723" i="1"/>
  <c r="J6722" i="1"/>
  <c r="J6721" i="1"/>
  <c r="J6720" i="1"/>
  <c r="J6719" i="1"/>
  <c r="J6718" i="1"/>
  <c r="J6717" i="1"/>
  <c r="J6716" i="1"/>
  <c r="J6715" i="1"/>
  <c r="J6714" i="1"/>
  <c r="J6713" i="1"/>
  <c r="J6712" i="1"/>
  <c r="J6711" i="1"/>
  <c r="J6710" i="1"/>
  <c r="J6709" i="1"/>
  <c r="J6708" i="1"/>
  <c r="J6707" i="1"/>
  <c r="J6706" i="1"/>
  <c r="J6705" i="1"/>
  <c r="J6704" i="1"/>
  <c r="J6703" i="1"/>
  <c r="J6702" i="1"/>
  <c r="J6701" i="1"/>
  <c r="J6700" i="1"/>
  <c r="J6699" i="1"/>
  <c r="J6698" i="1"/>
  <c r="J6697" i="1"/>
  <c r="J6696" i="1"/>
  <c r="J6695" i="1"/>
  <c r="J6694" i="1"/>
  <c r="J6693" i="1"/>
  <c r="J6692" i="1"/>
  <c r="J6691" i="1"/>
  <c r="J6690" i="1"/>
  <c r="J6689" i="1"/>
  <c r="J6688" i="1"/>
  <c r="J6687" i="1"/>
  <c r="J6686" i="1"/>
  <c r="J6685" i="1"/>
  <c r="J6684" i="1"/>
  <c r="J6683" i="1"/>
  <c r="J6682" i="1"/>
  <c r="J6681" i="1"/>
  <c r="J6680" i="1"/>
  <c r="J6679" i="1"/>
  <c r="J6678" i="1"/>
  <c r="J6677" i="1"/>
  <c r="J6676" i="1"/>
  <c r="J6675" i="1"/>
  <c r="J6674" i="1"/>
  <c r="J6673" i="1"/>
  <c r="J6672" i="1"/>
  <c r="J6671" i="1"/>
  <c r="J6670" i="1"/>
  <c r="J6669" i="1"/>
  <c r="J6668" i="1"/>
  <c r="J6667" i="1"/>
  <c r="J6666" i="1"/>
  <c r="J6665" i="1"/>
  <c r="J6664" i="1"/>
  <c r="J6663" i="1"/>
  <c r="J6662" i="1"/>
  <c r="J6661" i="1"/>
  <c r="J6660" i="1"/>
  <c r="J6659" i="1"/>
  <c r="J6658" i="1"/>
  <c r="J6657" i="1"/>
  <c r="J6656" i="1"/>
  <c r="J6655" i="1"/>
  <c r="J6654" i="1"/>
  <c r="J6653" i="1"/>
  <c r="J6652" i="1"/>
  <c r="J6651" i="1"/>
  <c r="J6650" i="1"/>
  <c r="J6649" i="1"/>
  <c r="J6648" i="1"/>
  <c r="J6647" i="1"/>
  <c r="J6646" i="1"/>
  <c r="J6645" i="1"/>
  <c r="J6644" i="1"/>
  <c r="J6643" i="1"/>
  <c r="J6642" i="1"/>
  <c r="J6641" i="1"/>
  <c r="J6640" i="1"/>
  <c r="J6639" i="1"/>
  <c r="J6638" i="1"/>
  <c r="J6637" i="1"/>
  <c r="J6636" i="1"/>
  <c r="J6635" i="1"/>
  <c r="J6634" i="1"/>
  <c r="J6633" i="1"/>
  <c r="J6632" i="1"/>
  <c r="J6631" i="1"/>
  <c r="J6630" i="1"/>
  <c r="J6629" i="1"/>
  <c r="J6628" i="1"/>
  <c r="J6627" i="1"/>
  <c r="J6626" i="1"/>
  <c r="J6625" i="1"/>
  <c r="J6624" i="1"/>
  <c r="J6623" i="1"/>
  <c r="J6622" i="1"/>
  <c r="J6621" i="1"/>
  <c r="J6620" i="1"/>
  <c r="J6619" i="1"/>
  <c r="J6618" i="1"/>
  <c r="J6617" i="1"/>
  <c r="J6616" i="1"/>
  <c r="J6615" i="1"/>
  <c r="J6614" i="1"/>
  <c r="J6613" i="1"/>
  <c r="J6612" i="1"/>
  <c r="J6611" i="1"/>
  <c r="J6610" i="1"/>
  <c r="J6609" i="1"/>
  <c r="J6608" i="1"/>
  <c r="J6607" i="1"/>
  <c r="J6606" i="1"/>
  <c r="J6605" i="1"/>
  <c r="J6604" i="1"/>
  <c r="J6603" i="1"/>
  <c r="J6602" i="1"/>
  <c r="J6601" i="1"/>
  <c r="J6600" i="1"/>
  <c r="J6599" i="1"/>
  <c r="J6598" i="1"/>
  <c r="J6597" i="1"/>
  <c r="J6596" i="1"/>
  <c r="J6595" i="1"/>
  <c r="J6594" i="1"/>
  <c r="J6593" i="1"/>
  <c r="J6592" i="1"/>
  <c r="J6591" i="1"/>
  <c r="J6590" i="1"/>
  <c r="J6589" i="1"/>
  <c r="J6588" i="1"/>
  <c r="J6587" i="1"/>
  <c r="J6586" i="1"/>
  <c r="J6585" i="1"/>
  <c r="J6584" i="1"/>
  <c r="J6583" i="1"/>
  <c r="J6582" i="1"/>
  <c r="J6581" i="1"/>
  <c r="J6580" i="1"/>
  <c r="J6579" i="1"/>
  <c r="J6578" i="1"/>
  <c r="J6577" i="1"/>
  <c r="J6576" i="1"/>
  <c r="J6575" i="1"/>
  <c r="J6574" i="1"/>
  <c r="J6573" i="1"/>
  <c r="J6572" i="1"/>
  <c r="J6571" i="1"/>
  <c r="J6570" i="1"/>
  <c r="J6569" i="1"/>
  <c r="J6568" i="1"/>
  <c r="J6567" i="1"/>
  <c r="J6566" i="1"/>
  <c r="J6565" i="1"/>
  <c r="J6564" i="1"/>
  <c r="J6563" i="1"/>
  <c r="J6562" i="1"/>
  <c r="J6561" i="1"/>
  <c r="J6560" i="1"/>
  <c r="J6559" i="1"/>
  <c r="J6558" i="1"/>
  <c r="J6557" i="1"/>
  <c r="J6556" i="1"/>
  <c r="J6555" i="1"/>
  <c r="J6554" i="1"/>
  <c r="J6553" i="1"/>
  <c r="J6552" i="1"/>
  <c r="J6551" i="1"/>
  <c r="J6550" i="1"/>
  <c r="J6549" i="1"/>
  <c r="J6548" i="1"/>
  <c r="J6547" i="1"/>
  <c r="J6546" i="1"/>
  <c r="J6545" i="1"/>
  <c r="J6544" i="1"/>
  <c r="J6543" i="1"/>
  <c r="J6542" i="1"/>
  <c r="J6541" i="1"/>
  <c r="J6540" i="1"/>
  <c r="J6539" i="1"/>
  <c r="J6538" i="1"/>
  <c r="J6537" i="1"/>
  <c r="J6536" i="1"/>
  <c r="J6535" i="1"/>
  <c r="J6534" i="1"/>
  <c r="J6533" i="1"/>
  <c r="J6532" i="1"/>
  <c r="J6531" i="1"/>
  <c r="J6530" i="1"/>
  <c r="J6529" i="1"/>
  <c r="J6528" i="1"/>
  <c r="J6527" i="1"/>
  <c r="J6526" i="1"/>
  <c r="J6525" i="1"/>
  <c r="J6524" i="1"/>
  <c r="J6523" i="1"/>
  <c r="J6522" i="1"/>
  <c r="J6521" i="1"/>
  <c r="J6520" i="1"/>
  <c r="J6519" i="1"/>
  <c r="J6518" i="1"/>
  <c r="J6517" i="1"/>
  <c r="J6516" i="1"/>
  <c r="J6515" i="1"/>
  <c r="J6514" i="1"/>
  <c r="J6513" i="1"/>
  <c r="J6512" i="1"/>
  <c r="J6511" i="1"/>
  <c r="J6510" i="1"/>
  <c r="J6509" i="1"/>
  <c r="J6508" i="1"/>
  <c r="J6507" i="1"/>
  <c r="J6506" i="1"/>
  <c r="J6505" i="1"/>
  <c r="J6504" i="1"/>
  <c r="J6503" i="1"/>
  <c r="J6502" i="1"/>
  <c r="J6501" i="1"/>
  <c r="J6500" i="1"/>
  <c r="J6499" i="1"/>
  <c r="J6498" i="1"/>
  <c r="J6497" i="1"/>
  <c r="J6496" i="1"/>
  <c r="J6495" i="1"/>
  <c r="J6494" i="1"/>
  <c r="J6493" i="1"/>
  <c r="J6492" i="1"/>
  <c r="J6491" i="1"/>
  <c r="J6490" i="1"/>
  <c r="J6489" i="1"/>
  <c r="J6488" i="1"/>
  <c r="J6487" i="1"/>
  <c r="J6486" i="1"/>
  <c r="J6485" i="1"/>
  <c r="J6484" i="1"/>
  <c r="J6483" i="1"/>
  <c r="J6482" i="1"/>
  <c r="J6481" i="1"/>
  <c r="J6480" i="1"/>
  <c r="J6479" i="1"/>
  <c r="J6478" i="1"/>
  <c r="J6477" i="1"/>
  <c r="J6476" i="1"/>
  <c r="J6475" i="1"/>
  <c r="J6474" i="1"/>
  <c r="J6473" i="1"/>
  <c r="J6472" i="1"/>
  <c r="J6471" i="1"/>
  <c r="J6470" i="1"/>
  <c r="J6469" i="1"/>
  <c r="J6468" i="1"/>
  <c r="J6467" i="1"/>
  <c r="J6466" i="1"/>
  <c r="J6465" i="1"/>
  <c r="J6464" i="1"/>
  <c r="J6463" i="1"/>
  <c r="J6462" i="1"/>
  <c r="J6461" i="1"/>
  <c r="J6460" i="1"/>
  <c r="J6459" i="1"/>
  <c r="J6458" i="1"/>
  <c r="J6457" i="1"/>
  <c r="J6456" i="1"/>
  <c r="J6455" i="1"/>
  <c r="J6454" i="1"/>
  <c r="J6453" i="1"/>
  <c r="J6452" i="1"/>
  <c r="J6451" i="1"/>
  <c r="J6450" i="1"/>
  <c r="J6449" i="1"/>
  <c r="J6448" i="1"/>
  <c r="J6447" i="1"/>
  <c r="J6446" i="1"/>
  <c r="J6445" i="1"/>
  <c r="J6444" i="1"/>
  <c r="J6443" i="1"/>
  <c r="J6442" i="1"/>
  <c r="J6441" i="1"/>
  <c r="J6440" i="1"/>
  <c r="J6439" i="1"/>
  <c r="J6438" i="1"/>
  <c r="J6437" i="1"/>
  <c r="J6436" i="1"/>
  <c r="J6435" i="1"/>
  <c r="J6434" i="1"/>
  <c r="J6433" i="1"/>
  <c r="J6432" i="1"/>
  <c r="J6431" i="1"/>
  <c r="J6430" i="1"/>
  <c r="J6429" i="1"/>
  <c r="J6428" i="1"/>
  <c r="J6427" i="1"/>
  <c r="J6426" i="1"/>
  <c r="J6425" i="1"/>
  <c r="J6424" i="1"/>
  <c r="J6423" i="1"/>
  <c r="J6422" i="1"/>
  <c r="J6421" i="1"/>
  <c r="J6420" i="1"/>
  <c r="J6419" i="1"/>
  <c r="J6418" i="1"/>
  <c r="J6417" i="1"/>
  <c r="J6416" i="1"/>
  <c r="J6415" i="1"/>
  <c r="J6414" i="1"/>
  <c r="J6413" i="1"/>
  <c r="J6412" i="1"/>
  <c r="J6411" i="1"/>
  <c r="J6410" i="1"/>
  <c r="J6409" i="1"/>
  <c r="J6408" i="1"/>
  <c r="J6407" i="1"/>
  <c r="J6406" i="1"/>
  <c r="J6405" i="1"/>
  <c r="J6404" i="1"/>
  <c r="J6403" i="1"/>
  <c r="J6402" i="1"/>
  <c r="J6401" i="1"/>
  <c r="J6400" i="1"/>
  <c r="J6399" i="1"/>
  <c r="J6398" i="1"/>
  <c r="J6397" i="1"/>
  <c r="J6396" i="1"/>
  <c r="J6395" i="1"/>
  <c r="J6394" i="1"/>
  <c r="J6393" i="1"/>
  <c r="J6392" i="1"/>
  <c r="J6391" i="1"/>
  <c r="J6390" i="1"/>
  <c r="J6389" i="1"/>
  <c r="J6388" i="1"/>
  <c r="J6387" i="1"/>
  <c r="J6386" i="1"/>
  <c r="J6385" i="1"/>
  <c r="J6384" i="1"/>
  <c r="J6383" i="1"/>
  <c r="J6382" i="1"/>
  <c r="J6381" i="1"/>
  <c r="J6380" i="1"/>
  <c r="J6379" i="1"/>
  <c r="J6378" i="1"/>
  <c r="J6377" i="1"/>
  <c r="J6376" i="1"/>
  <c r="J6375" i="1"/>
  <c r="J6374" i="1"/>
  <c r="J6373" i="1"/>
  <c r="J6372" i="1"/>
  <c r="J6371" i="1"/>
  <c r="J6370" i="1"/>
  <c r="J6369" i="1"/>
  <c r="J6368" i="1"/>
  <c r="J6367" i="1"/>
  <c r="J6366" i="1"/>
  <c r="J6365" i="1"/>
  <c r="J6364" i="1"/>
  <c r="J6363" i="1"/>
  <c r="J6362" i="1"/>
  <c r="J6361" i="1"/>
  <c r="J6360" i="1"/>
  <c r="J6359" i="1"/>
  <c r="J6358" i="1"/>
  <c r="J6357" i="1"/>
  <c r="J6356" i="1"/>
  <c r="J6355" i="1"/>
  <c r="J6354" i="1"/>
  <c r="J6353" i="1"/>
  <c r="J6352" i="1"/>
  <c r="J6351" i="1"/>
  <c r="J6350" i="1"/>
  <c r="J6349" i="1"/>
  <c r="J6348" i="1"/>
  <c r="J6347" i="1"/>
  <c r="J6346" i="1"/>
  <c r="J6345" i="1"/>
  <c r="J6344" i="1"/>
  <c r="J6343" i="1"/>
  <c r="J6342" i="1"/>
  <c r="J6341" i="1"/>
  <c r="J6340" i="1"/>
  <c r="J6339" i="1"/>
  <c r="J6338" i="1"/>
  <c r="J6337" i="1"/>
  <c r="J6336" i="1"/>
  <c r="J6335" i="1"/>
  <c r="J6334" i="1"/>
  <c r="J6333" i="1"/>
  <c r="J6332" i="1"/>
  <c r="J6331" i="1"/>
  <c r="J6330" i="1"/>
  <c r="J6329" i="1"/>
  <c r="J6328" i="1"/>
  <c r="J6327" i="1"/>
  <c r="J6326" i="1"/>
  <c r="J6325" i="1"/>
  <c r="J6324" i="1"/>
  <c r="J6323" i="1"/>
  <c r="J6322" i="1"/>
  <c r="J6321" i="1"/>
  <c r="J6320" i="1"/>
  <c r="J6319" i="1"/>
  <c r="J6318" i="1"/>
  <c r="J6317" i="1"/>
  <c r="J6316" i="1"/>
  <c r="J6315" i="1"/>
  <c r="J6314" i="1"/>
  <c r="J6313" i="1"/>
  <c r="J6312" i="1"/>
  <c r="J6311" i="1"/>
  <c r="J6310" i="1"/>
  <c r="J6309" i="1"/>
  <c r="J6308" i="1"/>
  <c r="J6307" i="1"/>
  <c r="J6306" i="1"/>
  <c r="J6305" i="1"/>
  <c r="J6304" i="1"/>
  <c r="J6303" i="1"/>
  <c r="J6302" i="1"/>
  <c r="J6301" i="1"/>
  <c r="J6300" i="1"/>
  <c r="J6299" i="1"/>
  <c r="J6298" i="1"/>
  <c r="J6297" i="1"/>
  <c r="J6296" i="1"/>
  <c r="J6295" i="1"/>
  <c r="J6294" i="1"/>
  <c r="J6293" i="1"/>
  <c r="J6292" i="1"/>
  <c r="J6291" i="1"/>
  <c r="J6290" i="1"/>
  <c r="J6289" i="1"/>
  <c r="J6288" i="1"/>
  <c r="J6287" i="1"/>
  <c r="J6286" i="1"/>
  <c r="J6285" i="1"/>
  <c r="J6284" i="1"/>
  <c r="J6283" i="1"/>
  <c r="J6282" i="1"/>
  <c r="J6281" i="1"/>
  <c r="J6280" i="1"/>
  <c r="J6279" i="1"/>
  <c r="J6278" i="1"/>
  <c r="J6277" i="1"/>
  <c r="J6276" i="1"/>
  <c r="J6275" i="1"/>
  <c r="J6274" i="1"/>
  <c r="J6273" i="1"/>
  <c r="J6272" i="1"/>
  <c r="J6271" i="1"/>
  <c r="J6270" i="1"/>
  <c r="J6269" i="1"/>
  <c r="J6268" i="1"/>
  <c r="J6267" i="1"/>
  <c r="J6266" i="1"/>
  <c r="J6265" i="1"/>
  <c r="J6264" i="1"/>
  <c r="J6263" i="1"/>
  <c r="J6262" i="1"/>
  <c r="J6261" i="1"/>
  <c r="J6260" i="1"/>
  <c r="J6259" i="1"/>
  <c r="J6258" i="1"/>
  <c r="J6257" i="1"/>
  <c r="J6256" i="1"/>
  <c r="J6255" i="1"/>
  <c r="J6254" i="1"/>
  <c r="J6253" i="1"/>
  <c r="J6252" i="1"/>
  <c r="J6251" i="1"/>
  <c r="J6250" i="1"/>
  <c r="J6249" i="1"/>
  <c r="J6248" i="1"/>
  <c r="J6247" i="1"/>
  <c r="J6246" i="1"/>
  <c r="J6245" i="1"/>
  <c r="J6244" i="1"/>
  <c r="J6243" i="1"/>
  <c r="J6242" i="1"/>
  <c r="J6241" i="1"/>
  <c r="J6240" i="1"/>
  <c r="J6239" i="1"/>
  <c r="J6238" i="1"/>
  <c r="J6237" i="1"/>
  <c r="J6236" i="1"/>
  <c r="J6235" i="1"/>
  <c r="J6234" i="1"/>
  <c r="J6233" i="1"/>
  <c r="J6232" i="1"/>
  <c r="J6231" i="1"/>
  <c r="J6230" i="1"/>
  <c r="J6229" i="1"/>
  <c r="J6228" i="1"/>
  <c r="J6227" i="1"/>
  <c r="J6226" i="1"/>
  <c r="J6225" i="1"/>
  <c r="J6224" i="1"/>
  <c r="J6223" i="1"/>
  <c r="J6222" i="1"/>
  <c r="J6221" i="1"/>
  <c r="J6220" i="1"/>
  <c r="J6219" i="1"/>
  <c r="J6218" i="1"/>
  <c r="J6217" i="1"/>
  <c r="J6216" i="1"/>
  <c r="J6215" i="1"/>
  <c r="J6214" i="1"/>
  <c r="J6213" i="1"/>
  <c r="J6212" i="1"/>
  <c r="J6211" i="1"/>
  <c r="J6210" i="1"/>
  <c r="J6209" i="1"/>
  <c r="J6208" i="1"/>
  <c r="J6207" i="1"/>
  <c r="J6206" i="1"/>
  <c r="J6205" i="1"/>
  <c r="J6204" i="1"/>
  <c r="J6203" i="1"/>
  <c r="J6202" i="1"/>
  <c r="J6201" i="1"/>
  <c r="J6200" i="1"/>
  <c r="J6199" i="1"/>
  <c r="J6198" i="1"/>
  <c r="J6197" i="1"/>
  <c r="J6196" i="1"/>
  <c r="J6195" i="1"/>
  <c r="J6194" i="1"/>
  <c r="J6193" i="1"/>
  <c r="J6192" i="1"/>
  <c r="J6191" i="1"/>
  <c r="J6190" i="1"/>
  <c r="J6189" i="1"/>
  <c r="J6188" i="1"/>
  <c r="J6187" i="1"/>
  <c r="J6186" i="1"/>
  <c r="J6185" i="1"/>
  <c r="J6184" i="1"/>
  <c r="J6183" i="1"/>
  <c r="J6182" i="1"/>
  <c r="J6181" i="1"/>
  <c r="J6180" i="1"/>
  <c r="J6179" i="1"/>
  <c r="J6178" i="1"/>
  <c r="J6177" i="1"/>
  <c r="J6176" i="1"/>
  <c r="J6175" i="1"/>
  <c r="J6174" i="1"/>
  <c r="J6173" i="1"/>
  <c r="J6172" i="1"/>
  <c r="J6171" i="1"/>
  <c r="J6170" i="1"/>
  <c r="J6169" i="1"/>
  <c r="J6168" i="1"/>
  <c r="J6167" i="1"/>
  <c r="J6166" i="1"/>
  <c r="J6165" i="1"/>
  <c r="J6164" i="1"/>
  <c r="J6163" i="1"/>
  <c r="J6162" i="1"/>
  <c r="J6161" i="1"/>
  <c r="J6160" i="1"/>
  <c r="J6159" i="1"/>
  <c r="J6158" i="1"/>
  <c r="J6157" i="1"/>
  <c r="J6156" i="1"/>
  <c r="J6155" i="1"/>
  <c r="J6154" i="1"/>
  <c r="J6153" i="1"/>
  <c r="J6152" i="1"/>
  <c r="J6151" i="1"/>
  <c r="J6150" i="1"/>
  <c r="J6149" i="1"/>
  <c r="J6148" i="1"/>
  <c r="J6147" i="1"/>
  <c r="J6146" i="1"/>
  <c r="J6145" i="1"/>
  <c r="J6144" i="1"/>
  <c r="J6143" i="1"/>
  <c r="J6142" i="1"/>
  <c r="J6141" i="1"/>
  <c r="J6140" i="1"/>
  <c r="J6139" i="1"/>
  <c r="J6138" i="1"/>
  <c r="J6137" i="1"/>
  <c r="J6136" i="1"/>
  <c r="J6135" i="1"/>
  <c r="J6134" i="1"/>
  <c r="J6133" i="1"/>
  <c r="J6132" i="1"/>
  <c r="J6131" i="1"/>
  <c r="J6130" i="1"/>
  <c r="J6129" i="1"/>
  <c r="J6128" i="1"/>
  <c r="J6127" i="1"/>
  <c r="J6126" i="1"/>
  <c r="J6125" i="1"/>
  <c r="J6124" i="1"/>
  <c r="J6123" i="1"/>
  <c r="J6122" i="1"/>
  <c r="J6121" i="1"/>
  <c r="J6120" i="1"/>
  <c r="J6119" i="1"/>
  <c r="J6118" i="1"/>
  <c r="J6117" i="1"/>
  <c r="J6116" i="1"/>
  <c r="J6115" i="1"/>
  <c r="J6114" i="1"/>
  <c r="J6113" i="1"/>
  <c r="J6112" i="1"/>
  <c r="J6111" i="1"/>
  <c r="J6110" i="1"/>
  <c r="J6109" i="1"/>
  <c r="J6108" i="1"/>
  <c r="J6107" i="1"/>
  <c r="J6106" i="1"/>
  <c r="J6105" i="1"/>
  <c r="J6104" i="1"/>
  <c r="J6103" i="1"/>
  <c r="J6102" i="1"/>
  <c r="J6101" i="1"/>
  <c r="J6100" i="1"/>
  <c r="J6099" i="1"/>
  <c r="J6098" i="1"/>
  <c r="J6097" i="1"/>
  <c r="J6096" i="1"/>
  <c r="J6095" i="1"/>
  <c r="J6094" i="1"/>
  <c r="J6093" i="1"/>
  <c r="J6092" i="1"/>
  <c r="J6091" i="1"/>
  <c r="J6090" i="1"/>
  <c r="J6089" i="1"/>
  <c r="J6088" i="1"/>
  <c r="J6087" i="1"/>
  <c r="J6086" i="1"/>
  <c r="J6085" i="1"/>
  <c r="J6084" i="1"/>
  <c r="J6083" i="1"/>
  <c r="J6082" i="1"/>
  <c r="J6081" i="1"/>
  <c r="J6080" i="1"/>
  <c r="J6079" i="1"/>
  <c r="J6078" i="1"/>
  <c r="J6077" i="1"/>
  <c r="J6076" i="1"/>
  <c r="J6075" i="1"/>
  <c r="J6074" i="1"/>
  <c r="J6073" i="1"/>
  <c r="J6072" i="1"/>
  <c r="J6071" i="1"/>
  <c r="J6070" i="1"/>
  <c r="J6069" i="1"/>
  <c r="J6068" i="1"/>
  <c r="J6067" i="1"/>
  <c r="J6066" i="1"/>
  <c r="J6065" i="1"/>
  <c r="J6064" i="1"/>
  <c r="J6063" i="1"/>
  <c r="J6062" i="1"/>
  <c r="J6061" i="1"/>
  <c r="J6060" i="1"/>
  <c r="J6059" i="1"/>
  <c r="J6058" i="1"/>
  <c r="J6057" i="1"/>
  <c r="J6056" i="1"/>
  <c r="J6055" i="1"/>
  <c r="J6054" i="1"/>
  <c r="J6053" i="1"/>
  <c r="J6052" i="1"/>
  <c r="J6051" i="1"/>
  <c r="J6050" i="1"/>
  <c r="J6049" i="1"/>
  <c r="J6048" i="1"/>
  <c r="J6047" i="1"/>
  <c r="J6046" i="1"/>
  <c r="J6045" i="1"/>
  <c r="J6044" i="1"/>
  <c r="J6043" i="1"/>
  <c r="J6042" i="1"/>
  <c r="J6041" i="1"/>
  <c r="J6040" i="1"/>
  <c r="J6039" i="1"/>
  <c r="J6038" i="1"/>
  <c r="J6037" i="1"/>
  <c r="J6036" i="1"/>
  <c r="J6035" i="1"/>
  <c r="J6034" i="1"/>
  <c r="J6033" i="1"/>
  <c r="J6032" i="1"/>
  <c r="J6031" i="1"/>
  <c r="J6030" i="1"/>
  <c r="J6029" i="1"/>
  <c r="J6028" i="1"/>
  <c r="J6027" i="1"/>
  <c r="J6026" i="1"/>
  <c r="J6025" i="1"/>
  <c r="J6024" i="1"/>
  <c r="J6023" i="1"/>
  <c r="J6022" i="1"/>
  <c r="J6021" i="1"/>
  <c r="J6020" i="1"/>
  <c r="J6019" i="1"/>
  <c r="J6018" i="1"/>
  <c r="J6017" i="1"/>
  <c r="J6016" i="1"/>
  <c r="J6015" i="1"/>
  <c r="J6014" i="1"/>
  <c r="J6013" i="1"/>
  <c r="J6012" i="1"/>
  <c r="J6011" i="1"/>
  <c r="J6010" i="1"/>
  <c r="J6009" i="1"/>
  <c r="J6008" i="1"/>
  <c r="J6007" i="1"/>
  <c r="J6006" i="1"/>
  <c r="J6005" i="1"/>
  <c r="J6004" i="1"/>
  <c r="J6003" i="1"/>
  <c r="J6002" i="1"/>
  <c r="J6001" i="1"/>
  <c r="J6000" i="1"/>
  <c r="J5999" i="1"/>
  <c r="J5998" i="1"/>
  <c r="J5997" i="1"/>
  <c r="J5996" i="1"/>
  <c r="J5995" i="1"/>
  <c r="J5994" i="1"/>
  <c r="J5993" i="1"/>
  <c r="J5992" i="1"/>
  <c r="J5991" i="1"/>
  <c r="J5990" i="1"/>
  <c r="J5989" i="1"/>
  <c r="J5988" i="1"/>
  <c r="J5987" i="1"/>
  <c r="J5986" i="1"/>
  <c r="J5985" i="1"/>
  <c r="J5984" i="1"/>
  <c r="J5983" i="1"/>
  <c r="J5982" i="1"/>
  <c r="J5981" i="1"/>
  <c r="J5980" i="1"/>
  <c r="J5979" i="1"/>
  <c r="J5978" i="1"/>
  <c r="J5977" i="1"/>
  <c r="J5976" i="1"/>
  <c r="J5975" i="1"/>
  <c r="J5974" i="1"/>
  <c r="J5973" i="1"/>
  <c r="J5972" i="1"/>
  <c r="J5971" i="1"/>
  <c r="J5970" i="1"/>
  <c r="J5969" i="1"/>
  <c r="J5968" i="1"/>
  <c r="J5967" i="1"/>
  <c r="J5966" i="1"/>
  <c r="J5965" i="1"/>
  <c r="J5964" i="1"/>
  <c r="J5963" i="1"/>
  <c r="J5962" i="1"/>
  <c r="J5961" i="1"/>
  <c r="J5960" i="1"/>
  <c r="J5959" i="1"/>
  <c r="J5958" i="1"/>
  <c r="J5957" i="1"/>
  <c r="J5956" i="1"/>
  <c r="J5955" i="1"/>
  <c r="J5954" i="1"/>
  <c r="J5953" i="1"/>
  <c r="J5952" i="1"/>
  <c r="J5951" i="1"/>
  <c r="J5950" i="1"/>
  <c r="J5949" i="1"/>
  <c r="J5948" i="1"/>
  <c r="J5947" i="1"/>
  <c r="J5946" i="1"/>
  <c r="J5945" i="1"/>
  <c r="J5944" i="1"/>
  <c r="J5943" i="1"/>
  <c r="J5942" i="1"/>
  <c r="J5941" i="1"/>
  <c r="J5940" i="1"/>
  <c r="J5939" i="1"/>
  <c r="J5938" i="1"/>
  <c r="J5937" i="1"/>
  <c r="J5936" i="1"/>
  <c r="J5935" i="1"/>
  <c r="J5934" i="1"/>
  <c r="J5933" i="1"/>
  <c r="J5932" i="1"/>
  <c r="J5931" i="1"/>
  <c r="J5930" i="1"/>
  <c r="J5929" i="1"/>
  <c r="J5928" i="1"/>
  <c r="J5927" i="1"/>
  <c r="J5926" i="1"/>
  <c r="J5925" i="1"/>
  <c r="J5924" i="1"/>
  <c r="J5923" i="1"/>
  <c r="J5922" i="1"/>
  <c r="J5921" i="1"/>
  <c r="J5920" i="1"/>
  <c r="J5919" i="1"/>
  <c r="J5918" i="1"/>
  <c r="J5917" i="1"/>
  <c r="J5916" i="1"/>
  <c r="J5915" i="1"/>
  <c r="J5914" i="1"/>
  <c r="J5913" i="1"/>
  <c r="J5912" i="1"/>
  <c r="J5911" i="1"/>
  <c r="J5910" i="1"/>
  <c r="J5909" i="1"/>
  <c r="J5908" i="1"/>
  <c r="J5907" i="1"/>
  <c r="J5906" i="1"/>
  <c r="J5905" i="1"/>
  <c r="J5904" i="1"/>
  <c r="J5903" i="1"/>
  <c r="J5902" i="1"/>
  <c r="J5901" i="1"/>
  <c r="J5900" i="1"/>
  <c r="J5899" i="1"/>
  <c r="J5898" i="1"/>
  <c r="J5897" i="1"/>
  <c r="J5896" i="1"/>
  <c r="J5895" i="1"/>
  <c r="J5894" i="1"/>
  <c r="J5893" i="1"/>
  <c r="J5892" i="1"/>
  <c r="J5891" i="1"/>
  <c r="J5890" i="1"/>
  <c r="J5889" i="1"/>
  <c r="J5888" i="1"/>
  <c r="J5887" i="1"/>
  <c r="J5886" i="1"/>
  <c r="J5885" i="1"/>
  <c r="J5884" i="1"/>
  <c r="J5883" i="1"/>
  <c r="J5882" i="1"/>
  <c r="J5881" i="1"/>
  <c r="J5880" i="1"/>
  <c r="J5879" i="1"/>
  <c r="J5878" i="1"/>
  <c r="J5877" i="1"/>
  <c r="J5876" i="1"/>
  <c r="J5875" i="1"/>
  <c r="J5874" i="1"/>
  <c r="J5873" i="1"/>
  <c r="J5872" i="1"/>
  <c r="J5871" i="1"/>
  <c r="J5870" i="1"/>
  <c r="J5869" i="1"/>
  <c r="J5868" i="1"/>
  <c r="J5867" i="1"/>
  <c r="J5866" i="1"/>
  <c r="J5865" i="1"/>
  <c r="J5864" i="1"/>
  <c r="J5863" i="1"/>
  <c r="J5862" i="1"/>
  <c r="J5861" i="1"/>
  <c r="J5860" i="1"/>
  <c r="J5859" i="1"/>
  <c r="J5858" i="1"/>
  <c r="J5857" i="1"/>
  <c r="J5856" i="1"/>
  <c r="J5855" i="1"/>
  <c r="J5854" i="1"/>
  <c r="J5853" i="1"/>
  <c r="J5852" i="1"/>
  <c r="J5851" i="1"/>
  <c r="J5850" i="1"/>
  <c r="J5849" i="1"/>
  <c r="J5848" i="1"/>
  <c r="J5847" i="1"/>
  <c r="J5846" i="1"/>
  <c r="J5845" i="1"/>
  <c r="J5844" i="1"/>
  <c r="J5843" i="1"/>
  <c r="J5842" i="1"/>
  <c r="J5841" i="1"/>
  <c r="J5840" i="1"/>
  <c r="J5839" i="1"/>
  <c r="J5838" i="1"/>
  <c r="J5837" i="1"/>
  <c r="J5836" i="1"/>
  <c r="J5835" i="1"/>
  <c r="J5834" i="1"/>
  <c r="J5833" i="1"/>
  <c r="J5832" i="1"/>
  <c r="J5831" i="1"/>
  <c r="J5830" i="1"/>
  <c r="J5829" i="1"/>
  <c r="J5828" i="1"/>
  <c r="J5827" i="1"/>
  <c r="J5826" i="1"/>
  <c r="J5825" i="1"/>
  <c r="J5824" i="1"/>
  <c r="J5823" i="1"/>
  <c r="J5822" i="1"/>
  <c r="J5821" i="1"/>
  <c r="J5820" i="1"/>
  <c r="J5819" i="1"/>
  <c r="J5818" i="1"/>
  <c r="J5817" i="1"/>
  <c r="J5816" i="1"/>
  <c r="J5815" i="1"/>
  <c r="J5814" i="1"/>
  <c r="J5813" i="1"/>
  <c r="J5812" i="1"/>
  <c r="J5811" i="1"/>
  <c r="J5810" i="1"/>
  <c r="J5809" i="1"/>
  <c r="J5808" i="1"/>
  <c r="J5807" i="1"/>
  <c r="J5806" i="1"/>
  <c r="J5805" i="1"/>
  <c r="J5804" i="1"/>
  <c r="J5803" i="1"/>
  <c r="J5802" i="1"/>
  <c r="J5801" i="1"/>
  <c r="J5800" i="1"/>
  <c r="J5799" i="1"/>
  <c r="J5798" i="1"/>
  <c r="J5797" i="1"/>
  <c r="J5796" i="1"/>
  <c r="J5795" i="1"/>
  <c r="J5794" i="1"/>
  <c r="J5793" i="1"/>
  <c r="J5792" i="1"/>
  <c r="J5791" i="1"/>
  <c r="J5790" i="1"/>
  <c r="J5789" i="1"/>
  <c r="J5788" i="1"/>
  <c r="J5787" i="1"/>
  <c r="J5786" i="1"/>
  <c r="J5785" i="1"/>
  <c r="J5784" i="1"/>
  <c r="J5783" i="1"/>
  <c r="J5782" i="1"/>
  <c r="J5781" i="1"/>
  <c r="J5780" i="1"/>
  <c r="J5779" i="1"/>
  <c r="J5778" i="1"/>
  <c r="J5777" i="1"/>
  <c r="J5776" i="1"/>
  <c r="J5775" i="1"/>
  <c r="J5774" i="1"/>
  <c r="J5773" i="1"/>
  <c r="J5772" i="1"/>
  <c r="J5771" i="1"/>
  <c r="J5770" i="1"/>
  <c r="J5769" i="1"/>
  <c r="J5768" i="1"/>
  <c r="J5767" i="1"/>
  <c r="J5766" i="1"/>
  <c r="J5765" i="1"/>
  <c r="J5764" i="1"/>
  <c r="J5763" i="1"/>
  <c r="J5762" i="1"/>
  <c r="J5761" i="1"/>
  <c r="J5760" i="1"/>
  <c r="J5759" i="1"/>
  <c r="J5758" i="1"/>
  <c r="J5757" i="1"/>
  <c r="J5756" i="1"/>
  <c r="J5755" i="1"/>
  <c r="J5754" i="1"/>
  <c r="J5753" i="1"/>
  <c r="J5752" i="1"/>
  <c r="J5751" i="1"/>
  <c r="J5750" i="1"/>
  <c r="J5749" i="1"/>
  <c r="J5748" i="1"/>
  <c r="J5747" i="1"/>
  <c r="J5746" i="1"/>
  <c r="J5745" i="1"/>
  <c r="J5744" i="1"/>
  <c r="J5743" i="1"/>
  <c r="J5742" i="1"/>
  <c r="J5741" i="1"/>
  <c r="J5740" i="1"/>
  <c r="J5739" i="1"/>
  <c r="J5738" i="1"/>
  <c r="J5737" i="1"/>
  <c r="J5736" i="1"/>
  <c r="J5735" i="1"/>
  <c r="J5734" i="1"/>
  <c r="J5733" i="1"/>
  <c r="J5732" i="1"/>
  <c r="J5731" i="1"/>
  <c r="J5730" i="1"/>
  <c r="J5729" i="1"/>
  <c r="J5728" i="1"/>
  <c r="J5727" i="1"/>
  <c r="J5726" i="1"/>
  <c r="J5725" i="1"/>
  <c r="J5724" i="1"/>
  <c r="J5723" i="1"/>
  <c r="J5722" i="1"/>
  <c r="J5721" i="1"/>
  <c r="J5720" i="1"/>
  <c r="J5719" i="1"/>
  <c r="J5718" i="1"/>
  <c r="J5717" i="1"/>
  <c r="J5716" i="1"/>
  <c r="J5715" i="1"/>
  <c r="J5714" i="1"/>
  <c r="J5713" i="1"/>
  <c r="J5712" i="1"/>
  <c r="J5711" i="1"/>
  <c r="J5710" i="1"/>
  <c r="J5709" i="1"/>
  <c r="J5708" i="1"/>
  <c r="J5707" i="1"/>
  <c r="J5706" i="1"/>
  <c r="J5705" i="1"/>
  <c r="J5704" i="1"/>
  <c r="J5703" i="1"/>
  <c r="J5702" i="1"/>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<sst xmlns="http://schemas.openxmlformats.org/spreadsheetml/2006/main" count="82462" uniqueCount="23357">
  <si>
    <t>Índice onomástico anual · Gacetas oficiales de 1810</t>
  </si>
  <si>
    <t>Del 1 de enero al 31 de diciembre de 1810 · Gaceta de Madrid, Gazeta del Gobierno, Gazeta de la Regencia de España e Indias</t>
  </si>
  <si>
    <t>Aviso: índice generado a partir del OCR de facsímiles históricos. Las grafías y lecturas dudosas deben cotejarse con la página enlazada.</t>
  </si>
  <si>
    <t>9036 menciones · 548 archivos oficiales · 2770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</si>
  <si>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</si>
  <si>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</si>
  <si>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</si>
  <si>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</si>
  <si>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</si>
  <si>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</si>
  <si>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</si>
  <si>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</si>
  <si>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</si>
  <si>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</si>
  <si>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</si>
  <si>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 Andrés</t>
  </si>
  <si>
    <t>Andrés A</t>
  </si>
  <si>
    <t>Actuación administrativa o judicial</t>
  </si>
  <si>
    <t>España</t>
  </si>
  <si>
    <t>Gaceta de Madrid n.º 137</t>
  </si>
  <si>
    <t>PDF p. 4</t>
  </si>
  <si>
    <t>Lectura automática dudosa; cotejar el facsímil</t>
  </si>
  <si>
    <t>nuestro decreto de 29 de diciembre último, en D. Vicente Ferrer García, D. Vicente Lobo y Ar- los mismos términos que este lo dispone con res­ Jona, D. Andrés A maya, D. Miguel de Madaria- pecto al intendente de Madrid. ga y D. Nicolás Lesso y Garro, racioneros de la art. ni. Nuestro ministro de Hacienda que­ misma; á D. Migu…</t>
  </si>
  <si>
    <t>Revisar OCR</t>
  </si>
  <si>
    <t>A, Antonio</t>
  </si>
  <si>
    <t>Antonio A</t>
  </si>
  <si>
    <t>Mención en noticia o disposición</t>
  </si>
  <si>
    <t>Noticias y disposiciones</t>
  </si>
  <si>
    <t>Gaceta de Madrid n.º 32</t>
  </si>
  <si>
    <t>1</t>
  </si>
  <si>
    <t>revolución extraordinaria precipitó del tro­ Garrido, D. M-inutl Nadales, D. Felipe Villaes- no la casa que reinaba en aquella nación. La rama cuss, D. Antonio A:taro, D. Manuel Ximenez, de ella reinante en España debió sostenerla, y no medios racioneros. dexar tas armas hasta restablecerla en aquel trono, Por el c bildo de l…</t>
  </si>
  <si>
    <t>A, Bor</t>
  </si>
  <si>
    <t>Bor A</t>
  </si>
  <si>
    <t>Noticia política o diplomática</t>
  </si>
  <si>
    <t>Gaceta de Madrid n.º 117</t>
  </si>
  <si>
    <t>PDF p. 2</t>
  </si>
  <si>
    <t>l SU trono, y el resto de la comitiva en el orden que príncipe Eugenio, virei de Iraiia; ei príncipe Joa­ sigue: quín Napoleón , R&lt;-i de Ñapóles ; el príncipe Bor- A la derecha del Emperador, m-s abaxo del gbese, duque de Guastala; el príncipe Gerónimo estrado, el príncipe Luis Napoleón, Rei oe Ho­ Napoleón , Reí de VVesifiti…</t>
  </si>
  <si>
    <t>A, Felipe</t>
  </si>
  <si>
    <t>Felipe A</t>
  </si>
  <si>
    <t>Suplemento</t>
  </si>
  <si>
    <t>Gaceta de Madrid n.º 170 (suplemento)</t>
  </si>
  <si>
    <t>723</t>
  </si>
  <si>
    <t>yeM 10 Maeso................................. 4 j LOO D. Manuel de la Garma....................... 10830 D. Andrés Ai t nio Fernandez.......... 43920 D. Felipe A’ba Ruiz................................ S4S3 1?, D. Antorio Rubiilard.............................. 66905 30 La real Calcografía................................. 451…</t>
  </si>
  <si>
    <t>A, Jüán Josef</t>
  </si>
  <si>
    <t>Jüán Josef A</t>
  </si>
  <si>
    <t>Gaceta de Madrid n.º 288</t>
  </si>
  <si>
    <t>128</t>
  </si>
  <si>
    <t>la real audiencia. = Bueños-Aircs 7 de junio de las provincias de América con las dé España. = de «810“ ' . ; ’ ...! Firmado = Comelio de Saavedra. =D Jüán Josef -- A esta nota signe la respnésta de la ireal audien­ Castelli. = Manuel Belgrano. — Miguel de Azcia , la qual opina , á exemplo de la junta provin­ menaga.’* cial, …</t>
  </si>
  <si>
    <t>A, Julián</t>
  </si>
  <si>
    <t>Julián A</t>
  </si>
  <si>
    <t>Gaceta de Madrid n.º 141</t>
  </si>
  <si>
    <t>es. con ver á un padre por quien ansiaban. Los vivas Ayudante, D. Francisco Zegers. resonaban por toda la‘carrera, y los habitantes ten­ Abanderado , D. Julián A parid. dido las capas por el suelo por donde pisaba el Monarca. No ha manifestado ei Carpió menos al­ Batallón del quartel de Maravillas. borozo; y el REI ha visto e…</t>
  </si>
  <si>
    <t>A, Mmuel</t>
  </si>
  <si>
    <t>Mmuel A</t>
  </si>
  <si>
    <t>Gaceta de Madrid n.º 178</t>
  </si>
  <si>
    <t>Mol nos. toda su comitiva , que es numerosísima. El caba­ D. P dro de la Cmz para el de Valdeavero. llero A-n deo Jaubert acompdñará al embaxador Y á D. Mmuel A itonin Panugua p«ra la vi­ hasta las fronteras del imperio. caría perpetua de Aldea-Calvo. ESPAÑA. A VISO. Córdoba 14 de junio. Se cita y emplaza á D. Juan Bourlet, a…</t>
  </si>
  <si>
    <t>A, Nicolás</t>
  </si>
  <si>
    <t>Nicolás A</t>
  </si>
  <si>
    <t>Edición extraordinaria</t>
  </si>
  <si>
    <t>Gazeta de la Regencia de España e Indias n.º 53 (extraordinaria)</t>
  </si>
  <si>
    <t>480</t>
  </si>
  <si>
    <t>María Blanco, D. Dionisio Palacios, D. Juan Ger­ mán Rossio, D[ Juan Ascanío, D. Pablo González , D. Fran­ cisco Xavier Ustariz, D. Silvestre Tovar, D. Nicolás A usóla,' D. José Félix Rivas, D. Fernando Key, D. Linó dementé. Los ministros son los individuos: de"la misma Rossio, Key, Ansola y Clemente, el primero de estado, el…</t>
  </si>
  <si>
    <t>A, Pedro</t>
  </si>
  <si>
    <t>Pedro A</t>
  </si>
  <si>
    <t>Gaceta de Madrid n.º 245</t>
  </si>
  <si>
    <t>93</t>
  </si>
  <si>
    <t>nos vienen rodeando por Pe— tersburgo. La corte de Viena guarda un profundo Córdoba 22 de agosto. silencio sobre los pliegos que recibe de ios coman- D. Pedro A.no i * del ALmo, comandante de tes que tiene en sus fronteras. la guardia cívica-d- Posad.**, er» ofici &gt; del 20 del corriente participa que una pariiii de ¡adroñes q…</t>
  </si>
  <si>
    <t>A, Rafael Sánchez</t>
  </si>
  <si>
    <t>Rafael Sánchez A</t>
  </si>
  <si>
    <t>Gazeta de la Regencia de España e Indias n.º 99</t>
  </si>
  <si>
    <t>2</t>
  </si>
  <si>
    <t>l teniente cura Fr. Juan Bórica, 10 D. José María Sánchez, 12. D. Rafael Franco, 15 D. Manuel Camarero, 25. Don Pedro Barraza, 12. D. Rafael Lara, 5. D Rafael Sánchez A varez, 12. V^ios individuos, 63. — Cuencamé. El subdelegado D. José María Du­ ran., 50. D. José Esparza, 100. D. José Horna, 6. D. Juan Bautista Bonifaq, 5. D…</t>
  </si>
  <si>
    <t>A-ean, Francisco</t>
  </si>
  <si>
    <t>Francisco A-ean</t>
  </si>
  <si>
    <t>Nombre detectado automáticamente; cotejar si se va a citar</t>
  </si>
  <si>
    <t>l de las Bocas, 33. Varios individuos, 58.— Indee. El cura D. Diego Bruno, 25. El subdelegado D José María Cor­ ral, 50. D. José Trinidad Fábela, 10. D Francisco A-ean, too D. Vi­ cente Sitveira, 20. D. Fernando de la Cimpa y D. Francisco Noriega, 100. Doña Ignacia de León, 20. D. Teodoro Csneros, 18 D. Martin Barron, 2$. D. …</t>
  </si>
  <si>
    <t>Lectura OCR</t>
  </si>
  <si>
    <t>A-mat, José</t>
  </si>
  <si>
    <t>José A-mat</t>
  </si>
  <si>
    <t>Gazeta de la Regencia de España e Indias n.º 9</t>
  </si>
  <si>
    <t>61</t>
  </si>
  <si>
    <t>Hidalgo , D. Redro Oniz , D. Manueil Hidalgo , D. Joaquín Hidalgo, D. Francisco Dacosta , D. Fer­ nando Barbolla, IV José CansLo, D. Fernando Teruel, D. José A-mat, IV A*gu¡»tin Amat, D. Pedro Aívarez, y D. Víctor Alvarez. Por él Excmo. Sr. D. Francisco de Egura, Secretario de Esta­ do y del Despacho -un i versal de la guerra…</t>
  </si>
  <si>
    <t>A-yarez, Blas</t>
  </si>
  <si>
    <t>Blas A-yarez</t>
  </si>
  <si>
    <t>941</t>
  </si>
  <si>
    <t>as. El subdelegado D. Angel Bustamante, loco. D José María Soróndo, 25;. D. Feliciano Arce,,25. D Manuel Echeverría^, ^o.iD. jiian Mi­ guel Gil, 30 , D. Blas A-yarez, 52. D¿ CriscóbailPerez, 15Ó:• D^abriel rez, 25. D. José ..Suarez, 13. D. Vicente: Rodríguez , 10 Dájosé Áná3nib? Gil , 12. D. Francisco Gagiola, 10. D* Secundin…</t>
  </si>
  <si>
    <t>Aaguló, Ezequiel</t>
  </si>
  <si>
    <t>Ezequiel Aaguló</t>
  </si>
  <si>
    <t>Operaciones o servicios militares</t>
  </si>
  <si>
    <t>Gaceta de Madrid n.º 171</t>
  </si>
  <si>
    <t>3</t>
  </si>
  <si>
    <t>ion yla discordias ~y debilitando por éstCmedio' Para capitán de esta .compañía queda nombra­ nuestrai'fuétzaS, pudieran tícasiórur lá* consecuen­ do D. Ezequiel Aaguló'; pUfa" ‘teniente D. Pedro cia* mastft»ri#stasá nuestra.libertad y -á nuestra in- Raíz y Rozo, y para tubtenienfe D. Manuel de depeodeticíatdacíonafU ' :;i v …</t>
  </si>
  <si>
    <t>Aatat, Félix</t>
  </si>
  <si>
    <t>Félix Aatat</t>
  </si>
  <si>
    <t>Gaceta de Madrid n.º 167</t>
  </si>
  <si>
    <t>; _Don Josef Napoleón por !a gracia de Dios y para'el obispado de Osma á D. Félix Aatat, ar­ por ía constitución del estado, REI de Jas Espa- zobispo de Palmira y ex-abad de S. Ildefonso : pa­ ñas y de las Indias. ra el de Calahorra á D. Alfonso Aguado y Xarava, , Hemos decret</t>
  </si>
  <si>
    <t>Ab, Juan Agustín</t>
  </si>
  <si>
    <t>Juan Agustín Ab</t>
  </si>
  <si>
    <t>Gaceta de Madrid n.º 130</t>
  </si>
  <si>
    <t>PDF p. 3</t>
  </si>
  <si>
    <t>oidor Visto el informe de nuestro ministro de lo In­ en aquella cbancUieria por primer juez. terior. hemos decretado y decretamos lo que sigue: 2.u A D. Juan Agustín Ab«rjctc¿r.i. articulo T. ,,Se abrirá inmediatamente una 3.0 A D. Gonzalo de H. r.dio calle detrás del antiguo convento de S. Felipe el 4.0 A D. Jo-ef Díaz Riber…</t>
  </si>
  <si>
    <t>Abad, Francisco</t>
  </si>
  <si>
    <t>Francisco Abad</t>
  </si>
  <si>
    <t>Gazeta de la Regencia de España e Indias n.º 80</t>
  </si>
  <si>
    <t>300</t>
  </si>
  <si>
    <t>a á los franceses junto á Puertollano matándoles 120 hombres, un coronel y 4 oficia­ les : perdió 16 de los suyos en la refriega. El 28 la partida de D. Francisco Abad , por otro nombre Chaleco, destrozó enteramente en la misma provincia de la Mancha á una partida de 40 caballos enemigos que salió de infantes; á consecuencia …</t>
  </si>
  <si>
    <t>779</t>
  </si>
  <si>
    <t>e julio 3, carreteríasjde sal, habiendo muertoíl 13. franceses de su escolia y hecho 4 prisioneros en Sta. Cruz de la^Zarza. —'Por los mis­ mos dias, D. Francisco Abad acometió á un cuerpo francés que iba de. la Carolina á Manzanares, le . mató 60 hombres- y lo persiguió hasta Valdepeña§}, encerrándolo en el convento, de la T…</t>
  </si>
  <si>
    <t>Gazeta de la Regencia de España e Indias n.º 90</t>
  </si>
  <si>
    <t>870</t>
  </si>
  <si>
    <t>os principios de honor» y no respi­ ran sino lealtad y patriotismo. CADIZ 51 DE OCTUBRE. Con fecha de 6 de setiembre último da cuenta el partida­ rio D. Francisco Abad de haberse batido con unas partidas enemigas que transportaban algunos carros por el camino real de Valdepeñas á Manzanares, matándose 18, entre ellos al tenie…</t>
  </si>
  <si>
    <t>Publicación o actividad intelectual</t>
  </si>
  <si>
    <t>Gazeta de la Regencia de España e Indias n.º 105</t>
  </si>
  <si>
    <t>20</t>
  </si>
  <si>
    <t>or las partidas de guerrilla que destiné á obrar á su re­ taguardia , se han visto precisados á replegarse. — El coman­ dante de una de ellas, que es D. Francisco Abad, me dice con fecha de 20 del corriente desde Villacañas lo que sigue.— Ayer 27 salí en consecuencia de las órdenes de V. S. con la partida de mi mando al camin…</t>
  </si>
  <si>
    <t>Abades, Josef María</t>
  </si>
  <si>
    <t>Josef María Abades</t>
  </si>
  <si>
    <t>Noticias militares</t>
  </si>
  <si>
    <t>Gaceta de Madrid n.º 224</t>
  </si>
  <si>
    <t>5</t>
  </si>
  <si>
    <t>a. B D. Manuel Gaviria.................. 3 a D. Josef Ecbeoique* 4- D. Diego de Castro, D. Pedro Hiera; 5" D. Ramón Pando.... D Higinio Z.zo de Lares D. Josef María Abades. 6.*. D. Ramón Guizabnruaga. 7* D. Francisco María Carneo y Maasb. 9* D. Salvador Palomeque D. Juan Clavel* Quinta batallan. Para ayudante primero él balón…</t>
  </si>
  <si>
    <t>Abadía</t>
  </si>
  <si>
    <t>Gazeta de la Regencia de España e Indias n.º 56</t>
  </si>
  <si>
    <t>os los individuos de esta división , cada dia mas dispuesta á sacrificarse por la patria. — Dios guarde k V, E. muchos años. , pop*'*» del oficio del general Abadía. Siendo las cfcs'áé la tarde en que recibo la carta de V. S. fecha de Ayer, me he da he ya en marcha con los destacamentos de voluntarios de Kspana , escopeteros …</t>
  </si>
  <si>
    <t>Abadía, Ignacio</t>
  </si>
  <si>
    <t>Ignacio Abadía</t>
  </si>
  <si>
    <t>Gaceta de Madrid n.º 161</t>
  </si>
  <si>
    <t>lina. Capitanes. D. Josef Garai. D. Andrés Perez. Subtenientes. D. Julián Pombo. D. Fermín Alfaro. D. Francisco Xavier Toledano. I). Manuel Carrillo. D. Ignacio Abadía. D. Manuel Antonio Ibañez. D. Isidro Velazquez. D. Josef María Acosta. D. Manuel Novales. D. Eugenio Aguilar. D. Francisco Peralta. D. Manuel Badana. D. Mateo …</t>
  </si>
  <si>
    <t>Abadía, Xavier</t>
  </si>
  <si>
    <t>Xavier Abadía</t>
  </si>
  <si>
    <t>Gazeta de la Regencia de España e Indias n.º 60</t>
  </si>
  <si>
    <t>10</t>
  </si>
  <si>
    <t>a. CADIZ 27 DE AGOSTO. Coa fecha de 10 del corriente desde Algeciras dice ai señor ministro de la guerra, el comandante general del campo de S. Roque D. Xavier Abadía, lo que sigue: "Excmo. Sr. —Quedan completamente destruidas todas las obras que el enemigo había hecho para conducir su artillería con dirección al canillo de M…</t>
  </si>
  <si>
    <t>Abalia, José Manuel</t>
  </si>
  <si>
    <t>José Manuel Abalia</t>
  </si>
  <si>
    <t>Gazeta de la Regencia de España e Indias n.º 85</t>
  </si>
  <si>
    <t>25</t>
  </si>
  <si>
    <t>ff, icoo. D Domingo Antonio de Vivanco, rísco. D. Juan Águilar, icoo. D. Miguel Mendízabal,. 400. D Salvador de Oria , 50. Duque de Medinaceli, ioco. D. José Manuel Abalia , ibo D. R. A.A., 40. D. Ignacio Casal, 5000. D. Juan José Oferral, 6co. Tres dependientes de la dirección de Correos , 120. D. Francisco Noriega, presbíte…</t>
  </si>
  <si>
    <t>Abancini, Carlos</t>
  </si>
  <si>
    <t>Carlos Abancini</t>
  </si>
  <si>
    <t>4</t>
  </si>
  <si>
    <t>s Moa9/. dragon. D. Antonio Laredó. 10. Segundo batallón. Pata ayudante primero D. Francisco Dufoo» para ugundo D. Manuel Alevio» y para abande­ rado D. Carlos Abancini. D. Tomas Garda Suelto...... D. Tullan González Saes, D. Ceferino Casas. El Marques de los Zoidos..... D. Luis Le Clair........... , D. Pedro Luis Napoli. D. …</t>
  </si>
  <si>
    <t>Abancini, Vicente</t>
  </si>
  <si>
    <t>Vicente Abancini</t>
  </si>
  <si>
    <t>Montoya. distinguido por su denuedo en la función de Val- Ayudante, D. Joan Pacheco. sequi lo contra &gt;os bandoleros de las quadtillas de Abanderado , D. Vicente Abancini. Ventura v de] Caracol. Varios pueblos del reino de Jaén persiguen coo Batallón del quartel de S.. Martin. la mayor actividad y energía á los ladronea y per­…</t>
  </si>
  <si>
    <t>Abascal, Fernando</t>
  </si>
  <si>
    <t>Fernando Abascal</t>
  </si>
  <si>
    <t>534</t>
  </si>
  <si>
    <t>tan señalado servicio, y que se publique en la gazeta de la Regencia para noticia del publico en toda la extensión de sus dominios. Ei virey del Perú D. Fernando Abascal ha puesto en caxas reales, y mandado remitir á la península en primera ocasión 21903 pesos corres­ pondientes á la media anata en tres años que por gracia pa…</t>
  </si>
  <si>
    <t>Abb</t>
  </si>
  <si>
    <t>Gaceta de Madrid n.º 263</t>
  </si>
  <si>
    <t>30</t>
  </si>
  <si>
    <t>ha dexa'por el coronel Kliflci, qne le .mató anos 30 hom­ do la esperanza de volverlo á-ver mui pronto. bres, y le cogió 50 prisioneros. . . El t2 el general Abb¿ rodeó la, posición de Guadaiaxara xjf de. setiembre. •Xivisa, donde se habia simado el enemigo, y le El REI llegó ayer á esta -ciudad. Después de arrojó de sos posi…</t>
  </si>
  <si>
    <t>Abbé</t>
  </si>
  <si>
    <t>éndose cargo de todos' los pormenores. Este El 1 y se presentó el enemigo con su división establecimiento, como' el otro de Brihuega, dan delante del general Abbé». y atacó las posiciones de trabajar á 20® jornaleros: sin duda ninguna es qne tenia en Tivisa. El general Ab&amp;é se hallaba él establecimiento mas-considerable de En…</t>
  </si>
  <si>
    <t>Abella, Josef García</t>
  </si>
  <si>
    <t>Josef García Abella</t>
  </si>
  <si>
    <t>Gaceta de Madrid n.º 210 (suplemento)</t>
  </si>
  <si>
    <t>933</t>
  </si>
  <si>
    <t>.........í................................. . 11998..24 vale de tesorería mayor...................... 308431.. 15 D. Manuel Fernandez Duran , marques D. Josef García Abella, por réditos de que fue de To'osa......................... . \ 59204-28 su capital............................................... 2320.-14 Doña María Tere…</t>
  </si>
  <si>
    <t>Abert</t>
  </si>
  <si>
    <t>Gazeta de la Regencia de España e Indias n.º 10 (extraordinaria)</t>
  </si>
  <si>
    <t>n el Puig, como lo hizo el Rey D. JTayme I para disponer la conquista de Valencia : lliegan sus tropas de la división de van­ guardia, mandada por el general Abert, al anochecer del mismo di:a al arrabal llamado de Murviedro; y los recibe la ciudad cón diferentes descargas de artillería. El Excmo. S*r. D. José Caro , capitán …</t>
  </si>
  <si>
    <t>Abren, Santiago</t>
  </si>
  <si>
    <t>Santiago Abren</t>
  </si>
  <si>
    <t>Gazeta de la Regencia de España e Indias n.º 98</t>
  </si>
  <si>
    <t>934</t>
  </si>
  <si>
    <t>D. Juan Eíguezabal, 50. £). José Perez Ruiz, 22. D. Lepe de Vega, 20. D. Miguel de la Huerta, 20. Doña Plácida Mingura, 12. D. Juan José Atenas, 50. D. Santiago Abren, 30. D. Juan Capistrano Zubia ,8. D. José María Porras ,8. D. Ber­ nardo Martínez 200. D. Francisco Jíuregui, roo. José Pablo Bracannonte, 39 y 3 rs. Ramón Hern…</t>
  </si>
  <si>
    <t>Abrisquieta, Andrés</t>
  </si>
  <si>
    <t>Andrés Abrisquieta</t>
  </si>
  <si>
    <t>721</t>
  </si>
  <si>
    <t>. ................ 63 t 2j¿- D. Gregorio de Anguila........................ 37*4 25í D. b'.-our.tciis (til................................... dcéi 8f D. Andrés Abrisquieta , cuno apode­ Doña Mi .ue!a de la Piaza................... nb 17 rad-'* de D. R. *nv-n de Fortuondo.. 2l66 D. Eusebio Bravo................................…</t>
  </si>
  <si>
    <t>Ace, Pedro Antonio</t>
  </si>
  <si>
    <t>Pedro Antonio Ace</t>
  </si>
  <si>
    <t>Gazeta de la Regencia de España e Indias n.º 28</t>
  </si>
  <si>
    <t>240</t>
  </si>
  <si>
    <t>y 200 como particulares. El oidor D. Toma* Calderón, 20. D. Juan Francisco Gallo , 20. La real concordia de cigarreros de México, de sus fondos, 20. D. Pedro Antonio Ace­ bedo, coronel del regimiento de dragones provinciales de Quere* taro, por el tiempo que cure la guerra, ofreció £0. El ayunta­ miento de la villa de Lago*, …</t>
  </si>
  <si>
    <t>Aceñero, Francisco</t>
  </si>
  <si>
    <t>Francisco Aceñero</t>
  </si>
  <si>
    <t>Gaceta de Madrid n.º 169 (suplemento)</t>
  </si>
  <si>
    <t>7</t>
  </si>
  <si>
    <t>............. ^017 Doña Teresa García Ximenez..».»...... 1940 27 D. F rancisco Xavier Landes...i....6;.; 9386 Doña María Dolores Salced6,-viuda ■••-* D. Francisco Aceñero»........... icioS: * de Hormaza.*.*.-............................ 34656 j ■¡ La colegiata de Si lldefonso............. 12631.17’Los señores Meacorta y compa…</t>
  </si>
  <si>
    <t>Acevedo, Francisco</t>
  </si>
  <si>
    <t>Francisco Acevedo</t>
  </si>
  <si>
    <t>677</t>
  </si>
  <si>
    <t>677 D. Francisco Nicolás de la Torre. D. Francisco Saez. D. Diego del Rio. D. Francisco Acevedo. D. Luis Bordeta. D. Roque Bunio, hijo. D. Vicente Marañen. D. Agustín de la Canal. D. Domingo Villamil. D. Agustín del Mazo. D. Isidro Gutiérrez. Tenientes. D. Manuel González del Rio. D.</t>
  </si>
  <si>
    <t>Acevedo, Josef</t>
  </si>
  <si>
    <t>Josef Acevedo</t>
  </si>
  <si>
    <t>. Vicente. D. Josef Valenzuela. D. Juan López de Quevedo. D. Francisco Fernandez Ibarra. Subtenientes. D. Fermín Sánchez Toscano. D. Félix Izaguirre. D. Josef Acevedo. Se la apellida antigua, trillada, conocida y mejora­ Los trages y el lugar de la escena son en esta pieza da ya en ambos teatros, español y francés: es verdad;…</t>
  </si>
  <si>
    <t>Acompaño</t>
  </si>
  <si>
    <t>Gazeta de la Regencia de España e Indias n.º 54</t>
  </si>
  <si>
    <t>50</t>
  </si>
  <si>
    <t>dicten las circunstancias, y el mas vivo deseo dé sacar to­ do el partido posible de la expedición que $e ha puesto á mi cargo. Dios guarde &amp;c. —^ P. D. Acompaño igualmente el si­ guí ente parte del segundo ayudante marques de Villacampo. ¿enera!: Al punto de auqcliscer * viendo que el enemigo reforsab» las peñas Je la Alberc…</t>
  </si>
  <si>
    <t>Acosta, Casimiro de la Paz</t>
  </si>
  <si>
    <t>Casimiro de la Paz Acosta</t>
  </si>
  <si>
    <t>Actividad económica o mercantil</t>
  </si>
  <si>
    <t>Gaceta de Madrid n.º 34</t>
  </si>
  <si>
    <t>isco de la Oliva , ídem a. D. Rafael Díaz de Casso, abogado fiscal. D. Agustín Martínez de Alcalá, idem 3. D. Sebastian de Vargas , agente de renta*. D. Casimiro de la Paz Acosta, agregado coa D. Francisco Molina, escribano de millones. sueldo. D. Francisco de Cárdenas, idem de alcabala*. D. Josef María Moñiz, ídem. D. Alexo …</t>
  </si>
  <si>
    <t>Acosta, Josef María</t>
  </si>
  <si>
    <t>Josef María Acosta</t>
  </si>
  <si>
    <t>Julián Pombo. D. Fermín Alfaro. D. Francisco Xavier Toledano. I). Manuel Carrillo. D. Ignacio Abadía. D. Manuel Antonio Ibañez. D. Isidro Velazquez. D. Josef María Acosta. D. Manuel Novales. D. Eugenio Aguilar. D. Francisco Peralta. D. Manuel Badana. D. Mateo Gil de Sola. D. Vicenre Tejada. D. Domingo Ventades. D. Julián Sojo…</t>
  </si>
  <si>
    <t>Acucio, Pedro</t>
  </si>
  <si>
    <t>Pedro Acucio</t>
  </si>
  <si>
    <t>Gaceta de Madrid n.º 115</t>
  </si>
  <si>
    <t>Morales Sacristán, capitán La diputación de Bailen, que Sí presentó á de la s.guoda ; á D. Pedro Baena , capitán de la S. M. en Andújar, constaba de D. Pedro Acucio primera de infantería, y á D. Francisco Munarriz, Choza, aL-j'de mayor; D. Luis Antonio Rentero, comandante de todas ellas: cambien se ha servido alcalde ordinari…</t>
  </si>
  <si>
    <t>Adair</t>
  </si>
  <si>
    <t>Gaceta de Madrid n.º 163</t>
  </si>
  <si>
    <t>ferido quedarse en Carlsruhe en compañía debe sostener á toda costa á la Puerta, convienen de su familia, y el Reí ha dado por nulo el con­ en que el ministro Adair no ha sabido dar cumpli- trato, y sigue alojado en la posad.* de los Tres mieuto á la comisión de que estaba encargado; que Reyes. ha manifestado una arrogancia n…</t>
  </si>
  <si>
    <t>Adam</t>
  </si>
  <si>
    <t>Gaceta de Madrid n.º 194</t>
  </si>
  <si>
    <t>37</t>
  </si>
  <si>
    <t>oso, instrucción y gloria. Miremos abora la estado que 00 existe ya; pero lo mas absurdo de unión de Napoleón coa Luisa como una nueva todo es qoe el príncipe Adam pueda ser elevado á aiianxa .de la nación alemana con la nación france­ la dignidad de vire» del'grao ducado de Varsovia, sa , y esperemos qoe nuestros hijos di fr…</t>
  </si>
  <si>
    <t>Gaceta de Madrid n.º 362</t>
  </si>
  <si>
    <t>8</t>
  </si>
  <si>
    <t>ncipales} dice, se propone el Reí: x.° pa­ Anteayer llegó á esta ciudad , en compañía de gar prontamente todas las contribuciones de guer­ su hijo el príncipe Adam , S. A. R. el príncipe ra que se deben todavía; a.® pagar exactamente Luis de Wurtemberg, teniente general que ha si­ desde i'.° de junio de i8tt todos los interes…</t>
  </si>
  <si>
    <t>Adame, Joan</t>
  </si>
  <si>
    <t>Joan Adame</t>
  </si>
  <si>
    <t>Gaceta de Madrid n.º 202</t>
  </si>
  <si>
    <t>ometían. AI cabo Vapara otra capellanía de número de la catedral de lenzuela y á los dos soldados se les han oído sus Granada , vacante per muerte de D. Joan Adame. descargos ¡yen vista de sus confesiones y conven­ Nuestro ministro interino de Negocios eclesiás­ cimientos, ia junta les ha condenado en la pena or­ ticos queda …</t>
  </si>
  <si>
    <t>Adan</t>
  </si>
  <si>
    <t>Noticias extranjeras</t>
  </si>
  <si>
    <t>Gaceta de Madrid n.º 184</t>
  </si>
  <si>
    <t>sovia 24 de mayo. dos en sus mástiles y velámen; pero á pesar de es­ to fueron persiguiendo á la fragata , que »e retiró Ayer llegó aqui de Pol^wi el príncipe Adan» del combate, hasta que hallándose á mucha distan­ Czartori&amp;ki , feld- mariscal austríaco , y antiguo gecia de la costa, y temiendo'encontrarse con fuer­ fe de la …</t>
  </si>
  <si>
    <t>Adell, Luis</t>
  </si>
  <si>
    <t>Luis Adell</t>
  </si>
  <si>
    <t>Nombramiento o servicio público</t>
  </si>
  <si>
    <t>Gaceta de Madrid n.º 51</t>
  </si>
  <si>
    <t>6</t>
  </si>
  <si>
    <t>Nombrantes caballeros de la dará de la administración del fondo y dal buen Orden Real de España á jo* señor** E2KJDÍ! de empleo de la renta. Nevares; D. Luis Adell, capitán de caballería; art. iv. Nuestros ministros de lo Interior y D. Adrián García de Castro, capitán de navio , y de Hacienda quedan encargados , cada uno en l…</t>
  </si>
  <si>
    <t>Ademas, Vi</t>
  </si>
  <si>
    <t>Vi Ademas</t>
  </si>
  <si>
    <t>Gaceta de Madrid n.º 109</t>
  </si>
  <si>
    <t>ional, y al reino de Wurtem- llo, D. Josef Moreno, D, Henrique Salido. b¿rg una población de 170© almas en Suabia. Subtenientes. D. Manuel de Robles, D. Vi­ Ademas pagará á la Francia una cierta cantidad de cente Nieto, D. Lorenzo Navarrete, D. Alexandinero, y una renta anual al barón de Dalberg, que dro B-stamante, D. Josef …</t>
  </si>
  <si>
    <t>Adlerswaerd</t>
  </si>
  <si>
    <t>Gaceta de Madrid n.º 319</t>
  </si>
  <si>
    <t>15</t>
  </si>
  <si>
    <t>e han descubierto poco ha cerca de Fünskirprouto á territorio de Dinamarca. El general Essea chen, el lago Baiaton, la hermosa península Tchani, y el mariscal Adlerswaerd han venido á Helsing— y las obras qne ce han empezado á construir en el borg para recibir á S. A. al entrar en el territorio Sarvitz; y despees se regresará…</t>
  </si>
  <si>
    <t>Administración, Dio</t>
  </si>
  <si>
    <t>Dio Administración</t>
  </si>
  <si>
    <t>s de esta ciudad , ha enviado una D. Ramón Perez, portero. diputación compuesta del cura párroco D. Francis­ co Ortiz, del alcalde D. Alonso Gaitan , D. Dio­ Administración general. nisio Carro y D. Martin de Porras , diputados, los D. Dionisio Olarte, oficial primero. quales en nombre de su ayuntamiento y vecinos D. Manuel I…</t>
  </si>
  <si>
    <t>Adolfo</t>
  </si>
  <si>
    <t>Gaceta de Madrid n.º 313</t>
  </si>
  <si>
    <t>401</t>
  </si>
  <si>
    <t>se han forjado : ' Copenhague ¡g§f&amp;¿ietiembik»„.„ t'\,. ‘V sobci'el jíbjaa» dei,vi-ge del antiguo: R?r Gusra*o S. M. ha dado orden de que se haganal.príncipe Adolfo á Berlín., ano .de ellos es decir que el Rei de Pontecorvo .quando-pase por los estados de je había visto precisado d tomdr'^ette partido, P¡namarca &gt;&gt; todo» los …</t>
  </si>
  <si>
    <t>Adolfo, Gustavo</t>
  </si>
  <si>
    <t>Gustavo Adolfo</t>
  </si>
  <si>
    <t>Gazeta de la Regencia de España e Indias n.º 2</t>
  </si>
  <si>
    <t>a á la partida de la antigua familia real, se observan las siguientes palabras : cc hemos recibido noticias positivas no solamente que el vi a ge del rey Gustavo Adolfo y su familia se hará sin obstáculos por la Alemania, sino también que se ha verificado la mediación del gobierno helvético según los deseos de la die.a , y qu…</t>
  </si>
  <si>
    <t>Gazeta de la Regencia de España e Indias n.º 76</t>
  </si>
  <si>
    <t>que es tam­ bién otro.de los pretendientes, cosa que no puede ser sin co­ nocimiento ni aprobación del gobierno francés. Al mismo tiempo el depuesto rey Gustavo Adolfo, que conserva en Sue­ cia muchos apasionados, suyos y de su familia, salió á me­ diados de julio con el nombre de conde de Gottorp de Suiza , donde viviá retir…</t>
  </si>
  <si>
    <t>Adra</t>
  </si>
  <si>
    <t>Gaceta de Madrid n.º 140</t>
  </si>
  <si>
    <t>59</t>
  </si>
  <si>
    <t>as que una ro el bordado en él será la .mitad mas estrecho. = márchó por la eos.ta, pasando las villas de Berja y Firmado = YO EL REI. = Por S. M. su ministro Adra , y la otra por JLauxar y Aleóle», sobre Uxi* secretario de Estado Mariano Luis de Urquijo.” jar, en lá que entró ej 4 del corriente. E:i esta uuri.b* se encontró …</t>
  </si>
  <si>
    <t>Advert</t>
  </si>
  <si>
    <t>Gaceta de Madrid n.º 331</t>
  </si>
  <si>
    <t>qoatro veces menor que ellos ; que tar otros 7 ú 8 que se calcula han entrado de con­ han sido siempre batidos, y echados de las posicio­ trabando. (General Advert¡ser 18 de junio de nes mas fuertes, y que- la mayor parte, á excep­ j8jo-) ción de algunas partidas de bandidos, se ha encer­ rado dentro de esta plaza. £xtraclo d…</t>
  </si>
  <si>
    <t>Afaarticulo</t>
  </si>
  <si>
    <t>de las Indias. ra el de Calahorra á D. Alfonso Aguado y Xarava, , Hemos decretado y decretamos Jo siguiente: auxiliar de Toledo: para el de Asrorga á D. Afaarticulo i. ,,Nombramos caballeros de la Or­ nasio Puyal y Peveda , auxiliar de Madrid; y para den Real de España á los señores el de Zamora á D. Diego López de Gordoa , c…</t>
  </si>
  <si>
    <t>Afas</t>
  </si>
  <si>
    <t>Gazeta de la Regencia de España e Indias n.º 81</t>
  </si>
  <si>
    <t>osas políticas como d las religiosas , y como que da á entender que ei emperador ha mitiga­ do mucho sus opiniones respecto de España.—Laforest.. Del mariscal Afas sena d su nmger (1).— Paris. Adassenay yo estamos buenos (2) , mi querida amiga. Continuamos delante de esca maldita plaza de Rodrigo : srn embargo espero apode­ r…</t>
  </si>
  <si>
    <t>Afilar</t>
  </si>
  <si>
    <t>Gazeta de la Regencia de España e Indias n.º 41</t>
  </si>
  <si>
    <t>n encerrados en unas quiebras 14 hombres de Atájate , sin, otra salida que ia que ocupaban los enemigos &gt; pero ía partida de Ben&amp;ojan^ mandada por su comandante Afilar que llegó al cerrar ía noche , les hizo fuego, logró separarlos del apostadero, y salvó la gente. El 20 á l*:s 5 de la manaría los comandantes Quiros y Agilita…</t>
  </si>
  <si>
    <t>Afín</t>
  </si>
  <si>
    <t>garbn á ios franceses á entrar en "Ronda precipitadamente. Se hsn distmguido en esta acción el comandante Afín ilar y el teniente de volunta­ rios de Valencia D. Blas R&lt; i, reunido - á él c^n una partida de 6o txta­ bres 5 desalej-aron al enemigo dd castillo del Risa puniéndole en precipi­ tada fuga, matando ai comandante de …</t>
  </si>
  <si>
    <t>Agallen, Antonio Aquilino</t>
  </si>
  <si>
    <t>Antonio Aquilino Agallen</t>
  </si>
  <si>
    <t>Gaceta de Madrid n.º 143</t>
  </si>
  <si>
    <t>Ruiz Sabeli. mado = YO EL R El. =: Por S. M. su ministro se­ Teniente, D. Juan Xaranv.llo. cretario de Estado Mariano Luis de Urquijo." Subteniente, D. Antonio Aquilino Agallen. Extracto de las minutas de la secretaría de Batallón del quartel de Avapies. Estado Capitán, D. Pedro María Iribarren. En nuestro palacio de Madrid á…</t>
  </si>
  <si>
    <t>Agar, Peiro</t>
  </si>
  <si>
    <t>Peiro Agar</t>
  </si>
  <si>
    <t>Gazeta de la Regencia de España e Indias n.º 91</t>
  </si>
  <si>
    <t>PDF p. 8</t>
  </si>
  <si>
    <t>quuro individuos del Consejo de Regencia, á quienes se acaba de ad­ mitir su renuncia, pongan acto continuo en posesión del gobierno al pro­ pietario D. Peiro Agar, y á los dos interinos marques del Palacio y L). José Muía Puig, dándolos a reconocer de todos los cuerpos y per­ sonas i quienes corresponda, y dexando dispuesto …</t>
  </si>
  <si>
    <t>Agesilao</t>
  </si>
  <si>
    <t>55</t>
  </si>
  <si>
    <t>ífice. Si Bonaparte hubiese tenido la resolución de un fa­ cineroso , hubiera anunciado los principios que abriga su corazón: hubiera dicho lo que el rey Agesilao al que le preguntó ¿hasta don­ de pensaba extender los límites de la Laconia? Hasta donde llegue la punta de mi lanza , le respondió. Esto es claro, y no tiene nece…</t>
  </si>
  <si>
    <t>Agramunt, Don Felipe</t>
  </si>
  <si>
    <t>Don Felipe Agramunt</t>
  </si>
  <si>
    <t>Gazeta de la Regencia de España e Indias n.º 107</t>
  </si>
  <si>
    <t>resada guardia, no habiéndose e capa lo sin &gt; 2 in­ dividuos, el uno de edos muy mal herido: de,ido sus compiñeros de armas en tan gloriosa acción el teniente coronel Don Felipe Agramunt con 15 dragones de su regí ni nto de M umancia , el teniente de coraceros españoles, v el aben z del mismo cuerpo D. Juan García y D. Jua i …</t>
  </si>
  <si>
    <t>Agu</t>
  </si>
  <si>
    <t>es. D. Pedro Rubio, hijo. Capitanes. D. Angel Machado. D. Antonio Fuentes. El marques de C &lt;mpo Villar. D. Bernabé Fuentevila. El marques de Cevados. D. Agu stin Chavarri. D. Mari, no Villodas. D. Faustino de Nieva. D. Bernardo Dios dado. D. Mateo Casado. D. Ji-sef Ibaceta. D. Joaquio Palacios. Subtenientes. D. Mariano de San…</t>
  </si>
  <si>
    <t>Aguado, Alfonso</t>
  </si>
  <si>
    <t>Alfonso Aguado</t>
  </si>
  <si>
    <t>e Vtllamantilla de d ¡O platas. ' 0'v' -v... . 4, .,g -d .i-, i Capitán, Pt Juan Erraoz, '' - v;,T r v- Capitán, D. Fernun Rodríguez. , -...Teniente, D. Alfonso Aguado.’ _‘ ’ Teniente D. Antonio Vargas. - . . &gt; Subteniente, D. CuÍlYeunptIJerez V^Jásco* Subteniente, D. Gaspar G’atveJt''1" t Compañía de Vilíantieva dé la JCañad…</t>
  </si>
  <si>
    <t>Aguado, Benito Alfonso</t>
  </si>
  <si>
    <t>Benito Alfonso Aguado</t>
  </si>
  <si>
    <t>Gaceta de Madrid n.º 44</t>
  </si>
  <si>
    <t>16</t>
  </si>
  <si>
    <t>* L&gt;. Francisco Galo Carrasco........... 50969 Doña María del Pilar González...... 8005 16 La colegiata de S. Ildefonso............ 96552 28 TEATROS. D. Benito Alfonso Aguado............. 13808 71 La iglesia de ia villa de Yuncos.... 4602 2f En el del Príncipe, á las quatro de la tarde, se re­ presenta 'á por la compañía espa…</t>
  </si>
  <si>
    <t>Aguado, Josef</t>
  </si>
  <si>
    <t>Josef Aguado</t>
  </si>
  <si>
    <t>Gaceta de Madrid n.º 187 (suplemento)</t>
  </si>
  <si>
    <t>990</t>
  </si>
  <si>
    <t>de a fanegas, Oira de 2 fanegas, que está en el- cerrillo linde 1 oliente eoa Anselmo Prieto, y í de ros Orenselos y eL camino de Cigui- mediodia con D. Josef Aguado........... . 28 ñuela , linde ¡serederos de Juan Prieto el Otra en la Cerrada, de 4 fanegas, linde á Uttyur....................... ........ *....................…</t>
  </si>
  <si>
    <t>Aguado, Josef Martin</t>
  </si>
  <si>
    <t>Josef Martin Aguado</t>
  </si>
  <si>
    <t>Gaceta de Madrid n.º 188 (suplemento)</t>
  </si>
  <si>
    <t>................................ 93 2046 Otra en ei prado Tuerto, de 9 celemines, La tercera parte de la cera Pililla................. 10Ó *33* linde D. Josef Martin Aguado por todos % . MAOitlD. aires......................................... ...................... 4S 99® Un pedazo de tierra, con un corraiílo sito Otra en Val…</t>
  </si>
  <si>
    <t>Aguado, Pedro</t>
  </si>
  <si>
    <t>Pedro Aguado</t>
  </si>
  <si>
    <t>Gaceta de Madrid n.º 184 (suplemento)</t>
  </si>
  <si>
    <t>er 3 faneque! , que linda con él, y eriales...... 23 306 .. gas, que linda por oriente con tierra Otra al sendero de Matías, {le una Bine, qüc poseyó D. Pedro Aguado, y ga , que linda por el oriente con tier­ por norte con la raya de Pinto..:...., *4 74* ras de Francisco Delgado 8* 704 Otra de 3 fanegas en el Algíbe, linde 4 …</t>
  </si>
  <si>
    <t>Aguado, Santiago</t>
  </si>
  <si>
    <t>Santiago Aguado</t>
  </si>
  <si>
    <t>Gaceta de Madrid n.º 96</t>
  </si>
  <si>
    <t>eto de S. M. de 26 de octubre del mienta, D. Bartolomé Perez, D. Josef Fernandez, año próximo pasado, debe haber en cada ana de las D. Diego de Lara, D. Santiago Aguado, D. Ra­ capitales de provincia, se prepare la de Córdoba á fael Navarro y D. Ramón Díaz. recibir con reas fruto esta institución interesantísi­ art. iv. Nuest…</t>
  </si>
  <si>
    <t>Agudin, Francisco Juan</t>
  </si>
  <si>
    <t>Francisco Juan Agudin</t>
  </si>
  <si>
    <t>or S. E. el barón de Dreyer, ministro pleni­ potenciario de Dinamarca, el señor de Qualen, D. Julián Ruiz de Reajal y Saenz por 13500 edecán del Rei. D. Francisco Juan Agudin................... 64800 Por S. E, el señor de Cetto, ministro plenipo­ Albert é hijos......................................... 33375 tenciario de Bavie…</t>
  </si>
  <si>
    <t>Agüero, Fulgencio de la Riva</t>
  </si>
  <si>
    <t>Fulgencio de la Riva Agüero</t>
  </si>
  <si>
    <t>722</t>
  </si>
  <si>
    <t>de Beingoechea............... 10479 17 Doña Juana Elexaga.............................. 12003 «f D. Eiías Pascual Ronda..... .................. 8700 D. Fulgencio de la Riva Agüero........ 2597 D. Euscbio Pareja.................................. 1190 D. Nicolasa Utiel.................................... 2888 D. Josef Ruiz.....…</t>
  </si>
  <si>
    <t>Fallecimiento, herencia o memoria</t>
  </si>
  <si>
    <t>. . - 6498 Doña Tomasa Quintillar, viuda, y su D. Tomas Vázquez..... ............................ 460*..25^ hijo D. Lucas Gil de la Cámara...... 1240 D. Fulgencio de la Riva Agüero......... 4449-25$ Los herederos de la marquesa de la</t>
  </si>
  <si>
    <t>Agüero, Santiago</t>
  </si>
  <si>
    <t>Santiago Agüero</t>
  </si>
  <si>
    <t>Gaceta de Madrid n.º 133</t>
  </si>
  <si>
    <t>actividad para armar y equipar la es qu adra. Se es- D. Francisco Xavier Burgos, de Almería. tan limpiando todos los canales para que puedan D. Santiago Agüero, de Baza. sabir por ellos los baques que necesitan repararse. En la prefectura de Jaén. IMPERIO FRANCES. D. Fernando Chaves, subprefecto de Jaén. D. Mariano Villalba, …</t>
  </si>
  <si>
    <t>Agüeros, Manuel</t>
  </si>
  <si>
    <t>Manuel Agüeros</t>
  </si>
  <si>
    <t>ña ínc Ortiz de Zirate................. 783 37 D josef líaren............................. 2346 17 D. Fernando de CLee....... ................. 34 Í4 D. Manuel Agüeros, como marido de D. Pedro Antonio de Echfvar-ía...... 62:7 Sf Doá M iría Nicola a Agüeros....... 3268 17 D. Placido Ortiz de E&gt; exa: te............ 4'- 202 17 D…</t>
  </si>
  <si>
    <t>Agui'ar, Manuel</t>
  </si>
  <si>
    <t>Manuel Agui'ar</t>
  </si>
  <si>
    <t>Gazeta de la Regencia de España e Indias n.º 49</t>
  </si>
  <si>
    <t>453</t>
  </si>
  <si>
    <t>453 nuestra parte que la de £ soldados levemente heridos. Se ha distinguido el cadete D. Manuel Agui'ar, que á pesar de su corta edad de 16 años solicitó asistir de voluntario á esta facción. cadiz 30 DE JUI.IO. . Por real decreto de 28 de febrero del presente año se prorrogó por seis meses l</t>
  </si>
  <si>
    <t>Aguiiar, Gerónima</t>
  </si>
  <si>
    <t>Gerónima Aguiiar</t>
  </si>
  <si>
    <t>724</t>
  </si>
  <si>
    <t>.. 21780 D. Julián Diaz M^reho......... 73'rr 16 Doña Manuela Sánchez.......... .............. 72900 iDoña'Cipiriana Martínez Dáviía........ 2199 30, Doña Gerónima Aguiiar......... ............. 90000 D. Luis Gerardi.v.iñi’........... 11102 Sor María Josefa de Sta.María deSocors. 18000' D. Juan Calvó L%cejó.....í...... 897° D…</t>
  </si>
  <si>
    <t>Aguilar, Eugenio</t>
  </si>
  <si>
    <t>Eugenio Aguilar</t>
  </si>
  <si>
    <t>sco Xavier Toledano. I). Manuel Carrillo. D. Ignacio Abadía. D. Manuel Antonio Ibañez. D. Isidro Velazquez. D. Josef María Acosta. D. Manuel Novales. D. Eugenio Aguilar. D. Francisco Peralta. D. Manuel Badana. D. Mateo Gil de Sola. D. Vicenre Tejada. D. Domingo Ventades. D. Julián Sojo. D. Tomas Ibargiien. Tenientes. D. Ramón…</t>
  </si>
  <si>
    <t>Aguilar, Francisco</t>
  </si>
  <si>
    <t>Francisco Aguilar</t>
  </si>
  <si>
    <t>brería Almacenes. de Castillo, enfrente de las gradas de S. Felipe. J) Rafael de Morales; guarda—almacén. Nota. En la gazetá de ayer, capítulo de Pa­ D. Francisco Aguilar, ayudante primero. rts , en donde dice una relación de las órdenes de D. Miguel Vehsco, ídem 2. la gran Bretaña, debe leerse una revocación. crítico Jota , …</t>
  </si>
  <si>
    <t>Águilar, Juan</t>
  </si>
  <si>
    <t>Juan Águilar</t>
  </si>
  <si>
    <t>anes y compañía, ¿co. Marques de Belgida , 3C0. Un apasionado de D Juap Martin por medio del lord Macduff, icoo. D Domingo Antonio de Vivanco, rísco. D. Juan Águilar, icoo. D. Miguel Mendízabal,. 400. D Salvador de Oria , 50. Duque de Medinaceli, ioco. D. José Manuel Abalia , ibo D. R. A.A., 40. D. Ignacio Casal, 5000. D. Jua…</t>
  </si>
  <si>
    <t>Aguilar, Lorenzo</t>
  </si>
  <si>
    <t>Lorenzo Aguilar</t>
  </si>
  <si>
    <t>Gazeta de la Regencia de España e Indias n.º 47</t>
  </si>
  <si>
    <t>434</t>
  </si>
  <si>
    <t>izo, seguido ele 60caba­ llos enemigos que no se atrevieron á cerrar con su partida, á pesar de que esta volvió caras, y los aguardó repetidas veces. D. Lorenzo Aguilar, comandante de una partida de .50 patriotas á caballo, pasó á cuchillo el 18 de junio en Valdelosíi á 34 franceses de infantería: el 19 se encontró en el mon­…</t>
  </si>
  <si>
    <t>Aguilar, Victor</t>
  </si>
  <si>
    <t>Victor Aguilar</t>
  </si>
  <si>
    <t>Gazeta de la Regencia de España e Indias n.º 111</t>
  </si>
  <si>
    <t>1038</t>
  </si>
  <si>
    <t>ico, 10. D. José de Oscosa, 10. D. Francisco Córdoba, 12: D. Vicente H¡aojoso, 10. Varios individuos, 104. — Orcasitas. D. Ma­ nuel del Campillo, 20. D. Victor Aguilar, 20O. D. Dionisio de Aguilar, 25. D. Francisco Escobosa, 20. D Juan Contreras, 12. Varios in­ dividuos , 16$. Altar. El teniente coronel D. José Saenz Rico, 24…</t>
  </si>
  <si>
    <t>Aguilera, Antonio</t>
  </si>
  <si>
    <t>Antonio Aguilera</t>
  </si>
  <si>
    <t>209</t>
  </si>
  <si>
    <t>ario de Estado Mariano Luis de Urquijo.” Jotef Cepeda, D. Cayetano de Várgas, D. Josef Extracto de las minutas de la secretaría de Estado. Vrquiaga y D. Antonio Aguilera. En Itálica á 8 de febrero de 1810. Ayudantes. Don Josef Napoleón por la gracia de Dios y D. Leandro Bu Ines, D. Antonio González, por la constitución del es…</t>
  </si>
  <si>
    <t>Gaceta de Madrid n.º 239</t>
  </si>
  <si>
    <t>200</t>
  </si>
  <si>
    <t>IEDADES. nuel Jordán» ex-carmelíta descalzo» prior» defini­ dor y examinador sinodal. Concluye el artículo de ayer. Para la de Sta. Ana de la misma á D. Antonio Aguilera» ex-franciscaoo, guardián y definidor. Id historia de Francia durante el siglo xvin Para la de la villa de Etfillana al ex-dominico por el señar Lacretelle ,…</t>
  </si>
  <si>
    <t>Aguilera, Antonio Aquilino</t>
  </si>
  <si>
    <t>Antonio Aquilino Aguilera</t>
  </si>
  <si>
    <t>D. Francisco de Paula Toledano, para segundo D. Juan Villa y Trigueros, y para abanderado D. Francisco Xavier Bcre. i. El conde de Villaoqnira....... D. Antonio Aquilino Aguilera. D. Antonio Aimrita. .................................................. D. Santiago Sedaño................. D. Antonio González. D. Ignacio Agudo y …</t>
  </si>
  <si>
    <t>Aguilera, Fernando</t>
  </si>
  <si>
    <t>Fernando Aguilera</t>
  </si>
  <si>
    <t>de gente: S. M. con los minis­ roco , y D. Juan Antonio Sánchez, por el clero; Don tros y toda la corte asistió á este espectáculo na­ Juan Valero y D. Fernando Aguilera, por los ve­ cional. Cada concurrencia es en Córdoba una nue­ cinos. va prueba de la general confianza de los ciudada­ La diputación de la villa de Baños se …</t>
  </si>
  <si>
    <t>Aguilera, Josef Perez</t>
  </si>
  <si>
    <t>Josef Perez Aguilera</t>
  </si>
  <si>
    <t>rido de D. Pedro Antonio de Echfvar-ía...... 62:7 Sf Doá M iría Nicola a Agüeros....... 3268 17 D. Placido Ortiz de E&gt; exa: te............ 4'- 202 17 D. Josef Perez- Aguilera........................ J41 *7 D. Juan Turar:......................................... j 4;. , _ D. Juüan M.rtin;z................ ................ 63 t…</t>
  </si>
  <si>
    <t>Aguilera, Juan Antonio</t>
  </si>
  <si>
    <t>Juan Antonio Aguilera</t>
  </si>
  <si>
    <t>Gazeta de la Regencia de España e Indias n.º 42 (suplemento)</t>
  </si>
  <si>
    <t>100</t>
  </si>
  <si>
    <t>pa de Tabasco , 100. D. Joa­ quín de Santa María, vecino de id., 25. D. Manuel Surria, vecino de Teapa, 100. El cura de Azoyú y sus feligreses, 325. D. Juan Antonio Aguilera , su esposa é hija , 1500. 1). Miguel de Arizmendi , 1000. D. José Gregorio de Calera , 100. D. Bartolomé Caballero , 25. D. Santiago Sastre, 50 pesos y …</t>
  </si>
  <si>
    <t>Aguilera, Martin</t>
  </si>
  <si>
    <t>Martin Aguilera</t>
  </si>
  <si>
    <t>Gaceta de Madrid n.º 280</t>
  </si>
  <si>
    <t>Manuel Ramón Herrero, presbítero. Julián Ramón Navarro, á D. Vicente del Rio de Para el de Trijueque, vacante por muerte de la Vega, cura de Alocen. D. Martin Aguilera, á D. Simón de Arce, clérigo Para el de Val hermoso deTajuña, vacante por de prima. muerte de D. Francisco Martinez Gil, á D. Josef Para el de Fontanar, vacant…</t>
  </si>
  <si>
    <t>Aguiriano, Blas</t>
  </si>
  <si>
    <t>Blas Aguiriano</t>
  </si>
  <si>
    <t>Gaceta de Madrid n.º 204</t>
  </si>
  <si>
    <t>ía presente colección. en la colección, se divulgó bastante por España; y ha­ EPsabio obispo de Salamanca D. Antonio Tavira biendo llegado á manos de D. Blas Aguiriano, arce­ espidió un edicto, en que , anunciando á los párrocos diano de iferveriego, dignidad y canónigo de Calahor­ tIc sii diócesi el fallecimiento del papa , …</t>
  </si>
  <si>
    <t>Aguirre, Antonio</t>
  </si>
  <si>
    <t>Antonio Aguirre</t>
  </si>
  <si>
    <t>drá un capitán , un te­ Clemente Tolesano, D. Josef Marmolejo, D. Juan niente , on subteniente, dos sargentos , quatro ca-. Carguet» D. Josef Rivero, D. Antonio Aguirre, bos y 40 soldados. D. Juan de Dios Morquecho , D. Josef de la Bar­ art. iu. La plana mayor de este esquadron se rera, D. Josef Rech y Ferrando, D. Manuel Ra-…</t>
  </si>
  <si>
    <t>Aguirre, Joan Francisco</t>
  </si>
  <si>
    <t>Joan Francisco Aguirre</t>
  </si>
  <si>
    <t>Gaceta de Madrid n.º 71</t>
  </si>
  <si>
    <t>luz , para inspirar al publico la confianza que debe Juan, D. Josef de Mazarredo, D. VicenteTofiño, tener en la exactitud y prolijidad de los medios, D. Joan Francisco Aguirre , y D. Luis Godin , di­ qué se usaron, y del esmeró que se puso en su rector de guardias-marinas en Cádiz, que observó exécucion. Pero como desde el añ…</t>
  </si>
  <si>
    <t>Aguirre, Pedro Antoniode</t>
  </si>
  <si>
    <t>Pedro Antoniode Aguirre</t>
  </si>
  <si>
    <t>Gazeta de la Regencia de España e Indias n.º 74 (extraordinaria)</t>
  </si>
  <si>
    <t>or Cata­ luña : D. Juan María Herrera, por Extremadura : D. Manuel María Mar­ tínez por ídem: D. Alfonso Nuñez de Haró, por la provincia de Cuen­ ca: D. Pedro Antoniode Aguirre, por la junta superior de Cádiz * Don Joaquín Tenreyro Montenegro, por la provincia de Santiago: D. Be­ nito Maria Mosquera, por la ciudad de Tuy: D. …</t>
  </si>
  <si>
    <t>AguirreC, ManueiFranciscade</t>
  </si>
  <si>
    <t>ManueiFranciscade AguirreC</t>
  </si>
  <si>
    <t>9f;2'5» D. 'Juiían, D. *Angel y D. Joaquín ]3. Josef ^^erlo. ^...... i.........i.» * ^^íÉlo, ^ x Solano de Ocejo...v..................... . 59308'16' D. ManueiFranciscade AguirreC hijos. r^78724'.17 La real ásodacton de caridad ’de las • D. Joaquín Sierra,................... *978 ^cárceles....... .v.v....v.v.....;...v.v......…</t>
  </si>
  <si>
    <t>Agustín</t>
  </si>
  <si>
    <t>Gaceta de Madrid n.º 99</t>
  </si>
  <si>
    <t>os. con misa y Te Deunt, á que concurrieron ambos Granada 2 5 de marzo. cabildos y los gefes y oticulidaJ, un lucido con­ vite que dió ei Excino. Sr. D. Agustín lMrricau, Hoi ha tenido el honor de presentarse á S. M. gobernador de esta ciudad , al que asistieron todas una dipuucion de la vida de Uxijar , y de 48 pue­ las auto…</t>
  </si>
  <si>
    <t>Gaceta de Madrid n.º 135</t>
  </si>
  <si>
    <t>568</t>
  </si>
  <si>
    <t>l del ministerio de la puestas según lo prescrito en, su, reales decretos, Guerra. y que tendrían el honor de escoltar á S. M. , y anun­ Wallanoourt (D. Agustín) ^capitán del'regimien­ ciarle que no existían partidas de guerrilla en rus to de línea n. 2." comunes y distritos Es de espetar que los mancheZamora de Riofrio ( con…</t>
  </si>
  <si>
    <t>Gaceta de Madrid n.º 257</t>
  </si>
  <si>
    <t>logía, aunque de lejos, con los caracteres, que se en­ puedan conciliar con su amor propio .la decadencia de cuentran en. el Dosden con ti Dtsdtn de. D. Agustín sus triunfos y de su séquito. En la vejez « qué suerte las 1 Morcto. D. Fernando, que es el primer galan, enamora espera ? O la sola execucion de los papeles que í su…</t>
  </si>
  <si>
    <t>Gaceta de Madrid n.º 305</t>
  </si>
  <si>
    <t>ayudan­ de nuestros caballeros pages. te de maestro de ceremonias de nuestro real palacio. Soler (D. Francisco), coronel del regimiento nú­ Mom 'ya ( D. Agustín), comandante de batallón mero 3.0 infantería de línea. de la guardia cívica de Madrid. Soto (D. Ignacio de), coronel de infantería. Moi¡e tte ( D. Bernardo ), cabo de…</t>
  </si>
  <si>
    <t>Gazeta de la Regencia de España e Indias n.º 97</t>
  </si>
  <si>
    <t>926</t>
  </si>
  <si>
    <t>nda 50. D&lt; Francisco Pascual Roldan, 50. D. José Ignacio Tarto , 150. Ds Francisco Elorriaga, 20 D¿ Joaquín Laurenzana, ioq. D, Joaqujn Bcnitez, $00. D. Agustín, Reviíla,.50. QSe continuará j ■ CADIZ: EN LA IMPRENTA REAL,</t>
  </si>
  <si>
    <t>Agustín, Mariano</t>
  </si>
  <si>
    <t>Mariano Agustín</t>
  </si>
  <si>
    <t>Zorraquin.................. 23207 22 cuerpo del exército. ^ . D. Vicente Ferret Carrera............. 387 „Se anuncia que varios regimientos españoles D. Mariano Agustín......................... 23207 22 seguirán el exemplo del de Reding. D. Hemeterio de Soria.................... 0204 4 ,,Se han hallado en Sevilla Inmensas pro…</t>
  </si>
  <si>
    <t>Agustina</t>
  </si>
  <si>
    <t>Gaceta de Madrid n.º 114</t>
  </si>
  <si>
    <t>o carácter. losas , formó un D. Eieuterio: de muchas mugeres sabi- Esto era también nías fácil; y asi es que el resultado ha drllas v fastidiosas una Doña Agustina: de muchos pe­ íido menos malo. dantes er izados , loquaces, presumidos de saberlo todo, K¡ desenlace carece de novedad. Desde el momento Un D. Jiermógencs; de muc…</t>
  </si>
  <si>
    <t>AgustínTavira</t>
  </si>
  <si>
    <t>Gaceta de Madrid n.º 146</t>
  </si>
  <si>
    <t>e Málaga núm. 6.* de in- Cintería de- línea, D, Félix Carrion á subteniente, pág. 594, donde dice Abanderado, D Pedro Tñvira, debe decir Abanderado , D. AgustínTavira. -.-i En el regimiento de Córdoba núm. 7.“ de in­ fantería de línea , D. Josef María Henriquez y Don Ambrosio de Alcosta á tenientes. AVISOS. En las compañías d…</t>
  </si>
  <si>
    <t>Agusto, Carlos</t>
  </si>
  <si>
    <t>Carlos Agusto</t>
  </si>
  <si>
    <t>Gaceta de Madrid n.º 302</t>
  </si>
  <si>
    <t>333</t>
  </si>
  <si>
    <t>ible enfermedad ; y mi opinión es que S. A. R. declaraciones enviadas ó comunicadas al.colegio estaba mui lejos de tenerla. real sobre la muerte del- príncipe Carlos Agusto. „Creo que seria mas prudente de mi parte ale¡» Entre las piezas que componen esta curiosa colee» gar solamente hechos qne pudiesen ser demostra­ ciña, se…</t>
  </si>
  <si>
    <t>Ahléfeld</t>
  </si>
  <si>
    <t>Gaceta de Madrid n.º 355</t>
  </si>
  <si>
    <t>i.S 7 8 Doi grande* hacendados dinamarqueses , que mera. En .prueba de so proposición citaba.coa mu­ son el conde Ahléfeld y-el señor -Junl, gentilhom­ cha -gracia muchos casos -relativos al bello «ex&amp; bre , van á establecer en sus haciendas una fabrica ( que es la delicadeza personificada), y á las opera­ de azúcar de reníólac</t>
  </si>
  <si>
    <t>Ahumada, Juau</t>
  </si>
  <si>
    <t>Juau Ahumada</t>
  </si>
  <si>
    <t>Gaceta de Madrid n.º 87</t>
  </si>
  <si>
    <t>l conde de la Quinte­ ñas y de las Indias. ría, el conde de Guadiana, D. Manuel Brc«ca, Hemos decretado y decretamos lo siguiente': D. Antonio Rubio, D. Juau Ahumada, D. Fran­ articulo i. ,,Hemos nombrado y nombramos cisco Vargas, D. Jcsef Echavarri, D. Andrés Or­ á nuestro consejero de Estado y teniente general tega, D. Juan…</t>
  </si>
  <si>
    <t>Ahumada, Rafael</t>
  </si>
  <si>
    <t>Rafael Ahumada</t>
  </si>
  <si>
    <t>5: D. Andrés Herrera, conta­ dor de la aduana, 15. El factor Juan Bautista Ugarte, 150. El mi­ nistro contador D. Pedro Pió, 2$. El tesorero interino D. Rafael Ahumada, 20. El Conde del Valle del Súchil 100a. D. José Matos, 75. D* Joáquin A fnezaga, 50, D, José &gt; Castro y» Ortega, 50. D Felipe Lopez&gt; Negrece; y^suhijo, * 500.…</t>
  </si>
  <si>
    <t>Ai, Andrés</t>
  </si>
  <si>
    <t>Andrés Ai</t>
  </si>
  <si>
    <t>............................ 1 263 27 D. C . yeM 10 Maeso................................. 4 j LOO D. Manuel de la Garma....................... 10830 D. Andrés Ai t nio Fernandez.......... 43920 D. Felipe A’ba Ruiz................................ S4S3 1?, D. Antorio Rubiilard.............................. 66905 30 La real Cal…</t>
  </si>
  <si>
    <t>AI, Joaquín</t>
  </si>
  <si>
    <t>Joaquín AI</t>
  </si>
  <si>
    <t>17943'525,] Doña María Ignacia Berzosa.. 43100- • tf. jMif-Navanoi«m»iií..Mtniirty.V/).i&gt; 16497 ' 81 D. Josef AntonioGizardi.v.wn'l'A^U?^ ' '40+0° • D. Joaquín AI fon so Mcnyardin...v.... &lt; ■4282'-*!^ D. Joan Estébande Tricio#..#.;..' 8000914 D. Miguel Cornet;,»v.-.;v..v.-.-...'.v:&gt;.t&lt;.'.Kt.JÍ/- J-q jy'í D. Josef Ibón Tillias…</t>
  </si>
  <si>
    <t>Ai, Josef</t>
  </si>
  <si>
    <t>Josef Ai</t>
  </si>
  <si>
    <t>......... *................ 636 13992 negas, linde a ¿tríente con vínculo de El prado da las Eras................/..................... 138.. 17 3°47 D. Josef Ai va*, y al norte camino de La cerca de Matarubia............ ...................... 386 849» Cobeña.....í.u... ....... .................................. 81-17 *79% E…</t>
  </si>
  <si>
    <t>Aiarran, Joaquín</t>
  </si>
  <si>
    <t>Joaquín Aiarran</t>
  </si>
  <si>
    <t>s y tropa que se hallaban á mis órdenes, inclusas las partidas del regimiento de la Rey­ na , mandada la primera por el subteniente D. José Fierra, y D. Joaquín Aiarran , teniente de Imperiales de Toledo , acreditaron también su espí­ ritu y serenidad, como igualmente los ayudantes de V. S., los capitanes D. Pedro Lamperez y …</t>
  </si>
  <si>
    <t>Áíartindeil</t>
  </si>
  <si>
    <t>Gaceta de Madrid n.º 295</t>
  </si>
  <si>
    <t>la posición que ocupaban los ene­ derle de,alguna invasión-repentina de Copaul-Sing. migos'era tan fuerte, que fue preciso enviar al El exército del coronel Áíartindeil llegó el 29 socorro del mayor al teniente coronel Grath con de enero á Kheruíassa á irei jumadas de ¿tronga» dos batallones de infantería y dos esquadrones de…</t>
  </si>
  <si>
    <t>Aibcrt</t>
  </si>
  <si>
    <t>Gaceta de Madrid n.º 54</t>
  </si>
  <si>
    <t>23</t>
  </si>
  <si>
    <t>nías de tierra caí g .meo tos odiisider.bles de mercancías de Gnntzburgo y de Bg-g.u. Aquí y en as i. media­ levante. ciones reí ernos la brigada del general Aibcrt, cuALEMANIA. yo quartel general e ta oí nuestra ciu ad. fcn Augíburgo te han establecido hospitales mi­ , Orillai del Danubio a 2 de eneró. litares, á losquaes ll…</t>
  </si>
  <si>
    <t>Aicobendas, Gregorio</t>
  </si>
  <si>
    <t>Gregorio Aicobendas</t>
  </si>
  <si>
    <t>; en.Chincho# de d\ too,plácete. Compañía de Brea de d ioo plazas. Capitaatííi'P.T^dro Migáel de'Cabriádáy Pon * Capitán.,JP. B'aj Ramos. , Tsniente, D. Gregorio Aicobendas. Joí!4IíW&gt;'0' i t.V.; 'v¡ .Ai Subteniente, D. Fraiícisco .Lopez Fernairidezí. TenientesD Juan íA-nt°D‘°i^Carrasco yDon Aotonk JXlgadfc^' r^'l-'- V ' v Com…</t>
  </si>
  <si>
    <t>AicXandro</t>
  </si>
  <si>
    <t>Gaceta de Madrid n.º 227</t>
  </si>
  <si>
    <t>181</t>
  </si>
  <si>
    <t>ivo del aniversario de la coronación de Í crsen, que eocargúe ai fiscal hacer una pesqui­ sa legal sobre esta materia ante el tribunal de la S. M. el Emperador AicXandro. En la fachada de corte de Suecia. La condesa Pipeir y el conde Fa­ tu casa se colocó un transparente perfectamente, bián de Fersen serán preguntados. El doc…</t>
  </si>
  <si>
    <t>Aievrlo, María</t>
  </si>
  <si>
    <t>María Aievrlo</t>
  </si>
  <si>
    <t>28 D. Ci_■ ri-c-o L.tirat.................................. 37 La ' Fia pia de D. Juan Sánchez y D. Juan Rt n ■ ¡ de Etu-ain................. ! VÓ 37 Doña María Aievrlo, por su re­ 13. Ata h.ísi * Vmt aria ........................ . i 263 17 presentad.i.- -D. Teodoro Ribote.... 422)2 6 D. Ju- n R¡e-.:o........................…</t>
  </si>
  <si>
    <t>Aiexandro</t>
  </si>
  <si>
    <t>Gaceta de Madrid n.º 148</t>
  </si>
  <si>
    <t>9</t>
  </si>
  <si>
    <t>YO DE i8im. RUSIA. Hoi ha llegado aquí el señor Kuster, consejero de Estado, y embaxador de Prusía en la corte de Petersburgo 11 de abril. Cassel. El Emperador Aiexandro ha nombrado gentil­ Se asegura que los últimos pliegos que nuestra hombre al conde de Rostopschin , ministro que fue corte ha recibido del feld-mariscal Kaik…</t>
  </si>
  <si>
    <t>Aiexandro, Josef</t>
  </si>
  <si>
    <t>Josef Aiexandro</t>
  </si>
  <si>
    <t>34</t>
  </si>
  <si>
    <t>ídem. . general de nuestros reales exércitos , primer ca- Gayangos (D.Francisco), ayudante mayor de hú­ . bailerizo de la Reina. sares , ídem. Bosc ( D. Josef Aiexandro), gefe deesquadron de Giraud (D. Juan Antonio), tirador, ídem. cabal le.ía ligera de nuestra guardia real. Godanis ( D. Renato ) , sargento primero de arti­ B…</t>
  </si>
  <si>
    <t>AÍexáridro</t>
  </si>
  <si>
    <t>Gaceta de Madrid n.º 198</t>
  </si>
  <si>
    <t>17</t>
  </si>
  <si>
    <t>fiado este departamento al canci­ - El czar Sa’omon se ha ^arrepentido y sometido ller de Estado baion de Hardemberg, ha nombra­ i la generosidad del Emperador AÍexáridro;-Ef ge- do af mismo tiempo .para la dirección dé este mi­ fe de nuestras tropas, como conoce la clemencia nisterio varios comisionados, que son el señor Sac…</t>
  </si>
  <si>
    <t>Aifaro, Fcrmin</t>
  </si>
  <si>
    <t>Fcrmin Aifaro</t>
  </si>
  <si>
    <t>Alba. ........ ............... ........................ p. Rufino Ballestea. ................................................. D. Luis María Z.Vala. D. Fcrmin Aifaro................... D. Juan Armando ‘Düjardín. D. Manuel CarriJo....................................... ............................ D. Miguel Antonio Ib.ruz.....…</t>
  </si>
  <si>
    <t>Aífaro, Pablo</t>
  </si>
  <si>
    <t>Pablo Aífaro</t>
  </si>
  <si>
    <t>934 do I&gt;. Antonio Monsalve^ a D. Pablo Aífaro: al teniente coronel gra­ duado X). Antonio Castillejo, al sargento mayor graduado de teniente coronel D. Manuel María de Guinea; al teniente coronel graduado X) Juan Galindo \ al sargento</t>
  </si>
  <si>
    <t>Ailmeir</t>
  </si>
  <si>
    <t>Gaceta de Madrid n.º 360</t>
  </si>
  <si>
    <t>en las fronteras de la confederación hel­ La fragata Narciso, de porte de 36 cañoocs, vética , para el ex&amp;men y reconocimiento de las mandada por el capitán Ailmeir, ha entrado desar­ mercancías comprehendidas en la tarifa y para la bolada én este puerto de resultas de una borrasca. ex&amp;ccion de los derechos. Hi sido conducida…</t>
  </si>
  <si>
    <t>Aimrita, Antonio</t>
  </si>
  <si>
    <t>Antonio Aimrita</t>
  </si>
  <si>
    <t>, para segundo D. Juan Villa y Trigueros, y para abanderado D. Francisco Xavier Bcre. i. El conde de Villaoqnira....... D. Antonio Aquilino Aguilera. D. Antonio Aimrita. .................................................. D. Santiago Sedaño................. D. Antonio González. D. Ignacio Agudo y Andrade. D. Manuel Calvo. 4: .…</t>
  </si>
  <si>
    <t>AimsiiD, Pedro</t>
  </si>
  <si>
    <t>Pedro AimsiiD</t>
  </si>
  <si>
    <t>Gaceta de Madrid n.º 233</t>
  </si>
  <si>
    <t>omunicado varios navegantes españoles, y cenario ca’zado...... .............................. 44000 quantas existían en las academias de pilotes ) en D. Pedro AimsiiD, ex trinitario cd- otros aVcbivos, se hallan 'esparcidas en algunos &lt;5 * do............. 44000 Derroteros impresos y manuscrito!: sin lisonjearse D. Ju:n Miguel…</t>
  </si>
  <si>
    <t>Aionso</t>
  </si>
  <si>
    <t>Gaceta de Madrid n.º 105</t>
  </si>
  <si>
    <t>44</t>
  </si>
  <si>
    <t>dad se presente Pineda y Arellano (D. Ramón), prebendado de ; en quaíquiera parte, sé ármen todos á porlia para Córd&lt; ba. exterminarla. Senudi Teran (D. Aionso), mayor del regimiento Una partida d*l tercer regimiento mandada por J sef Napoleón. el señor coronel Bassain se dirigió hacia Tocina, anx. ii. Nuestros gran canciller…</t>
  </si>
  <si>
    <t>Aisler, Pedro</t>
  </si>
  <si>
    <t>Pedro Aisler</t>
  </si>
  <si>
    <t>Gaceta de Madrid n.º 240</t>
  </si>
  <si>
    <t>1072</t>
  </si>
  <si>
    <t>algún motivo para ro al segundo D. Francisco Loiseau de Bernon , y pedir que se moderase este primer movimiento de á teniente al que lo era agregado D. Pedro Aisler. admiración. También se ha servido S. M. nombrar en el regi­ Por desgracia el juicio de la comisión no se ve miento de infantería de Toledo, 2.0 de línea , te­ em…</t>
  </si>
  <si>
    <t>Aisú, Tontas</t>
  </si>
  <si>
    <t>Tontas Aisú</t>
  </si>
  <si>
    <t>oven.................... 36540 Doru Alaria Eugenia Zubiaga, por sí Doña Cami! i de Amaga...................... 5 4r 00 y como totora y curadora de su D. Tontas Aisú....................................... 28800 hijo D. Pedro Zubiaga...................... 65 *42 8£ D. Gabdel Gómez................................. 5 0400 D- Alar…</t>
  </si>
  <si>
    <t>Aivarez</t>
  </si>
  <si>
    <t>Gazeta del Gobierno n.º 5</t>
  </si>
  <si>
    <t>41</t>
  </si>
  <si>
    <t>ueda muy expuesto si los enemigos van á aquel punto. Se asegura que los franceses han impuesto a.Gerona una contribución de quatro millones, y que el general Aivarez no ha muerto. Parece que entraron en la plaza solo 40 hombres, denlos quales 20 fueron destinados para conducir los prisioneros, y que toda la fuerza del enemigo…</t>
  </si>
  <si>
    <t>Aívarez, Francisco</t>
  </si>
  <si>
    <t>Francisco Aívarez</t>
  </si>
  <si>
    <t>Gaceta de Madrid n.º 191</t>
  </si>
  <si>
    <t>rio de la catedral de Guadfx, para una Estado» capellanía de número y coro de ella , vacante por En nuestro palacio de ^Madrid i 4 de jolio muerte de D. Francisco Aívarez. de 1810. Nuestro ministro interino de, Negocios eleDoo josef Napoleon poc la gracia de Dios y' siásticos queda encargado de h. evecucion de este por la,con…</t>
  </si>
  <si>
    <t>Aivarez, Ildefonso</t>
  </si>
  <si>
    <t>Ildefonso Aivarez</t>
  </si>
  <si>
    <t>I-I»rrera y del Campo, asentista de medi­ cinas del hospital de Perote , 100, El -contador ie la dirección de alcabalas D José Mariano de Arce, 100. D. Ildefonso Aivarez dei Cbsmío, vecino del Valle de Santiago , 100. D. Ignacio Valle, escribnno de S. M, , 100. D. José Nicolás Sa gado, cobrador de la ju­ risdicción Je Tasco ,…</t>
  </si>
  <si>
    <t>Aivarez, Mariano</t>
  </si>
  <si>
    <t>Mariano Aivarez</t>
  </si>
  <si>
    <t>Gazeta del Gobierno n.º 8</t>
  </si>
  <si>
    <t>71</t>
  </si>
  <si>
    <t>l mejor .servicio del rey, y á varios encargos de importancia que en los últimos mementos de su despedida le confió el digno gober­ nador de Gerona , D. Mariano Aivarez. Con fecha de 15 de este mes remite k S. M. el general en xe­ fe dei exército dei centro ei parte original que le ha dirigido el brigadier D. Gaspar de Bigode…</t>
  </si>
  <si>
    <t>Gazeta de la Regencia de España e Indias n.º 43</t>
  </si>
  <si>
    <t>587</t>
  </si>
  <si>
    <t>eros. La voz pública habia denunciado tiempo ha un crimeninaudito, cometido por la perfidia francesa en la persona del inmortal gobernador: de Gerona D. Mariano Aivarez. Los. hombres de bien creen con dificultad que otros cometen las maldades de que ellos no son capaces -9 y esto és lo que su*cede á los españoles, á pesar de …</t>
  </si>
  <si>
    <t>Aívarez, Pedro</t>
  </si>
  <si>
    <t>Pedro Aívarez</t>
  </si>
  <si>
    <t>il Hidalgo , D. Joaquín Hidalgo, D. Francisco Dacosta , D. Fer­ nando Barbolla, IV José CansLo, D. Fernando Teruel, D. José A-mat, IV A*gu¡»tin Amat, D. Pedro Aívarez, y D. Víctor Alvarez. Por él Excmo. Sr. D. Francisco de Egura, Secretario de Esta­ do y del Despacho -un i versal de la guerra-, s*e ha circ ulado á ios general…</t>
  </si>
  <si>
    <t>Al, Franc'sco</t>
  </si>
  <si>
    <t>Franc'sco Al</t>
  </si>
  <si>
    <t>Gagiola, 10. D* Secundino Gil ,18 D. José Ma.riá Viniegra, 12. D José Antonio Sandoval , 79. D Hermenegildo Perez, 25. Va:ios vecinos, 60.--S. Dimas- D. Franc'sco -Al ian Génzalez^; 105V Varios individuos, ..yo. — Parral. El subdelegado D Gregorio S Mar­ tin, 10. Alcalde de primer voto^D - -.Gabriel Apodaca; 4o. Id. de 'sé-: …</t>
  </si>
  <si>
    <t>Al, José Mariano</t>
  </si>
  <si>
    <t>José Mariano Al</t>
  </si>
  <si>
    <t>Gazeta de la Regencia de España e Indias n.º 106</t>
  </si>
  <si>
    <t>618</t>
  </si>
  <si>
    <t>s de Urrntia, 400 pesos. El teniente corenel 1&gt;. Joaquín del Castillo , 200. I). Francisco de Arrillaga , 1000. D. Mi­ ‘ el Ignacio -o Miranda1, 200. D. José Mariano Al mansa , 200. D. Juan Tomas de Migueleña, 200. I). Miguel José de íriarte , 200. D. Angel Gonzá­ lez, 400. I). Juan Lobo 200. D. Martin de Coz , 100. D. Pedro …</t>
  </si>
  <si>
    <t>Al, Martínez</t>
  </si>
  <si>
    <t>Martínez Al</t>
  </si>
  <si>
    <t>Gaceta de Madrid n.º 308</t>
  </si>
  <si>
    <t>1365</t>
  </si>
  <si>
    <t>............... 6lO® 7320® de Meco perrenecleron * á la* Un^ casería llamada de las Ven­ cap.'.Heñía que fundó Francia tanas , con so casa molino de «d Martínez Al colea......... 95 J II460 aceite y bodegas, compuesta Las fincas que en el lugar-de - de 587 marjales y 57 estada4</t>
  </si>
  <si>
    <t>Al, Ped'o</t>
  </si>
  <si>
    <t>Ped'o Al</t>
  </si>
  <si>
    <t>yeta................................ 15220 La n-a do .-Vbert é hijos...................... 470Ó5 D. Mariano fierran......... ................ . 48',3 D. Ped'o Al áruara Tbañcz................... 2 543 7 D. Miguel Castellanos........................... 1624 37 D. MAriin Antonio Huici...................... 19862 17 D. Bernardo …</t>
  </si>
  <si>
    <t>Al, Pedro</t>
  </si>
  <si>
    <t>Pedro Al</t>
  </si>
  <si>
    <t>Gazeta de la Regencia de España e Indias n.º 13</t>
  </si>
  <si>
    <t>, á D. Pedro Benavides , y de fu­ sileros a D. Angel García , y subtenencia á D. Fernando Pmango ; y en el de Voluntarios de la Patria , co?npañías á D. Pedro Al­ cántara Rute , D. Francisco de Cárdenas , D. Antonio Labrandero , y D. Francisco Federic ; ayudantes, á D. Diego Zapata y D. J¡ a i Diestre; tenencias, á D. Fernand…</t>
  </si>
  <si>
    <t>Gaceta de Madrid n.º 139</t>
  </si>
  <si>
    <t>Sra: María de nientes i D. Juan Fernandez Caballejo y -D. Fe­ la «illa de JBaepa ¿-vacante por muerte de D. Mar­ lipe Carrillo, y para subtenientes i D. Pedro Al­ tin hAdprfeste, f ai 'presbítero D. JoseF Gutiérrez vares y D. Joaquín Laguna. Igualmente ha deter­ Rabé. -rx-v-i ■'! ' V. . v minado que se formen en la ciudad de …</t>
  </si>
  <si>
    <t>Al-arcon, Ramón</t>
  </si>
  <si>
    <t>Ramón Al-arcon</t>
  </si>
  <si>
    <t>Gazeta de la Regencia de España e Indias n.º 44 (suplemento)</t>
  </si>
  <si>
    <t>Juan Martínez de Lexarza, vecino de Vallad olid, 1IY-YJ. El í eitiente coronel 19, Juan Bautista David, y los capitanes Or­ to ño y CevaUos , 172!. • D. Ramón Al-arcon, 20* D Valentín González de Rada , 100. X). Miguel Duque de Estrada, 100. D. Francisco de la Torre, 500. D, Manuel Pelaez de Pelayo , cura de Zoyatian, por sí …</t>
  </si>
  <si>
    <t>Alaiz, D Heraclio</t>
  </si>
  <si>
    <t>D Heraclio Alaiz</t>
  </si>
  <si>
    <t>Gazeta de la Regencia de España e Indias n.º 12</t>
  </si>
  <si>
    <t>PDF p. 12</t>
  </si>
  <si>
    <t>rdenes de la caballería. D. F ranciseo Ramonet , capitán del regimiento de caballería de Alcántara , y primer ayudante del quartelmaestre general. El capitán D Heraclio Alaiz , ayudante del batallón de Volunta­ rios de Zafra , y segundo del quartelmaestre. A Comisario de guerra. El habilitado de tal D. Pablo Henalez. En Améri…</t>
  </si>
  <si>
    <t>Alaorná, Francisca</t>
  </si>
  <si>
    <t>Francisca Alaorná</t>
  </si>
  <si>
    <t>Gazeta del Gobierno n.º 10</t>
  </si>
  <si>
    <t>89</t>
  </si>
  <si>
    <t>rilla, el sargento segmuío cíe! mismo regimiento Manuel de Avila , los comandantes de dos divisiones de somatenes de Villafranca D. Antonio Gilovar , D. Francisca Alaorná , el capitán D. Ramón Ferrers y D. José Caiasus, el te­ niente D. Jayme Carbó, y un capitán de somateaes ce S. Boy. Desde dicho dia no ha ocurrido m?.s nove…</t>
  </si>
  <si>
    <t>Alarcon, Bernardo</t>
  </si>
  <si>
    <t>Bernardo Alarcon</t>
  </si>
  <si>
    <t>jo.’' art. ni. Nombramos para capitán de este re­ Córdoba 34 de marzo. gimiento á D. Josef Gutiérrez: para tenientes á ■ r. D. Francisco Villaescusa, D. Bernardo Alarcon, Es la noche del dia 19 del corriente se abrió, D. Josef Enjuto, D. Luis Gatcía Tribiáo, D. Jo­ en obsequio de los días de nuestro augusto Sobera­ sef de Cár…</t>
  </si>
  <si>
    <t>Alarcon, Don Facundo</t>
  </si>
  <si>
    <t>Don Facundo Alarcon</t>
  </si>
  <si>
    <t>Gazeta de la Regencia de España e Indias n.º 110</t>
  </si>
  <si>
    <t>1029</t>
  </si>
  <si>
    <t>1029 caban se había trasladado á Benicarló, se dirigieron á atacar­ lo, y con este objeto dispusieron que el teniente coronel Don Facundo Alarcon, sargento mayor del segundo de cazadores, marchase rápidamente por el camino de Benicarló ccn la caballería y 4 compañías de infantería á cortarle la retirada. Pe­ ro Alarcon , habi…</t>
  </si>
  <si>
    <t>Alb-dá, Francisco</t>
  </si>
  <si>
    <t>Francisco Alb-dá</t>
  </si>
  <si>
    <t>Gaceta de Madrid n.º 182</t>
  </si>
  <si>
    <t>expedidos por los respectivos minis­ S. Gabriel de la misma ciudad ai ex franciscano tro': } en virtud de los presupuestos que aprobemos. obse-vante D. Francisco Alb-dá: pata la de Hue- aut. 11. No se admitirá en cuenta á los teso­ tor T-tXar al ex franciscano observante D. Antonio reros partida alguna que se pague sin las fo…</t>
  </si>
  <si>
    <t>Albano, Josef Cede</t>
  </si>
  <si>
    <t>Josef Cede Albano</t>
  </si>
  <si>
    <t>Gaceta de Madrid n.º 223</t>
  </si>
  <si>
    <t>Mooitfiascone Cor­ Parar una ración de la misma, vacante por moerchero. La de Sabina y Migliano á la de Rieti. Las te de 0. Juan Benito Samaniego, á D. Josef Cede Albano, Frascati y Porto-Santa-Rufina á la de Tallos. ■ -Tívoli. Las de A juapendente y de Orbieto á la de Para;Una media-ración de la misma, vacante -Cittá deíla P…</t>
  </si>
  <si>
    <t>Albáu, Tomas</t>
  </si>
  <si>
    <t>Tomas Albáu</t>
  </si>
  <si>
    <t>Gaceta de Madrid n.º 188</t>
  </si>
  <si>
    <t>188</t>
  </si>
  <si>
    <t>e demuestra balanza de comercio: por 1&gt;. Manuel Antonio Ro- -que ella es quien fomenta lodo genero de virtudes, y j driguez. Madrid en la imprenta de D. Tomas Albáu la madre de todas las artes necesarias para la conserva­ y compañía, 1810. Un vol. en 8.® ción y bien estar de la sociedad, bu tratado sobre las rentas del Atica …</t>
  </si>
  <si>
    <t>Albcrt</t>
  </si>
  <si>
    <t>Gaceta de Madrid n.º 67</t>
  </si>
  <si>
    <t>83</t>
  </si>
  <si>
    <t>y el coronel barón de Ocrer, que ban acom­ La división Tarrean, mandada provisionalmen­ pañado desde Suecia hasta Bruchsal al Rei Gustavo te por el. general Albcrt, se pone ho¡ en marcha Adolfo. ara el gran ducado de Badén, y se acantonara El principe de Srahremberg, embaxador fiel asta nueva órden sobre las dos Otilias del M…</t>
  </si>
  <si>
    <t>Albelda, José</t>
  </si>
  <si>
    <t>José Albelda</t>
  </si>
  <si>
    <t>PDF p. 15</t>
  </si>
  <si>
    <t>rre, del de caballería de España , D. Saturnino Segura, del de infantería imperial de Toledo y D. Pasquai Cires, del de Aragón; y grado de teniente á D. José Albelda , comandante de una partida de caballería del reyno de Murcia. * El Consejo de Regencia se lia dignado conferir los empleos de co­ roneles de los regimientos de …</t>
  </si>
  <si>
    <t>Alberola, Estebad Corones</t>
  </si>
  <si>
    <t>Estebad Corones Alberola</t>
  </si>
  <si>
    <t>13</t>
  </si>
  <si>
    <t>’1649-31' D. Antonio Hernández, como- testa- ' D.“ Pedro Ramón.Fernandez..................... 26520-5 mentario de Doña Juana Macarti..... *1054..25$ D. Estebad Corones Alberola....,........ ■ 3697-17 ’ Doña María de Vivero y Cabeza........ .2797..25! D. Bernardo Rodríguez....................... 202 293-27 D. Bernardo Rodrígue…</t>
  </si>
  <si>
    <t>Alberola, Estéban Corones</t>
  </si>
  <si>
    <t>Estéban Corones Alberola</t>
  </si>
  <si>
    <t>Juan Francisco Pastor. D. Tomas Mari. D. Policarpo Saez de Tejada Hermoso. D. Felipe Colmenares. EL marques dei Valle de la Paloma. D. Mariano Mari. D. Estéban Corones Alberola. D. Joaquín Manuel de Villalba. Tenientes. D. Juan Manuel Valenzuela. D. Francisco Flores. D. Josef Antonio Rivas. D. Ramón Fernandez. D. Manuel Duro.…</t>
  </si>
  <si>
    <t>Alberola, Juan Bautista</t>
  </si>
  <si>
    <t>Juan Bautista Alberola</t>
  </si>
  <si>
    <t>ha de go­ Habiendo sabido S. M. qne en el hospital de la bernarse este pueblo y los demas del reino. Misericordia de esta ciudad hablan quedado en el D. Juan Bautista Alberola , D. Antonio Xa­ mas deplorable abandono los militares españoles en­ vier de Lora y Cerillo , D. Josef Quintín Martí­ fermos por la fuga precipitada de…</t>
  </si>
  <si>
    <t>Albert</t>
  </si>
  <si>
    <t>Gaceta de Madrid n.º 119</t>
  </si>
  <si>
    <t>rfú por los navios de guerra ingleses no es tan • Loí dos. regimientos de -infantería de brigada riguroso que pueda impedir toda comunicación con del general Albert permanecen todavía aquí; pero esta isla. no tardarán en marchar. La* nuevas 6 íntimas relaciones que han con­ Las cartas de Petersburgo, qne se han recibido traíd…</t>
  </si>
  <si>
    <t>Alberti</t>
  </si>
  <si>
    <t>Gaceta de Madrid n.º 260</t>
  </si>
  <si>
    <t>cerremos en las plazas, si los ingleses nos aban­ ba formado una compañía de mangueros. donan ? «ASTILLA LA VIEJA. Amberes i o de agosto. El teniente capitán Alberti, que manda una pa­ El dia de la fiesta de S. M. el Emperador se trulla hacia Villalon, dispersó y derrotó comple­ botó al mar en este astillero un navio de 74 ca…</t>
  </si>
  <si>
    <t>Alberti, Manuel</t>
  </si>
  <si>
    <t>Manuel Alberti</t>
  </si>
  <si>
    <t>127</t>
  </si>
  <si>
    <t>ga na de autenticidad , sigue un ofi­ 1). Juan josef Castelli-, Minué l Be?grano, Miguel cio 6 nota remitida poc la audiencia de Buenos- de Azmeoaga, D. Manuel Alberti, Domingo MaAires , y acompañada de una proclama del gober­ teu¿ Jua'n Larrea,‘Di Juan Josef Pasto, secreta­ nador dé Cádiz á la junta establecida en dicha rio,…</t>
  </si>
  <si>
    <t>Albertina, Sofia</t>
  </si>
  <si>
    <t>Sofia Albertina</t>
  </si>
  <si>
    <t>Gaceta de Madrid n.º 136</t>
  </si>
  <si>
    <t>57</t>
  </si>
  <si>
    <t>ngua griega ha dado á luz va­ El gobierno ha recibido días pasados la noticia rias memorias y noticias interesantes acerca del ti­ de que S. A. R. la princesa Sofia Albertina recibi­ no y acierto con que los médicos y cirujanos de rá anualmente del reino de Westfaíia la cantidad esta capital exercen su facultad, la qual hace …</t>
  </si>
  <si>
    <t>Alberto</t>
  </si>
  <si>
    <t>Gaceta de Madrid n.º 192</t>
  </si>
  <si>
    <t>uri­ Winzingerode » Walltncden, Viucent, Kienau y v cio Lichtenstein; coraceros, Kfenmayer; húsares Weissebwolff. Brigadieres: Mqrrai» Wided-Run, del Emperador Alberto , archiduque Francisco. Kel . MargCnt» Lilienberg » KLebelsberg , Koüer, Guarniciones : Stahlwissembourg , Buda , Pest, Wartensleben» Heuneberg y Frohlicb. Reg…</t>
  </si>
  <si>
    <t>Gaceta de Madrid n.º 207</t>
  </si>
  <si>
    <t>zan absolutamente uno de nuestros mas hábiles artistas.' SS. A A. II. el todas las tentativas de los contrabandistas para in­ .archiduque Carlos y el duque Alberto, como tam­ troducir por esta parte géneros coloniales. En es­ bién el feid-mariscal conde de Beiiegarde, han asis­ tás últimos dias se han hecho varias presas mui …</t>
  </si>
  <si>
    <t>Albertos, Juan Bautista</t>
  </si>
  <si>
    <t>Juan Bautista Albertos</t>
  </si>
  <si>
    <t>la Torre..'.....i. f.-....'..... 5 48 28 D. Juan López....................................... 6510 : El mismo.......... .................. 21749 24: D. Juan Bautista Albertos.................. 15019 DA Rosa de la Peña, y en su nombre su D. Vicente López Rodríguez...... . 171902' • marldoD. Manuel Pico Santístébán. 1312'y D. I…</t>
  </si>
  <si>
    <t>Albi</t>
  </si>
  <si>
    <t>Gaceta de Madrid n.º 155</t>
  </si>
  <si>
    <t>uan Andrade. A!ex.mdró Kourakin, hermano del embajador de En el regimiento Real Extrangero , mayor á Rusia. El objeto de su misión es cumplimentar en D. Albi .noDarivoire; comandantes de batallón á nombre de su Soberano á SS. MM. II. y RR.. D. Luis Moutard y D. Lorenzo Servert ; teniente El general Guil'.eminot, barón del imp…</t>
  </si>
  <si>
    <t>Albignac</t>
  </si>
  <si>
    <t>Gaceta de Madrid n.º 59</t>
  </si>
  <si>
    <t>le el paso de las tropas. Apéna&gt; había salido ticia; el; conde Bulow , ministro de Hacienda ; el la últim'i división del numeroso cuerpo -de-S. E. el general Albignac; el conde Bernteróde , comandan­ duque de Abrantes , quahdo llegaron 5© hombres te provisional de la guardia; Marinville, secretario que componen la primera div…</t>
  </si>
  <si>
    <t>Albilla, Antonio Alvarez</t>
  </si>
  <si>
    <t>Antonio Alvarez Albilla</t>
  </si>
  <si>
    <t>Gaceta de Madrid n.º 157 (suplemento)</t>
  </si>
  <si>
    <t>66</t>
  </si>
  <si>
    <t>y seis mil setecientos ochenta reales de vellón. EDIFICIOS EN SEGOVIA. 176 2ÍI2 850155637103 1848 *54 Otra á la parroquia de S. Clemente, que habita D. Antonio Alvarez Albilla............................................. 88 1056 Otra al Vallejo, parroquia de S. Estéban, que habita Juan Clavo...................................…</t>
  </si>
  <si>
    <t>Albiní, Ignacio</t>
  </si>
  <si>
    <t>Ignacio Albiní</t>
  </si>
  <si>
    <t>993</t>
  </si>
  <si>
    <t>00. D. Salvador Carrau , 25. D, Gabriel Gómez , 100. i&gt;.-Manuel Antonio de Tsasi , 200. D. Manuel Gil y Cosío, 100. D. José Ramón de Gorostiza , 100. D. Ignacio Albiní , 25. D. Alberto Herrero, 100. D. Domingo Q'utierrez , 100. D. Miguel Cabalen , 100. D. Cayetano Cana­ leta , 50. D. Gerónimo Q.uijano, 50. D. Faustino Rodrígu…</t>
  </si>
  <si>
    <t>Albo, Manuel</t>
  </si>
  <si>
    <t>Manuel Albo</t>
  </si>
  <si>
    <t>Gazeta de la Regencia de España e Indias n.º 15</t>
  </si>
  <si>
    <t>114</t>
  </si>
  <si>
    <t>ncisco Huarte; á tenientes , los subtenientes D. Francis­ co Ramírez , D. Ramón Mateo, D. Valentín Ampudia , D. José Ampudia, D. Tomas de Benavides , D. Manuel Albo, D. Miguel ligarte , y D. Antonio Montenegro. CADIZ : EN LA IMPRENTA REAL.</t>
  </si>
  <si>
    <t>Albrlrqoerqde</t>
  </si>
  <si>
    <t>Gaceta de Madrid n.º 138</t>
  </si>
  <si>
    <t>81</t>
  </si>
  <si>
    <t>rigor se retan frecuemevesía, sin embargo de que traían certiñcadobés y tccnte en las calles pasquines contra la junta. pasaportes franceses. Qóe el general Albrlrqoerqde se habia embarca­ do p'ara-Inglaterra de resuítas de su* desavenencias IMPERIO FRANCES.-, con la junta llamada de.Regencias que el coronel del regimiento de…</t>
  </si>
  <si>
    <t>Albuic, Saturnino</t>
  </si>
  <si>
    <t>Saturnino Albuic</t>
  </si>
  <si>
    <t>Gazeta de la Regencia de España e Indias n.º 89</t>
  </si>
  <si>
    <t>860</t>
  </si>
  <si>
    <t>mi mando. Adelanté inmedia­ tamente algunas avanzadas, y dispuse que las tres compa­ ñías^ de caballería, al mando del capitán D. Vicente Sardina, de D. Saturnino Albuic, y de D. José Mondedeu , se situasen en los llanos de la Soledad; el batallón de tiradores, al mando de D. Nicojas de Isidro,en las alturas del Castillo; y e…</t>
  </si>
  <si>
    <t>Albuir, Saturnino</t>
  </si>
  <si>
    <t>Saturnino Albuir</t>
  </si>
  <si>
    <t>Gazeta de la Regencia de España e Indias n.º 35</t>
  </si>
  <si>
    <t>301</t>
  </si>
  <si>
    <t>onerlo en Burgos el 24. —- La liiqja, está por ahora libre de franceses. El 28 del mismo un destacamento de la partida de í&gt; Juan Martin, mandado per D. Saturnino Albuir, extrajo del lugar de Marchámalo en las inmediaciones de Guádaiaxaia:38 mozos del pueblo, que. trataban de llevarse los franceses. Acometido á conseqüezicia …</t>
  </si>
  <si>
    <t>Gazeta de la Regencia de España e Indias n.º 57</t>
  </si>
  <si>
    <t>150</t>
  </si>
  <si>
    <t>3 prisioneros, de que. ya. han vuelto á presen­ tarse % con sus armas, 2 caballos muertos, uno extraviado y 5 heridos. Durante la acción, el teniente D. Saturnino Albuir se acercó á la ciudad; por la puerta de Guad alaxara é intentó sOrprehender ó atraer fuera á los que la defendian con un ca­ ñón: pero no pudo conseguirlo , …</t>
  </si>
  <si>
    <t>Alcalde, Clara</t>
  </si>
  <si>
    <t>Clara Alcalde</t>
  </si>
  <si>
    <t>Gaceta de Madrid n.º 272 (suplemento)</t>
  </si>
  <si>
    <t>1215</t>
  </si>
  <si>
    <t>niente con S. Justo........................ *59 1908 Cerrada, que lindad poniente con tierra Otra, calle de los Bodegones, esquina á de la memoria de Doña Clara Alcalde. 204-17 *454 las monjas de S. Juan......................... 218 26x6 Otra «n la misma calle, esquina á la da Otra, calle dt las monjas dé S. Juan da</t>
  </si>
  <si>
    <t>Alcalde, José</t>
  </si>
  <si>
    <t>José Alcalde</t>
  </si>
  <si>
    <t>Gazeta de la Regencia de España e Indias n.º 34</t>
  </si>
  <si>
    <t>12</t>
  </si>
  <si>
    <t>2.Q Joaquín Anadón. Del 24. Eí 13 del que rige atacó y batió el general Villacampa entre el Frasno y Calatayud á 650 franceses. Murieron en la acción D. José Alcalde , oficial español juramentado al servicio de José Bonaparte, y D. Pedro Tena , vecino del Ftar-no , nom­ brado corregidor de Calatayud por el mismo. De los enemi…</t>
  </si>
  <si>
    <t>enarse y a huir vergonzosamente, arrojando fusiles y mochilas. Unos se ahogaron queriendo pasar el rio Xalon, y otros quedaron muer­ tos, entre ellos D. José Alcalde, desertor de nuestro exército y capitán al servició del enemigo, y D. Pedro Tena , nombrado cor­ regidor de Calatayud por José fíonaparte. Siguióse el alcance ha…</t>
  </si>
  <si>
    <t>Gazeta de la Regencia de España e Indias n.º 37</t>
  </si>
  <si>
    <t>o escaparon 2 oficiales y 40 soldados, casi todos he­ ridos. Murieron también en la refriega I). Pedro Tena, corregidor franco-hispano de Calatayud y D. José Alcalde, indigno oficial espa­ ñol, desertor de nuestros exéreitds. Cogiéronse 20 carros y 50 acémi­ las cargadas de efectos y víveres. Nuestra pérdida fue de 1 3. muert…</t>
  </si>
  <si>
    <t>Alcega</t>
  </si>
  <si>
    <t>Gazeta de la Regencia de España e Indias n.º 65</t>
  </si>
  <si>
    <t>y rindeuLprisioneros á los demas que eran 31 sol­ dados y 7 oficiales. Se cogieron ademas 50 caballos , 5 mulos con algún* botin y muchas ;armas.r El brigadier Alcega y segundo^ comandante de la división del general Copons, encargado dé hacer un reconocimiento sobre el castillo de las Guardias, ocupado por los-franceses, lo y…</t>
  </si>
  <si>
    <t>Alcocer, Cayetano</t>
  </si>
  <si>
    <t>Cayetano Alcocer</t>
  </si>
  <si>
    <t>Gazeta de la Regencia de España e Indias n.º 36</t>
  </si>
  <si>
    <t>317</t>
  </si>
  <si>
    <t>acción á su coronel D. Francisco de Corrales, que se retiró herido de consideración, acreditó su brillante disciplina al mando de su sar­ gento mayor D. Cayetano Alcocer, también herido, rechazando á los enemigos, que en aquella sazón venían con caballería, no habien­ do podido turbar nada el buen orden en que se hizo la. ret…</t>
  </si>
  <si>
    <t>Aldea, Don Tadeo</t>
  </si>
  <si>
    <t>Don Tadeo Aldea</t>
  </si>
  <si>
    <t>Gazeta de la Regencia de España e Indias n.º 88</t>
  </si>
  <si>
    <t>s años. Tarragona 1 9 ie setiembre de 1810.—Exorno. Sr.— Honora­ to de Fleijres.— Rxcmo. Sr. D. Enrique O-Donell. II. Excmo. Sr. —En oficio de hoy el teniente coronel Don Tadeo Aldea, sargento mayor del batallón de voluntarios in­ fantería ligera de Tarragona, me da el parte siguiente del re­ sultado del ataque de Pillamos, q…</t>
  </si>
  <si>
    <t>Aldea, Tadeo</t>
  </si>
  <si>
    <t>Tadeo Aldea</t>
  </si>
  <si>
    <t>854</t>
  </si>
  <si>
    <t>punto de apoyo hasta Rosas. —- Nada di ré de la conducta exemplar de la tropa española que atacó á Palamós , refiriéndome al parte de su bizarro gefe D. Tadeo Aldea; pero me es preciso noticiar á V. la valiente entrada del capitán Fanc con los botes de su fragata y de los faluchos de guerra españoles, sosteniendo un fuego viv…</t>
  </si>
  <si>
    <t>Aldobrandini</t>
  </si>
  <si>
    <t>Gaceta de Madrid n.º 76</t>
  </si>
  <si>
    <t>32</t>
  </si>
  <si>
    <t>r los actos de piedad y beneficencia con que Senador conde de Ifeaoharnais; primer caballerizo s: m. señaló todos los dias de su residencia en es­ al príncipe Aldobrandini; damas de palacio á las se­ ta ciudad , y con que se-grargeó el amor de los se­ ñoras duquesa de Ba'sano , condesa de Mortemait, villanos , eí gozo y entus…</t>
  </si>
  <si>
    <t>Ale</t>
  </si>
  <si>
    <t>Gazeta del Gobierno n.º 4</t>
  </si>
  <si>
    <t>29</t>
  </si>
  <si>
    <t>oridad que creia haber conseguido.” “Las baxezas y envilecimiento del gobierno ruso , no están de acuerdo con ei espíritu nacional, y la política del emperador Ale­ xandro es tan odiosa á su exército, como Bonaparte á la Rusia.__ Este exército obedece sin embargo : camina por hábito ;-sigue por inferes del sueldo , y por aque…</t>
  </si>
  <si>
    <t>onven­ - dantedel 2.° batalferiV D. Francisco Leroi, D. Leo- tos suprimidos, iglesias , «asas y bienes confisca­ nardo BoyaronDr Pedro Pabló Peraldi, D. Ale­ dos , Ó correspondientes á personas emigradas. jandro Barennev -O- Imber La Croix y D. Pedro art. ni. Nuestros ministros de H.cienda y ; Vandercreosse-á tenientéí. - Pol…</t>
  </si>
  <si>
    <t>Alendado, Antonio</t>
  </si>
  <si>
    <t>Antonio Alendado</t>
  </si>
  <si>
    <t>Gaceta de Madrid n.º 276</t>
  </si>
  <si>
    <t>74</t>
  </si>
  <si>
    <t>l­ tempestad; y limitándome á unos esfuerzos hon­ zo D. Francisco Gutiérrez. rados , saldría vencedor de la lucha , ó sucumbiría Para la de Comares á D. Antonio Alendado, con la misnji nación. Esta debía ser la conducta ex-franciscano observante. » de un ministro que fuese digno de este nombre; y Para ia de Churriana ¿ D. Fer…</t>
  </si>
  <si>
    <t>Aleson, Josef</t>
  </si>
  <si>
    <t>Josef Aleson</t>
  </si>
  <si>
    <t>. D. Francisco Flores. D. Josef Antonio Rivas. D. Ramón Fernandez. D. Manuel Duro. D. Manuel Andrés. D. Francisco Lefebre Daraur. D. Juan de S. Juan. D. Josef Aleson. D. Matías López de Para. Batallón del quartel de Afligidos. D. Fernando Ruiz Mazo. Capitanes. D. Isidro de Mata y Serna. D. Joaquín Onis. D. Josef Fernandez Zúñ…</t>
  </si>
  <si>
    <t>Alevio, Macuel</t>
  </si>
  <si>
    <t>Macuel Alevio</t>
  </si>
  <si>
    <t>iano Lfanderal. D. Pascual Carsi. D. Víctor Moreno. D J uan de ios Heros. D Vicente Per^ti. Tenientes. D. Gregorio Simón de Diego. D. Ramón Vartureu. D Macuel Alevio. D. Diego Castro. D. Juan Lecanda. • D. Josef Casalc. D. Plácido Ffexalde. D. Ramón Pando. D. Cj i*o Garc.a. D. Tomas García Domínguez. D Nicolás Herencia. Batal…</t>
  </si>
  <si>
    <t>Alexandinero</t>
  </si>
  <si>
    <t>170© almas en Suabia. Subtenientes. D. Manuel de Robles, D. Vi­ Ademas pagará á la Francia una cierta cantidad de cente Nieto, D. Lorenzo Navarrete, D. Alexandinero, y una renta anual al barón de Dalberg, que dro B-stamante, D. Josef Puche,D. Benito Del­ acaba de ser nombrado duque del Imperio francés, gado. y otra á Mr. Tasc…</t>
  </si>
  <si>
    <t>Alexandro</t>
  </si>
  <si>
    <t>Gazeta del Gobierno n.º 2</t>
  </si>
  <si>
    <t>dexar de decir de que jamas los ingleses han sido favoreci­ do? con mas sinceridad por la nación rusa que después que se ha raanifestado el odio del emperador Alexandro , jy su sujeción á la volun­ tad de Bónaparte.. -Estas:disposiciones son uña consecuencia necesaria del estado de la opinión pública, en este pais. = El emper…</t>
  </si>
  <si>
    <t>Álexandro</t>
  </si>
  <si>
    <t>51</t>
  </si>
  <si>
    <t>cta del almirante Hanikoff fuá des­ de luego aprobada por el emperador ; pero el amo de los empe­ radores no quedó satisfecho , y Bonaparte ordenó al emperador Álexandro que estuviese muy descontento. Le hizo saber, qué no habia mas que un medio de resistir 4 los ingleses , y que esto medio era el de hacer arcabuceará, los qu…</t>
  </si>
  <si>
    <t>én éste caso.. Si la Puerta Tío rompe con Inglaterra.,. dice , yo la cas­ tigaré : de modo que suceda lo que quiera , quedan frustradas las ideas del emperador Alexandro : si la Turquía ha;e lo que Bonaparte quiere, este la protegerá ; si no lo hace, la castigará; es decir , desmembrará aquel imperio , y guardará el botín par…</t>
  </si>
  <si>
    <t>Gaceta de Madrid n.º 107</t>
  </si>
  <si>
    <t>de amortización , por los que se irán cam­ año, consejero' de Estado de Rusia , y médico de biando poco á poco los billetes de banco. Adema* S. M. el Emperador Alexandro, con 628 rublos de se formará un fondo ó caxa de amortización, querenta anual; y ha obtenido el permiso de cootinuir tendrá por hipotecas una parte de los ca…</t>
  </si>
  <si>
    <t>r.° Juez á D. Juan Eugenio Calzadilla, oidor AVISO. del mismo tribunal. 2. a A D. Juan Antonio de Aldama, alcalde El dia 1 del presente mes los Sres. D. Alexandro mayor de Sanlúcar de Barrameda. Novales, D. Manuel Eslenoz y D. Cirios Bonancini, 3.0 A D. Antonio Josef Cortés, alcalde mayor discípulos de la academia pública de …</t>
  </si>
  <si>
    <t>Gazeta de la Regencia de España e Indias n.º 24</t>
  </si>
  <si>
    <t>197</t>
  </si>
  <si>
    <t>guantes que se hizo dar á costa del Austria en precio de una mediación en que se contó tan poco con el decoro de la casa de Lorena. Por otra parte el emperador Alexandro quizá no ha­ llará una sola potencia en toda Europa que le compadezca en su degradación. ¡Qué lección ha dado Bonaparte á las naciones que por intereses part…</t>
  </si>
  <si>
    <t>Gaceta de Madrid n.º 132</t>
  </si>
  <si>
    <t>ania meri­ dional. IIoí se ha celebrado con gran magnificencia en esta capital la fiesta anual de Ja exaltación de S. M. GRAN DUCADO DE FRANCFORT. el Emperador Alexandro al trono de Rusia. S. M. la Emperatriz María saldrá mañana para Twer. , Francfort 11 de abril. Dícese que se publicarán mui pronto varios es­ * I&gt;el ag- tatu…</t>
  </si>
  <si>
    <t>las seis llegó el Rti. Nues­ piul en calidad de embaxador extraordinario para tra príncipe Real acompañaba á su augusta madre. felicitar á nombre del Emperador Alexandro óá El inmenso gentío que salió á recibir á SS. MM. S. M. 1. con motivo de su matrimonio.. ha manifestado la mayor alegría , principal cu nte Mañana sale para…</t>
  </si>
  <si>
    <t>Gaceta de Madrid n.º 180</t>
  </si>
  <si>
    <t>guiente: 1.* Varsovia; 2.0 Cra­ de que disfruta nuestra ciudad baxo el benéfico covia; 3.0 Posen; 4.0 Kalisz; 5.0 Radom; 6.° Bromgobierno de S. M. el Emperador Alexandro 1. berg; 7.“ Lublin; 8.a Plock; 9.0 Lomza; 10.a Siealce. DINAMARCA. En una gaceta de Hamburgo se ha asegurado que el célebre Copéroico fue aleman de uacioo *…</t>
  </si>
  <si>
    <t>Gaceta de Madrid n.º 196</t>
  </si>
  <si>
    <t>, destinados todos para Gotha. principios de este año se la presentó el señor 'Kru- Algunos viageros rusos han hecho últimamente senstern á S. M. el Emperador Alexandro, y hao varios descubrimientos importantes. El comercian­ llegado ya machos exemplares á Alemania. Toda te Sirawatskor ha encontrado en el mar Glacial la obra …</t>
  </si>
  <si>
    <t>Gaceta de Madrid n.º 219</t>
  </si>
  <si>
    <t>97</t>
  </si>
  <si>
    <t>or S. M. comandan­ blecimiento y arreglo de la nueva universidad. te general de nuestra provincia. Nuestro gobierno toma las providencias mas Como el Emperador Alexandro ha establecido eficaces para execntar escrupulosamente en quauto en Kamtnieck un obispado de rito armenio , el nom­ esté de su parte sus tratados relativos á…</t>
  </si>
  <si>
    <t>Gaceta de Madrid n.º 296</t>
  </si>
  <si>
    <t>18</t>
  </si>
  <si>
    <t>qual, aunque des­ sostenerse en las provincias que ha conquistado sobre pués de su desgracia ha sido desconocido y abandonado el Danubio. Pero si el Emperador Alexandro quiere por la'Inglaterra , según su costumbre, ha perdido sn enviará ellas mas tropas ¡ quién se lo podrá estorbar? corona por ser fiel &amp; la política insensat…</t>
  </si>
  <si>
    <t>Gazeta de la Regencia de España e Indias n.º 87</t>
  </si>
  <si>
    <t>838</t>
  </si>
  <si>
    <t>omo Jo fue el príncipe de Augustemburgo, y que hay.fundamentos para opinar que la misma suerte aguarda al príncipe y princesa de Óldemburgo, y aun al emperador Alexandro. Tarragona 13 de octubre. El general, en gefe D. Enriqné O-Doneil ha recibido del mariscal de campo marques de Campoverde ía relación siguiente de las ventaj…</t>
  </si>
  <si>
    <t>Alexandró</t>
  </si>
  <si>
    <t>Gaceta de Madrid n.º 304</t>
  </si>
  <si>
    <t>bida en los térniinós siguientes : Pór desgracia el viento mudó eo este tiempo, y la calma,,que se siguió se; oponía á la execucion A S. A. S.\. el. príncipe Alexandró, duque de-% del proyecto que con tan buen éxito se habia Neufchateír Valentín y Waj'fám'i «respis- . principiado. S. M. estaba ya dentro de su barca, , destabl…</t>
  </si>
  <si>
    <t>Gaceta de Madrid n.º 306</t>
  </si>
  <si>
    <t>na, para qae pue­ landés. dan habitar en ellos las religiosas de todas las ór­ Sanz (D. Víctor), teniente del mismo cuerpo. denes que quieran. Sauz ( D. Alexandro) , idem. art. ix. Todos los bienes de los conventos su­ Torre (D. Josef de la ), sargento segando de la com­ primidos, de qualquiera naturaleza qne sean, que­ pañía…</t>
  </si>
  <si>
    <t>Gaceta de Madrid n.º 356</t>
  </si>
  <si>
    <t>as acometidas con impetuosidad en todos El señor Tschitschagoff, general mayor al ser­ los puntos huyeron desordenadamente en peque vicio de S. M. el Emperador Alexandro ; el señor ños pelotones, á los qoe fue persiguiendo la caba­ K;b!oucoflf, coronel del regimiento de guardias de llería , hasta qúe se guarecieron en las sie…</t>
  </si>
  <si>
    <t>Alexapdrp</t>
  </si>
  <si>
    <t>Gaceta de Madrid n.º 330</t>
  </si>
  <si>
    <t>77</t>
  </si>
  <si>
    <t>Nóm. 33». M77 GAZETA DE MADRID DEL LUNES 26 DE NOVIEMBRE DE 1810. • -• RUSIA. tiembre, día del aniversario de,la coronacicndkJf Emperador Alexapdrp. Los rasos , ademas del in­ Petersburgo 28. de setiembre. menso botín qoe han cogido en estas plazas, se En la gazeta ministerial se ha publicado hoi el han apoderado de mucha art…</t>
  </si>
  <si>
    <t>Alexaudro</t>
  </si>
  <si>
    <t>Gaceta de Madrid n.º 95</t>
  </si>
  <si>
    <t>s y regocijos. En un baile de máscaras que hubo vo iv devolvió á principios de la última guerra al ayer presentaron los habitantes a S. E. ramilletes Emperador Alexaudro las insignias de las órdenes de ñores con inscripciones mui honoríficas. de Rusia. HUNGRIA. AUSTRIA. Setnlt'n 2 de febrero. Viena 26 de febrero. Hoi se ha re…</t>
  </si>
  <si>
    <t>Alexo, Gabriel Antonio Fernandez</t>
  </si>
  <si>
    <t>Gabriel Antonio Fernandez Alexo</t>
  </si>
  <si>
    <t>Jo;é Segovia, D. Marcos Jáuregai, D. Femando Negra, D. Joaquín Antonio Navarro y D. Antonio Ximenez; y á subtenientes, a D. Manuel Moreno y Vá­ rela, D. Gabriel Antonio Fernandez Alexo , D. Gaspar Diego de Torres y Figueroa, D. Manuel Bordon y D. Francisco Sainz Inestosa. Igualmente ha conferido el empleo de teniente coronel …</t>
  </si>
  <si>
    <t>Alfaro, Fermín</t>
  </si>
  <si>
    <t>Fermín Alfaro</t>
  </si>
  <si>
    <t>z Dnrango. Batallón del quartel de S. Francisco. D. Jo sef Antonio Molina. Capitanes. D. Josef Garai. D. Andrés Perez. Subtenientes. D. Julián Pombo. D. Fermín Alfaro. D. Francisco Xavier Toledano. I). Manuel Carrillo. D. Ignacio Abadía. D. Manuel Antonio Ibañez. D. Isidro Velazquez. D. Josef María Acosta. D. Manuel Novales. …</t>
  </si>
  <si>
    <t>Alfaro, Nicolás</t>
  </si>
  <si>
    <t>Nicolás Alfaro</t>
  </si>
  <si>
    <t>1030</t>
  </si>
  <si>
    <t>sé María Campoy* 20. Idem D. Pedro Campoy , 10. El administrador de rentas D. Manuel Zuloaga, 50. D. Bartolomé Salido, 300. D. Bruno de Palacio, 150. D. Nicolás Alfaro, 10. D. Manuel Anguiz, 50. D. Joan Manuel de Ortiz, 300. D. Antonio Aunada, 150. D. Toribio de Mateo y Ramos, 300. D. Manuel Cayetano Espinosa, 150 D. Antonio …</t>
  </si>
  <si>
    <t>Alfon</t>
  </si>
  <si>
    <t>Gaceta de Madrid n.º 221 (suplemento)</t>
  </si>
  <si>
    <t>348</t>
  </si>
  <si>
    <t>... 22Q 2649 vive Juan Portillo..»................... 209 3508 Otra en la calle deS Nicolás , que Otra en dicha'calle, que tiene en linda con casa de Doña Alfon- arrendamiento Regalado Cala*a de Cea....................................... 198 sjy6* „ berro....».;..;.......................... ...... 198 *37*</t>
  </si>
  <si>
    <t>Alfonso</t>
  </si>
  <si>
    <t>e la Or­ estaban deseosos de salir al encuentro de su Sobe­ den Real de España á los señores rano , á A]u¡en*esperaban con el mayor júbilo, se Areco (D. Alfonso), caballero que fue de la ór- han hallado frustrados en sus deseos, igualmente den extinguida de Malta. que Se han inutilizado los preparativos de arcos de Azpiroz (D…</t>
  </si>
  <si>
    <t>nte Apoyados en esa leí los obispos de Castilla y .¡ya- los de ^Qpsaóguinidad, afinidad y disparidad de reli­ on tuvieron por válido el matrimonio de D. Alfonso, gión, y manifiesta c% testimonios de Jas sagradas esf Umado el Reí de Aragón , con la Reina de Castilla Dofiá Urraca, hi«ta que el papa Calixto n, crituras, una mult…</t>
  </si>
  <si>
    <t>Gazeta de la Regencia de España e Indias n.º 78</t>
  </si>
  <si>
    <t>destituyéndonos de ella por su propia autoridad, y provisto el obispado que tenemos del Espíritu Santo, en D. Alfonso Agnado y Jai aba ; y que dicho D. Alfonso, olvidado de todas las obligaciones de obispo, y aun de cristiano, ha admitido este nombramiento sacrilego, constituyéndose por este acto cabeza y gefe de cisma, pertm…</t>
  </si>
  <si>
    <t>Alguacil, Antonio</t>
  </si>
  <si>
    <t>Antonio Alguacil</t>
  </si>
  <si>
    <t>tra en la calle Mayor, que linda á orien- .) Otra en dicha calle, que linda á ponien­ te -con otra del' hospital de Antezana. 290 3480 te con casa de D. Antonio Alguacil.. i3i8 21816 El patio ó coliseo de Comedias en la Otra en la calle de las Flores, que es Ja plaza que llaman de abaxo.................. «77S 21300 que se hal…</t>
  </si>
  <si>
    <t>Alhor, Juan</t>
  </si>
  <si>
    <t>Juan Alhor</t>
  </si>
  <si>
    <t>440C0 *.u pn fundo estudio, y acelerar los progresos dtí D.'Ramón Queralt, ex basilió........... 4400a entendimiento humano en las ciencias físicas y D. Juan Alhor.iga, ex-capuchinn..,..-,... 44000 naturales. , D. Jacinto Monteagudo,ex-clérigo me- - Asi es qoe lá dirección hidrográfica ha reunido ñor....:............. .......…</t>
  </si>
  <si>
    <t>Allende, Domingo</t>
  </si>
  <si>
    <t>Domingo Allende</t>
  </si>
  <si>
    <t>Gazeta de la Regencia de España e Indias n.º 70</t>
  </si>
  <si>
    <t>PDF p. 5</t>
  </si>
  <si>
    <t>uel Iriarte, no. El sub­ inspector del arsenal D. Nicolás Meñaca, 110. El teniente de fragata D. Pedro Hurtado de Corcuera, 160. El teniente de navio D. Domingo Allende, 50. El teniente de fragata D. José Roldan, 80. Id. D. Manuel Borras, 40. Id. D. Benito Lago, 35. El alférez de fragata I). Mateo Mozo, 25. Id. D. Lorenzo Sot…</t>
  </si>
  <si>
    <t>Ally</t>
  </si>
  <si>
    <t>837</t>
  </si>
  <si>
    <t>squadron: yo envié ftl capitán Coks con algunos dragones del tiúm. 16 para que atacase al piquete, y lo hice apoyar por un esquadron de hú­ sares del capitán Ally. Estos oficiales acometieron con el ma­ yor valor y felicidad al esquadron y piquete enemigos, que tuvieron muchos heridos y muertos , y hubieran sido hechos prisio…</t>
  </si>
  <si>
    <t>Almarza, Andrés</t>
  </si>
  <si>
    <t>Andrés Almarza</t>
  </si>
  <si>
    <t>Ramón Echaetea. D. Gaspar Soiiveres. Subtenientes. D. Juan Ncpomuceno Rosales. D. Josef Vargas. D. Julián Castañou. D. Diego Giraldo. D. Juan Crespo. D. Andrés Almarza. D. Antonio Reyelo. D. JnrefTubó. D. Joaquín Pacheco. D. Pedro Josef Mayora. D. Esteban Bains. D. Modesto faLcios. Tenientes. D. Juan Paredes. D. Agustín Ugart…</t>
  </si>
  <si>
    <t>Almarza, Martin</t>
  </si>
  <si>
    <t>Martin Almarza</t>
  </si>
  <si>
    <t>dad del»enemigo obligó á la retinada,.después de haberle cau^ sadouna pérdida de £00 hombres entremuertos y heridos: la. de los patriotas fué de 50. D. Martin Almarza, tenientc/de Ija .partida;de IX Franeis-. co Sánchez (Francisquete •), apresó á-piediados, de julio 3, carreteríasjde sal, habiendo muertoíl 13. franceses de su…</t>
  </si>
  <si>
    <t>Alon</t>
  </si>
  <si>
    <t>de las era del de húsares de Extremadura: en el de Soria, fábricas de Plaven y de otras ciudades saxonas 4.0 de infantería de línea , subtenientes á D. Alon­ grandes cargamentos de muselinas, indianas &amp;c. so Antones, D. Josef Companon y D. Josef Re­ JL.a permanencia de los exércitos rusos en el Danu­ jón : cirujano primero á …</t>
  </si>
  <si>
    <t>Alonso</t>
  </si>
  <si>
    <t>Gaceta de Madrid n.º 10</t>
  </si>
  <si>
    <t>ando aquí una persona que cancele qualqutera Tejada ( D. Miguel de ), intendente de Palencia. cuenta que hubiese pendiente , y particularmente Tovar (D. Alonso) , gefe de división en el minis­ las relativas á provisiones suplidas quando el exér­ terio de la Justicia. cito británico pasó por Fiasencia. Tengo el honor Uria y la…</t>
  </si>
  <si>
    <t>rado todos Para el segundo enrato de la iglesia de. la villa los trabajos del exército francés en ei Trocador o, de Pozoblanco, vacante por muerte de D. Alonso no ha creído deber medirse con las baterías france­ Rodríguez, á D. Juan de Dios Hidalgo: para el’ sas: se ha retirado al punto que las vio descubier­ tercer curato de…</t>
  </si>
  <si>
    <t>Gaceta de Madrid n.º 315</t>
  </si>
  <si>
    <t>cortar y extinguir enteramente reino de Valencia, puesto que el Reí D. Pedro n estas enfermedades asoladoras, haciendo por esté lo prohibió, y el Reí D. Alonso renovó esta pro­ medio su obra md¡ ¿preciable para los médicos y hibición , baxo pena de muerte á los que la que­ magistrados , y no menos útil para los literatos por …</t>
  </si>
  <si>
    <t>Alonso, Antonio</t>
  </si>
  <si>
    <t>Antonio Alonso</t>
  </si>
  <si>
    <t>Gaceta de Madrid n.º 122 (suplemento)</t>
  </si>
  <si>
    <t>461474 472618 472810 489425 7 de 300 pesos de mayo. D. Juan Suarez. 226227 x de 150 pesos de ener*. D. Juan.Sanz Celada. 3 2 49** 7 x de idem ídem. , D. Antonio Alonso. 243149 291748 ............... .................... ........i...................................... 2 de idem ídem. EN LA IMPRENTA REAL.</t>
  </si>
  <si>
    <t>Alonso, Celedonio</t>
  </si>
  <si>
    <t>Celedonio Alonso</t>
  </si>
  <si>
    <t>500</t>
  </si>
  <si>
    <t>as del Es­ D. Josef del Valle. calda pertenecerá al tribunal imperial de Bru.'éUs.” D. Juan Josef Cerero. Ei domingo por la tarde entrarán SS. MM. en D. Celedonio Alonso. París por el arco triunfal de la Estrella , y atrave­ Marques de Torreblanca. sarán en el coche de la coronación los campos Elí­ D. Nicolás Jorge Arezpacoch…</t>
  </si>
  <si>
    <t>Alonso, Francisco</t>
  </si>
  <si>
    <t>Francisco Alonso</t>
  </si>
  <si>
    <t>Gazeta de la Regencia de España e Indias n.º 16</t>
  </si>
  <si>
    <t>det, D. Guillelmo Claramunt, D. Bernardo Cobian y D. Francisco Juárez ; y subtenencias, á D. Juaii de la Fuente , D. Mtnuel Martinez , D. Pió Moron , D. Francisco Alonso , D. Bernab S María de Faez , D. Angel Salazar y Aldao, D. José Pereyra, D. Blas Peinador, D. Antonio Rubín, D. Ra­ món Momeo , D. José Benito Perez , D. Fau…</t>
  </si>
  <si>
    <t>Alonso, Jacinto Nicolás</t>
  </si>
  <si>
    <t>Jacinto Nicolás Alonso</t>
  </si>
  <si>
    <t>José Alvareda é hijos, 300. D. José Fernandez de Oiarte, 120. D. Ricardo Meade en nombre de varios americanos, 1240. D. Vicente Alcalá Galiana, 640. D. Jacinto Nicolás Alonso, 200. De­ ña Isabel Simón de Palacios, 100. Duque de Veragua, 1000. D. An­ tonio Seoane, 100. B. L. , 100. Marques de Castelar, ioco., D. To­ mas de Urr…</t>
  </si>
  <si>
    <t>Alonso, José de Vega</t>
  </si>
  <si>
    <t>José de Vega Alonso</t>
  </si>
  <si>
    <t>1027</t>
  </si>
  <si>
    <t>ó en las cer­ canías de Pendones , hiriéndoles 5, de ios quales murieron muy pronto 21, sin haber recibido los suyos la menor lesión. El 6 del mismo, D. José de Vega Alonso, comandante de una partida de 80 hombres, participó desde Villanueva que el dia anterior habia hecho retroceder á 200 franceses que es­ coltaban un correo…</t>
  </si>
  <si>
    <t>Alonso, Manuel</t>
  </si>
  <si>
    <t>Manuel Alonso</t>
  </si>
  <si>
    <t>Eligió. Extracto de las minutas de la secretaría de Estado. Batallón del quartel de S. Isidro. En nuestro palacio de Madrid i 19 de mayo Comandante , D. Manuel Alonso. de 1810. Ayudante, D Feliciano Gnizaburuaga. Don Josef Napoleón por la gracia de Dios y Abanderado, D. Francisco Crespo. por L constitución del estado, REÍ de …</t>
  </si>
  <si>
    <t>Alonso, Mariano</t>
  </si>
  <si>
    <t>Mariano Alonso</t>
  </si>
  <si>
    <t>Dolores de Belandia su muger. 46907 2 D. Antonio Arboré................................. 6784 5 O D. Beinardo Rodríguez....................... 207200 D. Mariano Alonso................................. 21 M D. Blas Martínez.................................... 44095 30 D. Fermín de Zelayeta......................... 1689 *4‘ El …</t>
  </si>
  <si>
    <t>Alonso, Pedro López</t>
  </si>
  <si>
    <t>Pedro López Alonso</t>
  </si>
  <si>
    <t>ieto y el arroyo Paegue............. 61..17 &gt;353 oriente y mediodia con tierra de la cape­ Otra en Guadal!*, de 3 fanegas, linde Hi­ llanía que posee D. Pedro López Alonso, larión López................................................ 4* 902 y á poniente con Francisco de la Peña..... 45 990 Otra en Viana, de una fanega, memori…</t>
  </si>
  <si>
    <t>Alorudo, Francisco</t>
  </si>
  <si>
    <t>Francisco Alorudo</t>
  </si>
  <si>
    <t>rez teniente , y compañía. A&gt;. Alonso Paez Pachón subteniente. Queda nombrado capitán de- esta compañía art. iv. En la villa de Xilena se formará una D. Francisco Alorudo ; D. Joaquín Sánchez Cal­ compañía. Para capitán de esta compañía osrá derón teniente, y D. Miguel Palomino -subte­ nombrado D. Juan Josef de Galvez; D. Man…</t>
  </si>
  <si>
    <t>Alquier</t>
  </si>
  <si>
    <t>Gaceta de Madrid n.º 291</t>
  </si>
  <si>
    <t>asmo, y marchan con el mayor denuedo. La proclama del gran Señor ha producido en tedas Copenhague 8 de setiembre. partes felices resultados. S. E. el barón Alquier, que va á Eitockolmo AUSTRIA. de embaxador de Francia, acaba de llegar á esta. Nuestros corsarios han apresado quatro buques Vtena 8 de setiembre. ingleses de un c…</t>
  </si>
  <si>
    <t>Altamirano, Juan Temas</t>
  </si>
  <si>
    <t>Juan Temas Altamirano</t>
  </si>
  <si>
    <t>Gazeta de la Regencia de España e Indias n.º 93</t>
  </si>
  <si>
    <t>890</t>
  </si>
  <si>
    <t>cesita este opulento y dilatado reyno. -- Sala capitular de la muy nob?e, insigne y siempre leal ciudad de Tláscala á 4 de junio de i8io:—José Muñoz.—D. Juan Temas Altamirano.— D. Juan Faustino Magiscatzin.—José Martin de Molina. — D. Mariano Francisco Vázquez. — Tomas Ruiz—Lic. José Dazay Artazo. Die­ go Vicente de Lisa - Ma…</t>
  </si>
  <si>
    <t>Altamirano, Juan Tomas</t>
  </si>
  <si>
    <t>Juan Tomas Altamirano</t>
  </si>
  <si>
    <t>de este reyno Dr. D. Fran­ cisco Xavier de Lizana, fecha 24 de abril del presente año de 1810, dió á nombre del ilustre ayuntamiento y su provincia , D. Juan Tomas Altamirano , gobernador de naturales y administrador de sus propios y rentas en 17 de mayo , después de haberse recibido el dia anterior 16 deí Sr. pre­ sidente co…</t>
  </si>
  <si>
    <t>Altos, Sebastian Ricos</t>
  </si>
  <si>
    <t>Sebastian Ricos Altos</t>
  </si>
  <si>
    <t>marquesa de Brancitbi-né.-.............. - -*7S53-*4 . Doña María del Rosario Reinosa—í.. 1 5858.8,. 8 Doca Vrctoria Dumont—............—«. ■ 3365-19 D. Sebastian Ricos Altos................ . S3l7-**3 Doña María Joseta Acedo y Olazabal. - 6961- 6 D. Labiñío Romagnioli........................... *S°5^ Dr JosefLacrouts—- —.—..…</t>
  </si>
  <si>
    <t>Altuna, Manuel</t>
  </si>
  <si>
    <t>Manuel Altuna</t>
  </si>
  <si>
    <t>Gaceta de Madrid n.º 131 (suplemento)</t>
  </si>
  <si>
    <t>149</t>
  </si>
  <si>
    <t>ven para hortaliza...................... ................. 60O M 700 Una casa principal en esta ciudad, á la plazuela del juego de pelota, que habita D. Manuel Altuna, canónigo............................................................................................. 1 2CO 26400 Un cercado de arbt lado ó cigarral titulado d…</t>
  </si>
  <si>
    <t>Alv, Antonia</t>
  </si>
  <si>
    <t>Antonia Alv</t>
  </si>
  <si>
    <t>.......................... 2580 30 D. Leonardo Gulli-,............................... 2220 24 D. Gregorio del Casti.lo....................... 2554 16 Doña Antonia Alv..rcz........................... 46529 4 D. [osef Ruiz........................................ 7 *3 24 D.“ María Teresa , D.1 María Escolásti­ D- Euscbio Pareja.…</t>
  </si>
  <si>
    <t>Alv, Melchor</t>
  </si>
  <si>
    <t>Melchor Alv</t>
  </si>
  <si>
    <t>Gazeta de la Regencia de España e Indias n.º 31</t>
  </si>
  <si>
    <t>265</t>
  </si>
  <si>
    <t>ntonio Liona. Ei Concejo de R- g-ncia se ha servido conferir ios empleos de coroneles de los regimientos de infantería l.6* de Saboya y de Valencia a D. Melchor Alv&amp;rez y D. Francisco Cabrera: el de teniente coronel del de la Rey na á D. José Ezpeleta : subtenen­ cia en el 1.* de B dajoz al cadete D. José fiuiz : la sargentía…</t>
  </si>
  <si>
    <t>Alvaoeita, Manuel Gomes</t>
  </si>
  <si>
    <t>Manuel Gomes Alvaoeita</t>
  </si>
  <si>
    <t>........... D. Juliao Gajlcedo. D. Pedro Díaz López............ D. Antonio Gamarra. D. Juan Ezterripa D. Atexandro Leal Ib-trra.... D. Isidoro Pugeo. D. Manuel Gomes Alvaoeita. Tercer batallón. Pata ayudante primero él conde de Cancelada» para segundo D. Juan Manuel Montero» y para abanderado O, Francisco Antonio de las Rivas…</t>
  </si>
  <si>
    <t>Alvarado, Francisco</t>
  </si>
  <si>
    <t>Francisco Alvarado</t>
  </si>
  <si>
    <t>Gazeta de la Regencia de España e Indias n.º 114</t>
  </si>
  <si>
    <t>Fronteras, 74 y 2. rs.— Rosario. B. Rafael Rendon , IO. D. José Castañeda , 25. D. Manuel Esnaola, 25. B. Rafael Sauceda y B. Bernardo Briugas , 100. D. Francisco Alvarado, 15. B. Urbano Niebla y B. Ignacio Murua , 20. El presbítero B. José Gómez , 10. Doña .María Josefa Muguiro , 100. Rafael López, 15. Varios individuos , 22…</t>
  </si>
  <si>
    <t>Alvareda, José</t>
  </si>
  <si>
    <t>José Alvareda</t>
  </si>
  <si>
    <t>D. Gregorio VVindel, 20. A. B., 100. D. Benito Herrera, zoo. D. Ri­ cardo Meade, 2000. D. Tadeo Sánchez Escandon, 60. Marques de las Hormazas, 3000. D. José Alvareda é hijos, 300. D. José Fernandez de Oiarte, 120. D. Ricardo Meade en nombre de varios americanos, 1240. D. Vicente Alcalá Galiana, 640. D. Jacinto Nicolás Alonso,…</t>
  </si>
  <si>
    <t>de la Rosa,.500. D. Se* bastían Antonio^ Gamiea , 500. Duque de Hijar, y conde de Salvatier­ ra, 640. D. Juan S. Román , 100 D. Agustín Butler, 2000 D José Alvareda é hijos, 306* D: Juan Manuel S. Román, 100, D. M. D. D., 320. D. Fermín de Elizalde, 3000. D. Tomas de la Cuesta, 500. Don Alexandro de la Parra, 500. D. Fermin R…</t>
  </si>
  <si>
    <t>Alvares, Manuel</t>
  </si>
  <si>
    <t>Manuel Alvares</t>
  </si>
  <si>
    <t>ro ; y subtenencias, á D. Agustín Ma­ gín D mienten, D. Pedro Cuir y D. Fra ncisco Sniglesias. Y en el de voluntarios J.p de Borbast.ro, cornosíiía á D. Manuel Alvares; empleo de capitán 2.° á D. Antonio Silgado; segunda ayudantía a D. Juao Saravia ; tenencia á D. Antonio Munarriz; y subte­ nencia á D. Francisco Sai j urjo. S…</t>
  </si>
  <si>
    <t>Alvarez</t>
  </si>
  <si>
    <t>Gazeta de la Regencia de España e Indias n.º 1</t>
  </si>
  <si>
    <t>del Padre Santo : que el divor­ cio del emperador ha sido mal recibido en Francia, en especial de las mugeres, que claman contra .esta ley; y que al general Alvarez, gobernador que defendió á Gerona, lo han vuelto á Perpiñan, y creen será arcabuceado por varios cargos que le hacen, uno de ellos por no haber guardado el jurame…</t>
  </si>
  <si>
    <t>Alvarez, Andrés</t>
  </si>
  <si>
    <t>Andrés Alvarez</t>
  </si>
  <si>
    <t>Gaceta de Madrid n.º 9</t>
  </si>
  <si>
    <t>s representadas por la revolución francesa : y en niente de cura de la parroquia del Buen-Retiro: á vano cambien un corto número de personas de cien­ D. Andrés Alvarez, ex-religioso de S. Francisco, cia y de virtud acrisoladas oponían los exemplos de para una ración de la catedral de Tudela : á D. Ju­ una conducta prudente y …</t>
  </si>
  <si>
    <t>Alvarez, José</t>
  </si>
  <si>
    <t>José Alvarez</t>
  </si>
  <si>
    <t>ue Martínez, 50. D. José Antonio de Cevallos , 100. D..Juan Francis­ co de Senties, 100. D. Joaquin Pérez de Arce, 100. D. Julián de Cortabuena, 100. D. José Alvarez, 100. D. Pedro Miguel de Echevarría ,.200. El Sr. Bri­ gadier D. Manuel Mascaré , 100. D: Juan Su are z , 25. D. Manuel de Luna, 25. 1). Ramón de Echavarría, 50.…</t>
  </si>
  <si>
    <t>Alvarez, Melchor</t>
  </si>
  <si>
    <t>Melchor Alvarez</t>
  </si>
  <si>
    <t>Gazeta de la Regencia de España e Indias n.º 77</t>
  </si>
  <si>
    <t>24</t>
  </si>
  <si>
    <t>van­ guardia del enemigo, sostuvo el punto con el mayor arrojo, pe* netró sus filas, y recibió 9 golpes sobre su coraza. El coronel del 1.® de Saboya D. Melchor Alvarez marchó el 15 con su división y la partida de ex-contrabandistas en busca de los enemigos 5 que estaban saqueando los pueblos de S. Jorge y Tray güera; pero ll…</t>
  </si>
  <si>
    <t>Alvarez, Miguel de Secos</t>
  </si>
  <si>
    <t>Miguel de Secos Alvarez</t>
  </si>
  <si>
    <t>ona-, y del deseo de sacrificarme en sei vicio D. Juan de Arrieta Bravo para el de Bu'gui­ vuestro. llo*. „ Soi con el mas profundo respeto = Señor = D. Miguel de Secos Alvarez para el de No­ de V. M. I y R. — H| mui humilde y mui obe­ blezas. diente servidor y fi.l vasal.o.= Rirmado=el duque D. Juan Francisco Gómez para el d…</t>
  </si>
  <si>
    <t>Alvarez, Pablo Vicente</t>
  </si>
  <si>
    <t>Pablo Vicente Alvarez</t>
  </si>
  <si>
    <t>o ministro interino de Negocios eclesiás­ Para el de Lario t vacante por moerte de Don ticos queda encargado del cumplimiento de este Angel Rivero, á D. Pablo Vicente Alvarez, cura decreto.= Firmado = YO EL REI. = Por S. M. el de Villavente. ministro secretario de E$tado= Firmados:Mariano Para el de San Llórente del Páramo, v…</t>
  </si>
  <si>
    <t>Alvarez, Pedro</t>
  </si>
  <si>
    <t>Pedro Alvarez</t>
  </si>
  <si>
    <t>Gaceta de Madrid n.º 88</t>
  </si>
  <si>
    <t>onio Diputación de la ciudad y clero de Gtiadix. Argamasilía , maestrante de Sevilla. Diputados por la ciudad :D. Antonio López» Por el clero: El Dr. D. Pedro Alvarez,digni­ síndico personero 6 procurador del común; D. Jo- dad de maestre-escuela; el Dr. D. Manuel Centc•ef ViJlanueva , abogado; D. Francisco Tarrago, ro, magist…</t>
  </si>
  <si>
    <t>Alvarez, Sinforiana</t>
  </si>
  <si>
    <t>Sinforiana Alvarez</t>
  </si>
  <si>
    <t>Cañas.......................... 11603 28 D. Apo'inar de Iguana............... ........ I 2CO D. Ma nuil María Ibañez....................... 10603 28 Doña Sinforiana Alvarez....................... 42 0 2 2 5 D. Joset de Goya.................................... 2731 4 D&lt; ña joaquina Larrea............................ 4202. - V …</t>
  </si>
  <si>
    <t>Alvarez, Vicente</t>
  </si>
  <si>
    <t>Vicente Alvarez</t>
  </si>
  <si>
    <t>; en el Inmemorial del Rey, el empleo de sargento ma­ yor a D. Luis de Alfaraz ; en el de León , compañía á D. José Mariano Rodríguez ; ayudantía, k D. Vicente Alvarez ; tenen­ cias, á D. José Arechaga , D. Francisco Galan , D. Bernardo Cobian , y D. Francisco San Pedro ; subtenencias á D. Víctor Restrebada, D. Nicolás Marino…</t>
  </si>
  <si>
    <t>Alvarez, Víctor</t>
  </si>
  <si>
    <t>Víctor Alvarez</t>
  </si>
  <si>
    <t>uín Hidalgo, D. Francisco Dacosta , D. Fer­ nando Barbolla, IV José CansLo, D. Fernando Teruel, D. José A-mat, IV A*gu¡»tin Amat, D. Pedro Aívarez, y D. Víctor Alvarez. Por él Excmo. Sr. D. Francisco de Egura, Secretario de Esta­ do y del Despacho -un i versal de la guerra-, s*e ha circ ulado á ios generales eurefe dé los exé…</t>
  </si>
  <si>
    <t>Alvaro, Frutos</t>
  </si>
  <si>
    <t>Frutos Alvaro</t>
  </si>
  <si>
    <t>ojó á los bandidos que hu­ La diputación de Madrid, compuesta de los yeron precipitadamente hácia el lugar de Oimilios, quatro regidores m-s antiguos D. Frutos Alvaro á cuya entrada observó que lo* bergantes aposta­ Beniro, D. Marrin de Huici, D. Manuel García ban un centinela. D. Josef Corral se retiró con su de la Prada y D…</t>
  </si>
  <si>
    <t>Alverola, Juan Bautista</t>
  </si>
  <si>
    <t>Juan Bautista Alverola</t>
  </si>
  <si>
    <t>e alcalde nalla, y de que ellos son víctima. mayor, que tvsu'ta vacante por la promoción de El comandante Bonini acaba de venir de una cite último, á D. Juan Bautista Alverola. expedición, en que ha recorrido con la tropa que S. M. ha prom &gt;vido á oidores de la audiencia mandaba toda la campiñ 1 de Córdoba , habiendo de Sevil…</t>
  </si>
  <si>
    <t>Alvinci</t>
  </si>
  <si>
    <t>Gaceta de Madrid n.º 12</t>
  </si>
  <si>
    <t>49</t>
  </si>
  <si>
    <t>titud; pero no hai duda que la res se han conferido á los feld-mariscales, el dé la suma de 1200 florines, que se contaba antes de la Hungría al feld-mariscal Alvinci, el de la Galiitzia última guerra, incluyendo los billetes del banco de á Eellegarde, el de la Bohemia á Koilowrath, y al Viena, se ha aumentado considerablemen…</t>
  </si>
  <si>
    <t>Alvioci</t>
  </si>
  <si>
    <t>mpo del anterior gobier* Mauricio Lichtenstein, y de un número propor­ no subsistirá como antes, y hará el servicio militas cionado de artilleros. El general Alvioci es el co- de la ciudad como la guardia cívicas muudante en ge fe de estas tropas. WURTEMBERO. AUSTRIA. Síuttgardt 12 de junio.' .Viena 4 de junio. En ón artículo…</t>
  </si>
  <si>
    <t>Alvit, Antonio</t>
  </si>
  <si>
    <t>Antonio Alvit</t>
  </si>
  <si>
    <t>..... ¿5760 Idem.............................. .564194 i'.;. D. J oso Auto cío .de. Irusta MMMttiPMPP 163800 D. Antonio Pedas.,............ 165582 28 D. Antonio Alvit[ez,i&lt;&gt;.-.„,..A........... 90720 B.Osbntl 9866 10* 15. Lntrda............... .439*9 D. Josef Luis Sape 6255I i2f; DoñaMargarita.JáuregUi^-.,............ 46080 D.…</t>
  </si>
  <si>
    <t>Am, Vicente</t>
  </si>
  <si>
    <t>Vicente Am</t>
  </si>
  <si>
    <t>Gaceta de Madrid n.º 204 (suplemento)</t>
  </si>
  <si>
    <t>896</t>
  </si>
  <si>
    <t>”55 ella fue antes viña, de 7 fán., y Jinda Otra en el mismo sitio, que linda á orien­ í levante con el camino de Malpaga por te con viña y tierra de D. Vicente Am­ mano derecha........................................... 15-17 34i brosio de Aguirre, de 7 faneg. y 8 cele­ Otra en el mismo parage y Posteruelos, mines...........…</t>
  </si>
  <si>
    <t>Amafia</t>
  </si>
  <si>
    <t>tubre k Hambutigo, eimamiaándose k aquel reyno. El rey de Dinamarca ha mandado se 'lefcbseqme al pa­ so por sus. estados. : í ¡Del X%de noviembre. La princesa Amafia, hija-menor del rey, falleció el dia 2. del corriente., de edad de 27 años. — Su nugusto^padreque l^Lganaba tiernamente, no ha podido menos 4e&gt;experimentar los e…</t>
  </si>
  <si>
    <t>Amalia</t>
  </si>
  <si>
    <t>Donativo, suscripción o relación nominal</t>
  </si>
  <si>
    <t>tud de una orden del gobierno todos los de las archiduquesas Teresa y Leopoldina, de propietarios dé los capitales impuestos en países SS. AA. RR. la princesa Amalia y el príncipe An­ exirangeros están obligados á pagar la contribución tonio de Saxonia, asistieron ayer noche al baile sobre todo género de rentas y capitales, á…</t>
  </si>
  <si>
    <t>1310</t>
  </si>
  <si>
    <t>aban á fuego, y al mo­ con Ja mayor magnificencia los dias de sn Sobera­ mento acudió al parage del incendio, dando las no. SS. MM., SS. AA. RR. y la princesa Amalia órdenes convenientes para atajarlo, y animando á de Badén honraron con sn presencia la fiesta que todos los vecinos. Estando en esto, se desplomó te dió en el pa…</t>
  </si>
  <si>
    <t>Amalia, María</t>
  </si>
  <si>
    <t>María Amalia</t>
  </si>
  <si>
    <t>Gaceta de Madrid n.º 53</t>
  </si>
  <si>
    <t>219</t>
  </si>
  <si>
    <t>ular asiste á ellas el Rci, el qual se detiene tratada con una distinción mui particular la joven muchas veces á hablar con los oficiales y soldados. princesa María Amalia , hija del príncipe Maximi­ S. M. ha declarado que en lo sucesivo será respon­ liano , y que no liega a 16 añoO sable el comandante de cada regimiento de l…</t>
  </si>
  <si>
    <t>Amar, Felipe</t>
  </si>
  <si>
    <t>Felipe Amar</t>
  </si>
  <si>
    <t>Hermida , diputado por'el reytío de Galicia: el Marques de Viiíafranca, por el de Murcia: D. Felipe Amar/por el principado de Cataluña: D. Antonio Olivero?,' por la provincia de Extremadura : D. Ramón Povcr, por la isla de Puerto Rico: D. Ramón Saris , por la ciudad de Barce­ lona : D. Juan Valle, por Cataluña: D. Plácido</t>
  </si>
  <si>
    <t>Amarillas, Nicolás</t>
  </si>
  <si>
    <t>Nicolás Amarillas</t>
  </si>
  <si>
    <t>o-chico , 25. El subdelegado B. Ramón St&gt;to , 25. Varios individuos , 63. — Tesopaco.- El presbítero B. Ignacio Lorenti , 8. I). Victoriano Gil, 100. D. Nicolás Amarillas, 15. D. Hermenegildo La pisco , 10. D. Francasco Encinas , 15. Varios individuos , 21 pesos y 4 reales. •—- Barot/eca. El cura D. José Villegas, 50. D. Bern…</t>
  </si>
  <si>
    <t>Amat, Felipe</t>
  </si>
  <si>
    <t>Felipe Amat</t>
  </si>
  <si>
    <t>Gazeta de la Regencia de España e Indias n.º 68 (extraordinaria)</t>
  </si>
  <si>
    <t>676</t>
  </si>
  <si>
    <t>os que sean por S. M. los respectivos á 3). Benito Ramón de Hermida , procurador por el reyno de Galicia; el marques de Yillafrañca por el de Murcia; D. Felipe Amat por el prin­ cipado de Cataluña; D. Antonio Oliveros por * ' - \ Y ,Í y . ^ la provincia de Extremadura; IX Antonio Samper por él réyno déi Yáleneia, ^ Di RansonP…</t>
  </si>
  <si>
    <t>Amat, Francisca Antonia</t>
  </si>
  <si>
    <t>Francisca Antonia Amat</t>
  </si>
  <si>
    <t>de Muzquiz..........!........ 216000' ' D.: Sebastian de Ricos A ltos.............. v 2 r 84 16 D- Josef Maríade Roxas................. 360000 ' ' ' Doña Francisca Antonia Amat4i.r.6.ú. U 5700 “ D. Manuel:Perez Camino................ 3f 18'. 6 D.- Jorge Similier.-............ ■ 25629 16Í D. Francisco deVárgas.,,....'3753"20! …</t>
  </si>
  <si>
    <t>Amaya, Andrés</t>
  </si>
  <si>
    <t>Andrés Amaya</t>
  </si>
  <si>
    <t>Gazeta de la Regencia de España e Indias n.º 27</t>
  </si>
  <si>
    <t>D. Felipe Cassoni , canónigos de la santa iglesia de Sevilla ; k D.. Vicente F«rrer García, D. Vicente Lobo y Arjona , D. Andrés Amaya, D.. Miguel de MaÁauaga y D. Nicolás Leso y Garro, ra­ cioneros d* ia sn&gt;ama ; á D. Miguel LuL González, D. Joaquín de Reyna y D. Francisco de Saits Rodríguez, medios racionero* de ella ; k</t>
  </si>
  <si>
    <t>Ambéres, Andrés de Ro</t>
  </si>
  <si>
    <t>Andrés de Ro Ambéres</t>
  </si>
  <si>
    <t>Gaceta de Madrid n.º 158</t>
  </si>
  <si>
    <t>666</t>
  </si>
  <si>
    <t>a subteniente en el regimiento de Málaga, 6.° de lí­ antes Jena. nea, á D. Luis Pavist subtenientes en el regimien­ to de Infantes, io.° de línea , á D. Andrés de Ro­ Ambéres 13 de mayo. bledo Odriscols, D. Josef Martin y Barreiro y S. M. ha salido esta mañana de Flesinga, y D. Josef de Araujo: capitán de infantería de línea …</t>
  </si>
  <si>
    <t>Ambrosio</t>
  </si>
  <si>
    <t>Gaceta de Madrid n.º 15</t>
  </si>
  <si>
    <t>ste am­ ' Estos dos últimos personajes que acabo de nombrar, y paro la preciosa niña: Hortensia (asi se llama)-Teuné adttnás los otros dos 'parientes D. Ambrosio , negociante toda* las prendas que necesita una muge, para hacerse quéTfOiconoce mas.Dios que su ínteres, y Doña Rosa, querer: oriunda de países ¿xtrangeros está yi …</t>
  </si>
  <si>
    <t>Gaceta de Madrid n.º 152</t>
  </si>
  <si>
    <t>640</t>
  </si>
  <si>
    <t>í nn hai mas que un hacinamiento aplausos. Cfisñam ha execntado con perfección el na­ confuso de especies, una acción informe, lances irfveri- pe! de D. Ambrosio, Es el vivo retrato de ap mercader •ímile», episodios inconexo», caracteres mil expresados avaro é interesado ,• que r,o piensa en casarse sino por ó mal naúoeidos; …</t>
  </si>
  <si>
    <t>Gaceta de Madrid n.º 320</t>
  </si>
  <si>
    <t>1430</t>
  </si>
  <si>
    <t>ducido á tal extremo, y apetezca de ó 250 hombres, todos de tropas napolitanas, entre otra mas generosa el bien de qae carece. los quales se halla el coronel Ambrosio y algunos oficiales subalternos. Málaga 18 de octubre. ,, En los dias 18, 19, 20 y 21 no ocurrió nin­ guna novedad particular. ORDEN DEL DIA. ,, El n se di¿ ord…</t>
  </si>
  <si>
    <t>33</t>
  </si>
  <si>
    <t>si­ guiente cayeron en poder del enemigo. El número de estos prisioneros asciende de 200 á 2.50 hombres, todos de tropas napolitanas, entre ellos el coronel Ambrosio y algunos ofi­ ciales subalternas,” — * ITALIA, Ndpoles 3 de octubre. Múrát ha llegado aquí esta mañana»</t>
  </si>
  <si>
    <t>Ambtosio, Vicente</t>
  </si>
  <si>
    <t>Vicente Ambtosio</t>
  </si>
  <si>
    <t>, de 7 fán. y y „t a estad., y linda á levante con unos 9 celem., que linda á poniente con acirates que descuelgan á tierras del con­ tierra de dicho D. Vicente Ambtosio cejo de Sacedon........ . ............................. 38-i 7 8 47 de Aguirre............................................... .11 4Ó2 Otra de 4 fan. y 11 cel…</t>
  </si>
  <si>
    <t>Amelia</t>
  </si>
  <si>
    <t>Gaceta de Madrid n.º 157</t>
  </si>
  <si>
    <t>carta pfVctuosa con que os Se han recibido noticias de la feliz llegada de habéis dignado acompañarles. Yo agradecido á es­ SS. MM. y de S. A. R. la princesa Amelia á Lo- tas demostraciones t. ¡i distinguidas de vuestra be­ rau. El Rci, aunque se hallaba bastante cansado nevolencia, me apresuro á ofreceros la expresión de una…</t>
  </si>
  <si>
    <t>Gaceta de Madrid n.º 354</t>
  </si>
  <si>
    <t>mejo-aJo.” .Londres 8 de noviembre. Reinoids &amp;c. &amp;c. &amp;c. El domingo último ha sentido S. M. algún ali­ Windsor to dé noviembre. vio. La muerte de la princesa Amelia ha sido anun­ „S. M. está, á nuestro modo de entender, hoi ciada al Rei, ó por mejor decir la ha presentido «por la mañana mejor que de cinco á seis dias á S. M.;…</t>
  </si>
  <si>
    <t>1583</t>
  </si>
  <si>
    <t>general, están fuertes y ro­ te se vestirá de luto durante dos meses por el bustos , y que sufren las privaciones y las fatigas fallecí miento de la princesa Amelia de Inglaterra, mejor que los de nuestros mas brillantes regimien­ hermana segunda de S. M. la Reina de Wur- tos,),’ que su actividad no es menos asombrosaque temb…</t>
  </si>
  <si>
    <t>Ámestol, Francisco Xarin</t>
  </si>
  <si>
    <t>Francisco Xarin Ámestol</t>
  </si>
  <si>
    <t>o» y para abanderado O, Francisco Antonio de las Rivas. D. Grwimiro de Vargas.......... D. Angel del Monée y Puente* j »' B. EsitfbanTomé.,.......... D. Francisco Xarin Ámestol. "2</t>
  </si>
  <si>
    <t>Amí, José</t>
  </si>
  <si>
    <t>José Amí</t>
  </si>
  <si>
    <t>da; y de subteniente &amp; D. Antonio Ramos, sargento l.p del regimiento de infantería de Murcia. En el regimiento de infantería de la R^yna, compañías á D. José Amí, D, Joaquín Loyzaga , D. Juan Quesada y D. Heraclio de Alais: ; tenencias de cazadores , á D. Pedro Benavides , y de fu­ sileros a D. Angel García , y subtenencia á …</t>
  </si>
  <si>
    <t>Ammon</t>
  </si>
  <si>
    <t>Gaceta de Madrid n.º 317</t>
  </si>
  <si>
    <t>duanas cuidará de que se la universidad, la qual tiene para mantenerse sus dé cumplimiento y execucion á lo resuelto por el fondos independientes. El profesor Ammon , uno consejo, y aprobado por el ministro de Hacienda. de los sabios mas célebres de la universidad1 de 7.0 El pago del precio de las mercancías con­ Erlangen, no…</t>
  </si>
  <si>
    <t>Amor</t>
  </si>
  <si>
    <t>manos de las guerrillas; las quales se apoderaron asimismo en Guadarrama de 6 tiros de muías de José Bonaparte. Por entonces también la guerrilla del comandante Amor degolló en Ezcaray mas de 50 lanceros franceses, derrotó á otros que salieron de Santo Domingo de la Calzada en su bus­ ca-, los persiguió 2 leguas, y los encerr…</t>
  </si>
  <si>
    <t>lla. De Burgos dicen con fecha de 11 del mÍMiio, que allí cor­ ría que en Santander iban á desembarcar tropas inglesas : que en la sierra de Soria el comandante Amor, después de haber</t>
  </si>
  <si>
    <t>Amoraga, Bonifacio</t>
  </si>
  <si>
    <t>Bonifacio Amoraga</t>
  </si>
  <si>
    <t>Gaceta de Madrid n.º 183</t>
  </si>
  <si>
    <t>do presidente de la de Málaga. ña Francisca de Velasco................. 24000 D. Bernardino Lillo, D. Juan Alaminos y Doña Jesusa y D. Joaquín Calvo, D. Bonifacio Amoraga quedan igualmente noiáhermanos...................... 24000 brados jueces de la misma junta. D. Pedro Meruendano y González.... 44000 art. 11. Nuestro minist…</t>
  </si>
  <si>
    <t>Amparan, Antonio Armendariz y Doña Francisca</t>
  </si>
  <si>
    <t>Antonio Armendariz y Doña Francisca Amparan</t>
  </si>
  <si>
    <t>é Salcedo , 6. D. Faustino Peynado, 6. Varios individuos 53 y 4 reales.--- Sta. Bár­ bara. El subdelegado D. Manuel Herdiz, 15- D. C riaco Salas, 20. D. Antonio Armendariz y Doña Francisca Amparan, 12 Varios iodir viduos 48 y 6 rs. Los vecinos de S. Miguel de Crrrogordo, 17 y 5. --Cosiguiriacht. D. José Ignacio Villegas, á ma…</t>
  </si>
  <si>
    <t>Ampudia, José</t>
  </si>
  <si>
    <t>José Ampudia</t>
  </si>
  <si>
    <t>e Toda, D. Juan Pablo Sebastian, y D. Francisco Huarte; á tenientes , los subtenientes D. Francis­ co Ramírez , D. Ramón Mateo, D. Valentín Ampudia , D. José Ampudia, D. Tomas de Benavides , D. Manuel Albo, D. Miguel ligarte , y D. Antonio Montenegro. CADIZ : EN LA IMPRENTA REAL.</t>
  </si>
  <si>
    <t>Ampudia, Josef García</t>
  </si>
  <si>
    <t>Josef García Ampudia</t>
  </si>
  <si>
    <t>ne; pero tiene contra sí el no Carlos Tejada , teniente que fue de perseguidores ser. susceptible de aquel ínteres y aquella variedad de Andalucía, á D. Josef García Ampudia , y i &gt;que son indispensables en un poema de esta espe­ D. Benito Tortosa, teniente que igualmente fue cie. Ni el autor ha podido remediar esta falta con…</t>
  </si>
  <si>
    <t>Ampudia, Valentín</t>
  </si>
  <si>
    <t>Valentín Ampudia</t>
  </si>
  <si>
    <t>Rodríguez, D. Félix de Toda, D. Juan Pablo Sebastian, y D. Francisco Huarte; á tenientes , los subtenientes D. Francis­ co Ramírez , D. Ramón Mateo, D. Valentín Ampudia , D. José Ampudia, D. Tomas de Benavides , D. Manuel Albo, D. Miguel ligarte , y D. Antonio Montenegro. CADIZ : EN LA IMPRENTA REAL.</t>
  </si>
  <si>
    <t>Ams</t>
  </si>
  <si>
    <t>Gaceta de Madrid n.º 203</t>
  </si>
  <si>
    <t>de Vaud ha termi­ En un diario de Baltimore se dice que el duque nado sus sesiones. Uno de los objetos eo que se ha de Cadora ha enviado una carta al general Ams- ocupado ha sido el examen de la primera parte del trong, en la. qual censura la falta de dignidad y código Napoleón , en la-qual se han hecho algunas energía qoe el…</t>
  </si>
  <si>
    <t>An, José</t>
  </si>
  <si>
    <t>José An</t>
  </si>
  <si>
    <t>9Í2 D.Jjan. Pedro Iiurralde, $o. D. José Binito Fernandez i£&gt;. D. José An­ drés Vázquez, io. D. Faustino Fernandez, 30. D. Pedrtf Collantes, 15. D. Juan Bautista Machinena, 30. Los dueñ s de la hacienda de S. Juan Bautista, 20. Varios individuos 35 —— Coy ame. Timoteo Franco,</t>
  </si>
  <si>
    <t>An, Manuel</t>
  </si>
  <si>
    <t>Manuel An</t>
  </si>
  <si>
    <t>Gaceta de Madrid n.º 170</t>
  </si>
  <si>
    <t>00 -&gt; clones sobre su fomento y prosperidad, sobre sus con­ 1 Bibliotecario............................... r8oco tribuciones y gabelas &amp;c. : su aútof D. Manuel An-" tonio Rodrigue?. Se hallará en la imprenta y librería 183000 de A Iban y compañía, calle de las Carretas: su pre­ cio 5 rs. 1 tan en la tuina i y que en nada cont…</t>
  </si>
  <si>
    <t>An, Pedro</t>
  </si>
  <si>
    <t>Pedro An</t>
  </si>
  <si>
    <t>btenientes D. Francisco Tajuelo, D. Antonio P.mentel , D. Andrés Martinez Pínillcs, D. Joan f ran­ cisco Salido, D. Juan Corral, D. Francisco Corral, D. Pedro An­ drés Gómez, D. Juan Sánchez, D. Jo;é Segovia, D. Marcos Jáuregai, D. Femando Negra, D. Joaquín Antonio Navarro y D. Antonio Ximenez; y á subtenientes, a D. Manuel M…</t>
  </si>
  <si>
    <t>Ana</t>
  </si>
  <si>
    <t>Gaceta de Madrid n.º 142</t>
  </si>
  <si>
    <t>rece, so que le sujete. Acostumbrado á su plena libertad y á Sn lista de despreciadas fue placeres, se incomoda con sola la idea de la en­ Pondré úna Doña Ana mas; mienda. Es cemo muchos hombres que son malos para Y «¡'acaso se me eecapa vivir con iras anchura, y que acaso, lo serian mas si no Conociindome, me quedo hubiese l…</t>
  </si>
  <si>
    <t>Gaceta de Madrid n.º 147</t>
  </si>
  <si>
    <t>ril de 1810. enviado foeizas respetable», á .la fronte raje s» ter­ S. M. la E » p. ratriz M iría, luego que llegó ritorio. í Nfowogorood cou la gran duquesa Ana ^awlowna', Los rusos se van reuniendo en la Valaqoia, y se fue en derechura á la i/lesia catedral, y.se dig­ según los preparativos que hacen ellos y los turcos nó a…</t>
  </si>
  <si>
    <t>Gazeta de la Regencia de España e Indias n.º 33</t>
  </si>
  <si>
    <t>276</t>
  </si>
  <si>
    <t>aciones con Francia, y que ha so­ lí lo dar muestras de interes por la causa de los patriotas españo­ les. La acompaña á en el vía ge sn hija la gran duquesa Ana, que es la que los diarios del No?te designaron por espe sa de Napoleón, y que debió a la solicitud maternal el evitar esta terrible desgracia. Francfort 25 de abril…</t>
  </si>
  <si>
    <t>Gazeta de la Regencia de España e Indias n.º 51 (extraordinaria)</t>
  </si>
  <si>
    <t>475</t>
  </si>
  <si>
    <t>ue hay aquí contra los cuerpos espa­ ñoles. Reciba vmd., amigo mío, afectuosas expresiones de Alaría Pepa : hágalas en su nombre y el mío á mi señora Doña Ana; y crea siempre que es su finísimo. — Azanzct. VII. A JOSE BONAPARTE. Señor : Me ha parecido conveniente enviar á V. Ai. abiertas las cartas que dirijo con un correo de…</t>
  </si>
  <si>
    <t>Ana, Margarita y Doña</t>
  </si>
  <si>
    <t>Margarita y Doña Ana</t>
  </si>
  <si>
    <t>de Boecillo, y en su non\brc Doña Margarita y Doña Ana........... 460 2 7.. 13 síi apoderado D. Amonio Montaña. 15515)..ai D. Ranton de Landa............................... 36821.-31 El real Hospicio de esta corte, y en su D. Martin de Terrazas</t>
  </si>
  <si>
    <t>Ana, María</t>
  </si>
  <si>
    <t>María Ana</t>
  </si>
  <si>
    <t>Gaceta de Madrid n.º 216</t>
  </si>
  <si>
    <t>1806</t>
  </si>
  <si>
    <t>as órdenes de S. M. el voluntad de S. M.’el Emperador y Rei qué dicha Emperador y Rei? contenidas en su carta sellada,, princesa, hija de S. A. I. la princesa María Ana que está en nuestras manos, recibió Jos nombres Elisa, y de S. A. I. "el príncipe Félix , recibiese de Gerónimo Carlos; .. . los nombres de E isa N.-poleon. Y…</t>
  </si>
  <si>
    <t>Gaceta de Madrid n.º 218</t>
  </si>
  <si>
    <t>21</t>
  </si>
  <si>
    <t>del banco de Viená. En varios condados se Ayer noche llegó aqui de so viage á Carlsbad desea que se trate este asunto en una dieta extra­ S. A. R. la princesa María Ana. ordinaria, y que se nombren en ella los diputados Esta noche han llegado también á esta capital, de la Hungría para la comisión de la' amortización; después …</t>
  </si>
  <si>
    <t>Anca, José Vicente</t>
  </si>
  <si>
    <t>José Vicente Anca</t>
  </si>
  <si>
    <t>D. Joaquín Osorno. -El intendente D. Vicente Basadre, el oidor D. José Gutiér­ rez del Rivero, el coronel D. Manuel del Fierro y el auditor de guerra D. José Vicente Anca, fueron embarcados en lp, corbeta Fortuna y conducidos k Puerto-Rico. Despojadas así y separadas las autoridades legítimas que mandaban en Caracas, los auto…</t>
  </si>
  <si>
    <t>Andeino, Pablo</t>
  </si>
  <si>
    <t>Pablo Andeino</t>
  </si>
  <si>
    <t>rán en ellos el del señor fiscal jubilado de S. M. D. Josef Henrimayor convencimiento de la beneficencia del REI*, quez, del magistral de la catedral D. Pablo Andeino menos importa qne por medio de reflexiones- ro, dé D. Francisco IXiImau y de D. Josef Viei* no menos sabias y juiciosas se ¡nstruyaa de las ven* ma. Este medio …</t>
  </si>
  <si>
    <t>Andeiro, Pablo</t>
  </si>
  <si>
    <t>Pablo Andeiro</t>
  </si>
  <si>
    <t>tar: D. Josef Salazar, mariscal de y cantó la capilla de la santa iglesia. El señor ma­ campo de los reales exércitos , caballero de la orden gistral D. Pablo Andeiro pronunció después un de Santiago. breve pero elocuente discurso, el mas acomodado Por el comercio de Vivero: D. Juan Pedro á las circunstancias. Bergcíra. De al…</t>
  </si>
  <si>
    <t>Andía, José</t>
  </si>
  <si>
    <t>José Andía</t>
  </si>
  <si>
    <t>Gazeta de la Regencia de España e Indias n.º 18</t>
  </si>
  <si>
    <t>146</t>
  </si>
  <si>
    <t>la Cruz , á D. José Portillo , graduado de coronel, á D. Juan García de Paredes, idem , y á D. Manuel Arnaiz : á tenientes coroneles á los capitanes D. José Andía , graduado de coronel , á D. Joaquín de Osma de teniente coronél, al capitán de artilleros á.caballo , gradua­ do de teniente coronel D. Antonio Pardo : á capitanes…</t>
  </si>
  <si>
    <t>Andino, Pedro</t>
  </si>
  <si>
    <t>Pedro Andino</t>
  </si>
  <si>
    <t>eda de ella. laga* En coosecaencia del real decreto de 21 abril D. Vicente Casajus, en la de Sevilla. último sobre la reunión de los cuerpos de maes­ D. Pedro Andino, en la de Xerez. tranzas en sos respectivas capitales, se ha servido art. ii. Nuestro ministro de lo Interior que­ S. M. nombrar por real decreto de hoi á D. N..…</t>
  </si>
  <si>
    <t>Andnrco, Juan</t>
  </si>
  <si>
    <t>Juan Andnrco</t>
  </si>
  <si>
    <t>....... 19814..28 tro ^plenipotenciario del Rei de Westfalia, el barón D. Francisco Perez Criado.................. 4502.. 8 de Ompteda, gentilhombre. D. Juan Andnrco.................................. 12000 Por S. ti. el conde de Beust, ministro pleni­ Doña María de las Mercedes Aguilera , potenciario del Príncipe Primado, el …</t>
  </si>
  <si>
    <t>Andreossí</t>
  </si>
  <si>
    <t>Gaceta de Madrid n.º 58</t>
  </si>
  <si>
    <t>241</t>
  </si>
  <si>
    <t>ta que estaba de guarnición la tarde, y se ap.ó en el palacio que había ocupa­ aqui hace algún tiempo, y se cree que también do el anterior embaxador conde Andreossí. Por marchará inmediatamente con la misma dirección ahora no ha traído mas empleados en la embaxada el 2.0 cuerpo de exército que está acantonado que á su secret…</t>
  </si>
  <si>
    <t>Andreossi</t>
  </si>
  <si>
    <t>cuyos efectos se conservan Paris 20 de octubre. profundamente grabados en la memoria de los ha­ bitantes de aquel reino. Asi es que inmediatamen­ El conde Andreossi, consejero de Estado , y te que principió la erupción de qoe hablamos , un pres idente de la sección de Guerra , ha sido nom­ grao número de curiosos se acercaron…</t>
  </si>
  <si>
    <t>Andrés</t>
  </si>
  <si>
    <t>oan), capitán del tegumento nú­ de la Torre.” mero 1.°, brigada irlandesa. «KAN CANCILLERÍA DE LA Ó ADEN REAL Murga (D. Josef de). DE ESPAÑA. Muriel (D. Andrés), dignidad de abad de santa Cruz, y canónigo de Osma. En nuestro palacio de Madrid á 7 de raer* Naghten ( D. Juan), antiguo coronel de Irlanda. de 1810. Ouis (D. Joaqu…</t>
  </si>
  <si>
    <t>Cir­ guiente : ios de Angeville, coronel retirado ; D. Antonio de articulo, i. ,, Nombramos caballeros de la Or­ Vargas Machuca, capitán de fragata; D. Andrés den Real de España á D. Rafael Ramírez de En­ Laso de la Vega; al conde da ¡as Lomas, y Don cina , canónigo presidente de esta catedral, á Don Josef de Checa y Gijon. J…</t>
  </si>
  <si>
    <t>Gaceta de Madrid n.º 69</t>
  </si>
  <si>
    <t>de estos sugetos, y el cumplimiento de quanto se de ouestra América meridional. D. Andrés de 03-arsirvió ordenar en su citado oficio, no me queda vide perfeccionaba la sonda del rio de la Plata mien­ que añadir sino el protundo respeto con que, se­ tras que con quatro embarcaciones pequeñas , man­ ñor general, queda á la</t>
  </si>
  <si>
    <t>arta. Bourbalki, capitán ayudante mayor de los voltea­ dores de la guardia real, S. M. la Emperatriz Josefina $ai¡ó ayer del elí­ Bnsros y Martínez ( D. Andrés) , comandante del seo Napoleón para ir á pasar alguno» dias en Mal- primer batallón de milicia cívica de Sevilla, maltón. Cabrera (D. Francisco). Algunos destacamentos…</t>
  </si>
  <si>
    <t>Fernandez • 118o; D. Joáef Antonio Girard.....2025 D. Joan Antonio Ma«ao........i.'...... ‘ ; 935 D.Francisco María‘Dufooi.;;;.';.V.......i 8576'23,' D. Andrés, y D.. ladea Perez...;.;..... 7*9*4 Dí Rámon de Posada’y Soto.;.........../ ‘ 16312 i 3 ¡ D. Jqc¡ef &gt;Trilio».~. 11363 * El conde de Guzmaij.v.;...10450 23 ' D. Pedro f…</t>
  </si>
  <si>
    <t>iano , de 4^ fin. , linde-á O^tA'cfe 10 tarf. J cadúno de Daganzo de solano , mayorazgo de Peñ&amp;losa.......... 109-17 24091 arriba, linde la Galeuna-y D. Andrés . :: . : . J Otra en lo; Espártales, camino.viejo de Salcedo......................... A-.. ~..............- 181-17 . 1-3993 Camarina , de 3 fan. en pedazo de 6f, Otra,…</t>
  </si>
  <si>
    <t>Saenz, 25*. D. Bernardo Fernandez ,-2-5". DrPedro Colfófftes, 10. D. Juan Miguel Lavayen, 25. .D. Berharcío «Mires, 3a D. José Hilario Rodríguez, 10. D. Andrés de írazabal, 30-. D. Francisco Iturbe, 25.</t>
  </si>
  <si>
    <t>Andrés, José</t>
  </si>
  <si>
    <t>José Andrés</t>
  </si>
  <si>
    <t>Gazeta de la Regencia de España e Indias n.º 67</t>
  </si>
  <si>
    <t>634</t>
  </si>
  <si>
    <t>á los sobresa­ lientes de la academia militar año de 1810 , que fueron entre­ gados por mí á presencia de todos á los alumnos D. Eulogio Carrascoso , D. José Andrés , D. Anastasio Navas , D. Juan Senovilla, D. M anuel Rodríguez, D. Pedro González, D. Fer­ nando López , D. Santiago Pereyra, D. Cándido María Rosa­ da ; y para m…</t>
  </si>
  <si>
    <t>Andrés, Manuel</t>
  </si>
  <si>
    <t>Manuel Andrés</t>
  </si>
  <si>
    <t>D. Joaquín Manuel de Villalba. Tenientes. D. Juan Manuel Valenzuela. D. Francisco Flores. D. Josef Antonio Rivas. D. Ramón Fernandez. D. Manuel Duro. D. Manuel Andrés. D. Francisco Lefebre Daraur. D. Juan de S. Juan. D. Josef Aleson. D. Matías López de Para. Batallón del quartel de Afligidos. D. Fernando Ruiz Mazo. Capitanes.…</t>
  </si>
  <si>
    <t>Andrés, Saturnino</t>
  </si>
  <si>
    <t>Saturnino Andrés</t>
  </si>
  <si>
    <t>Gaceta de Madrid n.º 334</t>
  </si>
  <si>
    <t>ncisco Casabona, vecinos de Subtenientes. la nominada villa de Olot. Con este motivo se practi­ caron las correspondientes diligencias de inventario, D. Saturnino Andrés. nombrando por defensor de dichos herederos ausentes D. Ja fian Vie jo. al procurador de este juzgado D. Baltasar Marco, 3 D. fíónífício Zaldivar. cuya ihsta…</t>
  </si>
  <si>
    <t>Andújar</t>
  </si>
  <si>
    <t>Gaceta de Madrid n.º 35</t>
  </si>
  <si>
    <t>exército del Norte -para Carta remitida de Andújar 4 Madrid. venir á tomar el de la guardia imperial, y será reemplazado S. E. en aquel por el señor mariscal Andújar *4 de mero de rS.o. „ Amigo miot -Oudinot j deque de Reunió » e;je salió de París coa te he escrirodé Bailen; 1= hago de Andujár : rengo «ste objeto. • ' &lt; salud…</t>
  </si>
  <si>
    <t>Andureó, Juan</t>
  </si>
  <si>
    <t>Juan Andureó</t>
  </si>
  <si>
    <t>....: ••■57061 i D. Domingo de-Vengoa jao98.'24T D. Edmundo Bourke............'..s.f;.;i¡Ui; • 97333 25Í D. Joaquín Calvo..........n.i. ..... .46217) D. Juan Andureó;..................itoib 17 L&gt;. Ramón Serrano......12097 17 D. Domingo Gil................... 39800 8r D- Agustín Pedrayes........ ................ '8980'. D. Jua…</t>
  </si>
  <si>
    <t>Andwosicomo</t>
  </si>
  <si>
    <t>Gaceta de Madrid n.º 14</t>
  </si>
  <si>
    <t>oséxtraogerosy áfos ¡ . . Sean cric ia cama mui próxima la llegada ¿ esta habitantes de Komi para el estadio y la iostrttccion; capital;;de: $c E. el conde Andwosicomo;embarra­ dor de S. M. el Emperador; ie los firaddese» cctaa . jfanci ij de diciembre, ■■ de S. M. el Emperador ce Austuia.‘m-&gt;i ev.¡ ■ i ' ‘ El-Reí dé Saxonia,…</t>
  </si>
  <si>
    <t>Anglada, Fernando</t>
  </si>
  <si>
    <t>Fernando Anglada</t>
  </si>
  <si>
    <t>cia de sus augustos Soberanos. Jáuregui, D. Luis Guillen , D. Lorenzo Oy ,rdo y D. Antonio Djran; subtenientes 3 D. Ma ¡ano París 14 de mayo. R -xas, D. Fernando Anglada , L&gt;. Juan Fiscal y Acaba de llegar de Petersburgo el príncipe D. Juan Andrade. A!ex.mdró Kourakin, hermano del embajador de En el regimiento Real Extrangero…</t>
  </si>
  <si>
    <t>Angosta</t>
  </si>
  <si>
    <t>Gaceta de Madrid n.º 186</t>
  </si>
  <si>
    <t>examinando todo por sí mismo, 4 informándose de todo quan— Cracovia a de mayo. 10 puede contribuir á la felicidad de su puebla SS. MM. y S. A. R. Ia princesa Angosta se Sils cuidados y vigilias no se limitan i la capital han dignado visitar las nueve famosas salinas de del reino de Bohemia , sino qoe qniere s^ber todo Wielick…</t>
  </si>
  <si>
    <t>Angtostia, Juan de Sa Quinta</t>
  </si>
  <si>
    <t>Juan de Sa Quinta Angtostia</t>
  </si>
  <si>
    <t>Gaceta de Madrid n.º 202 (suplemento)</t>
  </si>
  <si>
    <t>Valdecuervos........—........ 4 83 Quatro celen», de tierra incorporados en una Otra de 6 fan., que llaman el Vegon, en la huerta de la capellanía de D. Juan de Sa­ Quinta Angtostia..... ....................................... 16 las, dentro de los quales se hallan 13 ála­ Otras dos contiguas al camino de Colmenar mos negros …</t>
  </si>
  <si>
    <t>Anguiz, Manuel</t>
  </si>
  <si>
    <t>Manuel Anguiz</t>
  </si>
  <si>
    <t>em D. Pedro Campoy , 10. El administrador de rentas D. Manuel Zuloaga, 50. D. Bartolomé Salido, 300. D. Bruno de Palacio, 150. D. Nicolás Alfaro, 10. D. Manuel Anguiz, 50. D. Joan Manuel de Ortiz, 300. D. Antonio Aunada, 150. D. Toribio de Mateo y Ramos, 300. D. Manuel Cayetano Espinosa, 150 D. Antonio de Cevallos, 200. D. Ma…</t>
  </si>
  <si>
    <t>Angulo, Benito</t>
  </si>
  <si>
    <t>Benito Angulo</t>
  </si>
  <si>
    <t>ras. Batallón del quartel de Maravillas. D. Josef Osteret. D. Manuel Zavala Espetillo. Capitanes. D. Rafael Fleuriot. D. Francisco Xavier Berindoaga. D. Benito Angulo. D. Juan Oden y Meneses. D. Antonio San Germán. D. Juan Puente. D. Manuel Carranza. D. Jnan Verdes Montenegro. D. Nicolás María Bretnond. Subtenientes. D. Juan …</t>
  </si>
  <si>
    <t>Angulo, Dionisio</t>
  </si>
  <si>
    <t>Dionisio Angulo</t>
  </si>
  <si>
    <t>, y D. Francisco Federic ; ayudantes, á D. Diego Zapata y D. J¡ a i Diestre; tenencias, á D. Fernando de Prado, D. Manuel Sa­ ladar, D. Félix Aznar , D. Dionisio Angulo , D. Enrique Huelen, D. Agustín Cabrera, D. Manuel Ibarroia , D. Gregorio Arroyo, D. JuanMuguiro , D. Ramón Sánchez , D. José Goyti, D. Domingo Angulo , D. An…</t>
  </si>
  <si>
    <t>Angulo, Domingo</t>
  </si>
  <si>
    <t>Domingo Angulo</t>
  </si>
  <si>
    <t>Dionisio Angulo , D. Enrique Huelen, D. Agustín Cabrera, D. Manuel Ibarroia , D. Gregorio Arroyo, D. JuanMuguiro , D. Ramón Sánchez , D. José Goyti, D. Domingo Angulo , D. Andrés Martínez y D. Antonio Valderas ; y subte­ nencias , á D. José Perez , D. Jorge Bertolld , D. José Fernandez, D. Miguel Henriquez , D. Blas Marín, D.…</t>
  </si>
  <si>
    <t>Angulo, Francisco</t>
  </si>
  <si>
    <t>Francisco Angulo</t>
  </si>
  <si>
    <t>Gaceta de Madrid n.º 42</t>
  </si>
  <si>
    <t>trada , regidor. se ve pintada la bondad, y de coya boca no salen * D. Miguel Cabillas , regidor. sino palabras de paz , de olvido de lo pasado, y de D. Francisco Angulo, maestrante de Sevilla, re­ beneficencia, estos habitantes, en extremo sensi­ gidor. bles á unos-afectos tan paternales, 00 hallan expre­ -’D. Cristóbal de F…</t>
  </si>
  <si>
    <t>la mayor Córdoba iS de febrero. arte la preciosa cosech i de estas provincias, se deen á árboles y plantas de difícil y lenta reproduc­ El limo. Sr. D. Francisco Angulo, consejero ción ; la pérdida de »na cosecha en granos se repa­ de Estado de S. M., y comisario regio de esta pro­ ra , por lo común , en la cosecha siguiente;…</t>
  </si>
  <si>
    <t>Gaceta de Madrid n.º 75</t>
  </si>
  <si>
    <t>ue han ocurrido entre noso­ lendez, catedrático del real colegio de la Asun­ tros, solo aspiran baxo pretextos especiosos i saciar ción. El limo. Sr. D. Francisco Angulo, conseje­ sn venganzay .su rapacidad cqo los bienes de aque­ ro de Estado, y comisario regio en la provincia de llos á quienes la suerte ha favorecido mas, ó…</t>
  </si>
  <si>
    <t>Angulo, Lorenzo</t>
  </si>
  <si>
    <t>Lorenzo Angulo</t>
  </si>
  <si>
    <t>allería de sus defectos. ella: en el regimiento de infantería de Sevilla, 3.0 La batalla de Hastings es el solo que la comi­ •de línea, subteniente á D. Lorenzo Angulo: en el sión cree digno de este examen. de cazadores de montaña de Carmona teniente á El argumento de este poema es una sola bata­ D. Josef María Lezpona, y sub…</t>
  </si>
  <si>
    <t>Angulo, Pedro</t>
  </si>
  <si>
    <t>Pedro Angulo</t>
  </si>
  <si>
    <t>Gazeta de la Regencia de España e Indias n.º 17</t>
  </si>
  <si>
    <t>narias , a los cadetes D. Carlos de Vargas, y D. Juan de Torrius; y agregación ¿e teniente coronel en el regimiento de in­ fantería 2.° de Sevilla, á D. Pedro Angulo. Asimismo se ha dignado conceder grado de coronel de infan­ tería á D. José Ramón de Prats , primer teniente del regimiento de reales guardias VValonas; de coron…</t>
  </si>
  <si>
    <t>AnJinda</t>
  </si>
  <si>
    <t>oronada......... ........................ 220 242 2904 2640 Otra en la calle Cuesta rodadera, ' Otra en la calle del Niño , que que linda con casa de Doña AnJinda con-casa de los herederos tonia: Rodríguez...................... de Don Manuel Ruiz.......... . 242 2904 *43 1716 Otra en la calle Yuste, que linda Otra en la calle…</t>
  </si>
  <si>
    <t>Annstrpog</t>
  </si>
  <si>
    <t>Gaceta de Madrid n.º 89</t>
  </si>
  <si>
    <t>373</t>
  </si>
  <si>
    <t>en sos buques, son.otros tantos Son bastante claras las capciones de !a&gt; carta objetos que merecen la'mayor consideración; y no­ 'de Mr. Champagni al general Annstrpog, fecha en sotros haríamos mui bien ea.«ornar,-de los ingleses Altemborgo el az de agosto, en qaantpá Ips prin­ .un cierto aúmero de rehenes» y conservarlos has…</t>
  </si>
  <si>
    <t>Anque, Antonio</t>
  </si>
  <si>
    <t>Antonio Anque</t>
  </si>
  <si>
    <t>Gaceta de Madrid n.º 108</t>
  </si>
  <si>
    <t>, D. Antonio Paris. Emperador. Quarta ídem. Capitán D. Josef Muñoz, te­ Puesto que S. M. I. no puede contar ya con niente D. Julián Castañeda , otro, D. Antonio Anque continúen las operaciones contra la Holanda, drade, subteniente D. Loicuzo Castañoa, otro, ¡asiste en que seexecute el primer plan, esto es, en D. Josef Mauvheño.</t>
  </si>
  <si>
    <t>ANSEATICAS, CIUDADES</t>
  </si>
  <si>
    <t>CIUDADES ANSEATICAS</t>
  </si>
  <si>
    <t>Gaceta de Madrid n.º 335</t>
  </si>
  <si>
    <t>nada presentan de nuevo. cada por el señor Rupeuheuisen. Sin embargo ,Jtaf algunas mui buenas, que enrique­ cen verdaderamente la literatura alemana. d CIUDADES ANSEATICAS. Las novelas y romances ascienden á 73 , entre los quales hai machas noeyas ediciones y algunas Hamburgo iG de octubre. continuaciones. Mr. de Goethe ha es…</t>
  </si>
  <si>
    <t>Anteayer</t>
  </si>
  <si>
    <t>Gaceta de Madrid n.º 25</t>
  </si>
  <si>
    <t>imas noticias de Estockolmo el Rei está cada dia mejor de su indisposición. Se ha Slesmig 21 de diciembre. decidido que los descendientes varones del príncipe Anteayer, dia del cumpleaños de nuestro go­ Cristiano de Augustemburgo sucederán en el trono bernador general el príncipe Carlos de Hessa , se de Suecia. Ayer pasó por …</t>
  </si>
  <si>
    <t>Anthouard</t>
  </si>
  <si>
    <t>represen­ plón , y no por el de esta ciudad como había pen­ tación estaba firmada por mas de too ciudadanos sado antes. principales de Cantorberi. El general Anthouard y el caballero Alberti, Mrs. Wbod y Bíng, representantes del conda­ nombrados por S. A. I. el piíncipc virei para tixar do de Middlesex en la cámara baxa , han…</t>
  </si>
  <si>
    <t>Antiparras</t>
  </si>
  <si>
    <t>Gaceta de Madrid n.º 166</t>
  </si>
  <si>
    <t>697</t>
  </si>
  <si>
    <t>antigua; esto es sin rflio'-tfh'déíctüdnio..... El diablo son hs muge-es. desperdiciar un ápice, sé sonaron, escupieron, y pre­ «Hablamos, continuó. D Antiparras, .id talento' parados asi pava no interrumpir su interesante sesión con m que han- manifestado los a;farra en la exscudoit de sus alcana de estas urgencias, tomó el …</t>
  </si>
  <si>
    <t>Anto</t>
  </si>
  <si>
    <t>nombre la suprema Junta gubernativa del reyno, concederle los honores de intendente de exército. En consideración al distinguido mérito que contraxo D. Anto­ nio María del Val, capitán del primer regimiento de infantería de Valencia, sorprehendiendo y derrotando en la villa de Verge un cuerpo enemigo de S00 hombres, se ha ser…</t>
  </si>
  <si>
    <t>e estas ex­ D Jacinto Ezpekta: capitán del regimiento n. n.° pediciones, á pagar su costo, y á deliberar sobre de infantería, denominado de Toledo, á D. Anto­ los sucesos pasados y los venideros, me ha pareci­ nio Anguita: capitanes del regimiento n. 2.°de ca­ do que seria, una cosa mui útil presentar á su vista zadores á cab…</t>
  </si>
  <si>
    <t>239</t>
  </si>
  <si>
    <t>venerable cabildo , por mitad, 60©. Ei cabildo de la metropolitana de México ; .50© El de ía de Vsdladolid, 40©. El señor/arzobispo-.de México; 34)©. D. Anto­ nio Rasoco , contador honorario de exéreito y 25© , y anuales, 10®. Varios vecinos déla ciudad de Guanajnato ; 44,781 , comprehendidos 2© que dió el intendente y 5© el.…</t>
  </si>
  <si>
    <t>or una partida depatriotss.—-Ayer llegó un correo interceptado en el camino desde Córdoba á Fuenteovejuna después de una reñida acción mandada por el sargento Anto­ nio Pisenti , en que murieron 3 franceses de la escolta. Las noticias de Madrid son que el 14 de mayo entró allí José Eonapsrte, y que corría la voz de que iba á …</t>
  </si>
  <si>
    <t>con un fuego vivo se apo­ deraron de ellas, y aprovechando este momento, persiguió al enemigo hasta las murallas de Ronda con la mayor intrepidez el sargento Anto­ nio García con 8 caballos, los que á su retirada me aseguran que el ene­ migo queda encerrado en Ronda : todos se han portado con valor. -- Es­ pero la orden deV, …</t>
  </si>
  <si>
    <t>Gaceta de Madrid n.º 349</t>
  </si>
  <si>
    <t>ra pa­ D. Juan Peñalver ;. los facultativos D..Juan Bau­ gar las cantidades que se Ies adelanten ea el tér­ tista Parroisse , nuestro primer médico ; D. Anto­ mino de quatro años ,-que se principiarán á contar nio Cibat, inspector de sanidad de nuestra real desde él de 1815 guardia; D, Josef Mariano Moz¡óo,.vicé presiden­ te …</t>
  </si>
  <si>
    <t>Anto, Josef</t>
  </si>
  <si>
    <t>Josef Anto</t>
  </si>
  <si>
    <t>de­ misma arma subteniente á D. Antonio Pomps: en cretamos lo siguiente: los cazadores de montaña de Córdoba subteniente articulo i. ,,Se destituye á D. Josef Anto­ á D. Josef Alfaro. nio Garnica del obispado de Osma, a D. Francis­ Por decreto del mismo dia quedan nombrados co Mateo Agniriano y Gómez del de Calahorra, y ofici…</t>
  </si>
  <si>
    <t>Anto, Juan</t>
  </si>
  <si>
    <t>Juan Anto</t>
  </si>
  <si>
    <t>s y Lasos A D. Tadeo Soler y Casas, oidor de Granada, para la alcaldía mayor de Sanlúcar de BirráiÜeda, presidente. vacante igualmente por ascenso de D. Juan Anto­ 1. ° Juez á D. Antonio de la Parra, alcalde del nio Aidama á juez en el tribunal criminal extraor­ crimen en Granada. dinario de Xerez de Ik Frontera , á D. Juan F…</t>
  </si>
  <si>
    <t>Antolín</t>
  </si>
  <si>
    <t>o retrato de un avaro si.fia y soltura: ha manifestado enternecerse al oir pa- negociante; González y Oros dan muestras de talento y sages en boca de D. Antolín , que hacen honorá la plu­ de estudio: las Sras. García,, Virg y Rosario contribuma y a! corazón d.el autor. yen Cefica¿tnente, cada una por su parte al huen éx ito P…</t>
  </si>
  <si>
    <t>Antolin</t>
  </si>
  <si>
    <t>parientes dos de talento á no dexar este sepultado en la obscu­ son interesantes. ridad y en el olvido; pues debemos comunicarnos mu­ lil carácter de D. Antolin es admirable por las be­ tuamente nuestras luces, nuestras ideas y nuestros cono­ llas qualidades que le adornan. cimientos, como que este es un medí* seguro para acc-</t>
  </si>
  <si>
    <t>Antolioez, Josef</t>
  </si>
  <si>
    <t>Josef Antolioez</t>
  </si>
  <si>
    <t>diligencia alguna para descubrir 1» franciscaao, lector y examinador sinodal. explicación, ó poner en claro la verdad de los he­ Para la de Guenexa á D. Josef Antolioez&gt; ex­ chos obscuros, y aun ea algunos seria fácil pro­ mercenario calzado» lector, comendador y cxámi-' barle falta de exactitud. oador sinodal. En esta histor…</t>
  </si>
  <si>
    <t>Antón</t>
  </si>
  <si>
    <t>r ;L- IJI D. Antonio de Lara Trillo, D. Antón!» de Castre «1, D. Joaqnla Paitor, D: fétef de loi itioy," Perez, D, Pedro Molina Gallardo, P. Joan Mati- D. Santos’ Quijada. • ; ■: r ‘ - r. 11a Rouriguez Linares, D. Maceo Borrego López,</t>
  </si>
  <si>
    <t>Antoni</t>
  </si>
  <si>
    <t>Gaceta de Madrid n.º 309</t>
  </si>
  <si>
    <t>la Mr. BamáS no ha hecho uso para este cultivo ciudad de S. Lúáar de E rratneda qnedfan promo­ ni de invernáculos, ni de encerados , ni de cam­ vidos D. Antoni^ deNuerosá comandante de1* ba­ panas: el buen éxito de esta cosecha se debe prin­ tallón en la vacante de ’D. Miguel G^rin ; D. Jo­ cipalmente á la preparación que sup…</t>
  </si>
  <si>
    <t>Antonia</t>
  </si>
  <si>
    <t>la, D. Juan En­ art. 11. Nos propondrá por nuestro minittr® tero. de Marina quanto crea conveniente para llenar este Subtenientes. D. Joaquín Sotelo, D. Antonia objeto con arreglo á los establecimientos navales. Mendiberri, D. Manuel Mandli, D. Dionisio Lasart. iii. Nuestro ministro de Marina queda serra , D. Lnis Duran, D. J…</t>
  </si>
  <si>
    <t>Gaceta de Madrid n.º 249</t>
  </si>
  <si>
    <t>1107</t>
  </si>
  <si>
    <t>tido el asunto de la unión de la Irlanda Reina, con la princesa Augusta , con el príncipe y á la gran Bretaña;y en ella,después de algunos de­ con la princesa Antonia, á fin de visitar allí á bates , se han.tomado dos resoluciones contraía S. M. la Emperatriz de Austria antes que esta So­ unión , imputando las desgracias que …</t>
  </si>
  <si>
    <t>Antonio</t>
  </si>
  <si>
    <t>LLERÍA DE LA ÓRDEN REAL Hacienda. DE ESPAÑA. Boutelou (D. Claudio), director del jardin bo­ tánico. En nuestro palacio de Madrid á 6 de enero Carasa (D. Antonio), capitán del regimiento nú­ de iflio. mero 1de cazadores á caballo. Don Josef Napoleón por la gracia de Dios y Casanova (D. Tomas de ) , juez de la junta d« Ne­ por …</t>
  </si>
  <si>
    <t>Gaceta de Madrid n.º 43</t>
  </si>
  <si>
    <t>ltimo. No contento traron aquí las tropas francesas y españolas que este asesino con este atentado, los conduxo de pue­ vinieron con el REI, supe por D. Antonio qua blo en pueblo ¡ publicando en sus calles y plazas todo era mentira, y que está V. S. bueno y sin que los llevaban presos por traidores á la patria. novedad en su …</t>
  </si>
  <si>
    <t>Gaceta de Madrid n.º 49</t>
  </si>
  <si>
    <t>a noche á campo raso en Di orden al primer batallón del primer regi­ S. Pablo en la encrucijada de los caminos qúe con­ miento ligero, mandado por el capitán Antonio ducen á Campredon y á Ripoll. Bonllet, para que rodease la montaña. Luego que El 28 llegué á (Campredon, de donde acababa el enemigo advirtió este movimiento, ex…</t>
  </si>
  <si>
    <t>a- compondrá de un comandante, un ayudante, un quejo, D. Josef María Venene, D. Miguel Osor- porta y dos trompetas. no, D. Joaquín María de la Cueva, D. Antonio art. iv. Esta tropa no* hará parte de nuestra Mier y D. Juan Josef Romero. guardia en los dias que señalemos. Tenientes. art. v. Los individuos de esta guardia se cos…</t>
  </si>
  <si>
    <t>tería de España, hemos decretado y decretamos lo si­ de Ecíja ; D. Francisco Gómez de Barreda; D. Cir­ guiente : ios de Angeville, coronel retirado ; D. Antonio de articulo, i. ,, Nombramos caballeros de la Or­ Vargas Machuca, capitán de fragata; D. Andrés den Real de España á D. Rafael Ramírez de En­ Laso de la Vega; al cond…</t>
  </si>
  <si>
    <t>Gaceta de Madrid n.º 56</t>
  </si>
  <si>
    <t>n la culpa, que se m^ten á hablar de lo qua to mas por escribirlas! Ahora digo que el carácter de no entienden, y á darle lecciones de buen gusto, n« D. Antonio en Ja comedia nueva tiene modelos en la teniéndolo vmds. naturaleza, y que el autor no lo sacó) á la escena í hu­ ,, Dice vmd. que ha pensada un poco en ello¡ pue* mo…</t>
  </si>
  <si>
    <t>odamos elevarnos al mas guardia real, alto grado de esplendor y gloria. Savigñac (D. Serapio), „S. M. se informará mui mentidamente detes­ Valduenas (D. Antonio), oidor de la chancillería tado de nuestros estudios públicos y de nuestros de Granada. colegios. La nueva vida que dará á los estableci­ Vasco (D. Jo ef), capítad de…</t>
  </si>
  <si>
    <t>sef), comandante de matrículas nombre del Emperador* convidó á los caballeros y en Malaga. damas de la comitiva austríaca para que viniesen á Falces (D. Antonio), comisario dé policía de Gra­ pasar el día en Braunau * y participar de los rego­ nada. cijos que estaban dispuestos; el misino convite hizo García Puerta ( D. Simón…</t>
  </si>
  <si>
    <t>Gaceta de Madrid n.º 120</t>
  </si>
  <si>
    <t>con articulo 1. ,,Nombramos caballeros de la Or­ franjas de oro. den Real de España á los señores S. E. el duque de Bassaao salió ayer para AguiUr' ( D. Antonio de), capitán de fragata retirado. Ccmoiegne. Aguilar (D. Antonio de). Iloi saldrá para sus estados el Rei de Holanda. Cia (D. Josef de), asistente del consejo de Esta…</t>
  </si>
  <si>
    <t>Gaceta de Madrid n.º 131</t>
  </si>
  <si>
    <t>ierra de Ca­ te confiere la mas amplia comisión , con todo el ros, pues era absolutamente imposible á los pue­ lleno de sus facnltades, al Expmo. Sr. D. Antonio blos el mantener de este ramo á sus alistados por Morillo, vocal de la misma superioridad, p.ara que no tener granos para surtirlos, ni aun á los vedaos valiéndose de…</t>
  </si>
  <si>
    <t>fue de la triunfo que empezaban desde media legua antes de orden extinguida de Carlos 111. la capital, las músicas y demas fiestas preparadas Benito (D. Antonio), gefe de división del miulf- para la recepción de S. M. terio de la ticia. Las justicias y pueblos, que se han apresurado Briones (D. Anselmo Félix de), caballero qu…</t>
  </si>
  <si>
    <t>Gaceta de Madrid n.º 165</t>
  </si>
  <si>
    <t>693</t>
  </si>
  <si>
    <t>icaciones de su.cpn- Ayer llegó i esta cíúdad S. M. el Emperador: ducta moral, y ¡ustilicar ademas que disfrutan una también llegaron ayer SS. AA. ti príncipe Antonio renta anual de 63 escudos ; quedando también su­ de Saxonia, la archiduquesa Teresa sh esposa , y la jetos á la conscripción militar como todos los de­ -princes…</t>
  </si>
  <si>
    <t>Gaceta de Madrid n.º 168</t>
  </si>
  <si>
    <t>708</t>
  </si>
  <si>
    <t>erías y los ex-canónigo, para la dignidad de prior de la cole­ preparativos que se habían hecho «n la costa, han giata de S. Salvador de Sevilla; y á D. Antonio obligado al enemigo á largarse, y á abandonar su Pío Gutiérrez, ex racionero, para otra canongía empresa. de la dicha catedral de Burgos. El REI ha venido en nombrar …</t>
  </si>
  <si>
    <t>Gaceta de Madrid n.º 172</t>
  </si>
  <si>
    <t>729</t>
  </si>
  <si>
    <t>suerte. La noticia de haber abierto 1» Rusia sus quesas Leopoldina y Teresa , y de SS. A A. RR . el ppertds del marNegro, y permitido ‘la exportador* príncipe Antonio y la princesa Amelia de Saxooia, de algunos géneros» ha restablecido1 la-tranquilidad,' rttóydó muchas calles desde' las nueve hasta medía y tenemos no solament…</t>
  </si>
  <si>
    <t>732</t>
  </si>
  <si>
    <t>iera por la; constitución.del estado,fREiúier.iai Efpa» réerieral de Marina. ' ; ¿: u :¡ -! .,-••• . ' 1 ñas y de las Indias. ;; Ovdoíiess BarraícUa‘(D. Antonio), ayudante seOido nuestro graté. ¿Oncejo de la Orden Real -'cretarksde la división ‘general dearmada. : de España, hemos decretado y d^fretamos lo si­ Prenx'{ D.Carló…</t>
  </si>
  <si>
    <t>-/ 4 T" Duz de Carmona: para la de Gaeataf aFeir-caf- -la de Arenas y Jatar al ex-dominico D. Antonio nitiita calzado’D. Juan Martínez.: para la de Dilar 'Ecija: para la primera sacristía de A llama al ex­ al:ex-mirCenario calzado D. Josef Hernández: pa­ franciscano descalzo D. Manuel de Luque : para la ra l</t>
  </si>
  <si>
    <t>88</t>
  </si>
  <si>
    <t>a del mismo nombre....... 45 990 Otra al camino de Pinto, de 6 fan., que lin­ Una viña en Palomero, de una aranzada, lin­ da á oriente con tierras de D. Antonio de caminos de las Carretas y la Jarilla...... &lt;5.. 17 *43 Venero....... ;.................................................... *3$ *99* Una tierra camino de la dehesa,…</t>
  </si>
  <si>
    <t>Gaceta de Madrid n.º 213</t>
  </si>
  <si>
    <t>ayan pagado los llanes á D. an Josef‘Duran en el regimiento do derechos, podrán intioducirse en Francia, y cir­ Madrid, i.° de infantería de línea; á D. Antonio cular por toda la extensión del imperio. Josef de Córdoba en el regimiento de Córdoba, 7.® de infante:ía de línea ; á D. Tomas Quintanilla TITULO QUARTO. en el regimi…</t>
  </si>
  <si>
    <t>Gaceta de Madrid n.º 217</t>
  </si>
  <si>
    <t>­ ' ' Ui «v i. *■ i.- - . . 1 gorio con el anexo de la alqoería del Fargue de la S.M ^ha expedido eidecreto siguiente: misma, vacante por muerte de : D. Antonio.-Ru­ ‘ Extracto de las mi&amp;útat de la secretaría da bio, á D. Joscf Baríes, cx-regular del orden de Estado. - - 4 S. ‘Gerónimo. Ea aoertro palacio de Madrid á t.# de a…</t>
  </si>
  <si>
    <t>nando i Fortunato .Gaforio, ir Francisco Rodríguez Vdasco al beneficio de la de S. Matías de lacíü.A. Par. ja, cura de PiñaT. / &gt;i dad'de Granada / á D. Antonio.Zorrilla y Foiar, Para et de L iglesia, parroquial de la villa de Alcura propio délsbo^y Tablate. .. ni buñot, que resulu vacante por promocion.de Don - Para-el dé »l…</t>
  </si>
  <si>
    <t>de tropas, de las lla derecha del Elba. Hoi viene S. Al. I. á comer á quales la mitad son inglesas, frustrará todos los esta capital en el jardín del príncipe Antonio, y planes al euemigó. después visitará la galería de las pintaras. Se han establecido varios telégrafos para comu­ Dícese#que esta Soberana piensa permanecer en…</t>
  </si>
  <si>
    <t>Gaceta de Madrid n.º 238</t>
  </si>
  <si>
    <t>1064</t>
  </si>
  <si>
    <t>remitírselo tes, que sedaran al pú úico ; pero entre ellas me­ á vmd. Me parece que no le disgustarán estas (6) rece el primer lugar la siguiente de D. Antonio últimas boqueadas de mi amor patriótico, que no Capmani , redactor del periódico la Centinela , y es­ supo emplearlo con tiempo aquella junta central, critor bien cono…</t>
  </si>
  <si>
    <t>Gaceta de Madrid n.º 303</t>
  </si>
  <si>
    <t>de D.'Martí«r More­ Para el medio beneficio de la nmma., :vac4rHfl, no Montenegro , á D. Juan Ximencz Rosillo , pres­ por muerte de D. Manuel León, á D. Antonio bítero- • Verdugo ¿ prefiero ,lexííréjfulír.T. I M 31 I^tl el medio beneficio dé la parroquial de la Pata el beneficio de la parroquia de S. Juan de villa de Gomares …</t>
  </si>
  <si>
    <t>de bata­ Butlet (D- Carlos), sargento de tiradores, idem. llón de u guardia cívica de Madrid. Buscnt (D Josef) , tirador del mismo cnerpo. Guignot ( D. Antonio), granadero de nuestra guar­ Cacatte (D. Leonardo),'mariscal de campo de dia reo. nuestros reales exércitos, comandante de la pla­ Horst (Barón de), capitán de fragata…</t>
  </si>
  <si>
    <t>e ), tirador, Idem. Louis {D. Claudio) , sargento de tiradores , idem. Saguet (D. Juan), granadero, idem. Marcelet (D. Juan), tirador» ídem. Sánchez (D. Antonio ), sargento primero de tiraMassotte (D. Juan), granadero, ídem. dore, de ídem. Mathetings (D. Francisco ), sargento de caballería S-uslaye (O. Simón), ídem de idem. l…</t>
  </si>
  <si>
    <t>Gaceta de Madrid n.º 322</t>
  </si>
  <si>
    <t>; un momento á las almas tími­ des, lector y peor que era de su convento de das ,. y gaoarcon dádivas á las que son venales; domiqieos de Almería y á D. Antonio:, Rodrí­ pero, el buco. sentido y el amor del bien pública guez, exr franciscano ¿observante. . ,que cirscteriisa á la nación irlandesa , la hanhe- Para la de Santa F…</t>
  </si>
  <si>
    <t>Gaceta de Madrid n.º 327</t>
  </si>
  <si>
    <t>e espíritu, que no le Para teniente de la primera compañía á Don Í ue poco honorífica. Talés la manifestó , y antes Antonio Villegas en la vacante de D. Antonio de él nadie había propuesto, ni se había arrojado Berrugo. á decidir ana cuestión tan espinosa. Para teniente de la segunda compañía á Don Sin embargo, al hacer su el…</t>
  </si>
  <si>
    <t>Antonio'Tomé, Josef</t>
  </si>
  <si>
    <t>Josef Antonio'Tomé</t>
  </si>
  <si>
    <t>- • 1. la Alcodalia, linde con Don nez en................................... . 269 : }I29 Baltasar de Lara, arrendados Quince marjales de riego, en á D. Josef Antonio'Tomé en.. 1Ó9 1920 Zamora, linde con Antonia . Nueve marjales dé riego, en 1* Medina y Martin y D. Fran­ cuesta de Correa, linde con cisco Bendícho, arrendados …</t>
  </si>
  <si>
    <t>Antonio, Ana Lois</t>
  </si>
  <si>
    <t>Ana Lois Antonio</t>
  </si>
  <si>
    <t>dado de caballería ligera ministración central de hospitales militares del de nuestra guardia real. ' reino. Kasler (D. Juau Bautista), idem. Ciouet (D. Ana Lois Antonio)comandante de Labreche (D. Gabriel), teniente de tiradores de ingenieros de nuestra guardia real. idem. Danís (D. Juan), sargento de caballería ligera, idem.…</t>
  </si>
  <si>
    <t>Antonio, Don</t>
  </si>
  <si>
    <t>Don Antonio</t>
  </si>
  <si>
    <t>se deberán seguir para ,, Nombramos-para el curato de Totalan , en el ordenar los planea convenientes de curación , es el ob­ obispado de Málaga, al presbítero Don Antonio jeto de la presente obra; describiéndose ademas, y ma­ nifestándose en ella la verdadera índole del mal glan­ María de Torres. ... dular de la Barbada de C…</t>
  </si>
  <si>
    <t>Antonio, Francisco</t>
  </si>
  <si>
    <t>Francisco Antonio</t>
  </si>
  <si>
    <t>Gaceta de Madrid n.º 45</t>
  </si>
  <si>
    <t>campo D. Eusebio de Herrera y oxas , D. Martin de Saravia , veintiquatro per­ S. M. se ha dignado expedir los decretos si­ petuo de esta ciudad , y á D. Francisco Antonio guientes : de Tuero y Hcvia, juez y comisario de las realea ■ En nuestro real palacio del alcázar de Sevilla atarazanas de azogue de la misma. á % de febrer…</t>
  </si>
  <si>
    <t>Gaceta de Madrid n.º 83</t>
  </si>
  <si>
    <t>á los templos del culto para recibir la de mejor nota de esto comercio; cuyo comandante especie de adoración de que son dignos; las fuen­ .es el Sr. D. Francisco Antonio ..Cañaveral y Ponce, tes públicas, que estaban inutilizadas , han vuelto coronel de las milicias cívicas, sugeto tan ooble por á ser manantiales de alegría y…</t>
  </si>
  <si>
    <t>nsai,.......................... 120000 D. Andrés de Sam,al—«............ 4463-20 u D. Pedro Schropp-.................................. 30000 -.. •' = D. Francisco Antonio.de Briagas......... - -- 246-10 ' ‘ D. Blas Martínez..................................... 7S°° Hlmiimo................. ............... ' .18477 2 D. Nicolá…</t>
  </si>
  <si>
    <t>Antonio, Joan</t>
  </si>
  <si>
    <t>Joan Antonio</t>
  </si>
  <si>
    <t>ballero qne fue de la mis- les , y por todas partes 5». M. ha visto con agrado ■ ma árden. la celeridad con que los habitantes se han formado Castro (D. Joan Antonio), chantre de la catedral en guardias nacionales para ia seguridad interior de de Córdoba. »us pueblos *, formando ademas en cada uno com­ Cueva ( D. Pedro de la …</t>
  </si>
  <si>
    <t>Antonio, Josef</t>
  </si>
  <si>
    <t>Josef Antonio</t>
  </si>
  <si>
    <t>a retirado. Tamames (duque de), comandante de batallón de Naudet ( O. Heorique), tirador de nuestra guardia la guardia cívica de Madrid. real. Teran (D. Josef Antonio) , coronel de infantería. Niaut (D. Vicente), granadero., idem. Torrecilla.(masques de la), comandante de bata­ Pag? ( D. Juan), cabo de tiradores, idem. llón d…</t>
  </si>
  <si>
    <t>Antonio, Juan</t>
  </si>
  <si>
    <t>Juan Antonio</t>
  </si>
  <si>
    <t>Gaceta de Madrid n.º 104</t>
  </si>
  <si>
    <t>45</t>
  </si>
  <si>
    <t>irado. mes y 400 caballos: esto' es deciros , soldados, qne Donadío (el conde de). el Emperador- espeta de él nuevos esfuerzos para López Aitami ano (D. Juan Antonio). Urgir prontamente á la total pacificación. Sus ór­ Montes (D. Diego) , regidor de Granada. denes 0$ llaman á nuevos trabajos; vais á marchar Moreno ( D. Luis),…</t>
  </si>
  <si>
    <t>El hospital de la Encarnación de.,1a. , . , ^ tyj . . e 71? D. Juan Antonio del .Valle -■ xfio 17 ciudad de Zamora.............. ;......... . 42123. 29 D. Juan Ca .VOv......m*.iVi.iVMv__ * j 20185 • '; D.'Feíípe de Canga 'Argfietíés.'....n¿......; 2902^ Ao;f D. Francisp</t>
  </si>
  <si>
    <t>ncender el pri­ nongía de ia catedral de Patencia . vacante por ha­ mer dragón. Esta parte de la ñesta fue magnífica; ber pasado á otra de Valladotid D. Juan Antonio y entre otras cosas se vieron subir y baxar por los Encabo: á D. Diego de Leocona&gt; cura y vicario aires, en medio de las bombas, de los cohetes y de Villareal en…</t>
  </si>
  <si>
    <t>Gaceta de Madrid n.º 252</t>
  </si>
  <si>
    <t>1121</t>
  </si>
  <si>
    <t>asación de los lamente. bienes , se presentaron con los correspondientes docu­ art. 111. Los habitantes conservarán sus pro­ mentos sus tres hermanos D. Juan Antonio , Doña piedades , y de ningún modo se les molestará á Agueda y Doña Muría Francisca de Zuloaga y Axpe, causa de sus opiniones. pidiendo seles declarase por hered…</t>
  </si>
  <si>
    <t>ro de la Vega al de S. Justo Para el de Pesagnero, vacante por muerte de de los Oteros, á D. Joaquín González, presbíte­ D. Mateo González Bcrdeja, á D. Juan Antonio ro , cura de Saeiices de Sabero. González del Palacio, habilitado. Para el de Faentes de los Oteros , vacante por Para el de Llanabes, vacante por promoción muer…</t>
  </si>
  <si>
    <t>imer ca- Gayangos (D.Francisco), ayudante mayor de hú­ . bailerizo de la Reina. sares , ídem. Bosc ( D. Josef Aiexandro), gefe deesquadron de Giraud (D. Juan Antonio), tirador, ídem. cabal le.ía ligera de nuestra guardia real. Godanis ( D. Renato ) , sargento primero de arti­ Bouchet (D. Luis), capitán, ayudante mayor de ller…</t>
  </si>
  <si>
    <t>Antonio, Juats</t>
  </si>
  <si>
    <t>Juats Antonio</t>
  </si>
  <si>
    <t>*.iVi.iVMv__ * j 20185 • '; D.'Feíípe de Canga 'Argfietíés.'....n¿......; 2902^ Ao;f D. Francispo Lqpcz.de Alcaraz.— L5149 31 D. P^olo Arrib'ss 7b, . D. Juats Antonio de„í.tHíU, 2) D. Manuel de Urbíria 8.9j¿4T 1). Francisco Ruiz Savslí...;.».-.. ;.&amp;ii -ib ¿yíj'ié . . .1 D. Antonio de Gatniz............... .......... y; 379.^3…</t>
  </si>
  <si>
    <t>Antonio, Pedro</t>
  </si>
  <si>
    <t>Pedro Antonio</t>
  </si>
  <si>
    <t>ser en adelante uno de nnestros más- ardientes Córdoba itf de abril. votos , como es uno d^ nuestros mayores intereses. Carta pastoral del limo. Sr. D. Pedro Antonio ,, Apenas hai una verdad mas constantemente Trevilla, obispo de Córdoba, á todos tos ñeles de repetida en las divinas escrituras, que la de que sn diócesi sobre …</t>
  </si>
  <si>
    <t>AntonioGizardi, Josef</t>
  </si>
  <si>
    <t>Josef AntonioGizardi</t>
  </si>
  <si>
    <t>El márqnes de 5i»lina»*v....v..v.vv*-.-.v.v.¿;’ 17943'525,] Doña María Ignacia Berzosa.. 43100- • tf. jMif-Navanoi«m»iií..Mtniirty.V/).i&gt; 16497 ' 81 D. Josef AntonioGizardi.v.wn'l'A^U?^ ' '40+0° • D. Joaquín AI fon so Mcnyardin...v.... &lt; ■4282'-*!^ D. Joan Estébande Tricio#..#.;..' 8000914 D. Miguel Cornet;,»v.-.;v..v.-.-...'…</t>
  </si>
  <si>
    <t>AntonioJ</t>
  </si>
  <si>
    <t>), intendente de la nocimiento de sns necesidades, complete su felici­ provincia de Soria. dad , objeto único de sus desvelos, y ambición so­ Biedma (D. AntonioJ, comandante de batallón la en que cifra roda su gloria! del regimiento núm. i.° Biedma (D. Francisco), mariscal de campo de Madrid de enero. nuestros reales exérciro…</t>
  </si>
  <si>
    <t>Antuñano, Claudia</t>
  </si>
  <si>
    <t>Claudia Antuñano</t>
  </si>
  <si>
    <t>..... 488 Doña María Valentina Salcedo.......... 11147‘19 Doña Feliciana Barra...;............... 864 Doña Francisca de Ocaña.........i...... 5825)27 Doña Claudia Antuñano............... 13.56- 41 Doña Ignacia Ferriol........................... . 1084 14 Doña María Manuela Ortiz de Azurin. 5168 26 D. Estéban de la Torre......…</t>
  </si>
  <si>
    <t>Aoe, Joseí García</t>
  </si>
  <si>
    <t>Joseí García Aoe</t>
  </si>
  <si>
    <t>Gaceta de Madrid n.º 29</t>
  </si>
  <si>
    <t>119</t>
  </si>
  <si>
    <t>lón líiqr.iski del 2.0 de! Vístu­ 19. Francisco S¡!an*v,i............................... 68341 16 la, enviado por el señor general de división Lava!, D. Joseí García Aoe.Ia............................ 558 19 alcanzó el 11 en Illueea 3 la vanguardia de Fidel: D. Esreto.-.n de la Torre........................... 164295 30 nn at…</t>
  </si>
  <si>
    <t>Aogereau</t>
  </si>
  <si>
    <t>Gaceta de Madrid n.º 91</t>
  </si>
  <si>
    <t>con la del general Souham, un continuó mandándoles hasta el ñn de esta jornada. cuerpo de 2© hombres de tropas de línea, 1500 Durante su ausencia el general Aogereau, úni­ miqueletes, y 200 caballos, mandados por un coro­ co general de brigada en la división, tomó el man­ nel soizo, atacaba un puesto de óo hombres de los do ,…</t>
  </si>
  <si>
    <t>Aognita</t>
  </si>
  <si>
    <t>y á rodos los demas em­ pleados en las operaciones que M han executado á SAXONIA. presencia suya. Dretde 31 de mayo. ALEMANIA. SS. MM. y S. A. R. la princesa Aognita han Orillas del Mein 28 de mayo. visitado mui despacio las salinas de Wielicka. Entre los muchos beneficios que los habitantes Et Reí, queriendo dar una prueba d…</t>
  </si>
  <si>
    <t>Aogo'M, Juána</t>
  </si>
  <si>
    <t>Juána Aogo'M</t>
  </si>
  <si>
    <t>ustín RatrintiPiteir*.*13700 8| Doña'Teresa Geferiua Ramonel....... 9009: 30’ D. Manad Eligió.»»............................ '2346 17 Doña Ana Brai.. Doña Juána Aogo'M-lea lí j&gt;.. •• - - '-■7444. Di Pedro Rubio...;....... ...............64bb: ’ E D. Manuel GrfrtZaldz'D^lí^do.;.’.;;;;.. 12725- 8^- JD. Tontas de Arsu.-.........…</t>
  </si>
  <si>
    <t>Aparicio, Andrea</t>
  </si>
  <si>
    <t>Andrea Aparicio</t>
  </si>
  <si>
    <t>Gaceta de Madrid n.º 212 (suplemento)</t>
  </si>
  <si>
    <t>..... ................................... 14 368 . mayor, con el título de las Olivas,‘arrendada Otra viña al vago de Rozos, de a J quartas, de me­ í D. Andrea Aparicio........................................ «130 1800 diana calidad MlaeSMSSMiaMSllt' IMH*MWtimHSS|SMMMM J6 95* Otra en el barrio de S. Pedro arrendada á Bernar­ …</t>
  </si>
  <si>
    <t>Aparicio, Antonio</t>
  </si>
  <si>
    <t>Antonio Aparicio</t>
  </si>
  <si>
    <t>n Mariano Díaz, el sargento primero Joaquín Espin, el cabo primero Miguel Laserna, y los soldados Serafín Delgado, Do­ mingo Martínez, Antonio Cordo, D. Antonio Aparicio, Ni­ colás López, Manuel Perez, Mariano López, Jorge Perez, Mariano Buran y Pablo Hernández, del batallón de Cariñe­ na; y el capitán D. Zacarías Ortega, el …</t>
  </si>
  <si>
    <t>Aparicio, Vicente</t>
  </si>
  <si>
    <t>Vicente Aparicio</t>
  </si>
  <si>
    <t>Gaceta de Madrid n.º 275</t>
  </si>
  <si>
    <t>ctura de esta ciudad. y predicador. Uno de los que han obtenido el premio de escul­ art. 11. Si de la liquidación del valor de di­ tura es el español D. Vicente Aparicio. chas sacristías resulta que el de algunas asciende ó pasa de 5© rs. anuales, se dividirán en dos, con París 8 de setiembre. arreglo al artículo xv del citad…</t>
  </si>
  <si>
    <t>Apartci, Julián</t>
  </si>
  <si>
    <t>Julián Apartci</t>
  </si>
  <si>
    <t>D. Pedro Real D. Eugenio Fourdioier. D. Josef Trasvina.................... D. Josef Batalon. S.\.. D. J uan de Ribera y Céspedes. D. Jorge Escudero. D. Julián Apartci................... D. Gabriel Fe rnaodez de Ol­ mos. lo.*. D. Josef Joaquio Várela. Séptimo batallón. Para avadante primero D, Pedro Ferrar, para segundo D. Fra…</t>
  </si>
  <si>
    <t>Aprax</t>
  </si>
  <si>
    <t>dad de arma; de toda especie, y de municio­ ,, El capitán del regimiento de guardias de ca­ nes de guerra.‘También ha caído eu su poder la e¿ballería conde Aprax¡q» £me. ha venido de correo qoadrilla turca qué estaba delante deÉudíchpck. despachado por el general en gefe del ejercito de .. Todos estos sucesos han sido el,reso…</t>
  </si>
  <si>
    <t>Aquaviva</t>
  </si>
  <si>
    <t>Gaceta de Madrid n.º 197</t>
  </si>
  <si>
    <t>de que el esctir— • actos dt pedad para excusar ios de mi razón y jus- mientg me cerrará la puerta á las composiciones de que m tiesa, de mi orden el cardenal Aquaviva mandó que ep otras ocasiones ha abusado la aparente piedad de ¿4 •todos los e,pañoles saúesen de Roma, atajando el co- corte de Roma. « mercio con la dataría. …</t>
  </si>
  <si>
    <t>Aquiles</t>
  </si>
  <si>
    <t>177</t>
  </si>
  <si>
    <t>, y quita todos los obstáculos sas en estos últimos dias. La fragata de S. M. la que podrían impedir la marcha de exércitos nume­ Ceres y el cúter el Príncipe Aquiles han traído hoi rosos por estas provincias para amenazar al impe­ dos buques de comercio que se dirigían á Sicilia. rio turco. El día 2 de enero llegó aqui del A…</t>
  </si>
  <si>
    <t>Ar, José</t>
  </si>
  <si>
    <t>José Ar</t>
  </si>
  <si>
    <t>ngel Pusqual de Casara! , tenien­ te de milicias provinciales de Toíuca, y subdelegado del partido de Temoscaitepea, 200., D. Ignacio de la Piedra, y D. José Ar­ món a , vecinos de Tepecuaquilco , 500. El intendente de Guadalaxara D. Roque Abarca , 500. Por conducto del intendente de Veracruz se han recogido y entregado en la…</t>
  </si>
  <si>
    <t>Ara, Josef María</t>
  </si>
  <si>
    <t>Josef María Ara</t>
  </si>
  <si>
    <t>ue desempeñen por sí gobernador de la plaza de Almerí a, al capí can Don mismos este ministerio, y.ayuden á los párrocos Juan Gutiérrez de Vergara, á D. Josef María Ara­ en el exercicio de sus funciones ; habiéndose intro­ na , oficial del ministerio del Culto , y á D. Diego ducido contra esta disposición el abuso de confe­ G…</t>
  </si>
  <si>
    <t>Aracena, Enriqoe O DonnelL</t>
  </si>
  <si>
    <t>Enriqoe O DonnelL Aracena</t>
  </si>
  <si>
    <t>la cons gna de la guardia Cruz Cubierta que incluyo. —Dios guarde á V. E. muchos años.—Martorell S6;de octubre de 1810.— José Obis­ po. — Excmo. Sr. D. Enriqoe O DonnelL” Aracena 27 de noviembre. Una -partirla de guerrilla del general Ballesteros, noticiosa de que los franceses habían exi­ gido en Cazada y Con.tantina el diez…</t>
  </si>
  <si>
    <t>Aragón, Juan</t>
  </si>
  <si>
    <t>Juan Aragón</t>
  </si>
  <si>
    <t>361</t>
  </si>
  <si>
    <t>, arrendada en...;;.,.. 3jo° 42009 ..... término de la ciudad de Lü- La dehesa llamada los Labrados cena............................. '300' - 3600 de D. Juan Aragón, cu tér­ Una tierra de 3 fanegas y partí- mino de Truxilto........ . 6400 76800 do det cerro del Algarrobo, La titulada Castilla de D. Juan término de Lucena.....…</t>
  </si>
  <si>
    <t>AraktscbejcWy</t>
  </si>
  <si>
    <t>Gaceta de Madrid n.º 64</t>
  </si>
  <si>
    <t>sejo llamado del la. segunda el príncipe Lapucbin y ministro de I2 imperio. Tarhbien leyd loí nombres dfel presidente, Justicia ; el de la tercera el conde AraktscbejcWy d;i secretario del imperio, de, los secretarios de Es­ ministro de la Guerra, y el de la qüarta el antiguo tado y de los miembros del consejo. Después de min…</t>
  </si>
  <si>
    <t>Aranda, Manuel</t>
  </si>
  <si>
    <t>Manuel Aranda</t>
  </si>
  <si>
    <t>ancisco Blanco , D. Bartc lomé Blanco D. Joaquin Gómez, D. José Flaquer, D. Lean­ dro Rubira , D. José Velasco, D. Joaquín Velasco, D. Caytt no Vico, D. Manuel Aranda , D. Antonio Sánchez Navarro , D. José Ocaña, y D. Miguel Larraz. Empleos de alféreces en el regimien­ to de Reales Guardias Españolas , á los cadetes del mismo…</t>
  </si>
  <si>
    <t>Arango, Juan</t>
  </si>
  <si>
    <t>Juan Arango</t>
  </si>
  <si>
    <t>Sainz, D. Juan Conde, D. Francisco Carrion, D. Miguel Valbuena, D. Rafael Sánchez Saravia, D. Mi­ guel Guajardo, D. José Arechaga, D. Antonio López, D. Juan Arango, D. José Herrera, D. Clemente Grima, D. Bautista Vila, D. Casimiro Brodet, D. Guillelmo Claramunt, D. Bernardo Cobian y D. Francisco Juárez ; y subtenencias, á D. …</t>
  </si>
  <si>
    <t>Aranza</t>
  </si>
  <si>
    <t>PDF p. 7</t>
  </si>
  <si>
    <t>ido á Cádiz. Quando llegó la noticia de su prisión á Se­ villa, manifestando algunos afrancesados solicitud por la per­ sona de Lorite, los alentó el prefecto Aranza , diciéndolés que se habia escrito á lps amigos de Ay amonte para que no se le llevase á Cádiz, y que descuidasen de su suerte. No contento con e to, reprendió c…</t>
  </si>
  <si>
    <t>Aranza, Blas</t>
  </si>
  <si>
    <t>Blas Aranza</t>
  </si>
  <si>
    <t>o de infantería española núm. 2acu­ tánico de mas extensión que el que posee, dió or­ lados de deserción, y sentenciados á pena de muer­ den al señor D. Blas Aranza, consejero de Estado, te en 27 de octubre de 1809, cuya execucion fue 6 intendente de este reino, para que proporcione suspendida por un acto de nuestra real clem…</t>
  </si>
  <si>
    <t>Araoz, Josef María</t>
  </si>
  <si>
    <t>Josef María Araoz</t>
  </si>
  <si>
    <t>e obediencia i quienes ha recibido con su genial agrado. Asi­ y fidelidad. mismo han tenido el honor de presentarse á S. M. Diputados por la ciudad : D. Josef María Araoz, las diputaciones siguientes: maestrante de Sevilla, regidor perpetuo; D. Vi­ cente Argamasilla, regidor perpetuo; D. Antonio Diputación de la ciudad y cler…</t>
  </si>
  <si>
    <t>Árbizu, Manuel</t>
  </si>
  <si>
    <t>Manuel Árbizu</t>
  </si>
  <si>
    <t>Gazeta de la Regencia de España e Indias n.º 103</t>
  </si>
  <si>
    <t>. D. Pedro ViÜaescusa, ro. Cade:? D. Ra­ món Espinosa, 5. Los sargentos, cabos y soldados, 297 y 2 rs — Turson. Capitán tí. José Zóñiga, 50. Teniente D. Manuel Árbizu, 25. Al­ férez D. José Romero , 10. Capellán D. Pedro Ariquivás, 15:. Los sarentos, cabos y soldados, ?70sy 2 reales. —Altar. Capitán Ó. Mariano f frréa, 200. Á…</t>
  </si>
  <si>
    <t>Arboré, Antonio</t>
  </si>
  <si>
    <t>Antonio Arboré</t>
  </si>
  <si>
    <t>......... 99102 2 D. Antonio Leiral y Doña María de D. Andrés Requena................................ i49&gt;8 los Dolores de Belandia su muger. 46907 2 D. Antonio Arboré................................. 6784 5 O D. Beinardo Rodríguez....................... 207200 D. Mariano Alonso................................. 21 M D. Blas M…</t>
  </si>
  <si>
    <t>Arborio</t>
  </si>
  <si>
    <t>1109</t>
  </si>
  <si>
    <t>obliga á declararse contra lo y rentas del ducado de Lodi: por el segundo qualquiera de las naciones beligerantes que rehúsa decreto S. M. nombra al conde Arborio , de Brema, reconocer los derechos de los ucutrales. presidente ordinaria del senado para el año de 1810. ,, En este nuevo estado de cosas estoi autori­ zado para d…</t>
  </si>
  <si>
    <t>Arce, Feliciano</t>
  </si>
  <si>
    <t>Feliciano Arce</t>
  </si>
  <si>
    <t>rja, 48 y 6. Los vecinos de S. Lorenzo , 40. Los de Non o a va , 13.— Batopilas. El subdelegado D. Angel Bustamante, loco. D José María Soróndo, 25;. D. Feliciano Arce,,25. D Manuel Echeverría^, ^o.iD. jiian Mi­ guel Gil, 30 , D. Blas A-yarez, 52. D¿ CriscóbailPerez, 15Ó:• D^abriel rez, 25. D. José ..Suarez, 13. D. Vicente: R…</t>
  </si>
  <si>
    <t>Archdekia, Andrés</t>
  </si>
  <si>
    <t>Andrés Archdekia</t>
  </si>
  <si>
    <t>o desde 1811, mientras dure la guerra. ) El Sr. D. Manuel Vidaurre, 6000. El Excmo. Señor lord Mac-DuíF, 5000. El Sr. D. Duncano Shaw, 3000. El Señor D. Andrés Archdekia , 2000. El Sr. D. Federico Grellet, 3000. El Sr. D. To­ mas Richards , 500. El Sr. D^ Diego Guillermo Glass , 3000. El Sr. D. Tomas Barber, 2000: El Sr. D. T…</t>
  </si>
  <si>
    <t>Archdekin, Andrés</t>
  </si>
  <si>
    <t>Andrés Archdekin</t>
  </si>
  <si>
    <t>Gazeta de la Regencia de España e Indias n.º 42</t>
  </si>
  <si>
    <t>374</t>
  </si>
  <si>
    <t>eñor D. Carlos O’Gorman, i@¡. El sensor D. Tomas Barber, 10. El señor D. Cárlos Vaughan, i®. El señor D. Diego Duff, cónsul de S. M. B., 5©. El señor D. Andrés Archdekin, yice-cónsul de S. M. B., 2©. El señor D. Duncan Shavv, 3©. El señor D. Tomas Goddard, t®. El señor D. Jacobo Glass, 3©. Él se­ ñor D. Guillermo EJlwand, men…</t>
  </si>
  <si>
    <t>Archi</t>
  </si>
  <si>
    <t>Gaceta de Madrid n.º 6</t>
  </si>
  <si>
    <t>rnez3„al. tnejor.de los esposes, por afectó al mejor de los Reyes, y amor al mejor dejos puéj del consejo de Éstacdo. ” ~ Quando hubieron entrado, el Príncipe Archi-, blos. „ canciller, presidente, hablo en estos términos• «Aceptad, señores, en nombre de la Francia r entern •c.ida á los ojos de, la Europa ató/fira este sa­ Se…</t>
  </si>
  <si>
    <t>Archican</t>
  </si>
  <si>
    <t>R. sé quan atormentado ha sido sn corazón por este El presidente y secretarios. ; acto mandado por la política y por tan grandes Firmado —Cambaceres, Príncipe Archican­ intereses; pero uno y otro nos gloriamos del sacri­ ciller del imperioy presidente. 4.° Los sucesos ocurridos en nuestras colonias de cias de los de justicia …</t>
  </si>
  <si>
    <t>Archicanciíler</t>
  </si>
  <si>
    <t>ias de! mes de di­ quía hereditaria. ciembre, á las 9 de la noche, Nos Juan Santiago « Estas memorables palabras , pronunciadas por Regís Cambaceres, Príncipe Archicanciíler del im­ el mas grande de los Soberano-, y por su augusta perio, duque de Parina, exerciendo las funcio­ y mui amada esposa, resonarán por largo tiempo ne…</t>
  </si>
  <si>
    <t>Archicanciller</t>
  </si>
  <si>
    <t>ituciones del im­ de Italia y Protector de la confederación del Rin, perio , y fidelidad al Emperador.” Hemos decretado y decretamos lo siguiente: El Príncipe Archicanciller del imperio , presi­ El senado se juntará el sábado 16 del corrien­ dente, ha respondido en estos término* al diicurto te en el logair acostumbrado de su…</t>
  </si>
  <si>
    <t>. M.. el Emperador y Reí se ha dignado ha­ de sus sacrificios! blarnos en estos términos: «Vuestra comisión, senadores, os propone ,,Mi querido primo Príncipe Archicanciller , os unánimemente, 1.a que aprobéis el proyecto de se­ 'he remitido una carta cerrada con fecha de este nado-consulto que se os ha presentado. día para m…</t>
  </si>
  <si>
    <t>abeza ; quiero que con­ PAULINA. serve el rango y título de Emperatriz; pero so­ CAROLINA. bre todo que nunca dude de mis sentimientos, y cambaceres, Príncipe Archicanciller. que siempre me tenga por el mejor y mas amado el conde regnaud de Saint- Jean^d'Ande sus amigos.” gely. • Habiendo acabado de hablar S. M. el Emper a- V…</t>
  </si>
  <si>
    <t>liberado sobre el informe Los oradores dei consejo de Estado se retira­ de su comisión especial nombrada en ia sesión de ron del senado. este dia: El Príncipe Archicanciller cerró la sesión; y Decreta que se dirija á S. M. el Emperador y S. A.. S. fue conducido al salir con los mismos Rf.i la representación concebida en los t…</t>
  </si>
  <si>
    <t>ArchicanciMer</t>
  </si>
  <si>
    <t>proceder al escru­ »»Nada nos queda que hacer á nosotros sino tinio para el nombramiento de los comisionados, el amarlos , bendecirlos y admirarlos. Príncipe ArchicanciMer , presidente , ordena que “fe « El pueblo francés, cuya memoria es tan fiel sorteen dos senadores que verifiquen los votos.' como su corazón, expresara en …</t>
  </si>
  <si>
    <t>Archicande</t>
  </si>
  <si>
    <t>presidente y secretarios del senado. rador y Rei. -í » pT~v C y S CCF íHF+úS 9 El senado conservador reunido en el número Firmado zz C a mb aceres , Príncipe Archicande vocales prescrito por el art. xc del acra' de las ciller del imperio, presidente. constituciones del 2&lt;\ de diciembre de 1799; Semon ville y Beurnonvillb , se…</t>
  </si>
  <si>
    <t>Archipiélago</t>
  </si>
  <si>
    <t>Gaceta de Madrid n.º 298</t>
  </si>
  <si>
    <t>as gente: del gobierno se ve precisado , aunque con senti­ esta última es ana de las mas ricas y pobladas del miento suyo, á imponer una contribución general Archipiélago, y en ella se disfrutan ciertas como­ por modo de capitación sobre las diferentes clases didades que no se pueden gozar eo las demas islas del estado, y sob…</t>
  </si>
  <si>
    <t>Arco</t>
  </si>
  <si>
    <t>853</t>
  </si>
  <si>
    <t>fragata la Cambrian, dudo hubiese sido posible destruir la bateria. — Es igualmente escusado el decir á V. lo O , • i í ' , ___ bien que se portó el teniente coronel Arco, el capitán Caylleaux y el tenie te ¡Nlalvehi. -— Me han sido igualmente muy útiles en tierra el cirujano Dcke, el contador Waters , ámbos de la fragata Cam…</t>
  </si>
  <si>
    <t>Arechaga, José</t>
  </si>
  <si>
    <t>José Arechaga</t>
  </si>
  <si>
    <t>eo de sargento ma­ yor a D. Luis de Alfaraz ; en el de León , compañía á D. José Mariano Rodríguez ; ayudantía, k D. Vicente Alvarez ; tenen­ cias, á D. José Arechaga , D. Francisco Galan , D. Bernardo Cobian , y D. Francisco San Pedro ; subtenencias á D. Víctor Restrebada, D. Nicolás Marino, D. Miguel Souto, D. Francisco Urd…</t>
  </si>
  <si>
    <t>Areizaga</t>
  </si>
  <si>
    <t>Gazeta del Gobierno n.º 9 (suplemento)</t>
  </si>
  <si>
    <t>y deben obligarle á sus­ pender su marcha, y escarmentarle si insiste en ella. En­ tre tanto la fuerza principal de nuestro exército , al man­ do del general Areizaga , entretiene al enemigo por los otros puntos, y está pronta á acudir á la defensa de la ca­ pital , á que acudirán también , en caso de apuro , Par­ que y Aibur…</t>
  </si>
  <si>
    <t>Arenillas, Tomas</t>
  </si>
  <si>
    <t>Tomas Arenillas</t>
  </si>
  <si>
    <t>o. D. Joaquín Gómez. D. Francisco Berdejo Pacz. D. Josef González de Hoyuelo. Tenientes. D........................................ Ej?Josef González. D. Tomas Arenillas. í?. Gaspar de Losas Hidalgo. D. Josef lbárreta. D. Pedro Batelú. D. Manuel Negueruela. D. Antonio Bailo. D. Ramón Rites. D. Manuel Toro. D. Josef Castro. D. …</t>
  </si>
  <si>
    <t>Arentscbitdt</t>
  </si>
  <si>
    <t>PDF p. 6</t>
  </si>
  <si>
    <t>ad que el enemigo no hace uso de su caballería, á menos que no esté sostenida por su infantería. El regimiento de hú­ sares núnn l.° , mandado por el coronel Arentscbitdt;, ha te­ nido particularmente muchas ocasiones de distinguirse. Es muy justo hacer al mismo tiempo mención del zel6 é inteli­ gencia con que se ha portado e…</t>
  </si>
  <si>
    <t>Arerw</t>
  </si>
  <si>
    <t>ltimore • ,, &amp; tomar á su carsro las obligaciones O de su nombramiento. Londres 20 de diciembre. Al mismo tiempo que hemos anun­ ciado la derrota del general Arerw.ga, sabemos que tuvo medios de retirarse; circunstancia muy importante , porque nada puede emprenderse en el mediodía de España miéntras este exército iio sea arro…</t>
  </si>
  <si>
    <t>Arespacochaga, José</t>
  </si>
  <si>
    <t>José Arespacochaga</t>
  </si>
  <si>
    <t>507</t>
  </si>
  <si>
    <t>incalculable pérdida dél enemigo. Quedo esperando las órdenes de V. S. en la altura de Chavero, como igualmente los dos ayudantes D. Pedro Lamperez, D. José Arespacochaga, y el capitán D. Fernando Alvarez , quienes no se me hán separado durante la acción , y permanecen hasta que V. S, determine. Los enemigos se hallan á la vi…</t>
  </si>
  <si>
    <t>Arezpacochaga, Nicolás Jorge</t>
  </si>
  <si>
    <t>Nicolás Jorge Arezpacochaga</t>
  </si>
  <si>
    <t>D. Celedonio Alonso. París por el arco triunfal de la Estrella , y atrave­ Marques de Torreblanca. sarán en el coche de la coronación los campos Elí­ D. Nicolás Jorge Arezpacochaga. seos y las Tullerías , y seguirán hasta la casa de la D. Diego Guerrero y CiJoo. villa. Para este dia se dice que se están concluyen­ D. Ignacio …</t>
  </si>
  <si>
    <t>Argnte, Francisco</t>
  </si>
  <si>
    <t>Francisco Argnte</t>
  </si>
  <si>
    <t>tos públicos. llos , arcediano de Pevtroches ; D. Ba tasar Yusta, prior; D. Juan de Castro, chantre ; D Josef Ubi- PROCLAMA DE S. M. Iio» , tesorera; D. Francisco Argnte ; D. Francisco Don Josef Napoleón por la gracia de Dios y de Barcia ; D. Ped o Segovía ; D. Diego de Ugal- por ia constitución dei estado, REI de las Españas…</t>
  </si>
  <si>
    <t>Argore, Bernardino</t>
  </si>
  <si>
    <t>Bernardino Argore</t>
  </si>
  <si>
    <t>conde de Román t- ra militar D. Andrés de Mendoza, subteniente de row, canciller.” zapadores. De las demas clases D. Blas García de AUSTRIA. Quesada, D. Bernardino Argore , D. Mariano Gambeta, D. Juan Martínez Ttrroba, D. Juan de Lemberg 19 de agosto. la Calle, guardia de honor, D Josef Villa, Don Cayetano Janear, D. Josef Mo…</t>
  </si>
  <si>
    <t>Argüe, B-riuibe Canga</t>
  </si>
  <si>
    <t>B-riuibe Canga Argüe</t>
  </si>
  <si>
    <t>............................. 6498 La casa de Aguirrc é h-joj.................... 10187 10 El ina-ques di Rajuñar......................... “N 14•A 32 D. B-riuibe Canga Argüe!!'?............... -j* ■ A 1 4 a D. Fr,:.¡cisco An--.ro&gt;- .............................. 4“3° 29 Dona Mana A moni • S.nz Merino..... loCC-OO D. Matia .e …</t>
  </si>
  <si>
    <t>Arguelles, Agustín</t>
  </si>
  <si>
    <t>Agustín Arguelles</t>
  </si>
  <si>
    <t>125</t>
  </si>
  <si>
    <t>Andrés de Llano, su­ plente por Goatemala: Don Manuel de Llano, suplente por. idem: D. José Aivarez de Toledo, suplente per la isla de Santo Domingo: D. Agustín Arguelles, suplente por el principado de Asturias: Don Rafael Manglano, suplente por la provincia de Toledo: D. Antonio Vázquez de Aídana , suplente por la de Toro : …</t>
  </si>
  <si>
    <t>Arguelles, Juan</t>
  </si>
  <si>
    <t>Juan Arguelles</t>
  </si>
  <si>
    <t>n que ha querido enriquecer la es­ dores de montaña de Guadalquivir capitanes á Don trechez del asunto principal. En una palabra, el Antonio Martin y D. Juan Arguelles, que lo fue­ poeta no ha creado una máquina verdaderamente ron de los regimientos de Murcia y la Corona res­ .épica. pectivamente, y subtenientes á D. Rutino M…</t>
  </si>
  <si>
    <t>Arias, Antonio</t>
  </si>
  <si>
    <t>Antonio Arias</t>
  </si>
  <si>
    <t>Pacheco. D. Pedro Josef Mayora. D. Esteban Bains. D. Modesto faLcios. Tenientes. D. Juan Paredes. D. Agustín Ugarte. D............................... D. Antonio Arias. D. Vicente Ferrer. D. F rancisco Sagasta. D. Mariano de la Cuesta. Batallón del quartel de S. Gerónimo. D. Zacarías Camant. D. Manuel Saez de Prado. Capitanes.…</t>
  </si>
  <si>
    <t>Arias, Enrique</t>
  </si>
  <si>
    <t>Enrique Arias</t>
  </si>
  <si>
    <t>cia ai sar­ gento 1 Q D. Pcsqual Coinpany. A i nisrxio se ha servido S. M. conferir en el 2.° batallón de in­ fantería da Ciudad-Rodrigo , compañía á D. Enrique Arias, ayu­ dantía á D. José María Landero , y subtenencias á D. Pasqual Torcano y D. Joaquín Ovilo: en el de Canarias, tenencias á. D. Miguel Manzano y D. Aureliano …</t>
  </si>
  <si>
    <t>Arias, Ramón</t>
  </si>
  <si>
    <t>Ramón Arias</t>
  </si>
  <si>
    <t>ancisco Martínez , to­ nelero, 13. Corbeta, la Descubierta. — Oficiales de guerra y mayores. Don juán del Busto, teniente de navio y comandante, 107. D. Ramón Arias, aitferez de navio, 90. Id? de fogata;, D/Jaan Ignacio Delgado, 25. Id. -JD. Mariano Ampuero , 25. Id. D; Rodrigo Tavira, 25. D. Joaquín Ugar-te ,aiferez de navio…</t>
  </si>
  <si>
    <t>Ariquivás, Pedro</t>
  </si>
  <si>
    <t>Pedro Ariquivás</t>
  </si>
  <si>
    <t>sargentos, cabos y soldados, 297 y 2 rs — Turson. Capitán tí. José Zóñiga, 50. Teniente D. Manuel Árbizu, 25. Al­ férez D. José Romero , 10. Capellán D. Pedro Ariquivás, 15:. Los sarentos, cabos y soldados, ?70sy 2 reales. —Altar. Capitán Ó. Mariano f frréa, 200. Álfére^ D. José Antonio Peña, 20. Id. D. Ignacio Perqueyía, 6. …</t>
  </si>
  <si>
    <t>Arispe</t>
  </si>
  <si>
    <t>144</t>
  </si>
  <si>
    <t>enteramente.—El.19 regresó Mina con 100 caballos a Exea , y su infantería á Ilibas. — El 20 se reunió con su infantería, y allí tuvo parte de que el general Arispe pidió en Ex&amp;a 20 raciones, y que venia con 1400 infantes, 43 caballos, un obús , y un cañón de á 12. Con esta noticia se retiró IVlina a Siidava. — Ei 2 l pasó Ari…</t>
  </si>
  <si>
    <t>Ariza, Cristóbal Gaona y Rafael</t>
  </si>
  <si>
    <t>Cristóbal Gaona y Rafael Ariza</t>
  </si>
  <si>
    <t>. 900 1080a Henchidero, linde con Don Diez marjales de riego, en el Baltasar de Lara y ia ace­ pago de Zamora , linde eon quia , arrendados á Antonio D. Cristóbal Gaona y Rafael Ariza en................ ....... ......... 3OO 3600 López, arrendados á D. An­ Tres marjales de riego, pago de tonio y D. Francisco Xime- • 1. la Alc…</t>
  </si>
  <si>
    <t>Arizaga</t>
  </si>
  <si>
    <t>Gaceta de Madrid n.º 26</t>
  </si>
  <si>
    <t>daderamente marcial con que cami­ de la tarde en esta ciudad. A las tres había escapa­ nan, como si no sufriesen el menor contratiempo, do el llamado general en gefe Arizaga, abandonan­ sus deseos de arrostrar y vencer peligros, si Los hu­ do los papeles de su exército, y varios almacenes biese, y la seguridad con que cuentap…</t>
  </si>
  <si>
    <t>Pero el de S. M. consiste no precisamen­ blo , del que había salido á la una de la noche el te eo los triunfos, sino en que se verifiquen por llamado general Arizaga , quien en medio dei pro­ sabias maniobras y combinaciones, sin derramar la fundo silencio que había observado, dio muestras sangre de sus súbditos seducidos , y…</t>
  </si>
  <si>
    <t>Armagnac, D</t>
  </si>
  <si>
    <t>D Armagnac</t>
  </si>
  <si>
    <t>Gazeta de la Regencia de España e Indias n.º 66</t>
  </si>
  <si>
    <t>651</t>
  </si>
  <si>
    <t>len. — El mismo dia por la tarde paseó José á pie en el salón del prado en compa­ ñía de O-Farrill. El 19 se recibió aquí la noticia de la muerte del general D’Armagnac, gobernador francés de la Mancha, que ha pere­ cido á manos de las guerrillas. El 17 había llegado huyendo y despavorido el comandante francés de Tarancon. Ta…</t>
  </si>
  <si>
    <t>ArmaguftC, D</t>
  </si>
  <si>
    <t>D ArmaguftC</t>
  </si>
  <si>
    <t>75</t>
  </si>
  <si>
    <t>es. íos franceses que tran­ sitan por la Mancha de ida y vuelta á Andalucita , se ven/orzados á cami­ nar como tos aduares de tos árabes beduinos. Et general D^ArmaguftC t go­ bernador francés de la provincia* pereció á manos dé las partidas é media­ dos de agosto. (5) No se sabe de qué provincia se habla, porqué ni á tá M/in…</t>
  </si>
  <si>
    <t>Armen, Manuel</t>
  </si>
  <si>
    <t>Manuel Armen</t>
  </si>
  <si>
    <t>Gazeta de la Regencia de España e Indias n.º 5</t>
  </si>
  <si>
    <t>brigadieres D. Félix Co^on, D. Antonio García Conde, D. Gaspar de Vigodet, D. Luis Laoy, y D. Francisco Co­ pón s : y á brigadieres, á ios coroneles D. Manuel Armen gol, y marques de Beliisca. ______________________________________ * .................................JSíota. Los señores subscriptores abonados á la Gazeta del G…</t>
  </si>
  <si>
    <t>Armendariz, Pedro</t>
  </si>
  <si>
    <t>Pedro Armendariz</t>
  </si>
  <si>
    <t>Gazeta de la Regencia de España e Indias n.º 96</t>
  </si>
  <si>
    <t>918</t>
  </si>
  <si>
    <t>ctor D. Cristóbal Domín­ guez , 100. — Compañías militares, patios. Capitán D. José Francisco Zozaya, 184. y 6 rs. Teniente D. Nicolás Tarín, 50. Id. D. Pedro Armendariz, 10. Alférez D. Fermín Uribe, 8. Capellán Fr. Agustín Gó­ mez, 10. Sargentos, cabos y soldados, 818..— S. Buenaventura. Capi­ tán D. José Ronquillo, 100. Ten…</t>
  </si>
  <si>
    <t>Armengol, José</t>
  </si>
  <si>
    <t>José Armengol</t>
  </si>
  <si>
    <t>139</t>
  </si>
  <si>
    <t>dados por sus bizarros comandantes , D. Antonio Ponce , y D. Joa­ quín de Mera, auxiliados por la primera partida de patriotas castellanos, que manda D. José Armengol, capitán del regimien­ to de infantería de Fernando VII, que juntos compondrán 360 hombres, atacaron en Aldea-Nueva a 800 franceses, 200 de ellos de caballería.…</t>
  </si>
  <si>
    <t>Armenia, Francisco</t>
  </si>
  <si>
    <t>Francisco Armenia</t>
  </si>
  <si>
    <t>D. Gragoyio Merlo, magistral; Españoles: D- Manuel Arj na, penitenciario ; D. Diego de Ha llegado el momento en que debeis oir la • Gorma, doctoral ; D. Francisco Armenia , emó- verdad; os la debo: me lisonjeo de que será con nizos: D. Josef Roucali , D. Pedro García , Don utilidad. Josef M izuelo, D. Josef C:v dios , racione…</t>
  </si>
  <si>
    <t>Armesto, Mariana</t>
  </si>
  <si>
    <t>Mariana Armesto</t>
  </si>
  <si>
    <t>Gaceta de Madrid n.º 348</t>
  </si>
  <si>
    <t>lo que da á la pieza todo él Ínteres Habieiváo fallecido en ésta corte repentinamente jr que inspira. El carácter del gran maestre es no­ sin testar Doña Mariana Armesto , de estado viuda, «*ble, es grande, es sublimé, y exerce sobré los de noviembre de este año, por providencia del se­ ñor D. Juan Bautista Guitart, del conse…</t>
  </si>
  <si>
    <t>Arms</t>
  </si>
  <si>
    <t>Gaceta de Madrid n.º 209</t>
  </si>
  <si>
    <t>92</t>
  </si>
  <si>
    <t>dra inglesa.” respuesta será satisfactoria relativamente á la parti­ Toma de Tappanoolli. ,, La toma del estable­ cularidad que expresa la carta dtl general Arms­ cimiento de la compañía de las Indias orientóle* en trong , y que equivaldrá á una declaración de que Tappanoolli ocurrió el 12 de rbr¡l. Mr. Prince, re­ tales bloq…</t>
  </si>
  <si>
    <t>ArmsDel</t>
  </si>
  <si>
    <t>de tres pages de la corte, posiciones del gobierno británico : la misma fragata coa su ayo el señor Sternstein. debe tomar igualmente los pliegos del general ArmsDel 12. trong; de este modo el presidente de los EstadosEl dia antes que hiciese la renuncia la archidu­ Unidos tendrá el ultimátum de los dos gobiernos quesa María …</t>
  </si>
  <si>
    <t>Armstrong</t>
  </si>
  <si>
    <t>riental dei continente no hacen mención ninguos tario de listado, lecha en Lóodres á 28 de febrero. de este suceso interesante (1). „ He recibido del general Armstrong una carta, La carra siguiente tampoco lo menciona, aun­ cuya copia incluyo en esta. Cjo este motivo he que es de fecha posterior. escrito al lord Weileslei (co…</t>
  </si>
  <si>
    <t>Gaceta de Madrid n.º 242</t>
  </si>
  <si>
    <t>.1806 no há/siqo revocado for■ ,,Tengo el honor de ser con el mas profundo majmeute, por lo^ que no pLj'e^^deciríe propiárespeto &amp;c. = Firmado =J"ei general Armstrong.” ..mente que las, rpstficciones pjpyerjidap esten subqr.diñadas á las establecidas por ia.priién del consejo Al marques Wellesiei. del 7 de enero ‘de 1.807; pe…</t>
  </si>
  <si>
    <t>Gaceta de Madrid n.º 244</t>
  </si>
  <si>
    <t>1087</t>
  </si>
  <si>
    <t>ara extraer azúcar del arce , se ocupa en el todo está ahora suspenso.” dia eu el establecimiento de una lábrica destinada Extracto de otra carta del general Armstrong á este objeto-, cuyos gastos ascieodea á 30® fl ni- al señor Smith , fecha en París el 7 de abril nes. Ei príncipe se promete sacar cada año 300 i 400 quintale…</t>
  </si>
  <si>
    <t>Gaceta de Madrid n.º 251</t>
  </si>
  <si>
    <t>rtillería de la campana, convocando á todos los vecinos, se­ la moma Confederación. gún so costumbre, para salir á la defensa y perse­ . Por S. E. el general Armstrong, ministro ple­ cución de los bandidos, los que se presentaron in­ nipotenciario de los Estados-Unidos de América» mediatamente sin mas armas que palos y las he…</t>
  </si>
  <si>
    <t>Gaceta de Madrid n.º 253</t>
  </si>
  <si>
    <t>1133</t>
  </si>
  <si>
    <t>n todas las propiedades americanas que han sido apresadas Londres 5 de agosto. en España, y que se ponga dn depósito el dinero Copia de una carta del general Armstrong al du­ que se saque de ellas.” Esie mensage ha dado lu­ que de Cadora , fecha en París el 0.1 de febre­ gar á una carta mia señalada con el núm. 22 , y ro de 1…</t>
  </si>
  <si>
    <t>Gaceta de Madrid n.º 284</t>
  </si>
  <si>
    <t>tos de la Francia. A bordo del IMPERIO FRANCES. Hornet ha venido también un correo de gabinete París ig de setiembre. ' americano con pliegos para el general Armstrong, é iamediatameute ha salido para Parij. Acaban de colocarse en la nneya fuente que se ha construido aquí en la plaza de S. Sulpicio qua.B*1 8- tro 'relieves en…</t>
  </si>
  <si>
    <t>783</t>
  </si>
  <si>
    <t>si persistía en su intento. Mr. Pow.eíl pasó á Boloña, pero fue recibido del mismo mo­ do, y el buque tuvo que huir para no ser echado á pique. —&gt; El general Armstrong, ministro americano en París, y &lt; 1 cón­ sul de la misma nación en Ambéres , acaban de llegar á In­ glaterra. ■ * K Se han recibido cartas particulares de Pete…</t>
  </si>
  <si>
    <t>Arnaiz, Manuel</t>
  </si>
  <si>
    <t>Manuel Arnaiz</t>
  </si>
  <si>
    <t>, graduado de coronel, al mariscal de campo D. Antonio de la Cruz , á D. José Portillo , graduado de coronel, á D. Juan García de Paredes, idem , y á D. Manuel Arnaiz : á tenientes coroneles á los capitanes D. José Andía , graduado de coronel , á D. Joaquín de Osma de teniente coronél, al capitán de artilleros á.caballo , gra…</t>
  </si>
  <si>
    <t>Arnao, Vicente Goiiziiez</t>
  </si>
  <si>
    <t>Vicente Goiiziiez Arnao</t>
  </si>
  <si>
    <t>ngo de Gefe y Bueno.w..v.... .v dióf* i,7' D. Pedro Franep:;.;d;;........v...'.C..'...í! x4478 ,23" Doña: María CtuzSancho...-.w.v.&gt; •■**••• *' át66. D. Vicente Goiiziiez Arnao..,.... .;,.; 5470 aó ‘ D.Francisco SaenzRuiz loórr atf Dí Gregorio Petir.'.-.v.:.v..;.v....v....;...;. '959 Lt D.Aptonio González Yebra.¿.¿...... *J 8…</t>
  </si>
  <si>
    <t>Arnau, Joaquín</t>
  </si>
  <si>
    <t>Joaquín Arnau</t>
  </si>
  <si>
    <t>913</t>
  </si>
  <si>
    <t>duado D. Manuel Llano y D. Francisco Noveda : á tenientes coroneles al sargento mayor graduado de teniente coronel Don Pablo Sánchez, á los capitanes D. Joaquín Arnau , al coronel graduado D, Mariano Osorio, á D. Vicente Novella: al teniente coronel gradúa-</t>
  </si>
  <si>
    <t>Arnorós, Francisco</t>
  </si>
  <si>
    <t>Francisco Arnorós</t>
  </si>
  <si>
    <t>Estado D. Manuel Cambronero ei despacho de me anima. los negocios de Justicia; y al consejero de Estado ,, Españoles: el destino inmutable no ha pro­ D. Francisco Arnorós el de los asuntos de Policía, nunciado todavía. No permitáis que las pasiones, á quien se dirigirán en adelante todos los que soli­ excitadas por el enemigo…</t>
  </si>
  <si>
    <t>Arozarena, Lorenzo</t>
  </si>
  <si>
    <t>Lorenzo Arozarena</t>
  </si>
  <si>
    <t>5*a Otra en Ja calle de las Carnicerías viejas, Otra en las Lanchas, de 425 estad......... 22 484 que á mediodia y oriente linda con : casa propia de D. Lorenzo Arozarena. 600 7200 &lt;*5597 &gt;•443*34 Otra en la propia calle, que por medio­ día, oriente y norte linda con la que De forma que la renta de las fincas aquí comprehendi…</t>
  </si>
  <si>
    <t>Arqoellada, Ventara</t>
  </si>
  <si>
    <t>Ventara Arqoellada</t>
  </si>
  <si>
    <t>Salasar. ba res........................ .......... . •••«••••hete-*»»»***» ••♦••••................ D. M.riano Calderón. 8.' D* Joan Palas........... D. Ventara Arqoellada......... D. Manuel Canuco.............. . D. Francisco Saochcs Moa9/. dragon. D. Antonio Laredó. 10. Segundo batallón. Pata ayudante primero D. Francisco Du…</t>
  </si>
  <si>
    <t>Arquedas, María</t>
  </si>
  <si>
    <t>María Arquedas</t>
  </si>
  <si>
    <t>s..................................... 35°° D. Dámaso Hermoso.................... ......... 12454..X7 D. Basilio Ramón Fernandez............... 12040 Doña María Arquedas............................ 8215.-25 Doña Francisca García, viuda de f&gt;. Jo­ D. Raimundo Bruquieros..................... . 2808 sef Frechj...................…</t>
  </si>
  <si>
    <t>Arreo, Isidro</t>
  </si>
  <si>
    <t>Isidro Arreo</t>
  </si>
  <si>
    <t>iel Rod'rigaez al de ValdiPara el dé Yuncos, vacante por muerte de Don lecha, á D. Saturio García Casanova, clérigo de Francisco Vigil y Quiñones , á D. Isidro Arreo, prima. cura de Retleqdas. Asimismo nombramos á D. Vicente Menchéro Para el de S. Pedro de Talavera, vacante por y D. Manuel Morales, curas que fueron de las par…</t>
  </si>
  <si>
    <t>Arrepentimiento</t>
  </si>
  <si>
    <t>execuGranada: para la alcaldía mayor de Antequera¿ tará la comedia en cinco actos titulada Misantropía o Tacante por ascenso de D.- Salvador Vidal á juez Arrepentimiento, con tonadilla y sainete. BN LA IMPRENTA REAL.</t>
  </si>
  <si>
    <t>Arriba, Josef López</t>
  </si>
  <si>
    <t>Josef López Arriba</t>
  </si>
  <si>
    <t>a sino D. Miguel Guerrero. temporal, y no transmite al enfiréuta mas dominio D. Tomas Alvarez Díaz* que el útil; er decir, cierto derecho precario de D. Josef López Arriba. poder disponer » baso ciertas formalidades , del má­ - D. Josef Aguado y Vera. ximum ,. valor 6 estimación de los bienes, reba­ D. Manuel Garrón. sada-ia …</t>
  </si>
  <si>
    <t>Arribas, Pablo</t>
  </si>
  <si>
    <t>Pablo Arribas</t>
  </si>
  <si>
    <t>40</t>
  </si>
  <si>
    <t>40i III. De D. Pablo Arribas al comisario regio de Granada. Iilmo. Sr. — Per oficio de V. S. I. de 5 &lt;^1 corriente y copia que acompaña * quedo enterado de la proclama sediciosa que se ha nado en uno de los parages públicos de esa ciudad , y circun</t>
  </si>
  <si>
    <t>Arrighi</t>
  </si>
  <si>
    <t>Gaceta de Madrid n.º 102</t>
  </si>
  <si>
    <t>Emsv basta-d-de Weser, y la del general Molitor La división de coraceros franceses mandada por se extiende desde este intimo punto hasta el embo­ el general Arrighi, duque de Padua, llegará aqui cadero del'Tro ve, inclusas las ciudades anseáticas. mui pronto: se- compone de quatro regimientos, Todas las- divisiont*-del tercer…</t>
  </si>
  <si>
    <t>Arrivas</t>
  </si>
  <si>
    <t>Gazeta de la Regencia de España e Indias n.º 15 (suplemento)</t>
  </si>
  <si>
    <t>116</t>
  </si>
  <si>
    <t>de un Marques déla Romana, cayo solo nombre basta para despertar la energía de provincias enteras , y para quitar el sueño á José Roñaparte , y á su ministro Arrivas.. (6) Sí , obstinada será ía resistencia de Cádiz quando haya de tratar de su defensa : hasta ahora , y van dos meses , nadie la ha ofendido , ni se atreve á ofe…</t>
  </si>
  <si>
    <t>Arroniz, Ni</t>
  </si>
  <si>
    <t>Ni Arroniz</t>
  </si>
  <si>
    <t>uan Josef deMatuic, en nombre co Kraux............................................ *5°S4~33 de D. Juan y D. Manuel Matute Doña Juana López, viuda de D. Ni­ Arroniz...................i........................... 62614..25 colás de Arux..................................... 4200 Los reales Hospicios de Madrid, por su JJ. Pedro B…</t>
  </si>
  <si>
    <t>Arróspide, Miguel</t>
  </si>
  <si>
    <t>Miguel Arróspide</t>
  </si>
  <si>
    <t>D. Juan Zubizar, 100. D. José Tomas Yañez, 10 Tres individuos, 15. — AÁapimi- D. Francis­ co Labarrieta, 100. D. Santiago Labarrieta, 25. — Cuencamé. D. Miguel Arróspide, too. D. José María Pedriza, 50. D. Tomas Troncoso, 3 — Papa:-qttiaro. El cura D. Jote Joaquín Escarzaga, 25. D. Francisco Ve11ot, 50. D. Pedro Barraza, 13. …</t>
  </si>
  <si>
    <t>Arroyo, Gregorio</t>
  </si>
  <si>
    <t>Gregorio Arroyo</t>
  </si>
  <si>
    <t>ncias, á D. Fernando de Prado, D. Manuel Sa­ ladar, D. Félix Aznar , D. Dionisio Angulo , D. Enrique Huelen, D. Agustín Cabrera, D. Manuel Ibarroia , D. Gregorio Arroyo, D. JuanMuguiro , D. Ramón Sánchez , D. José Goyti, D. Domingo Angulo , D. Andrés Martínez y D. Antonio Valderas ; y subte­ nencias , á D. José Perez , D. Jor…</t>
  </si>
  <si>
    <t>Arroyo, Juan María</t>
  </si>
  <si>
    <t>Juan María Arroyo</t>
  </si>
  <si>
    <t>Gaceta de Madrid n.º 287</t>
  </si>
  <si>
    <t>.0 y 94.° han salido ya de Cádiz para ve­ Para el de S. Andrés de Coin , vacante por re­ nir á Portugal. Con esto se auraeotaráo considera­ nuncia de D. Juan María Arroyo, á D. Manía blemente uuestras fuerzas; pero siempre serán mui "Godoi» presbítero ex-regular. inferiores á las del enemigo, pues si hemos de dar Para el de l…</t>
  </si>
  <si>
    <t>Arroyo, Martin Sancho</t>
  </si>
  <si>
    <t>Martin Sancho Arroyo</t>
  </si>
  <si>
    <t>capellanía fie,coro y.número de aquella cate­ dral, vacante por fallecimiento de D Josef Itero S. M. ha expedido el decreto siguiente: . Retes; y á, D. Martin Sancho Arroyo , presbítero, Exmeto d*l&gt;ias minutas de la secretaría de y secretario de la catedral de Guadfx, para una Estado» capellanía de número y coro de ella , vac…</t>
  </si>
  <si>
    <t>Arzamendi, Miguel Fertiandez Ignacio</t>
  </si>
  <si>
    <t>Miguel Fertiandez Ignacio Arzamendi</t>
  </si>
  <si>
    <t>la Aguilar y D. Francisco An­ Por Montoro se presentó D. Josef Borbio, al­ tonio de Ros, Veintiquatros, por el cabildo; Don calde mayor; y por Cañete D. Miguel Fertiandez Ignacio Arzamendi, canónigo , por el clero; Don dé Molina, alcalde mayor, teniente de fragata. Josef Felipe Alaminos, por el pueblo; D. Ignacio Por Villafra…</t>
  </si>
  <si>
    <t>Ascargotá, Felipe</t>
  </si>
  <si>
    <t>Felipe Ascargotá</t>
  </si>
  <si>
    <t>Gaceta de Madrid n.º 127</t>
  </si>
  <si>
    <t>de los delitos especificados en este decreto para tina capellanía de la real capilla de Granadas que se cometan en sus respectivos distritos pro­ a "D. Felipe Ascargotá, racionero mas antiguo de vinciales. la catedral de Jaén , para ana canongía de esta san­ art. 11. Se compondrán éstas jnntas de cinco ta iglesia: á D. Josef …</t>
  </si>
  <si>
    <t>Ascaso, Lorenzo</t>
  </si>
  <si>
    <t>Lorenzo Ascaso</t>
  </si>
  <si>
    <t>, del regimiento de infantería de Burgos á D. Juan José de .Olazabal; y del de Murcia á D. Juan María Muñoz : el de sar­ gento mayor del de Africa á D. Lorenzo Ascaso ; grado de tenien­ te coronel al.capitán del mismo cuerpo D. Ramón Doménech’; el propio grado al sargento mayor del Imperial de Toledo D. Juan Moreno, y de capi…</t>
  </si>
  <si>
    <t>Ascoifi, Peiro</t>
  </si>
  <si>
    <t>Peiro Ascoifi</t>
  </si>
  <si>
    <t>s á su intendencia, 3 9231. D. Juan Gonzá­ lez del Cabo-Franco, y su hermano D. Miguel, 100. D. Fran­ cisco Villalva 9 vecino de Tepey aguaico , 100. D. Peiro Ascoifi, y D. Juan Gránela , de S. Juan de los Llanos, 100. Por el subde­ legado de Ciiautla de la Sal se recogieron en su jurisdicción i®. El subdelegado de Guadaicaza…</t>
  </si>
  <si>
    <t>Ascorve, Francisco</t>
  </si>
  <si>
    <t>Francisco Ascorve</t>
  </si>
  <si>
    <t>el de Villa y Gibaja, 200. D» Felipe Vivanco, 50. D. Francis­ co García Puertas., 100. El Escribano D. Manuel Vidal , 100. D. Rafael de Ibarra , 100. D. Francisco Ascorve , 50. D. Juan Lucas Oíavarricta , 400. D. Roque Martínez, 50. D. José Antonio de Cevallos , 100. D..Juan Francis­ co de Senties, 100. D. Joaquin Pérez de Ar…</t>
  </si>
  <si>
    <t>Aseajo, Fraocisco Xavier</t>
  </si>
  <si>
    <t>Fraocisco Xavier Aseajo</t>
  </si>
  <si>
    <t>ntes pueblos del reino. Véndese con el pri­ rano con Un elocuente discurso , qué pronanció el mero en la librería de Alonso , frente á las grada» Br. D. Fraocisco Xavier Aseajo, canónigo digni­ de S. Felipe, á 14 rs. cada exemplar. EN LA IMPRENTA REAL.</t>
  </si>
  <si>
    <t>Asi, Gabriel de Cis</t>
  </si>
  <si>
    <t>Gabriel de Cis Asi</t>
  </si>
  <si>
    <t>Gaceta de Madrid n.º 272</t>
  </si>
  <si>
    <t>e Y otro de 300 de la misma creación y del propio 1791 había propuesto la academia de ciencias: este señor, núm. 71111. mismo partido es el que sigue D. Gabriel de Cis­ Asi de dichos vales, como de los 291 que fueron car en su. memoria para introducir en España el interceptados desde esta corte á Guadalaxara , y se anun­ ciar…</t>
  </si>
  <si>
    <t>Astraudi, Joaquín</t>
  </si>
  <si>
    <t>Joaquín Astraudi</t>
  </si>
  <si>
    <t>31</t>
  </si>
  <si>
    <t>mo interino de Guerra y Mari­ na, aprobar en todas sus partes la sentencia del referido Consejo de generales que es como sigue. “Que á los c.oronelés D. Joaquín Astraudi, D. Miguel Becar y D. Gerónimo Puig de Amigo , se les declare inculpables en la acusación que padecieron de no haber llenado sus obligaciones en la batalla d…</t>
  </si>
  <si>
    <t>Astvaudi, Joaquín</t>
  </si>
  <si>
    <t>Joaquín Astvaudi</t>
  </si>
  <si>
    <t>. Fernando VII, y en su real nom­ bre ia suprema Junta central gubernativa del reyno , de la causa juzgada en consejo de guerra de generales , contra D. Joaquín Astvaudi, D. Miguel Becar y D. Gerónimo Pulg de Amigo , co­ roneles de los regimientos de caballería del Infante , dragones de Almansa y cazadores imperiales de Toled…</t>
  </si>
  <si>
    <t>Atanasio</t>
  </si>
  <si>
    <t>ayor del regimiento nú­ dades ; y suplico á V. E. se convenza de que me mero t.° de infantería. servirá de la mayor complacencia se me propor­ Puyal (D. Atanasio), obispo auxiliar de Madrid. cionen ocasiones de ser útil á la provincia de Ex­ Recoquilie ( D. Francisco de), capitán de grana­ tremadura y ciudad de Badajoz , y de…</t>
  </si>
  <si>
    <t>Atenas, Juan José</t>
  </si>
  <si>
    <t>Juan José Atenas</t>
  </si>
  <si>
    <t>D. Francisco Eíguea , 30. D. Juan Eíguezabal, 50. £). José Perez Ruiz, 22. D. Lepe de Vega, 20. D. Miguel de la Huerta, 20. Doña Plácida Mingura, 12. D. Juan José Atenas, 50. D. Santiago Abren, 30. D. Juan Capistrano Zubia ,8. D. José María Porras ,8. D. Ber­ nardo Martínez 200. D. Francisco Jíuregui, roo. José Pablo Bracanno…</t>
  </si>
  <si>
    <t>Atenía</t>
  </si>
  <si>
    <t>Gazeta de la Regencia de España e Indias n.º 35 (suplemento)</t>
  </si>
  <si>
    <t>el mismo enuisnqmo que ér. tes por ja digna causa que defendemos. En otras se dice que vendrá pronto a la corte la esposa del rey intruso , y que ti ministro Atenía marchó el 16 de este é Pa­ rís á asistir h la boda del emperador, y solicitar refuerzes , cura noticia repiten otros. También se lee en otras muchas cartas qu« Jo…</t>
  </si>
  <si>
    <t>Atexandro</t>
  </si>
  <si>
    <t>Gaceta de Madrid n.º 307</t>
  </si>
  <si>
    <t>1354</t>
  </si>
  <si>
    <t>' en guardia . rea l. que se cóan plantas cereales. El señor de Bach hace Sapia (D, Octavio de). en viage una hermosa descripción de las islas Silva (D. Atexandro de) , comisario ordenador de Matoe y Magtroe (l.u. 70o 59'), las quales están nuestros reales exércitos. poblad *s de renos, y de los establecimientos de V¡Ualba (D…</t>
  </si>
  <si>
    <t>Atexo</t>
  </si>
  <si>
    <t>........ 11102 Sor María Josefa de Sta.María deSocors. 18000' D. Juan Calvó L%cejó.....í...... 897° D. F rancisco López de Sáa................ 4545°' D. Atexo:Mariria.,....VJ.......'.;í.;,6t2fy D.a María Juana Hurtadode Mendoza. 43 81 x 26' D. Juan Soto.......... 550 Deña María de Loreto Hurtado de D. Antonio de Castilla.5054…</t>
  </si>
  <si>
    <t>ATROS, Francisco Quadri TB</t>
  </si>
  <si>
    <t>Francisco Quadri TB ATROS</t>
  </si>
  <si>
    <t>Gaceta de Madrid n.º 144</t>
  </si>
  <si>
    <t>. Gervasio López Pando. las Arrimadas I D. Pedro Francisco del Pozo: pa­ ta el de las Grañeras á D. Antonio Rodrigu z Her­ moso: para el de Morilla á D. Francisco Quadri- TB ATROS. llero: para el de Valdes-z á IL Eusebio Gircía En el del Príncipe, i las sets de la tarde, se re­ fuertes: para el d¿ Solanilla y Villalboñ- a Don…</t>
  </si>
  <si>
    <t>Au, Cárlos</t>
  </si>
  <si>
    <t>Cárlos Au</t>
  </si>
  <si>
    <t>Gaceta de Madrid n.º 208</t>
  </si>
  <si>
    <t>27</t>
  </si>
  <si>
    <t>ios dos grumetes se tñayor dolor la noticia de la muerte de nuestro les dio libertad , poniéndolos en tierra, cao ó dea r. us amado hijo S. A. R. el príncipe Cárlos Au- de que no volviesen á servir á bordo de ningún g Listo, y os la hacemos saber en el dia. En medio corsario. Este atentado y crueldad de los ingleses tí- nuest…</t>
  </si>
  <si>
    <t>Aug</t>
  </si>
  <si>
    <t>Gaceta de Madrid n.º 78</t>
  </si>
  <si>
    <t>, de don­ bres) cogidas por nuestras tropas á los enemigos en de se cree que m .rehiran ¡pu,d cxí ito de la última campaña. Cataluña, mandado por ci general Aug:r*aU. ALEMANIA. CONFEDERACION DEL RIN. Hnmbnrgo ij de febrero. Francfort 20 de f-brero. Todas las tropas westf.dañas que estaban acan­ La divi'inn de! difimfi am-r.il…</t>
  </si>
  <si>
    <t>Auge, Patricio</t>
  </si>
  <si>
    <t>Patricio Auge</t>
  </si>
  <si>
    <t>á D. Alberto Nazarre, y D. Francisco Mo­ ren za ; tenencias , á D. Antonio Fernandez, D. Fernando Azevedo , y D. Francisco Venegas; y subtenencias, á D. Patricio Auge, D. Tomas Manzanares, y 1). José María de Otero ; y en el batallón de tiradores de Ciudad-Rodrigo subtenencia , á Don Pablo del Val.</t>
  </si>
  <si>
    <t>Augereao</t>
  </si>
  <si>
    <t>Gaceta de Madrid n.º 19</t>
  </si>
  <si>
    <t>.jiute petición , porque sin duda ninguna El Sr. Alfonso de Chavanges , cuñado y ede­ tratara ei parlamento sobre esto inmediatamente cán de S. E. el mariscal Augereao, duque de Casque se reúna. tiglione, ha sido nombrado caballero de la legión A las cinco y media se pusieron á votar , y se de Honor: fue el que traxo á S. M. …</t>
  </si>
  <si>
    <t>Aúgereau</t>
  </si>
  <si>
    <t>magistrados, el clero y todos dos y habitantes de aquella villa que se presenta­ los habitantes de Campredon se presentaron á mi ron con sumisión. El general Aúgereau desempeñó división para ofrecer el acta de sumisión y obedien­ completamente su encargo. Se empleó aquel día ea cia. Se quejaron altamente de ser miserables víc…</t>
  </si>
  <si>
    <t>Augereau</t>
  </si>
  <si>
    <t>382</t>
  </si>
  <si>
    <t>el quarto batallón se replegó en buen orden hácia Vich sin perder ni un hombre. Varis j de marzo. En seguida se empeñó un fuego de fusilería S. E. el mariscal Augereau ha dirigido á S. E. mui vivo sobre todo el frente de la línea. El ene­ el dnque de Feltre» ministro de la Guerra» la carta migo, qne oponía la flor de sus trop…</t>
  </si>
  <si>
    <t>Augeréau</t>
  </si>
  <si>
    <t>198</t>
  </si>
  <si>
    <t>s malvados. ESPAÑA. !Tarragona 18 de abril. Después de las últimas ventajas conseguidas por el exército del general O-Donell contra los franceses, el mariscal Augeréau dexando con escasas guarniciones las plazas de Barcelona, Gero­ na y Fígüeras, reunió las demas tropas, que según dicen pasan de 120 hombres, y se ha encaminad…</t>
  </si>
  <si>
    <t>303</t>
  </si>
  <si>
    <t>e su guarnición de abrirse el paso con la bayoneta, quiso hacer su último esfuerzo para des­ viarla de esa empresa ; así, en la tarde del dia 11 , el mariscal Augereau envió ún teniente coronel con la intimación siguiente. Señor gobernador : os intimo la rendición dé vuestro castillo. Ya lo habéis defendido bastante para vues…</t>
  </si>
  <si>
    <t>Augs</t>
  </si>
  <si>
    <t>28</t>
  </si>
  <si>
    <t>s al Reí y Reina, al príncipe real y la princesa real, BAVIERA. al duque Luis y la duquesa Luisa , y entre los au­ sentes al Emperador de Rusia, á la Emperatriz Augs burgo 8 de marzo. madre de Rusia , á la Reina de Westfalia, al du­ El 15 de este mes es el dia señalado para efec­ que y duquesa de Saxonia-Hildbourghausen, al t…</t>
  </si>
  <si>
    <t>Augusta</t>
  </si>
  <si>
    <t>Gaceta de Madrid n.º 116</t>
  </si>
  <si>
    <t>Los edecanes del Emperador, u &gt; cesa Carolina, Reina de Ñipóles , el gran duque Los dos caballerizo;, de servicio, de Wurtzburgo, la princesa Augusta, vireinu de Los quatro gentiíeshombres de servicio, Italia , la princesa Estefanía , gran duquesa here­ El edecán de servicio, dera de Badén, el gran duque heredero de Badén , e…</t>
  </si>
  <si>
    <t>lina ; la prin­ Ja Irinperatriz p..ra que le besen, y luego incensa­ cesa C .rutina ,Reina de Ñapóles ;el gran duque ele rá á Si. MM. YVurtzburpo; !a princesa Augusta, vireina de Ita­ Después del ofertorio se sentará el ministro ce­ bo ; la princesa Estefanía, gran duquesa heredera lebrante: un ayudante de ceremonias saludará…</t>
  </si>
  <si>
    <t>603</t>
  </si>
  <si>
    <t>está También se ha prohibido con el mayor rigor señalado para el día 30 de este mes. La Reina y la en la Pomerania sjieca el periódico del Sr. Kgtze­ Princesa Augusta irán en derechura á Varsovia, y bú c titulado la Abeja. el Reí visitará antes las ciudades de Cracovia, So- Mr. Bendissen , diamantista de la corte de Sue­ rau,…</t>
  </si>
  <si>
    <t>Gaceta de Madrid n.º 176</t>
  </si>
  <si>
    <t>747</t>
  </si>
  <si>
    <t>arcación de límites ajustado coa el Austria. de Francia Mr. Serra y todas las autotidades de la ciudad salieron á recibir a S. M. SUECIA. El Rei y la princesa Augusta han visitado las minas de Wielioka, cuyas calles subterráneas es­ Estockolmo 15 de maya. taban perfectamente iluminadas, y en ellas habia El señor Briokman , qu…</t>
  </si>
  <si>
    <t>Ndm. 21Í, tyj’i GAZETA BE MADRID , DEL LUNES 6 DÉ AGOSTO DE s8io. . WURTEMBERG. S. A. R. la princesa Augusta, y ban sido recibi­ dos con repiqne general de campanas, con repeli­ Stuttgardt j de julio. das salvas de artillería, y aclamaciones y vivas de Ei príncipe Bara.tinski, embaxador de Rusia t</t>
  </si>
  <si>
    <t>ión de aquella ciudad, en la qual se algunos dias á tos baños de Toeplitz con S. M. la ha discutido el asunto de la unión de la Irlanda Reina, con la princesa Augusta , con el príncipe y á la gran Bretaña;y en ella,después de algunos de­ con la princesa Antonia, á fin de visitar allí á bates , se han.tomado dos resoluciones c…</t>
  </si>
  <si>
    <t>Augusto</t>
  </si>
  <si>
    <t>llería ligera Sonvignon (D. Francisco), granadero de nuestra de la guardia rea). guardia real. Mourar-d ( D. Josef) , artillero de idem. Sr. Hiíaire (D. Augusto), ayudante mayor de ti­ Murga (D. Benito de), sargento mayor de caba­ radores , idem. llería retirado. Tamames (duque de), comandante de batallón de Naudet ( O. Heori…</t>
  </si>
  <si>
    <t>Augusto, Carlos</t>
  </si>
  <si>
    <t>Carlos Augusto</t>
  </si>
  <si>
    <t>de cho tiempo. 1809.” Por la segunda» de fecha de 29 de enero, da CONFEDERACION DEL RIN. parte S. M. sueca á la confederación del nombra­ miento del príncipe Carlos Augusto á la dignidad Rostock x5 de mayo. de Príncipe Real de Suecia, y de sucesor al trono Ayer falleció aquí el señor Desbordes, vice­ de este reino. cónsul de …</t>
  </si>
  <si>
    <t>26</t>
  </si>
  <si>
    <t>ído conveniente poner un sitio tía semejante á la que los estados hicieron para regular á esta plaza. FI general en gefe Kamemki, S. A. R. el difunto príncipe Carlos Augusto. deseando apoderarse ce esta fortaleza para defen­ S. M. ha desempeñado el deber que le prescri­ der las posiciones de su ala izquierda por las ori­ be l…</t>
  </si>
  <si>
    <t>para desenvolverte las tercianas el calor incomo­ Ravint ( D. Claudio) , granadero , idem.* da mucho i los trabajadores, comeo estos generalRegnier (D. Carlos Augusto), cirujano mayor de meóte frutas y otros vegetales. Estos alimentas ha caballería ligera, idem. acreditado la experiencia que lejos de precaver ¿I Rhode ( D. Cl…</t>
  </si>
  <si>
    <t>43</t>
  </si>
  <si>
    <t>co añade qne Massena está á tres leguas cipe Oscar, hij • de S. A. K. &gt; ocupará los dei di­ de nuestro exército, y que el de tos franceses ocu­ funto príncipe Carlos Augusto. pa una línea, que se extiende desde Villanova has­ ta Lourihna. DINAMARCA. Carta particular. A bordo de la fragata Apolo en Spithead á tp de Copenhague …</t>
  </si>
  <si>
    <t>Augusto, Cirios</t>
  </si>
  <si>
    <t>Cirios Augusto</t>
  </si>
  <si>
    <t>Gaceta de Madrid n.º 199</t>
  </si>
  <si>
    <t>iesta. El palacio'del embaxador estaba proceso verbal relativo i la disgracia sucedida í magníficamente iluminado. Veíanse en transparen­ S. A. R. el Príncipe Cirios Augusto. te las cifras de Napoleón y Luisa, la primera ro­ . El conde de Sparre refiere que S A. R. se ha­ deada de laureles, y la segunda de rosas y de bía dete…</t>
  </si>
  <si>
    <t>Augusto, Reai Carlos</t>
  </si>
  <si>
    <t>Reai Carlos Augusto</t>
  </si>
  <si>
    <t>22</t>
  </si>
  <si>
    <t>la confiscación de estos cargamentos. cálcalos del hombre , colmó las desgracias de la ,,Los capitanes y dueños conservan el derecho Suecia. Murió el Príncipe Reai Carlos Augusto, de apelar en el término señalado por las leyes: res­ y no parece sino que se llevó consigo hasta la ilu­ pecto de la venta de los cargamentos confi…</t>
  </si>
  <si>
    <t>Aunada, Antonio</t>
  </si>
  <si>
    <t>Antonio Aunada</t>
  </si>
  <si>
    <t>D. Manuel Zuloaga, 50. D. Bartolomé Salido, 300. D. Bruno de Palacio, 150. D. Nicolás Alfaro, 10. D. Manuel Anguiz, 50. D. Joan Manuel de Ortiz, 300. D. Antonio Aunada, 150. D. Toribio de Mateo y Ramos, 300. D. Manuel Cayetano Espinosa, 150 D. Antonio de Cevallos, 200. D. Manuel Campoy, 10. D. Jasé Ignacio Ruiz, 10. D. José U…</t>
  </si>
  <si>
    <t>Aupetit, Carlos</t>
  </si>
  <si>
    <t>Carlos Aupetit</t>
  </si>
  <si>
    <t>ll....... . 4JOQ : . F. D. Josef Sainz de. Raías.......... 26100 Doña Gerónim* .Magdonell.......... . 3000 D. Francisco Rodríguez Puente....... 2700o D. Carlos Aupetit...................... .......... 833111 D. Pedro Segando García Domínguez. 38:60 D. Miguel López............................ 4098 ic(&gt;. D. Josef Manuel de; lza…</t>
  </si>
  <si>
    <t>Auselms</t>
  </si>
  <si>
    <t>Gaceta de Madrid n.º 265</t>
  </si>
  <si>
    <t>, habiendo asegurado de es­ mano el teniente general conde Kamenski 1, y la te modo sus espaldas , se adelantó hacia Schnmla, de Kcvarna por el mayor general Auselms , le hi­ hizo doblar á Ruischuk por el teniente' general cieron desde luego señor de las costas marítimas, Zass, y dio orden al mayor general Sabaneyew mientras …</t>
  </si>
  <si>
    <t>Austin</t>
  </si>
  <si>
    <t>Gaceta de Madrid n.º 271</t>
  </si>
  <si>
    <t>es se reunirá á la corona posiciones á los ingleses para que hiciesen equipar imperial (reído conforme ai -artículo 3del trata­ un haxei al mando del capitán Austin, y aun h* do de 19 de febrero de 1810). convidado á este y á los demás capitanes de lacer­ ,,Después-que la sihl Arzobispal de Ratisbo- ta para que entren en la c…</t>
  </si>
  <si>
    <t>Auto</t>
  </si>
  <si>
    <t>ía I. nacía Berzosa............... 540° D ña María López............................... . 3 5 ' 23 D. j*ranci-co Xavier Aceñero.............. 4602 2j D Auto ño Melonjrn............................ 1083 D. Manuel M.tesqui.....-........................ io8co D N-colas B1 rs¿1 ■. ti ............................... j ^ 66 8f D. L…</t>
  </si>
  <si>
    <t>Autoi</t>
  </si>
  <si>
    <t>Gaceta de Madrid n.º 212</t>
  </si>
  <si>
    <t>■ecu..................................... 134000 Extracto.-de las minutas de la secretaría de D. Juan Amonio del Valle........... . 176400 Estaco. ;• D. Autoi io Portier................................. 239987..22 En nuestro palacio de Madrid á 14 de julio Doña Juana de Muga............................. 36000 de i8ro. . D. Ma…</t>
  </si>
  <si>
    <t>Autoníi, Juan</t>
  </si>
  <si>
    <t>Juan Autoníi</t>
  </si>
  <si>
    <t>rrís ( D. V icentt ), ayudante del mismo cuerpo. Bou'g (D. Pedro), cabo del mismo cuerpo, ídem. Grave (O. Pedro), músico en el de tiradores Brousse ( D. Juan Autoníi ), capitán, comandan­ de idem. te de la gendarmería escogida , idem. Gnadalcázar (marques de), comandante de bata­ Butlet (D- Carlos), sargento de tiradores, ide…</t>
  </si>
  <si>
    <t>Autran, José María</t>
  </si>
  <si>
    <t>José María Autran</t>
  </si>
  <si>
    <t>39</t>
  </si>
  <si>
    <t>se adelantaron las guerrillas con bi­ zarría, y reconocieron con escrupulosidad el terreno de su fren­ te , sin hallar grande oposición del enemigo. D. José María Autran, dice : que con los auxilios que re­ cibió del- arsenal, sostuvo el embarco de la vanguardia; pro­ tegió con su división el desembarco y adelanto de las guer…</t>
  </si>
  <si>
    <t>AUué, Gaspar</t>
  </si>
  <si>
    <t>Gaspar AUué</t>
  </si>
  <si>
    <t>y D. Juan Antonio Tabuenca; tenencias, &amp; D. Pedro Ligera, D. Gaspar AUué, y D. Atilano Basurti ; y subtenencia, á D, Mariano Tabuenca, O. Francisco Asura , JD. Francisco Aiastey, D. José Salvador , y D. José María Rodríguez. Por el Ministerio de la Guerra se ha</t>
  </si>
  <si>
    <t>Auun</t>
  </si>
  <si>
    <t>ecimientos navales. Mendiberri, D. Manuel Mandli, D. Dionisio Lasart. iii. Nuestro ministro de Marina queda serra , D. Lnis Duran, D. Josef Jáuregui, D. Auun gran chasco el no hacerlo asi. te que su estilo puede confundirse con el de Mayer. En la cabatina que canta el tenor, el primer tiempo Otros dicen que si la aria parece …</t>
  </si>
  <si>
    <t>Avelina, Andrés</t>
  </si>
  <si>
    <t>Andrés Avelina</t>
  </si>
  <si>
    <t>Palomino,: .&lt;? .M0“p '.' i-i '1 LC) /HlíJ Cl &lt; i’ Teniente , D¿-Justa Salcedo*. G , . Subrejweriis,íDi'AlfonsaiJeirezP* .■ SkI» .*^*.¡¡*0 Tcntettft, D. Andrés Avelina. Botragueno, Compra-der^éraíifde 4e_ 4dS-f&gt;, ¿lapas. Subteniente , ’Di~F^x j^ngarírbri. 2aP‘tan¿f,J^.Ig(Mc;ia&gt;Al!ur^0!'; n • i;?'- ‘ H a. ti (l 1 t. Cí , ns.i'.…</t>
  </si>
  <si>
    <t>Avilés, Josef Díaz</t>
  </si>
  <si>
    <t>Josef Díaz Avilés</t>
  </si>
  <si>
    <t>ano Fabre. D.Blas Bczares........ .............. Di josef García pchábüra. Octave Batallón. .. ¡ Para ayudante primero D. Manuel Eligió, para legando D. Josef Díaz Avilés, y para abanderado D. Felipe Gallarza. ' D. Joan Francisco Pallasar. D. Estiban Blanco de Alba. ........ ............... ........................ p. Rufino …</t>
  </si>
  <si>
    <t>Avilós, Josef Diez</t>
  </si>
  <si>
    <t>Josef Diez Avilós</t>
  </si>
  <si>
    <t>onio Mazon. Se le hacia; pero los castillos le hicieron foego,y la D. Manuel Navarro. obligaron á parar. Tenientes. IMPERIO FRANCES. D. Manuei Gómez. D. Josef Diez Avilós. Angers 1 g de mayo. D. Gregorio Serralta. En la semana última han llegado sucesivamente D. Carios San R 'man., á esta ciudad , y han continuado su camino p…</t>
  </si>
  <si>
    <t>AVISO</t>
  </si>
  <si>
    <t>miento á su real palacio. Diputación de la ciudad y clero de Motril para cumplimentar á S. M. Madrid 28 de marzo. Por la ciudad : D. Agustín Moreno, regidor AVISO. mas antiguo, sargento mayor retirado; D. Josef El gefe de la tercera división del ministerio de Ignacio RuizCampai, regidor perpetuo, maestran­ lo Interior D. Cris…</t>
  </si>
  <si>
    <t>AVISÓ, Luis</t>
  </si>
  <si>
    <t>Luis AVISÓ</t>
  </si>
  <si>
    <t>79</t>
  </si>
  <si>
    <t>. ;' _ AfcT. 11. Síifí embargo de que nadie debe dis­ frutar de sueldo oi pensión fuera del reino, si nq 5e se halla en servicio activo , se pagará á D. Luis AVISÓ. P. coust la asignación seña'ada por el artículo ante­ rior, en qu^lquier- país á que se retirare., haciendo^ . I.ns tenedores de certificaciones ó pagtrds da­ est…</t>
  </si>
  <si>
    <t>Avrii</t>
  </si>
  <si>
    <t>737</t>
  </si>
  <si>
    <t>737 metieron á los 2000 hombres que sacó de Bilbao el general Avrii, que tuvo que retirarse, abandonando sus equipages y caxa militar, y entró en aquella villa con bastante pérdida de gente. . / . Después de estos sucesos pasó Porlier á Asturias para obrar</t>
  </si>
  <si>
    <t>Avril</t>
  </si>
  <si>
    <t>umoustier lia salido cíe Vitoria él 7 con los babado­ res de la Guardia , dirigiéndose; á Nestosa por Viibnaséda. — Un parte que acabo de recibir del general Avril con fecha de 8 del corriente , no contiene nada de nuevo sobre la posi­ ción del enemigo. — Una qúádrilla de bandidos entró en Durango ai dia siguiente de haber sa…</t>
  </si>
  <si>
    <t>Axfii</t>
  </si>
  <si>
    <t>amenski, general e#i A petición del conde Fabián de' Fersen, que gefe, sigue su plan de operaciones militares. El 4 ha rehusadoAdmitir los bienes'del conde Axfii de -de junto, llegó á Silistria con el centro del exérci— Fersen, su difunto hermano, hasta que esté pro­ to, compuesto de 30© hombres; con el fio de asebada la inoc…</t>
  </si>
  <si>
    <t>AxsrTÚcovV</t>
  </si>
  <si>
    <t>Gaceta de Madrid n.º 173</t>
  </si>
  <si>
    <t>173</t>
  </si>
  <si>
    <t>A":DE MADRID .... - ' ' ■) • \ i ‘y-L'í -.&gt;0 rti! , . DEL VIERNES 22 DÉ JUNIO DE 1810. . yi*p . • -r*sí - :■ c■■ ' i:n «a—pm— • RUSIA. ' ' &gt;í por el .general AxsrTÚcovV\kí , qoeihao tenido el ho­ nor de arengar á SS. MM. En Franstadt. su hablan Petersburgo * dc-inayo. ' levantado aignuns arcos triunfales ,(yaiá viuda-i es­ El…</t>
  </si>
  <si>
    <t>Ayala, Juan Pablo</t>
  </si>
  <si>
    <t>Juan Pablo Ayala</t>
  </si>
  <si>
    <t>n un * gobernador militar. Los individuos de la junta son D. José de las Llamosas, D. Martin Tovar Ponte, D. Feliciano Palácip; D. Nicolás de Castro, D. Juan Pablo Ayala, D. José Cortés; D. Hilario Mora, D. Isidro Mendez, D. Francisco Rivas; D. Rafael González, D. Valentín Rivas, D. José Félix Sosa; D. José María Blanco, D. D…</t>
  </si>
  <si>
    <t>Ayala, Pablo</t>
  </si>
  <si>
    <t>Pablo Ayala</t>
  </si>
  <si>
    <t>úa prisionero: pero sus soldados siguen la misma carrera dirigi­ dos por otros gefes dignos de sucederle. Las partidas de Don Pasqual Echavarria y de D. Pablo Ayala, subalternos am­ bos de D. Francisco Éspoz y Mina, en número de 500 peones y 120 ginetes, embistieron el 19 de mayo en Peralta á 400 in­ fantes y 60 caballos enem…</t>
  </si>
  <si>
    <t>Ayamonte, Cayetano Nudide</t>
  </si>
  <si>
    <t>Cayetano Nudide Ayamonte</t>
  </si>
  <si>
    <t>e dinero. El gobierno ha dado las órdenes correspon- D. Antonio Cabrera, subprefecto de 'Sevilla. dientes para restablecer, en quanto sea posible, el D. Cayetano Nudide Ayamonte. . magnífico templo.de.Vesta.» y parece que se trata D. Miguel Pablo Tenorio, de Arácena. de desembarazar y altanar el terreno que h.ú al re­ En la p…</t>
  </si>
  <si>
    <t>Ayensa, Pedro</t>
  </si>
  <si>
    <t>Pedro Ayensa</t>
  </si>
  <si>
    <t>Gaceta de Madrid n.º 161 (suplemento)</t>
  </si>
  <si>
    <t>1440</t>
  </si>
  <si>
    <t>............................................................. 220 2640 Otra en la calle de las Golosas, frente al convento de Sto.Domingo, que habita D. Pedro Ayensa........ 500 6000 Otra junto 4 la anterior , que vive Bernardino Pajares..........................................................................................…</t>
  </si>
  <si>
    <t>Ayer</t>
  </si>
  <si>
    <t>uego que lo r ■&lt; ■. ■ ., , permira la estación á los bgños de Caristad- Mien­ - , \-.,H*nnóver tSde abril. L¡ tras la Emperatriz esté en los,baños el Emperador Ayer pasó por aqui un trep dc. &gt;irtil!ería.fraa- irá á visitar, el reino d¡e Bohemia.. Üalanra de laeotiqi.cpn.laK bellezas que los acompañan, Ik'7as de que abundan di…</t>
  </si>
  <si>
    <t>saber perfectamente p3ra quando vuelva el Rei á esta corte, donde harán el exercicio á pre­ Praga 21 de mayo. sencia de S. M. El señor barón Buttlar, prefecto Ayer se dignó S. Mf I. poner las insignias dé del palacio, es el comandante de esta guardia na­ la orden de S. Leopoldo, en presencia de los caba­ cional , en la que si…</t>
  </si>
  <si>
    <t>Azanza, Miguel</t>
  </si>
  <si>
    <t>Miguel Azanza</t>
  </si>
  <si>
    <t>Gaceta de Madrid n.º 50</t>
  </si>
  <si>
    <t>me de esta milicia montada será dolman Je tantes han solicitado que sean ajusticiados. paño aznl con trencillas blancas, pantalón de lo El Bremo. Sr. D. Miguel Azanza, ministro de mismo y media bota. las Indias y de Negocios eclesiásticos, cuyo nom­ art. xvi. Los ayuntamientos costearán por bre es venerado en el reino de Gran…</t>
  </si>
  <si>
    <t>AZANZA, MIGUEL</t>
  </si>
  <si>
    <t>MIGUEL AZANZA</t>
  </si>
  <si>
    <t>Nüm. 51* 46,3 GAZETA EXTRAORDINARIA DE LA REGENCIA '¿J DEL DOMINGO 5 DE AGOSTO DE 1810. CARTAS INTERCEPTADAS DE D. MIGUEL AZANZA. I. AL MINISTRO DE NEGOCIOS EXTRANCELOS. Excmo. Sr. —- Por Mr. Caillé , oficial francés que antigua­ mente estuvo al servicio de España, después pasó al de Portugal y ahora está empleado ce</t>
  </si>
  <si>
    <t>Azevedo, Fernando</t>
  </si>
  <si>
    <t>Fernando Azevedo</t>
  </si>
  <si>
    <t>yona ; compañías , á D. Ramón Díaz, y D. Pedro Payo; ayudantías á D. Alberto Nazarre, y D. Francisco Mo­ ren za ; tenencias , á D. Antonio Fernandez, D. Fernando Azevedo , y D. Francisco Venegas; y subtenencias, á D. Patricio Auge, D. Tomas Manzanares, y 1). José María de Otero ; y en el batallón de tiradores de Ciudad-Rodrig…</t>
  </si>
  <si>
    <t>Azj, Alexandro Maríipéjz</t>
  </si>
  <si>
    <t>Alexandro Maríipéjz Azj</t>
  </si>
  <si>
    <t>Gaceta de Madrid n.º 164</t>
  </si>
  <si>
    <t>.ld Sabtds. criminales extraordinarias establecidos en virtud de ~* D, Julián Solazar. ^ y •. rr nuestro decreto de 1-9 de abril anterior, y 4 del 3* D. Alexandro Maríipéjz 'Azj&gt;eitj¿. (;J corriente, gozarán del sueldo asignado á ¡os reaentes 4.® D. Antonio Castro’ ’ . "J, ^ .. de las audiencias, y los jueces.del que disfruta…</t>
  </si>
  <si>
    <t>Aznar, Antonio</t>
  </si>
  <si>
    <t>Antonio Aznar</t>
  </si>
  <si>
    <t>jares, y D. José Montero ; ayundamía , á D. Martin Sierra ; tenencias, á D. Eduardo Velase»; D. Vicente Cabañas , D. Manuel Laget, D. Miguel Navarro, D. Antonio Aznar , y D. Laureano Sauz; y subtenencias, ? X). Bruno Soaso, D. Antonio Llamas, D. Lorenzo Adelantado D. Juan Sotelo , D. Gregorio Aívarez Carbalio , D. Ramón Min g…</t>
  </si>
  <si>
    <t>Rafael Zamorano y Jurado, dipu­ Aguilar, por la agricultura; D. Antonio Melgare­ tado del común , y D. Josef de Castro y Jurado, jo , por la nobleza; D. Antonio Aznar, adminis­ diputado por el pueb o. trador de rentas. Diputados por la Rambla D. Francisco García La diputación de Javalquinto, que se preseotó Ortíz, corregidor;…</t>
  </si>
  <si>
    <t>Aznar, Félix</t>
  </si>
  <si>
    <t>Félix Aznar</t>
  </si>
  <si>
    <t>tonio Labrandero , y D. Francisco Federic ; ayudantes, á D. Diego Zapata y D. J¡ a i Diestre; tenencias, á D. Fernando de Prado, D. Manuel Sa­ ladar, D. Félix Aznar , D. Dionisio Angulo , D. Enrique Huelen, D. Agustín Cabrera, D. Manuel Ibarroia , D. Gregorio Arroyo, D. JuanMuguiro , D. Ramón Sánchez , D. José Goyti, D. Domin…</t>
  </si>
  <si>
    <t>Aznarez, José</t>
  </si>
  <si>
    <t>José Aznarez</t>
  </si>
  <si>
    <t>1001</t>
  </si>
  <si>
    <t>smo las Cortear generales y extraordinarias á la rmovaeion del mas antiguo de sns secretarios D. Manuel Luxm , ha sido elegido para secretario el Sr. D. José Aznarez, diputado'suplente por el reyno de Aragón. Discurso sobre la cansritircion que dió al reyno de Vra!enc'*á su in­ victo conq untador D Jayme I; por D. Francisco B…</t>
  </si>
  <si>
    <t>Azpi-oz, Alaría Aúnela</t>
  </si>
  <si>
    <t>Alaría Aúnela Azpi-oz</t>
  </si>
  <si>
    <t>....................... 32760 D Nicolás Alonso de T^ejada.............. 3220 D. Miguel Maderna................................. 133631 1 2 3 6 3 1 26 D. Alaría Aúnela Azpi-oz, como tuDoña N ¡casia de Cañas.......................... 28816 14 «ora de sus !¡ij s D.Wenceslao, D.a D. Melchor de Muxica........................... 44…</t>
  </si>
  <si>
    <t>Azpiroz, Miguel</t>
  </si>
  <si>
    <t>Miguel Azpiroz</t>
  </si>
  <si>
    <t>ó de reales oficinas............ 909518 13 Doña María Luisa Maturana.............. 56985 20 D. Rafael Fernandez.............................. 9064 II D. Miguel Azpiroz,..,........................... 17500 D. Santiago Manuel Garrido............... IO945 El marques de Bajamar.......................... 51877 16 Doña Antonia Alva…</t>
  </si>
  <si>
    <t>B, Francisco</t>
  </si>
  <si>
    <t>Francisco B</t>
  </si>
  <si>
    <t>o María Rodríguez. D. Antonio Uribarri D. Tomas Arenillas..;... D.' Josef Manuel López baña­ bas. D. Ramón Ríbes........... D. Antonio Tomas Dicgues. D. Francisco B mi^;„. D. Juan Antonio Medina. lo.• a • «••••» D. Diego Josef de Vi.la D. Mauricio Palla. Décimo batallón. Para ayudante primero D. Francisco de Paula Toledano, p…</t>
  </si>
  <si>
    <t>B, Gaspar</t>
  </si>
  <si>
    <t>Gaspar B</t>
  </si>
  <si>
    <t>Julián Saez. Tenientes. D Juan Roca. D. Tomas C.mpillo. D. Manuel López. D Ramón J ver. D Francisco S.tenz Rufz.' Batallón del quartel del Barquillo. D. Gaspar B usá. D. Narciso B.*sia. Capitanes. D. Francisco López de Moya. Marques de Canillejas. D. Manuel Barraltes. D. Francisco Marchámalo. D. Rafael de Yarce. D. Rafael Rie…</t>
  </si>
  <si>
    <t>B, Ignacio</t>
  </si>
  <si>
    <t>Ignacio B</t>
  </si>
  <si>
    <t>e Hernande z, 10. Los sar­ gentos, cabos y soldados, 158. D. Urbano Sánchez, 23. D. Antonio Ure11a, 9 y 4 rs.—Ciudad de Crispe. El tesorero interina .D. Ignacio B ;s.rmante, 100. El interventor D. Lázaro Morales , 45. El subdelegado D. Te­ rnas Escalante, 100. D. Francisco López, 25. D. Rafael Morales, 150. D* Martin Zuviria,…</t>
  </si>
  <si>
    <t>B, Joaquín</t>
  </si>
  <si>
    <t>Joaquín B</t>
  </si>
  <si>
    <t>e octubre de 1810. — Al Cóns^'d,é'is'R.&lt;égdtcih. * H liándose ausentes de la real Is!a de León y Cádiz, el teniente ge­ neral dé los reales exércitos D. Joaquín B: k, y el gefe de esquadra Don ^ reyno que haya juéj» quién suplí hasta si llpgUÍ/i , han tenido á bien las Córtes nomfbr.T pá^a Rúente? ínterinós al tenien é genera…</t>
  </si>
  <si>
    <t>B, Juan Josef</t>
  </si>
  <si>
    <t>Juan Josef B</t>
  </si>
  <si>
    <t>064!' 17; ’vde Abaría é Imar.....................................6847 20 B Pedro,Laplana.............. ...—.......... • 6í’0-:í La tftjtáínentaría"de D. Juan Josef B. Pedrp Flores, Quevedo---- ...i....... ,Rohltsi........M**»....».......»............... 6909 ir D. Miguel &gt;de G,amboaw...... IX Jáíéf Rives.;;...;:;;..;.........…</t>
  </si>
  <si>
    <t>B, N-colas</t>
  </si>
  <si>
    <t>N-colas B</t>
  </si>
  <si>
    <t>ci-co Xavier Aceñero.............. 4602 2j D Auto ño Melonjrn............................ 1083 D. Manuel M.tesqui.....-........................ io8co D N-colas B1 rs¿1 ■. ti ............................... j ^ 66 8f D. Luis--Gómez................. &lt;1300 • Doña Ma-ía Luisa Maturana................ 44-64 D. ña Ramona -Montalv.»…</t>
  </si>
  <si>
    <t>B, Narciso</t>
  </si>
  <si>
    <t>Narciso B</t>
  </si>
  <si>
    <t>entes. D Juan Roca. D. Tomas C.mpillo. D. Manuel López. D Ramón J ver. D Francisco S.tenz Rufz.' Batallón del quartel del Barquillo. D. Gaspar B usá. D. Narciso B.*sia. Capitanes. D. Francisco López de Moya. Marques de Canillejas. D. Manuel Barraltes. D. Francisco Marchámalo. D. Rafael de Yarce. D. Rafael Riesco. D. Clemente …</t>
  </si>
  <si>
    <t>B, Pedro</t>
  </si>
  <si>
    <t>Pedro B</t>
  </si>
  <si>
    <t>hlar. . 5 bí&gt; o:v._ --'.r ' rBitavl medio beneficio de laparroqnia de Alo­ t Para otro dé la misma parroquia , vacantepor ra , vacante por ascenso de D. Pedro -B&amp;rnabé y. fallecimiento'deGasparFeatnandez;, á Di Félix Romero ;á otro entera dé la propia-,á D. Diego Xerez y García, presbítero, teuiente de. cura de Enxnto i presb…</t>
  </si>
  <si>
    <t>Ba, Antonio</t>
  </si>
  <si>
    <t>Antonio Ba</t>
  </si>
  <si>
    <t>e dragones provinciales de Quere* taro, por el tiempo que cure la guerra, ofreció £0. El ayunta­ miento de la villa de Lago*, 20. Los dependientes de D. Antonio Ba soco, empleados en L;s minas y haciendas de Betagrande en julisdiccion de Zacatecas, 2 830. E» marques de Guardiola, 20. Va­ rios vecinos de 8. Andrés Tuxtla, 15 1…</t>
  </si>
  <si>
    <t>Ba, Josef</t>
  </si>
  <si>
    <t>Josef Ba</t>
  </si>
  <si>
    <t>leada de mochos cristía de la parroquia de los Santos Mirtires, en modos en favor de los que combaten hoi por ia ja ciudad de Malaga , ai ex-domioico D. Josef Ba­ ■causa de la independencia de la España , y no e» stieres. justo privarlos de uno de los recursos que pueden Para la segunda de la misma parroquia á D. Sequedarles.…</t>
  </si>
  <si>
    <t>Ba, Juan</t>
  </si>
  <si>
    <t>Juan Ba</t>
  </si>
  <si>
    <t>nativos de la Nueva-Kizcaya. D. Manuel Pacheco, 20. D. Francisco Soberon , 10. D. Juan Pes­ cador, 20. D. Mariano Garvizo, 12. D. Cayetano López, 25. D. Juan Ba.rrera, 200. Don Tomas del Campo, 25. Don Juan Ventura Ga~ ray, ro. Varios pobres, 25 y 4 rs. D. Leonardo Flores, 20, D. Pedro Rábago 24 y 4 rs. D. Juan Femando Ceball…</t>
  </si>
  <si>
    <t>Baader</t>
  </si>
  <si>
    <t>l plan relativo á rentas; pero es regular que Munich 13 de setiembre. un dia de estos salga el decreto. Nuestro cambio no ha experimentado de uuos E( consejero Baader ha probado con nuevas ex­ dias á esta parte ninguna alteración. periencias que su trineo ó silla náutica puede ser­ vir también para caminar por los grandes lag…</t>
  </si>
  <si>
    <t>Babia, Stoart</t>
  </si>
  <si>
    <t>Stoart Babia</t>
  </si>
  <si>
    <t>do,í-ban experimentado retirada á los destacamentos que hablan desembar­ la mas viva y pura alegrír-áiofecihir ia importante • cado ya eñ Sicilia. El general Stoart Babia mirado noticia del feliz alumbramiento de nuestra augusta.- desde el principio esta tentativa como un- ataque duquesa y vuestra augusta esposa. faiso, y ten…</t>
  </si>
  <si>
    <t>Babich, Luis</t>
  </si>
  <si>
    <t>Luis Babich</t>
  </si>
  <si>
    <t>rriJo....................................... ............................ D. Miguel Antonio Ib.ruz.......... .............. .V.J..... ..y..........'. D. Luis Babich. ........................... ....... .............. D. Manuel de Ulibarrí. ........................................ .......... . D.‘Buenaventura, MofeúO. Noveno B…</t>
  </si>
  <si>
    <t>Bacellar</t>
  </si>
  <si>
    <t>85</t>
  </si>
  <si>
    <t>par á V. E. que se ha confirmado la noticia que le di en mi oficio anterior del 13 acerca de la marcha de los destacamentos de tropas mandadas por el general Bacellar. — El coronel Trant llegó á las inmediaciones de Coimbra el 7 del corriente, y des­ de luego atacó los puestos avanzados que tenia fuera de la ciudad el enemigo…</t>
  </si>
  <si>
    <t>Badana, Manuel</t>
  </si>
  <si>
    <t>Manuel Badana</t>
  </si>
  <si>
    <t>D. Ignacio Abadía. D. Manuel Antonio Ibañez. D. Isidro Velazquez. D. Josef María Acosta. D. Manuel Novales. D. Eugenio Aguilar. D. Francisco Peralta. D. Manuel Badana. D. Mateo Gil de Sola. D. Vicenre Tejada. D. Domingo Ventades. D. Julián Sojo. D. Tomas Ibargiien. Tenientes. D. Ramón García Ximenez. Batallón del quartel de S…</t>
  </si>
  <si>
    <t>Baena, IgnaeIo</t>
  </si>
  <si>
    <t>IgnaeIo Baena</t>
  </si>
  <si>
    <t>369</t>
  </si>
  <si>
    <t>nnumérablés pérsó-1 query D. JoséfMáría Conde', D.JBartolomé Gjlvcí r ñas de ambos sexós, que penetradas de. unos mis­ y Aranda, E&gt;. Pedro Cárdenal ,,D. IgnaeIo' Baena'. mos sentimientos dirigían sos súplicas af Dios de 'Subtenientes: D. Joan Cava) ,* D. Pedro Mn- lol Ejércitos por la éalud dé;'nuestro ^Soberano , y radas; D.…</t>
  </si>
  <si>
    <t>Baena, Pedro</t>
  </si>
  <si>
    <t>Pedro Baena</t>
  </si>
  <si>
    <t>a franca de caballería Jorge de Ganera. de Córdoba; á D. Juan Morales Sacristán, capitán La diputación de Bailen, que Sí presentó á de la s.guoda ; á D. Pedro Baena , capitán de la S. M. en Andújar, constaba de D. Pedro Acucio primera de infantería, y á D. Francisco Munarriz, Choza, aL-j'de mayor; D. Luis Antonio Rentero, com…</t>
  </si>
  <si>
    <t>Baeza, Diego</t>
  </si>
  <si>
    <t>Diego Baeza</t>
  </si>
  <si>
    <t>de S. Felipe , que de las carnicerías, que linda á medio­ linda á oriente con otra que fue de día con casa de la ciudad.................... 227 2724 D. Diego Baeza................................... 68$..17 Otra en la misma calle de Jaraíz, y des­ Otra en la calle del Limonero, que Jin­ pacho del vino de la archicofradía del …</t>
  </si>
  <si>
    <t>Báfios, Miguel'de</t>
  </si>
  <si>
    <t>Miguel'de Báfios</t>
  </si>
  <si>
    <t>e­ cer del 13 entró en Juánét: allí descansó dos horas , y por falta del señor gobernador , cuyo para lero se ignoraba, ei coman­ dante ds artillería D. Miguel'de Báfios , el mas antiguo de los dos tenientes coroneles qué no se habian separado ds ia coluna, to­ mó el mando de ella, y k las 7 de la mañana llegamos á S. Hila­ r…</t>
  </si>
  <si>
    <t>Bagratioa</t>
  </si>
  <si>
    <t>319</t>
  </si>
  <si>
    <t>se adoptarán medidas exército continúa bloqueando á Silistria. Se cree mui eficaces: el papel-moneda ha experimentado que por hallarse indispuesto el príncipe Bagratioa en estos dias una corta subida; pero nos lisonjea­ se contará el mando del exército al geseial Ku- mos de que dentro de poco recobrará su primitivo tusow. cré…</t>
  </si>
  <si>
    <t>Bágration</t>
  </si>
  <si>
    <t>Gaceta de Madrid n.º 38</t>
  </si>
  <si>
    <t>de les cariaras y de S. Severo, que se han secularizado, y ademas Bucherest € de enero de j8io- un terreno de señorío para que ensanche su jardín El príncipe Bágration, que había retrogradado botánico. ■ &lt; ' . . *on todo el ejército tuso desde las cercanías de Se valúa en 40 millones anuales la pérdida del Silistria hasta Hir…</t>
  </si>
  <si>
    <t>Bagration</t>
  </si>
  <si>
    <t>Gaceta de Madrid n.º 65</t>
  </si>
  <si>
    <t>ocios, y en vista de los acaecimientos desgracia­ provincias de Moldavia, Valaquia y Besarabia. El dos , de que hemos sido testigos, es increíble que príncipe Bagration , comandante en gefe, no quie­ el actual ministerio pueda tener por mas tiempo re principiar las operaciones hasta acabar de recibir las riendas del gobierno.…</t>
  </si>
  <si>
    <t>odavía no ha llególo á esta ciudad el regíperanzas de paz con la sublime Puerta. Se asegura mie-to francés de cazador, s a caballo que escamo* que el príncipe Bagration, comandante en gefe de esperando hace a.guaas di,s. Nuestra guarnición se nuestro exército de Turquía, no tardará en llegar compone actualmente de cerca de y2…</t>
  </si>
  <si>
    <t>Gaceta de Madrid n.º 106</t>
  </si>
  <si>
    <t>441</t>
  </si>
  <si>
    <t>provincia,* íhhrnto del Emperador ‘ Napoleón con la archidu­ se ha retirado otra vez á Topoln. quesa María Luisa, nóestros comerciantes se dedi^ El. príncipe Bagration há llegado- el «7 de ene- can con mayor confianza á hacer grandes especu­ ro á~Bochar&lt;est, donde Ká hecho su entrada'con laciones, mientras qné nuestros políti…</t>
  </si>
  <si>
    <t>Bagratíon</t>
  </si>
  <si>
    <t>o hoi la dieta acelerar su despa­ puesto en precipitada fuga después de haber per­ cho; de manera que para la semana próxima han dido mucha gente. El príncipe Bagratíon perman de estar concluidos todos los negocios. Los dipu­ ce todavía en Bucharest , y á la salida del último tados de la clase de aldeanos son los primeros que…</t>
  </si>
  <si>
    <t>Gaceta de Madrid n.º 134</t>
  </si>
  <si>
    <t>las divisiones rusas del chazado á los turcos y quienes han sufrido una pér­ exército de Moldavia, Besarabia y Valaqoia han dida mui considerable. El príncipe Bagration ha salido desús acantonamientos para .reconcentrarse pasado desde BuchareSt á Rastowat en Us fronte­ y principiar una nueva campaña. Se espera al Em­ ras de l…</t>
  </si>
  <si>
    <t>entos que han dado á un destacamento de ser­ ción se atribuía á no . haber entregado todavía el vios,’ que lograron separar y cortar del cuerpo prin­ príncipe Bagration el mando del exército al general cipal del exército; Los soldados turcos que han si­ Kamenski. do hechos prisioneros por' los rusos y servios *• Algunos conje…</t>
  </si>
  <si>
    <t>Gazeta de la Regencia de España e Indias n.º 30</t>
  </si>
  <si>
    <t>847</t>
  </si>
  <si>
    <t>ubio, consiguiéron reunirse con los servios en Palanka; un cuerpo turco que quiso impedir esta operación , 4ié derrotado con perdida considerable. El príncipe Bagration se halUba en Bucharest to­ mando disposiciones para atacar á los turcos. Los periódicos franceses citan cartas de Esclavo ni 3 y otros párages, según las qual…</t>
  </si>
  <si>
    <t>mayo. donde SSv AÁ. pico san detenerse unos^dias. • .1 Se espera de un dia á otro en Viena al generalEl día 7 de este mes han llegado á Cracovia ruso príncipe Bagration, que ha hecho dimisión del* SS. MM. nuestros. Soberanos. mando en gefe del exército ruso^cn Turquía. La APJ5NPICB A U CAZSTA OX MADKID. se logre la mayor quie…</t>
  </si>
  <si>
    <t>déi rior, ha llegado á Trento con varios empicados. A cambiante de Amsterdam Mr. de Golietcomb. Jos habitantes de aquel departamento se les ha pe­ El príncipe Bagration, que mandaba última­ dido una razón exacta y por escrito de ¡as cantida­ mente el exército ruso en Valaquia y Moldavia, des que se les deben en los estados de…</t>
  </si>
  <si>
    <t>Bagratiou</t>
  </si>
  <si>
    <t>. Créese que no será tipiado todavía las hostilidades, y parece que no larga la ausencia del Reí, porque en Varsovia no comenzarán estas hasta que el príncipe Bagratiou hai muchos asuntos reservados á su decisión; y j« entregue el mando del exércíto al general Ko— espera que S. M. estará aquí de vuelta para prin­ menskoi. cip…</t>
  </si>
  <si>
    <t>Bagtier, Josef</t>
  </si>
  <si>
    <t>Josef Bagtier</t>
  </si>
  <si>
    <t>Gaceta de Madrid n.º 174</t>
  </si>
  <si>
    <t>ermiso que se propone á los oficiales que Capitulación propuesta par el señor brigadier de le diesen seguridad bastante, en atención á que ingenieros D. Josef Bagtier, segundo coman­ muchos oficiales españoles, prisioneros de guerra, dante general de este cantón , y £). Pedro Fé­ han faltado ya i la palabra de honor que había…</t>
  </si>
  <si>
    <t>Baguer, Josef</t>
  </si>
  <si>
    <t>Josef Baguer</t>
  </si>
  <si>
    <t>Gaceta de Madrid n.º 175</t>
  </si>
  <si>
    <t>ía de Orea, del Cinca ; D. Josef González, mariscal de campo, calle de la Montera, frente á S. Luis. gobernador de la plaza y del castillo de Lérida; D. Josef Baguer, brigadier de ingenieros , segundo TEATROS. comandante; D. Narciso Codina , brigadier de in­ genieros, y comandante de Tortosa ; D. Felipe Pe- En el de los Caños…</t>
  </si>
  <si>
    <t>Bahamonde, Agustín Rodríguez</t>
  </si>
  <si>
    <t>Agustín Rodríguez Bahamonde</t>
  </si>
  <si>
    <t>se: D. Pedro Cortinas por idern: O. Diego Muñoz Torrero, por ía de Extremadura: D. Manuel Laxan por idem: D. Antonio Darán de Castro , por la de Tuy: D. Agustín Rodríguez Bahamonde por ídem: D. Francisca Calvet y Rivacoba, por la ciudad de Gerona: D, José Salvador López del Pan, por la ciudad de la Co­ ruña : D. José Maria Co…</t>
  </si>
  <si>
    <t>Bailen, Juan</t>
  </si>
  <si>
    <t>Juan Bailen</t>
  </si>
  <si>
    <t>n el desempeño , y tan lla, á D. Luis González , teniente que fue de lance­ faltos de colorido y de poesía, oue no merecen ros de ia misma ciudad, yá D. Juan Bailen, sub­ que la comisión los analice y exponga por menores teniente que era del regimiento de caballería de sus defectos. ella: en el regimiento de infantería de Sev…</t>
  </si>
  <si>
    <t>Baille, Pedro</t>
  </si>
  <si>
    <t>Pedro Baille</t>
  </si>
  <si>
    <t>Gaceta de Madrid n.º 62</t>
  </si>
  <si>
    <t>3620..30I permanecerá en París-hasta después dé celebrado el D. Jaquier Second............................ 9274..!5 matrimonio de S. M. el Emperador, D. Pedro Baille y compañía............ 182105.. 2 i El Reí de Baviera estará‘todavía por algún D. Jaime Dor:.................................... 128527..12 tiempo en esta capita…</t>
  </si>
  <si>
    <t>B. Miguel de Gorr.es.;;.;;v..vf:v.;;;'..', 2 t eco , &lt;1 D. Dcogtacias Cardenal—..........'^.í.... &gt;yijl Di Simon de TPrres.-..'.v.....v.. , 548 ¿ .'1 D. Pedro Baille y compañía..........;. 79315.J,7; Doña María dcl Cármen Herrau....... 115 50' Doña Anai Josefa Tavira..—. a /»•*!••&lt;*#' ;901^17' D.Ramón y D.? Micaela Merino, y …</t>
  </si>
  <si>
    <t>poderados Pinillos y Pcrez....... . 35739 „ 1434913808.. 8} g . Francisco de las Barreras................. D. Manuel de Ramos Zafra...... ........... D. Pedro Baille y compañía.................. D. Amonio di Castilla.......................... 1500 40514.. 7 78913.. 3 5333r.. 7 D, Esteban de la Torre........................ 22…</t>
  </si>
  <si>
    <t>Bailo, Antonio</t>
  </si>
  <si>
    <t>Antonio Bailo</t>
  </si>
  <si>
    <t>....................... Ej?Josef González. D. Tomas Arenillas. í?. Gaspar de Losas Hidalgo. D. Josef lbárreta. D. Pedro Batelú. D. Manuel Negueruela. D. Antonio Bailo. D. Ramón Rites. D. Manuel Toro. D. Josef Castro. D. Antonio Rubio. D. Andrés Saiz Dnrango. Batallón del quartel de S. Francisco. D. Jo sef Antonio Molina. Capi…</t>
  </si>
  <si>
    <t>Bailón, Juan Antonio Montiel</t>
  </si>
  <si>
    <t>Juan Antonio Montiel Bailón</t>
  </si>
  <si>
    <t>rjusticía queda Jueces. ' ' encargado de la execucion de presente decreto. =s x.° tí. Roque Novella. Firmado = YO EL REI. = Por S..M; su ministro 2.° D. Juan Antonio Montiel Bailón. secretario de Estado Mariano Luis de Urquijo.” 3.® D. Andrés Ramos, .. . 4.® D. Judas Tadeo González. , Extracto de las minutas de la secretaria …</t>
  </si>
  <si>
    <t>Bails, Benito</t>
  </si>
  <si>
    <t>Benito Bails</t>
  </si>
  <si>
    <t>Gaceta de Madrid n.º 277</t>
  </si>
  <si>
    <t>e sn presencia tenia disuel­ nobles artes. Se hallará en el despacho de las obras de ta eo el ambiente interior» basta qne» igualada ó matemáticas de D. Benito Bails, en Ja real casa de la tal vez excedida por el calor del dia la tempera­ Academia de S. Fernando, calle de Alcalá, quarto del tura exterior, pasa otra vez el cal…</t>
  </si>
  <si>
    <t>Baimen</t>
  </si>
  <si>
    <t>Gaceta de Madrid n.º 160</t>
  </si>
  <si>
    <t>odo recogerá mui ¡liego el froto de vuestras de­ tos y uu canon. Al mismo tiempo mandó al coro­ liberaciones benéficas y patrióticas, y la Europa nel conde Baimen, edecán del Emperador, que verá con admiración que la Suecia , al saiir Je una rodease la posición del enemigo para atacarle en guerra desgraciada, emprende la gran…</t>
  </si>
  <si>
    <t>Bains, Esteban</t>
  </si>
  <si>
    <t>Esteban Bains</t>
  </si>
  <si>
    <t>D. Julián Castañou. D. Diego Giraldo. D. Juan Crespo. D. Andrés Almarza. D. Antonio Reyelo. D. JnrefTubó. D. Joaquín Pacheco. D. Pedro Josef Mayora. D. Esteban Bains. D. Modesto faLcios. Tenientes. D. Juan Paredes. D. Agustín Ugarte. D............................... D. Antonio Arias. D. Vicente Ferrer. D. F rancisco Sagasta. …</t>
  </si>
  <si>
    <t>Bal</t>
  </si>
  <si>
    <t>76</t>
  </si>
  <si>
    <t>Xcrcito dé Ga­ licia al capitán del¡ segundo de S a boya1 D;' Manuel Gámindé,\ graduado de teniente coronel, y. ayudantía en el segundo de Mailorea á D. Bal­ tasar Réy , teniente deLdé Cantabria. Igualmente se ha servido promover á maqscaL de' campo der los rea­ les exércitpsal brigadierDr JuandeCoarten , Gorjónel;del regitui…</t>
  </si>
  <si>
    <t>Balabin</t>
  </si>
  <si>
    <t>Gaceta de Madrid n.º 250</t>
  </si>
  <si>
    <t>a 50® libras esterlinas, premio ordinario de oficiales que han peleado baxo sus ordenes. El te­ un patriota; y seguramente desde que hai mundo niente coronel Balabin , del regimiento de Atamanj quantos se han preciado de patriotas no han hecho se ha distinguido mui particularmente en el com­ tanto bien como el que harian 5°® …</t>
  </si>
  <si>
    <t>Balanza, Juan Miguel</t>
  </si>
  <si>
    <t>Juan Miguel Balanza</t>
  </si>
  <si>
    <t>134</t>
  </si>
  <si>
    <t>z, D. Joaquín Moreno, D. Juan Morales, D. José Benitez, D, José Va­ ra del Rey, D. José Joaquín Daureia, y D. José Tirso Carvajal; y subtenencias , á D. Juan Miguel Balanza , D. Antonio Diaz Pintado , D. Tomas Leal, D. Francisco Ortiz , D. José Mazon, D. Andrés Serrano,D. José Gutiérrez Genico, D.Pablo Carcía Bermejo, I&gt;. Jua…</t>
  </si>
  <si>
    <t>Balaschow</t>
  </si>
  <si>
    <t>lón americano. Inmediatamen­ pital un aumento de sneldo, cuya repartición ba te principió á hacerles fuego; pero ios dos supues­ confiado al teniente general Balaschow, que hace tos buques americanos abrieron su? porras , y le dis­ las veces de gobernador militar de esta ciudad. pararon una andanada completa. Eran dos fragata…</t>
  </si>
  <si>
    <t>Balavñji</t>
  </si>
  <si>
    <t>y de las bocas del Escalda, la existen­ y' generales de brigada” el- 'dóMiJér Eugenio y el cia comercial de la Holanda es sumamente dudosái ayudante comandante Balavñji.‘:f i: u, Los negociantes dé Ambéres, de Gante y de Middelburgo, que pueden extender sus especulaciones IMPERIO FRANCES. tío obstáculo hasta los últimos confi…</t>
  </si>
  <si>
    <t>Balbiani, Mauricio</t>
  </si>
  <si>
    <t>Mauricio Balbiani</t>
  </si>
  <si>
    <t>Gazeta de la Regencia de España e Indias n.º 50</t>
  </si>
  <si>
    <t>e metralla con mucho acierto, y nuestros soldados mostraron la ma3ror serenidad y bizarría. Tuvimos 2 muertos, 2 contusos y 14 he­ ridos, entre estos D. Mauricio Balbiani, capitán del regimien­ to de Almansa, y D; Mariano Valenzuela, capitán de la pri­ mera sección catalana. La obscuridad no permitió calcular la pérdida del e…</t>
  </si>
  <si>
    <t>Baliester, Francisco</t>
  </si>
  <si>
    <t>Francisco Baliester</t>
  </si>
  <si>
    <t>Gaceta de Madrid n.º 205</t>
  </si>
  <si>
    <t>906</t>
  </si>
  <si>
    <t>ní,que basta con decirte rae suminis­ á D. Raimundo Sauquillo; y teniente de infantería tran quantos dineros les pido para la subsistencia de línea á D. Francisco Baliester, subteniente del de mi familia y mia &amp;c. de infantería de Borboo. ,, No puedo ser mas largo» porque estoi po­ Sargento mayor del cuerpo de inválido' de Ma…</t>
  </si>
  <si>
    <t>Baliñani, Pablo</t>
  </si>
  <si>
    <t>Pablo Baliñani</t>
  </si>
  <si>
    <t>de Dios Alguer ; compañías á D. Francisco Sapena, D. Cristóbal Dócio, D. Manuel Bausa, D. Juan Doz, D. Jayme Perj, D. Juan Nioa , D. Juan Vasadre, y D. Pablo Baliñani; ayudantías, á D. Francisco Valdés, y D. Félix Camarasa ; te­ nencias, á D. Manuel Sainz, D. Juan Conde, D. Francisco Carrion, D. Miguel Valbuena, D. Rafael Sán…</t>
  </si>
  <si>
    <t>Baljepteros</t>
  </si>
  <si>
    <t>Gazeta de la Regencia de España e Indias n.º 112</t>
  </si>
  <si>
    <t>mu­ chos lo a-tribuyen, á los recelos que les causan los movimientos y proximidad de last trepas .españolas;., y con. efecto •&gt; ,u n$ guer­ rilla del general Baljepteros ha llegado estos días al Esparragal, Q leguas solamente dp Seyilla. La guarniciónalo pasa dé 2óQÓ hombres, fatigados con las continuas marchas y correrías. A…</t>
  </si>
  <si>
    <t>Balles</t>
  </si>
  <si>
    <t>281</t>
  </si>
  <si>
    <t>dos. Daremos el extracto de elfos. „Aracena 25 de mayo. F1 teniente coronel D. José Valladares,, Cfm¡ ndíinte de bs trepes ligeras de la división dei general Balles­ teros , atacó el día 23 en ia venta de la Pajanosa al enemigo, y á, pesar de su superioridad le echó de la venta y campamento pa­ rné nc 00 en precipitad?* fuga,…</t>
  </si>
  <si>
    <t>secuencia de éste acontecimiento rdel que no sacará qui’ zá el enemigo las ventajas que se ha figurado. - . ; Frexemii Jo de diciembre. Parece que el general Balles­ teros , saliendo antes de ayer de la Puebla de Pallares hacia Llerena á practicar un reconocimiento con los tiradores y los, regimientos de Lena y Monforte, se e…</t>
  </si>
  <si>
    <t>Ballesteros</t>
  </si>
  <si>
    <t>Gazeta de la Regencia de España e Indias n.º 8 (extraordinaria)</t>
  </si>
  <si>
    <t>54</t>
  </si>
  <si>
    <t>participa al Consejo de Regencia, que acababa de recibir la agradable' noticia de venir batidos los enemigos de toda Extremadura, perseguidos por el general Ballesteros , que el 22 llegaba á Sta. Olalla, y los enemigos dispersos se diri­ gían unos á Sevilla, y Otros, á la Sierra. CADIZ: EN LA IMPRENTA REAL.</t>
  </si>
  <si>
    <t>Gazeta de la Regencia de España e Indias n.º 14</t>
  </si>
  <si>
    <t>105</t>
  </si>
  <si>
    <t>105 Parte qae da el general Ballesteros al general en xefe del ejér­ cito de la izquierda, de lü, acción que se ha dado contra los enemigos entre Sta. Olalla y. el Ronquillo. „Excmo. Sr. — El 24 del corriente , hallándose ya reu­ nida mi división con la primera de Extremadura ,.</t>
  </si>
  <si>
    <t>Gazeta de la Regencia de España e Indias n.º 25</t>
  </si>
  <si>
    <t>mente, y que los enemigv.s daban muestras de retirarse.. Tanto nuestras tropas como las francesas están-en movimiento. El 2 de este mes se hallaba el general Ballesteros en Calera, pue­ blo entre Fuente de Cantos y Monesterio. El general Mendizabal está hácia Aíburquerque. Los enemigos devastan á Márida y .^us contornos; una …</t>
  </si>
  <si>
    <t>ideración. Nuestra pérdida fué de 6 heridos. Valladares recibió un balazo en su levita.” y ^lrcche 27. Ayer á la una del dia atacaron les enemigos al general Ballesteros. Duró la acción hasta el anochecer. Nuestras tropas se portaron con honor. La pérdida del enemigo fué mayor que Ja nuestra.” y Hucha 28. Se dice que los fran…</t>
  </si>
  <si>
    <t>282</t>
  </si>
  <si>
    <t>sente. — Han prohibi­ do baxo graves penas la comunicación mútua del pairan age de Chiciana, Puerto Real y Puerto de Santa María. Es indudable que el general Ballesteros ha tenido un reencuen­ tro con los franceses, matándoles bastante gente. Al mismo tiem­ po parece que algunas partidas de patriotas se han acercado a Se­ vil…</t>
  </si>
  <si>
    <t>329</t>
  </si>
  <si>
    <t>ón circundan ci&amp;da de ello. La división de Gazan padeció mucho en una acción que n tr.vn IUVU el dia 23 entre Guillena y Gerena contra las tiopas del general Ballesteros. ( Véase el núm. 33, pdg. 281.) En ios dos dias si­ guientes entraron en Sevilla mas de 200 dispersos, entre ellos va­ rios heridos, y salieron 1500 hombres …</t>
  </si>
  <si>
    <t>Gazeta de la Regencia de España e Indias n.º 44</t>
  </si>
  <si>
    <t>han conseguido algunas ventajas contra las francesas. — Antes de ayer evacuaron los enemigos á Moguer, donde se dice que han entrado los nuestros. El general Ballesteros había hecho eii dias pasados un mo­ vimiento sobre Sevilla. Su quartel general estaba el 2 en Abulaga, aldea del Castillo, y su vanguardia en la venta de la …</t>
  </si>
  <si>
    <t>Gazeta de la Regencia de España e Indias n.º 46</t>
  </si>
  <si>
    <t>423</t>
  </si>
  <si>
    <t>por la superioridad de fuerzas enemigas, pues solo contaba con unos 3600 hombres de infantería y caballería, y la necesidad que tenia de reunirse al general Ballesteros, determinó dexar el pueblo figurando pasar el puente del rio Ardila, de cuya idea se persuadieron los enemi­ gos á quienes burló, verificándolo al anochecer p…</t>
  </si>
  <si>
    <t>Gazeta de la Regencia de España e Indias n.º 48</t>
  </si>
  <si>
    <t>445</t>
  </si>
  <si>
    <t>n de R&lt;?gnier atacaba.la ele Imaz. en Xerezlas tropas del duque de Aremberg, unidas á la división de Gazan venida de Sevilla, trataron de envolver al general Ballesteros. La contramarcha de este frustró el proyecto de los franceses, que se han retirado des­ pués de hacer infinitos-daños en casas, campes y ganados de la sierra…</t>
  </si>
  <si>
    <t>tos y heridos. En la orden del dia comunicada á la plaza sobre la acción del 11 en Llerena , se dice que murieron 800 españoles, y que se cogieron al general Ballesteros 3000 prisioneros , cañones y 20 banderas (1). Por acá nada de esto creemos, porque si hubiera sido cierto quanto nos han contado anterior­ mente , no teñ irí…</t>
  </si>
  <si>
    <t>Gazeta de la Regencia de España e Indias n.º 101</t>
  </si>
  <si>
    <t>955</t>
  </si>
  <si>
    <t>s, y que se pasarían muchos soldados extrangeros á no ser por el mie­ do del paisanage que les infunden sus oficiales. El 14 pres­ tó la división del general Ballesteros el juramento solemne prescrito por las Cortes generales del reyno. El 16 por la tarde íué rechazada en Bienvenida una descubierta francesa con pérdida de 25 …</t>
  </si>
  <si>
    <t>Sevilla esta tarde con sus tropas bien descalabradas. Frexenal 24. El 19 llegó a Al acena una partida de guer­ rilla perteneciente á la división del general Ballesteros con 240 cabezas de ganado de cerda que ha extraído de O i vares , y trae para su división. Esta salió de aquí el mismo dia para Za­ fra. — En la tarde del pro…</t>
  </si>
  <si>
    <t>hos años.—Martorell S6;de octubre de 1810.— José Obis­ po. — Excmo. Sr. D. Enriqoe O DonnelL” Aracena 27 de noviembre. Una -partirla de guerrilla del general Ballesteros, noticiosa de que los franceses habían exi­ gido en Cazada y Con.tantina el diezmo de y no y aguar­ dante , y que lo tenían separado en una bodega , marchó á…</t>
  </si>
  <si>
    <t>es­ tros , huyeron y fueron perseguidos por espacia de 3 leguas perdiendo en el alcance mucha gente entre muertos y prisior ñeros, i^sílo escribe, el general Ballesteros $e£tiei Moptemoliij con fecha del ^ ú . u.v -..o-j páí::¡v uvre'-r-Ln A Pocos días‘antes de salir Soult del Puerto dg; Sta,^María* dio un baylg, después del …</t>
  </si>
  <si>
    <t>Gazeta de la Regencia de España e Indias n.º 113</t>
  </si>
  <si>
    <t>52</t>
  </si>
  <si>
    <t>y no se atrevió á saiir.— Quartel g: neral de Gausin 22 de noviembre de 1810'—Serrano Valdenebro ” Fuente de Cantos 16 de diciembre. La división del general Ballesteros ocupa á Monasterio, la Calera y Puebla del Con­ de: el general Menciizabal está en esta villa, y los franceses en IJerena. El 29 del pasado la guerrilla de So…</t>
  </si>
  <si>
    <t>1053</t>
  </si>
  <si>
    <t>este noticias positivas del estado de los franceses en Portugal. — En estos dias se nos han pasado varios desertores alemanes y algún juramentado. El general Ballesteros ha hecho una correría sobre Llere21a, en que ha destruido algunos molinos y cogido porción de cargas de trigo y harina. — Esta mañana á las 5 ha llegado avis…</t>
  </si>
  <si>
    <t>Ballinobleza</t>
  </si>
  <si>
    <t>biera existido, géneros. Este buque ha sido apresado junto á las la lei del 22 de mayo de 1809, que establecía una costas mismas de Inglaterra por el capitán Ballinobleza constitucional. dar, comandante del corsario el Proveedor. El cuerpo legislativo ha adoptado también eh Escriben de Longwi,que un vecino de aqnella nuevo có…</t>
  </si>
  <si>
    <t>Baltasar</t>
  </si>
  <si>
    <t>io ordenador de Matoe y Magtroe (l.u. 70o 59'), las quales están nuestros reales exércitos. poblad *s de renos, y de los establecimientos de V¡Ualba (D. Baltasar de) , capítanifeb tiradores de Kiclavig y de R/bvogy que con motivo de la pes­ nuestra guardia real. : ca son mui frecuentados por los europeos. Una de Visseti ,(D. …</t>
  </si>
  <si>
    <t>Banas</t>
  </si>
  <si>
    <t>dioso fes razones stfryoc Rapotet ,■ y la cóínpañía de cazadores de ó providencias que digir ó que- traslade, y en el móntañá de Jaén, mandada por el capitán Banas­ de hacer la historia de un proceso con orden» tero» han tenido ocasión de'distinguirse contra claridad é inteligencia de fes ditkulrádts de justi­ tona quadrilla …</t>
  </si>
  <si>
    <t>Bani</t>
  </si>
  <si>
    <t>sus derechos á las referi­ con animo de juntarse con otro espitan de Lirones das plazas , y ha exigido de la Puerta su cesión. lumado Isidoro Mil. El comandante Bani continuó su marcha, y en Peñalsordo le informaron de que IMPfiKlO FRANCES. Ventura habia pas .do la noche del 2 i al 29 en Garlitos. Inmediatamente resolvió marc…</t>
  </si>
  <si>
    <t>Baquerizo, Mariano</t>
  </si>
  <si>
    <t>Mariano Baquerizo</t>
  </si>
  <si>
    <t>ga­ D. Alfonso Tamajou, fiel de la puerta del Rin­ ciones anexas á ellos con el solo objeto de la cón. felicidad de la nación y de la gloria del REI, D. Mariano Baquerizo, interventor ídem. conforme á las disposiciones de la constitución. D. Nadal Barbona , fiel de ganado vivo, inte­ rino; este individuo se lia presentado hoi…</t>
  </si>
  <si>
    <t>Bar, Josef</t>
  </si>
  <si>
    <t>Josef Bar</t>
  </si>
  <si>
    <t>encia de indagar el Trigueros Almonaster: para temente á D. Josef modo con que fue formada la vasta máquina de la Barrera Perez; y para subteniente á D. Josef Bar­ naturaleza, manifestó una originalidad de genio, ó rera Sánchez. ior mejor decir una osadía de espíritu, que no le Para teniente de la primera compañía á Don Í ue …</t>
  </si>
  <si>
    <t>Bara</t>
  </si>
  <si>
    <t>ta, y ban sido recibi­ dos con repiqne general de campanas, con repeli­ Stuttgardt j de julio. das salvas de artillería, y aclamaciones y vivas de Ei príncipe Bara.tinski, embaxador de Rusia todos los habitantes. La guardia nacional de á ca­ cerca de la corte de Baviera, ha. llegado ayer aquí ballo salid Á esperar á SS. MM. ,…</t>
  </si>
  <si>
    <t>Baraguai</t>
  </si>
  <si>
    <t>usia cerca «je nuestra corte. , gimiento. La comisión de reatas se ocupa rnceSaate'ftieh- Del i6. t# en buscar los medios mas ¿ propósito para que El general Baraguai d’Hilliers ha sido llamado quante antes, y con arreglo al decreto del Empe­ del Tiro! , donde estaba de comandante, y se ase­ rador, se vendan los bienes raíces…</t>
  </si>
  <si>
    <t>Barbachano, Doña María</t>
  </si>
  <si>
    <t>Doña María Barbachano</t>
  </si>
  <si>
    <t>...... 2166 D. Mariano Bernuces............................. 899 17 D. Diego Basañez.......................... ....... 14079 Doña Felipa de Aiderman, condesa Doña María Barbachano...................... 23465 viuda de Sanafé................................... 16200 D. Joaquin de Mezcorta...................... 84293 17 Doña Cam…</t>
  </si>
  <si>
    <t>Barbadillo, Tomas</t>
  </si>
  <si>
    <t>Tomas Barbadillo</t>
  </si>
  <si>
    <t>Lobo 200. D. Martin de Coz , 100. D. Pedro Garay , 200. 1). Manuel Bertimati, 200. D. Pedro de Sierra Diaz, 100. D. Juan Bautista Garaycochea , 100. D. Tomas Barbadillo , 200. D. Mateo Batidlo , vecino de Xalapa, 200.. D. Domingo Escando» , 200». .IX Pablo Fray le , 200. D. Juan José Morillo , 200. D. Imancisco Luis SeptitímA…</t>
  </si>
  <si>
    <t>Barbanegre</t>
  </si>
  <si>
    <t>11</t>
  </si>
  <si>
    <t>antiguas , habiendo merecido que el autor Chabot, generales de división. del viige de Anacarsisla prefiriese en cierto modo i la El barón Tousard, el barón Barbanegre, el suya: un tomoá 20 rs. en rústica.-—La esclavina robada barón Doumerc, Dumoulim y el barón K¡¿ter, ge­ y los petardistas. En este opúsculo satírico se ridicu…</t>
  </si>
  <si>
    <t>Bárbara</t>
  </si>
  <si>
    <t>Gaceta de Madrid n.º 222</t>
  </si>
  <si>
    <t>Tizzo sin S. M. ha expedido el decreta siguiente: , Extracto de las minutas de la secretaría de haber perdido mar que un solo buque. La cañonera del capitán Bárbara recibió on ba­ Estado.. En nuestro palacio de Madrid á 8 de agosto lazo , pero ya está reparada. El convoi qoe escoltaba el capitán de fragata de 1810. BongourJ h…</t>
  </si>
  <si>
    <t>Barber, Tomas</t>
  </si>
  <si>
    <t>Tomas Barber</t>
  </si>
  <si>
    <t>i.® El señor D. Guillermo Beeston, i®. El señor D. Juan Thuillier, i®. E.í señor D. Tomas Withington, i®. El señor D. Carlos O’Gorman, i@¡. El sensor D. Tomas Barber, 10. El señor D. Cárlos Vaughan, i®. El señor D. Diego Duff, cónsul de S. M. B., 5©. El señor D. Andrés Archdekin, yice-cónsul de S. M. B., 2©. El señor D. Dunca…</t>
  </si>
  <si>
    <t>Señor D. Andrés Archdekia , 2000. El Sr. D. Federico Grellet, 3000. El Sr. D. To­ mas Richards , 500. El Sr. D^ Diego Guillermo Glass , 3000. El Sr. D. Tomas Barber, 2000: El Sr. D. Tomás Tucker, 1000. El Sr. D. Tomas Goddard, 2000. El Sr. D. Guillermo Branscomb , 2000. El Sr. D. Carlos Vaughan , 2000. Ei Sr. D. Alexaúdo Bria…</t>
  </si>
  <si>
    <t>Barbero, Francisco de Paula</t>
  </si>
  <si>
    <t>Francisco de Paula Barbero</t>
  </si>
  <si>
    <t>teatro imperial se han mani­ Blanco de Cea , D. Miguel de Morales , D. Manuel festado dignos sucesores de los célebres G biliari. Mariano de Marros , D. Francisco de Paula Barbero, D. Manuel Díaz» D. Andrés Portielmelo, Don París 9 de enero de 1810. Bartolomé Velez, D. Antonio Guerra y D. An­ tonio Ximenez, y los diputados de…</t>
  </si>
  <si>
    <t>Barbona, Nadal</t>
  </si>
  <si>
    <t>Nadal Barbona</t>
  </si>
  <si>
    <t>to de la cón. felicidad de la nación y de la gloria del REI, D. Mariano Baquerizo, interventor ídem. conforme á las disposiciones de la constitución. D. Nadal Barbona , fiel de ganado vivo, inte­ rino; este individuo se lia presentado hoi. Contaduría principal. D, Josef López, fiel de carnicerías. D. Antonio de Ellatt, visita…</t>
  </si>
  <si>
    <t>Barcalztcgui, Ventura</t>
  </si>
  <si>
    <t>Ventura Barcalztcgui</t>
  </si>
  <si>
    <t>Gaceta de Madrid n.º 73</t>
  </si>
  <si>
    <t>S. M. Descubierta y Atrevida, de cosra que corre desde Veracruz hasta aquella durante la campaña que hicieron con este objeto; ciudad. Las tareas de D. Ventura Barcalztcgui, en enriquecida de nuevos descubrimientos oue han he­ la parte meridional de Cuba, se eniaz ron X-gh las cho después otros oficiales de la armada: su prec…</t>
  </si>
  <si>
    <t>Barcena</t>
  </si>
  <si>
    <t>233</t>
  </si>
  <si>
    <t>de 4500, se dirigieron por la Pola de Siero liicia Cangas de Onís, saquean­ do los pueblos del tránsito. El ¿ia 24 se hallaba en Llarses de Parres el brigadier Barcena que mandaba .nuestra vanguardia. El 27 estaba nuestro quartel general en Luarca. Los franceses ha­ bían enviado a Ponga algunas partidas con el intento de reco…</t>
  </si>
  <si>
    <t>ñon y con el coronel Escandon , y destruir los enemigos que infestan el prim cipspilo. En Linares de Comeilana fueron atacados el 15 de agosto por el brigadier Barcena 600 franceses , de los que mu­ rieron 250 con 18 oficiales: los nuestros perdieron unos 100 hombres,centre ellos 7 oficiales , los 4 del regimiento de Salas* E…</t>
  </si>
  <si>
    <t>328</t>
  </si>
  <si>
    <t>de Oviedo ¿ y sbrprehendieron á 800 franceses de que solo es caparon* fi, quedando los demás muertos ó prisioneros. J£n los mismos tres dias peleó él brigadier Barcena con los enemigos en Grado y Peñafloic, obligándolos á retirarse á la otra parte del rio: nuestra pérdida fué de bastante conside­ ración ,q»ero fué mayor la de…</t>
  </si>
  <si>
    <t>Barcena, Florencio</t>
  </si>
  <si>
    <t>Florencio Barcena</t>
  </si>
  <si>
    <t>apitán Don al secretario de Estado Mr. Canning por Mr. Joaquín Romero, teniente D. Rafael Saez, otro, Benjamín Bathurst, enviado de Inglaterra, en la D. Florencio Barcena , subteniente D. Tomas Ga­ corte de Vierta, su fecha en Buda a 20 de setiem­ lludo, otro, D. Torquato Herrera. bre de 18 os1. Segunda ídem. Capitán D. Josef…</t>
  </si>
  <si>
    <t>Bardon, A-ndres</t>
  </si>
  <si>
    <t>A-ndres Bardon</t>
  </si>
  <si>
    <t>acienda , y oido á nuestro consejo de estado , D. Andrés Dorronsoro........... ............... 3068.. t-7 Hemos decretado y decretamos lo que sigue • D. A-ndres Bardon................................... 7310 articulo-1. ,,Se declaran acreedores al estado por D. Rafael Reinalte................. .......... 4653-»». créditos liq…</t>
  </si>
  <si>
    <t>Bardon, Antonio</t>
  </si>
  <si>
    <t>Antonio Bardon</t>
  </si>
  <si>
    <t>ngulo............................... I 3 2 2'S 7 D . Santiago Manuel Garrido.............. 25 D. Manuel de Angulo........................... I 2608 7 D. Antonio Bardon.................................. 30816 14 D ña Ana de Angulo............................. 13 238 7 La casa de Rivas Peña y compañía... 9C.05 16 Los señores De…</t>
  </si>
  <si>
    <t>Bargueña, Alfonsa Dávdos y de Bernabé</t>
  </si>
  <si>
    <t>Alfonsa Dávdos y de Bernabé Bargueña</t>
  </si>
  <si>
    <t>.l.......... ....................... 4650 55^00 ' Un olivar al sitio llamado de los Algoiondines en el termino de esta ciudad, que linda con otros de Doña Alfonsa Dávdos y de Bernabé Bargueña, con 200 oli­ vas de superior calidad y magnitud...................................................................................... …</t>
  </si>
  <si>
    <t>Bariatifiski</t>
  </si>
  <si>
    <t>Gaceta de Madrid n.º 340</t>
  </si>
  <si>
    <t>vio F&gt;ubourdieu , comandante de , las fuerzas navales del Adriático, a S. A. 1. Munich i 4 de‘Octubre. el principe Eugenio, vtrei de Italia. S. E. el príncipe Bariatifiski, embaxador de Rusia cerca de nuestra, corre »dio ayer, para , cele­ Serenísimo Señor: brar el matrimonio de S. A. ct Príncipe Real, una „En cumplimiento de…</t>
  </si>
  <si>
    <t>Baríes, Joscf</t>
  </si>
  <si>
    <t>Joscf Baríes</t>
  </si>
  <si>
    <t>argue de la S.M ^ha expedido eidecreto siguiente: misma, vacante por muerte de : D. Antonio.-Ru­ ‘ Extracto de las mi&amp;útat de la secretaría da bio, á D. Joscf Baríes, cx-regular del orden de Estado. - - 4 S. ‘Gerónimo. Ea aoertro palacio de Madrid á t.# de agosto . Para el de la iglesia parroquial del lugar de„Ár-\ d« 1810. m…</t>
  </si>
  <si>
    <t>Barnoya, Bruno</t>
  </si>
  <si>
    <t>Bruno Barnoya</t>
  </si>
  <si>
    <t>e las Plazas , 100. D. Manuel Calvo, 50. D. Francisco Puy, 50. D. Domingo Lagoa, 100. Señores Matorell , Pía y compañía. 100. D. Jorge la Cenia, ICO. D. Bruno Barnoya, 100. D. José Lagarda, 100. D. Antonio Celestino Navar­ ro , 100. D. José Marsan , 100. D. Joséjlgnació Pabon , 100. D. Nicolás Campe­ ro , 100. D. Manuel de Vi…</t>
  </si>
  <si>
    <t>Barolzi</t>
  </si>
  <si>
    <t>te ministro se propooe ir á La segunda coluna de tropas rusas» que vieoen sos haciendas» situadas en el ducado de Mccklemde Trieste á las órdenes del coronel Barolzi, ha pa­ burgo» para vivir á alli retirado de los negocios» sado por Pest el dia 29 de abril, y se componía y como un particular. Su hermané» que era direc­ de 13…</t>
  </si>
  <si>
    <t>Barr</t>
  </si>
  <si>
    <t>Gaceta de Madrid n.º 63</t>
  </si>
  <si>
    <t>67</t>
  </si>
  <si>
    <t>de los males si¡Hit:.'os d venéreos de F. Stvete. Se bailará el bolero á tres, se cantará una tonadilla, diaur, traducido con notas r adiciones pe’• D. Barr ­ y se finalizará con e! sainete titulado Lagnto y Cancne. ióme Calcinar, médico de los reales e.Vi iros, de les En el de los Caños del Peral, ú las siete y media de hosp…</t>
  </si>
  <si>
    <t>Barra, Antonio</t>
  </si>
  <si>
    <t>Antonio Barra</t>
  </si>
  <si>
    <t>............ 3°594 25"l D. NicoUs Josef Masart..,.........«...i.; 40863 D. Juan Josef,de Gamboa............. . 31392 *7- D. Joaquín Lerga... 16000 *' D. Antonio Barra,....*........ *.............. 16425 D. Bonifacio de Porras..................... 122968 aóí D. Gaspar Soliveres...»..................................59$6 17 D. J…</t>
  </si>
  <si>
    <t>Barra, Feliciana</t>
  </si>
  <si>
    <t>Feliciana Barra</t>
  </si>
  <si>
    <t>80 Doña Dionisia Portenia..................... ' 157 5 : Doña Manuela Cólica y Soto....-......... 488 Doña María Valentina Salcedo.......... 11147‘19 Doña Feliciana Barra...;............... 864 Doña Francisca de Ocaña.........i...... 5825)27 Doña Claudia Antuñano............... 13.56- 41 Doña Ignacia Ferriol..................…</t>
  </si>
  <si>
    <t>Barragan, José</t>
  </si>
  <si>
    <t>José Barragan</t>
  </si>
  <si>
    <t>36</t>
  </si>
  <si>
    <t>habla ya retirado , noticiosa de su venida. Los damas se reunieron en la plaza de ia Laguna ; y destacaron un fuerte piquete á la casa del corregidor D. José Barragan , en la que entraron con la arrogancia é insolencia que acostumbran :-y allí mismo se formaron las boletas para el alojamiento de los-ofi­ ciales. — Luego diero…</t>
  </si>
  <si>
    <t>Barragan, José Elorencio</t>
  </si>
  <si>
    <t>José Elorencio Barragan</t>
  </si>
  <si>
    <t>381</t>
  </si>
  <si>
    <t>argento mayor de dragones de Mechonean , 2000. El coronel D. Cárlos de Crrutia , 500. D. Angel y D. Eustoquio de la Cuesta , vecinos de México , 800. D. José Elorencio Barragan , de Rio-A7erde , 2000; y anualmente 1000. D. Juan Nepomuceno de Oviedo y «ríos habitantes de la hacienda de Bocas y otras , 429.. El capitán reti­ ra…</t>
  </si>
  <si>
    <t>Barraltes, Manuel</t>
  </si>
  <si>
    <t>Manuel Barraltes</t>
  </si>
  <si>
    <t>o S.tenz Rufz.' Batallón del quartel del Barquillo. D. Gaspar B usá. D. Narciso B.*sia. Capitanes. D. Francisco López de Moya. Marques de Canillejas. D. Manuel Barraltes. D. Francisco Marchámalo. D. Rafael de Yarce. D. Rafael Riesco. D. Clemente Meibicl. D. Manuel Palomino Lozano. cuela del hombre sensible, donde se aprenden …</t>
  </si>
  <si>
    <t>Barrancas</t>
  </si>
  <si>
    <t>dirigió sobre encargado de ja" éxecncion del presente decreto. = Ancena • Alajair, Cortegaaa, Arcche, Pal mogo y Firmado — YO EL REI. = Por.S. M. su ministro Barrancas hácn Portugal, donde ha ido á ocultar secretario de Estados:Firmado == Mariano Luí» de Los débiles restos de.su quadrilla ». que se ha dis- •¡ürquijo.’’ jninui…</t>
  </si>
  <si>
    <t>Barranco, Juan José</t>
  </si>
  <si>
    <t>Juan José Barranco</t>
  </si>
  <si>
    <t>tos. En el puente de Montejaque el coman­ dante de la caballería patriota D. Francisco Gómez, mató por su mano á un oficial enemigo de caballería , y D. Juan José Barranco , comandante de Atájate , hizo lo mismo con otro. Los patriotas en general se portaron con valor: algunos aban­ donaron sus puestos, pero al fin los france…</t>
  </si>
  <si>
    <t>Barraza, Pedro</t>
  </si>
  <si>
    <t>Pedro Barraza</t>
  </si>
  <si>
    <t>guel Arróspide, too. D. José María Pedriza, 50. D. Tomas Troncoso, 3 — Papa:-qttiaro. El cura D. Jote Joaquín Escarzaga, 25. D. Francisco Ve11ot, 50. D. Pedro Barraza, 13. D. Julián y D. Juan Torrijas, 22. Don Rafael Peña, 10. D. Leandro Manzanera , zoo Varios individuos, 71 y 4 rs. {Se continuará.) CADIZ: EN LA IMPRENTA REAL.</t>
  </si>
  <si>
    <t>Barreda, Blas Je</t>
  </si>
  <si>
    <t>Blas Je Barreda</t>
  </si>
  <si>
    <t>8 D/ María Escnlasúca, D.aMaríaTetesa D. Josef Mui.i Valdivieso.................... 19848 26 v D.11 Melchor? Diest. por medio de La testaineiu.irL de D Blas Je Barreda. 14S86 *9 su tutor y curador D. A gel de Sata. 14166 r9 19 D- joset de Angulo............................... I 3 2 2'S 7 D . Santiago Manuel Garrido...........…</t>
  </si>
  <si>
    <t>Barreda, Diego</t>
  </si>
  <si>
    <t>Diego Barreda</t>
  </si>
  <si>
    <t>verría. c&lt;&gt; sejeros de Estado , y los señorea D D 1 o .so de 1.. Tor­ tasado, y envue to en tola clase de crímenes ha re, corregidor de esta villa, y D. Diego Barreda, Í levado siempre con-igo la desdicha y la deso - capitu..,r dd e la , se han quemado con las solemni­ lacion. dades establecidas, en presencia de un concurro b…</t>
  </si>
  <si>
    <t>Gaceta de Madrid n.º 66</t>
  </si>
  <si>
    <t>on ignorados ó ceñi­ de Estado, y los Sres. D. Dámaso de la Torre, dos á tan estrechos límites, padecían igual atraso la corregidor de esta villa , y D. Diego Barreda , capi­ construcción ó el arte de fabricar las naves, y el de tular de ella, se han quemado con Jas solemnidades su maniobra, reducida principalmente ai manejo …</t>
  </si>
  <si>
    <t>ividuos abandonen sus casas, y el que y los Sres. D. Dámaso de la Torre, corregidor de en ia duda de cómo serán reatados por las tropas esta villa, y D. Diego Barreda, capitular de ella, crean correr menos riesgos, siguiendo el impulso &gt;e han quemado con las solemnidades establecidas que procuran imprimir los enemigos de la p…</t>
  </si>
  <si>
    <t>Barreda, Francisco Gómez</t>
  </si>
  <si>
    <t>Francisco Gómez Barreda</t>
  </si>
  <si>
    <t>893</t>
  </si>
  <si>
    <t>los de Guadalaxara y primero de Burgos á D José de Villaceballos y D. Anselmo Plaza; la del batallón de infantería ligera de voluntarios de Burgos á D. Francisco Gómez Barreda, y las sargentías mayores del mismo cuerpo, y de los de Tiradores de Cádiz y Veh-zMálaga á D. Antonio Delgado, D. Amonio Bray, y D. Manuel Brizuela. ■i…</t>
  </si>
  <si>
    <t>Barreiro, Antonio</t>
  </si>
  <si>
    <t>Antonio Barreiro</t>
  </si>
  <si>
    <t>PDF p. 10</t>
  </si>
  <si>
    <t>9 teniente de la tercera compañía del mismo ; el de exénto, á los brigadieres D. José Rogliani y D. Martin Tovar; el de brigadier, ai su bri­ gadier D. Antonio Barreiro ¿ el de cadete , k los guardias D. Ju*</t>
  </si>
  <si>
    <t>Barrera, Fermin Ramón</t>
  </si>
  <si>
    <t>Fermin Ramón Barrera</t>
  </si>
  <si>
    <t>hijos, 306* D: Juan Manuel S. Román, 100, D. M. D. D., 320. D. Fermín de Elizalde, 3000. D. Tomas de la Cuesta, 500. Don Alexandro de la Parra, 500. D. Fermin Ramón Barrera, 500. D. Fran­ cisco Buch y. Truxillo, 400. D. Juan Palau, 1000. D. Esteban Fernan­ dez de León, 1000. D. P. M. V., 100. Doña Rosalía de Córdoba, 20. D. B…</t>
  </si>
  <si>
    <t>Barrera, Manuela</t>
  </si>
  <si>
    <t>Manuela Barrera</t>
  </si>
  <si>
    <t>Pascuala de 1 r-uij.ta.............. 101 0 8 D. Man-,I de. Oimo...... ....................... 1985 17 Sres. viuda .te Tronaga é hijos........ 3 s 017 Doña Manuela Barrera............................ 270 2jf D -uta Mana Fe-i;-.» de Llano.............. 1624 37 D. M'geel Sancho Lanera.................... 5l44 Doña María Uribe S …</t>
  </si>
  <si>
    <t>Barrero, Francisco</t>
  </si>
  <si>
    <t>Francisco Barrero</t>
  </si>
  <si>
    <t>do» , 200». .IX Pablo Fray le , 200. D. Juan José Morillo , 200. D. Imancisco Luis SeptitímA-200. D. Pedro Pandero , asesesor de la Intendencia, 200. D. Francisco Barrero, promotor fiscal , 100. I&gt;. Pedro Gómez , Escribano de real hacienda , 100. D. Juan Antonio Serra­ no , 200. D. Juan Felipe Laurnaga , 100. D. Gregorio Garc…</t>
  </si>
  <si>
    <t>Barrientos, Fernando</t>
  </si>
  <si>
    <t>Fernando Barrientos</t>
  </si>
  <si>
    <t>aval, y proveer en él lo conveniente para los ar-r fael Arana, D. Emilio Chuis , D. Josef de Lara, mamentos que se juzguen necesarios á su seguridad, D. Fernando Barrientos, D. Juan de Lara, D. Lo­ defensa y protección del comercio. renzo Pomar, D. Francisco Milla, D. Juan En­ art. 11. Nos propondrá por nuestro minittr® tero.…</t>
  </si>
  <si>
    <t>Barríer, Josef</t>
  </si>
  <si>
    <t>Josef Barríer</t>
  </si>
  <si>
    <t>Gaceta de Madrid n.º 110</t>
  </si>
  <si>
    <t>460</t>
  </si>
  <si>
    <t>e Madrid y Tauste , escribano mayor de ca­ bildo , en diputación del estado general ; acompa­ Igualmente ha sido presentada á S. M. otra di­ ñándolos D. Josef Barríer, presbítero francés, co­ putación del estado eclesiástico de dicha ciudad d&lt;2 mo capellán de la ciudad , y en calidad de intér­ Baeza compuesta de los sugetos s…</t>
  </si>
  <si>
    <t>Barril, Bernardo</t>
  </si>
  <si>
    <t>Bernardo Barril</t>
  </si>
  <si>
    <t>arcía Ximenez. Batallón del quartel de S. Isidro D. Josef Cabredo. D. Bartolomé Gómez. Capitanes. D. Josef Chacón. D. Agustín Gamell. D. Tomas Perez. D. Bernardo Barril. D. Francisco Berdejo. D. Camilo Gamboa. D. Esteban Gómez. D. Pascual Santander. D. Mateo Norzagarai. D. Manuel de Cañas. I&gt;. J uan Picdrahica. Subtenientes. …</t>
  </si>
  <si>
    <t>Barril, Tomas</t>
  </si>
  <si>
    <t>Tomas Barril</t>
  </si>
  <si>
    <t>8 25 Fia, igo. D. Tomas Barril, 300’. G. P., froo.»0.'Joaquín Lapéra, iog. El obispo de Arequipa D. Pedro José Chaves de la Rosa,.500. D. Se* bastían Antonio^ Gamiea , 500. Duque de Hijar, y conde de Salvatier­ ra, 640.</t>
  </si>
  <si>
    <t>Barrio, Josef</t>
  </si>
  <si>
    <t>Josef Barrio</t>
  </si>
  <si>
    <t>............................... 4000 zante............ ......................... ................ 44000 D. Lúeas Romero........................ 20000 D. Josef Barrio, ex-inercenario des­ D, Marcos Ponce................................... 4084 calzo....................................................... 2 2000 D. Juan Morari..…</t>
  </si>
  <si>
    <t>Barriuso, Josef</t>
  </si>
  <si>
    <t>Josef Barriuso</t>
  </si>
  <si>
    <t>iosas de nuestros enemigos, y reconocer que puesta de ocho hombres, mandados también y di­ si no nos empeñamos ea poner por nosotros mis­ rigidos por D. Josef Barriuso, cora del lugar de mos término á las calamidades de una gnerra des­ Villasidro. Estos honrados y valientes ciudada­ astrosa , qne solamente los bandidos y la g…</t>
  </si>
  <si>
    <t>Barrolou</t>
  </si>
  <si>
    <t>Gaceta de Madrid n.º 351</t>
  </si>
  <si>
    <t>562</t>
  </si>
  <si>
    <t>varias cartas que un oficial eocwífó en la tierra de D. F rancisco M lina, y para ayudante .segundo á. Dienten en la Nueva-Holanda. Lo que dio moti­ D. Barrolou.é M-otero. . ,¡; •• • './ vo á este hallázgo fue e&gt; haber dicho oficial encon- Animismo quedan nombrados pata capitanes y trádose y leído upa ínscripctpa ea lengua fr…</t>
  </si>
  <si>
    <t>Barron, Martin</t>
  </si>
  <si>
    <t>Martin Barron</t>
  </si>
  <si>
    <t>Francisco A-ean, too D. Vi­ cente Sitveira, 20. D. Fernando de la Cimpa y D. Francisco Noriega, 100. Doña Ignacia de León, 20. D. Teodoro Csneros, 18 D. Martin Barron, 2$. D. Cirios Rubio, 12. D. José Simón Birraza, 8 D. Atanasio Urbina, 10. D. Camilo Peynado, 10. D Juan José Salcedo , 6. D. Faustino Peynado, 6. Varios indivi…</t>
  </si>
  <si>
    <t>Barros, Francisco</t>
  </si>
  <si>
    <t>Francisco Barros</t>
  </si>
  <si>
    <t>de Santo Do­ mingo , 200. D. José Joaquín de EH/akle, ademas de servir gratis ríe capitán, 200. La Orden Tercera d^ S. Francisco, 200. Eí ba­ chiller D. Francisco Barros , vecino de Sib o, ofrece por diez años el rédito de una capellanía de 1® pesos que tiene en Valladolid, y renta al año 200. D. José I-I»rrera y del Campo, a…</t>
  </si>
  <si>
    <t>Barroso, Salvador</t>
  </si>
  <si>
    <t>Salvador Barroso</t>
  </si>
  <si>
    <t>á juez del tribual cri­ gadas, executado por Fernanda y Alexo Lebrunier y de­ minal extraordinario de la misma ciudad de Mala­ mas bailarines. ga , á D. Salvador Barroso, abogado del colegio de En el de la Cruz, á las cinco de la tarde, se execuGranada: para la alcaldía mayor de Antequera¿ tará la comedia en cinco actos titul…</t>
  </si>
  <si>
    <t>Barsami, Nicolás</t>
  </si>
  <si>
    <t>Nicolás Barsami</t>
  </si>
  <si>
    <t>uquet.......;........................ 2250 D. Santiago Estepar................................. 3527 P. Julián Alfonso López.................... 6120 D. Nicolás Barsami................................ 180.. 17 D. Manuel de Moya.............................. 4772.. 15 D. Cipriano Salinero................. ............. 711 D. …</t>
  </si>
  <si>
    <t>Barsanti, Nicolás</t>
  </si>
  <si>
    <t>Nicolás Barsanti</t>
  </si>
  <si>
    <t>e Siles........................... . 5505- Doña María Josefa Dolarea.,................ 2C9$ D. Miguel Maderna............................ . 1826.. 8! D. Nicolás Barsanti, como- apoderado D.íjosef Hermosa..................... ............ 1083 de D. Félix, D; Luis y D. Juan MiD. Diego Ortega—*............................... 10…</t>
  </si>
  <si>
    <t>Barsanti, NLolas</t>
  </si>
  <si>
    <t>NLolas Barsanti</t>
  </si>
  <si>
    <t>a Josefa Igñácia Reajero.4900 El mismo................................................. 10602 28 D. Plácido Piedra M!liéra,f.i.¡.r.':......... 31Í625 D. NLolas Barsanti............................ 1825 D. Mariano Iiundain..'..... ..ÍV...1.......... 1983 28 Doña María Andrea Moreno..;.......... 3573 26, D. Melchor Cadenas.;...…</t>
  </si>
  <si>
    <t>Barsauti, Francisco</t>
  </si>
  <si>
    <t>Francisco Barsauti</t>
  </si>
  <si>
    <t>r, para segundo D. Fraocisco Lcftbre Dabaos, y para abande­ rado D. Tomas Molina. i. '............................................................... D. Francisco Barsauti............. D. Gabriel Manger. a *.......... D. Rameo Berreta.......................................................................... D. Josef Paspan Br…</t>
  </si>
  <si>
    <t>Bartc</t>
  </si>
  <si>
    <t>Bertolld , D. José Fernandez, D. Miguel Henriquez , D. Blas Marín, D. Antonio Ferrer, D. Agustín Escobar . D. Miguel Federico, D. Francisco Blanco , D. Bartc lomé Blanco D. Joaquin Gómez, D. José Flaquer, D. Lean­ dro Rubira , D. José Velasco, D. Joaquín Velasco, D. Caytt no Vico, D. Manuel Aranda , D. Antonio Sánchez Navarro…</t>
  </si>
  <si>
    <t>Barte, Manuel</t>
  </si>
  <si>
    <t>Manuel Barte</t>
  </si>
  <si>
    <t>para la sacristía de S. M. su ministro secretario de Estado szFirmala parroquia de S. Miguel de la ciodad de Guadix doce Mariano Luis de Urquijo.” á D. Manuel Barte, ex-frandscano descalzo» lec­ tor» guardián y examinador sinodal. Para la de Santiago de dicha ciudad á D. Ma­ VARIEDADES. nuel Jordán» ex-carmelíta descalzo» pri…</t>
  </si>
  <si>
    <t>Barto</t>
  </si>
  <si>
    <t>0. D. Ildefonso Ruiz del Rio, 4000. Duque del Infantado, 4000. D. Blas del Hierro, 500. Don Manuel Saez A y lien, igo D. José Ignacio Echevarría, 40. D. Barto­ lomé deLopetedi, 100. D. Cecilio Zaldo , 600. D. Juan.Labargé, 20a. D. Juan Antonio Garaso, ioco. Conde de Maulé D. Nicolás de la Cruz, 1000. Marquesa de Bclgida, 408.…</t>
  </si>
  <si>
    <t>Bartolomé</t>
  </si>
  <si>
    <t>concedía al mérito prerogativas , antigua­ mente prrpituo y excítlsivo patrimonio, del acaso Batallón del quartel de la Piases. dé una ilustre cuna. D. Bartolomé jurado se había Comandante, D. Agustín Montoya. distinguido por su denuedo en la función de Val- Ayudante, D. Joan Pacheco. sequi lo contra &gt;os bandoleros de las qua…</t>
  </si>
  <si>
    <t>Gaceta de Madrid n.º 181</t>
  </si>
  <si>
    <t>rtos y he­ reino, y &lt;moio tale* se hallan comprenandidos en ridos. , ■ . las subprefectoras á quien corresponden * según la El capitán Mr. Labarthe y D. Bartolomé, d* división y demarcación hecha por nuestro real de­ Añino se han hecho'acreedores á elogios por sú ex­ creto de 17.de.abril último. *. celente conducta enéSiaocas…</t>
  </si>
  <si>
    <t>es generales sobre las afecciones de los absorventes per para descubrir los1 Fugitivos, y entregarlos, si st Mr. Alard , traducida, y adicionada' por D. Bartolomé encontrasen, á sus gobiernos. Colomar, un tomo en 4.0' con láminas-, véndese en la “ La dieta ha ¿ido también los informes de la co- librería de Castillo, frente la…</t>
  </si>
  <si>
    <t>de bata­ Pag? ( D. Juan), cabo de tiradores, idem. llón de la guardia cívica de Madrid. Pailaiuci» (Barón de) , contador principal de ren­ Trognon ( D. Bartolomé), gastador en el regi­ ta* de ia provincia de Soria. mentó de granaderos de nuestra guardia real. Parraud (O Juan Bautista), sargento de tiradores Vario ( D. Noel), …</t>
  </si>
  <si>
    <t>Barton</t>
  </si>
  <si>
    <t>696</t>
  </si>
  <si>
    <t>exacta da ios hechos qie declaran contra el genoves Serafín Seriólo: escribo sobre ese particular al Excmo. Sr. ge­ neral Sebastiani y señor ayudante comandante Barton. Si dicho genoves ha obrado contra los reglamentos, será castigado: en quanto á lo demás* si es buen marino y emprendedor, si consigue sucesos, debe favorecer­…</t>
  </si>
  <si>
    <t>Barutell</t>
  </si>
  <si>
    <t>506</t>
  </si>
  <si>
    <t>506 cibiclo esta tarde aviso del coronel Barutell, que con 300 hombres de su batallón de Valencia se hallaba en el pueblo de Cortés, de que por noticias de haberse retirado el cuerpo enemigo de 3000 hombres de la posición de Grazalema, ,se</t>
  </si>
  <si>
    <t>Bas, Magín</t>
  </si>
  <si>
    <t>Magín Bas</t>
  </si>
  <si>
    <t>idos. En esta acción como en todas se han distingui­ do el capitán do infantería O. José Manso, ei de ia misma ciase de las compañías de Villa franca D. Magín Bas, el subteniente de Antequera Don Manuel Zorrilla, el sargento segmuío cíe! mismo regimiento Manuel de Avila , los comandantes de dos divisiones de somatenes de Vill…</t>
  </si>
  <si>
    <t>Basañez, Diego</t>
  </si>
  <si>
    <t>Diego Basañez</t>
  </si>
  <si>
    <t>............................. 6644 19 D. Dionisio López................................. 2166 D. Mariano Bernuces............................. 899 17 D. Diego Basañez.......................... ....... 14079 Doña Felipa de Aiderman, condesa Doña María Barbachano...................... 23465 viuda de Sanafé......................…</t>
  </si>
  <si>
    <t>Basilio</t>
  </si>
  <si>
    <t>i-...... ; 18»—*7 .Bernarda,............................................. - *509*-*4 D. Josef Pelaez..................................... . - S-&gt;49 J D. Basilio.Ramón Fernandez............... ¿54 ^ D. Josef Sánchez...... .”............................. 1805 ■&gt; • Dr Manuel Sánchez Toscano........ 20000 1 D. Joaquín Lerga......…</t>
  </si>
  <si>
    <t>Bassain</t>
  </si>
  <si>
    <t>ia para Córd&lt; ba. exterminarla. Senudi Teran (D. Aionso), mayor del regimiento Una partida d*l tercer regimiento mandada por J sef Napoleón. el señor coronel Bassain se dirigió hacia Tocina, anx. ii. Nuestros gran canciller y gran, teso­ donde había algunos centenares de insurgentes. Ea rero de la Orden quedan encargados de l…</t>
  </si>
  <si>
    <t>Basseconrfc</t>
  </si>
  <si>
    <t>Gazeta de la Regencia de España e Indias n.º 72</t>
  </si>
  <si>
    <t>yno de Aragón D. José María de Garba jal ■ y el dia siguiente llegó un cuerpo de caballería perfectamente equi­ pado de la división de Cuenca, que el general Basseconrfc ha destinado á reforzar las tropas aragonesas. Por parte comunicado á esta junta superior por el coman­ dante general de este reyno, sabemos que el general V…</t>
  </si>
  <si>
    <t>Bassecour</t>
  </si>
  <si>
    <t>Gaceta de Madrid n.º 177</t>
  </si>
  <si>
    <t>a guardia real, la guardia Madrid 2$ de junio* cívica y los demas cuerpos de tropas españolas y francesas de la guarnición. Los vecinos de la car­ El general Bassecour ocupaba hacia algún tiem­ rera se esmeraron en las colgaduras y adornos de po la ciudad de Cuenca con 5 á 60 iusurgentet, sus casas. iara proteger una junta fu…</t>
  </si>
  <si>
    <t>Bassecouri</t>
  </si>
  <si>
    <t>987</t>
  </si>
  <si>
    <t>ciales y 5 soldados mueitos , 33 soldados heridos , un pri­ sionero, % caballos muertos y uno herido. Valencia 9 de noviembre:-—Parte dirigido por el general Bassecouri, comandante general de esta provincia y la do Cucnca , al Sr. ministro de.la guerra. j,Excmo. Sr.: Consiguiente á las instrucciones que dexé ai comandante gen…</t>
  </si>
  <si>
    <t>Bassecourt</t>
  </si>
  <si>
    <t>309</t>
  </si>
  <si>
    <t>ambién van cubier­ tos los caminos de jóvenes que se dirigen á Valencia en don­ de hay una reunión considerable ; y que la de Cuenca-, mandada por el general Bassecourt , también se ha aumentado mucho.— Del número de tropas alemanas, dice que solo deben contarse las dos terce ras partes para el servicio.” . ,,Toledo 18 de abr…</t>
  </si>
  <si>
    <t>Gazeta de la Regencia de España e Indias n.º 45</t>
  </si>
  <si>
    <t>el rio Xúcar. Con este moti­ vo se aceleró la retirada de las tropas de infantería que ha­ bían salido por la madrugada para Almodovar del Pinar. El general Bassecourt permaneció en la capital todo eí tiempo necesario para hacer salir los enfermos del hospital , inclusos los prisioneros franceses heridos, y los efectos milita…</t>
  </si>
  <si>
    <t>Gazeta de la Regencia de España e Indias n.º 64</t>
  </si>
  <si>
    <t>612</t>
  </si>
  <si>
    <t>el Palan-car (provincia de Cuenca} 20 de julio.. Ayer fuimos testigos del mas tierno y grato espectáculo, pre­ senciando el. acto en que de orden del general Bassecourt,, nuestro.- coxu and ante general, se premió la hazaña de un cabo del primer esquadron de Cuenca llamado Francisco Matos.. Una guerrilla nuestra de húsares de…</t>
  </si>
  <si>
    <t>657</t>
  </si>
  <si>
    <t>eruelos. — Por mandado de S. E. Miguel Mendez (1).” Requena (provincia de Cuenca ) 12 de agosto. Ignacio Ximenez, cazador á caballo de la guardia del general Bassecourt, nuestro comandante general, se había distinguido en el ataque déla villa de Fueutes el 19 de junio, en compañía de Francisco Matos, siendo entonces soldado d…</t>
  </si>
  <si>
    <t>Gazeta de la Regencia de España e Indias n.º 73</t>
  </si>
  <si>
    <t>718</t>
  </si>
  <si>
    <t>10. — Exorno. Sr. — Luis de Bassecourt. — Excmo. Sr. D. Eusebia Bardaxi y Azara/' Copia del oficio del mariscal de campo D. José María de Carbajal al general Bassecourt. “ Excmo. Sr. —‘ En la mañana de esté día hé tenido de oficio la agradable noticia de qué la vanguardia de la división del mariscal de campo D. Pedro Villacam…</t>
  </si>
  <si>
    <t>989</t>
  </si>
  <si>
    <t>os Con el gobernador de Aranjuek, encargándole envíe Vuestros partes4 Toledo.”-."' v"‘ ' ó ./ Coh fecha de 3í de octubre próximo pasado' éstéribé' al general Bassecourt el coronel D. José Martínez dé San Mar­ tin, comandante general interino de la división de Cuenca, desde su quartel general de la misma ciudad lo siguiente: w…</t>
  </si>
  <si>
    <t>1000</t>
  </si>
  <si>
    <t>real Isla de León. Valencia 7 de noviembre. Las divisiones de los tenientecoroneles D. Gaspar Franco y D. Antonio Falcon se reunie­ ron de orden del general Bassecourt el 99 del pasado en Cer­ rera, con el designio de acometer al cuerpo francés acanto­ nado en Traigue^a, y distraer la atencio^t y fuerzas del enemi­ go del sit…</t>
  </si>
  <si>
    <t>Bassscourt</t>
  </si>
  <si>
    <t>Gazeta de la Regencia de España e Indias n.º 39</t>
  </si>
  <si>
    <t>547</t>
  </si>
  <si>
    <t>aído los poderes m*.s- amplios de su emperador, y esta circunstancia no ha dexado de incomodar á los generales y aun a muchos oficiales. La muger del general Bassscourt, después de haber estado quince dias en su casa con centinela de vista , h¿ si lo conducida ai Retiro, donde continúa presa-y sin comunicación : la causa es n…</t>
  </si>
  <si>
    <t>Basta</t>
  </si>
  <si>
    <t>Gaceta de Madrid n.º 47</t>
  </si>
  <si>
    <t>inmediatameote en carros ásejo de. Estadip austriacbaé -pondrá en el-píe-en qué Strasburgo. ■ estaba»autiguameote-rPior-eoosiguiente quedará su­ V El coronel Basta , comandanterde ¡(os marinos primido el ministerib tde ■ .la - Guerra. £1 -mariscal de la guardia imperial y de la ésquadrilla, dió el conde de fieUegardecs presid…</t>
  </si>
  <si>
    <t>Bastamente, Vicente de la Encina y Falcó Don Angel</t>
  </si>
  <si>
    <t>Vicente de la Encina y Falcó Don Angel Bastamente</t>
  </si>
  <si>
    <t>. Cir­ ios de Capetillo y D. José Oñativia, cadetes del provincial de Murcia, y al de igual clase del regimiento de su guardia de infantería Española D. Vicente de la Encina y Falcó» Don Angel Bastamente, vecino y minero del Real de B uipolas , ju­ risdicción de la intendencia de Durango en las provincias internas de Nueva-Es…</t>
  </si>
  <si>
    <t>Bastante, Feliciano</t>
  </si>
  <si>
    <t>Feliciano Bastante</t>
  </si>
  <si>
    <t>369 touio Rocha, D. Feliciano Bastante, D. Joan Ma- aMádáajbrigadíer D. Secñndino Salamanca. 11er, D. Francisco Saenx de Tejada» D. Josef de • í: 'Poé piró 3écV^"dé-(J ijel ¿órríéoí'e; sé Ká dig­ Lana, D, .Manad Mardto. nado S.</t>
  </si>
  <si>
    <t>Basurti, Atilano</t>
  </si>
  <si>
    <t>Atilano Basurti</t>
  </si>
  <si>
    <t>y D. Juan Antonio Tabuenca; tenencias, &amp; D. Pedro Ligera, D. Gaspar AUué, y D. Atilano Basurti ; y subtenencia, á D, Mariano Tabuenca, O. Francisco Asura , JD. Francisco Aiastey, D. José Salvador , y D. José María Rodríguez. Por el Ministerio de la Guerra se ha circulado al exército l</t>
  </si>
  <si>
    <t>Bataller, Miguel</t>
  </si>
  <si>
    <t>Miguel Bataller</t>
  </si>
  <si>
    <t>acatecas, con su presidente interino, 320; y a gunos de sus individuos, 255 anualmente durante la guerra. D. Francisco José de U/rutía, 300. Ei oidor D. Miguel Bataller, 300. D Rafael Fernandez, dei comer­ cio áe Tula, 2 50 ; y ademas «¿tros 250 anuaímente. El presbítero D. Alexaudru.Joroan, 200. D. José María Rodaliega, 200.…</t>
  </si>
  <si>
    <t>Batalon, Josef</t>
  </si>
  <si>
    <t>Josef Batalon</t>
  </si>
  <si>
    <t>Rio. D. Gabriel Sobrado. D. Josef Zerralde. D. Antonio Boan. 6.*.......... D. Pedro Real D. Eugenio Fourdioier. D. Josef Trasvina.................... D. Josef Batalon. S.\.. D. J uan de Ribera y Céspedes. D. Jorge Escudero. D. Julián Apartci................... D. Gabriel Fe rnaodez de Ol­ mos. lo.*. D. Josef Joaquio Várela. S…</t>
  </si>
  <si>
    <t>Batelú, Pedro</t>
  </si>
  <si>
    <t>Pedro Batelú</t>
  </si>
  <si>
    <t>Hoyuelo. Tenientes. D........................................ Ej?Josef González. D. Tomas Arenillas. í?. Gaspar de Losas Hidalgo. D. Josef lbárreta. D. Pedro Batelú. D. Manuel Negueruela. D. Antonio Bailo. D. Ramón Rites. D. Manuel Toro. D. Josef Castro. D. Antonio Rubio. D. Andrés Saiz Dnrango. Batallón del quartel de S. Fra…</t>
  </si>
  <si>
    <t>Batía, Narciso</t>
  </si>
  <si>
    <t>Narciso Batía</t>
  </si>
  <si>
    <t>apttaaat. «ratona*. Subtaaltittas. ' D. Antonio Leiral... D. Valdoméro Gallego, D. Gerónimo Wolls. D. Tomas Campillo, D. Mariano Fernandez del Canto; D. Narciso Batía..... D. Matías de Mor y Ríos.... D. Josef Villanas; D. Rafael Yarce..... D. Estéban Moreno..... ......... I&gt;. Manuel López. D. Güilísimo González.......... D. C…</t>
  </si>
  <si>
    <t>Batidlo, Mateo</t>
  </si>
  <si>
    <t>Mateo Batidlo</t>
  </si>
  <si>
    <t>, 100. D. Pedro Garay , 200. 1). Manuel Bertimati, 200. D. Pedro de Sierra Diaz, 100. D. Juan Bautista Garaycochea , 100. D. Tomas Barbadillo , 200. D. Mateo Batidlo , vecino de Xalapa, 200.. D. Domingo Escando» , 200». .IX Pablo Fray le , 200. D. Juan José Morillo , 200. D. Imancisco Luis SeptitímA-200. D. Pedro Pandero , as…</t>
  </si>
  <si>
    <t>Batow-Li</t>
  </si>
  <si>
    <t>.á Darrtzíck. ya aprobación prévia tampoco podrá imprimirse Ayer tuvo su audiencia de despedida del Reí en el cantón de Berna ninguna obra. el señor conde Batow-Li, ministro de Saxonia cer­ ca de la corte de Madrid; y se dispone para salir REIVO DE ÑAPOLES. dentro de pocos días. Stilo tg de agosto. U AVIERA. Una fragata ingle…</t>
  </si>
  <si>
    <t>Batowski</t>
  </si>
  <si>
    <t>Gaceta de Madrid n.º 325</t>
  </si>
  <si>
    <t>de de Entiedel» ministro de Sa« poleón en su decreto dado enTrianon el 5 de agos­ xonia, to último, sean generales en los estados de la con­ El señor conde Batowski, ministro del Rei de federación del Rin; queriendo ademas correspon­ Saxonia en España. der á los designios que se nos han manifestado so­ Por S. E. el señor baró…</t>
  </si>
  <si>
    <t>Batzan, Vicente Go Z'lez</t>
  </si>
  <si>
    <t>Vicente Go Z'lez Batzan</t>
  </si>
  <si>
    <t>l de Arcada á actos titulada el Donado fingido, y la opereta de Quien 15. Lorenzo del Pozo Gonzaliz: para el.de Fresne- porfía mucho alcanza. llino á D. Vicente Go/Z'lez Batzan: oara el de Ci- En el de ios Caños del Peral, i las ocho de la no­ llanaeva y VanunciV a D Jos^f del Campo: para che, se ejecutará por la compañía ita…</t>
  </si>
  <si>
    <t>Bauditsin</t>
  </si>
  <si>
    <t>esivo su corte ccn 150® florines de mo, adonde va en calidad de embaxador de Dina­ renca cada eno, y que fizarán su residencia cu di­ marca. El joven conde Bauditsin es secretario de versas provincias. la legación. PRUSIA. HUNGRIA. Berlín 20 de entro. Offen 14 de enero. El dia 11 de este mes llegó á esta ciudad en­ S. A. I. e…</t>
  </si>
  <si>
    <t>Bausa, Manuel</t>
  </si>
  <si>
    <t>Manuel Bausa</t>
  </si>
  <si>
    <t>tenien­ te coronel á D. José María Bonieelli ; el de sargento mayor, k D. Juan de Dios Alguer ; compañías á D. Francisco Sapena, D. Cristóbal Dócio, D. Manuel Bausa, D. Juan Doz, D. Jayme Perj, D. Juan Nioa , D. Juan Vasadre, y D. Pablo Baliñani; ayudantías, á D. Francisco Valdés, y D. Félix Camarasa ; te­ nencias, á D. Manue…</t>
  </si>
  <si>
    <t>Bausan</t>
  </si>
  <si>
    <t>Gaceta de Madrid n.º 267</t>
  </si>
  <si>
    <t>a princesa Elisa , gran duquesa de Tosde tierra y una fragata también le han tirado, cana , ha salido algunos dias há para Italia. aunque en vauo. Ei capitán Bausan ha recobrado Mr. Faisiello, maestro de capilla de S. M. el su primera posición después de haber terminado Rei de las Dos Sicilias, ha sido nombrado, en lu­ felizm…</t>
  </si>
  <si>
    <t>Bautista, Juan</t>
  </si>
  <si>
    <t>Juan Bautista</t>
  </si>
  <si>
    <t>Diego de). tieran de su atrevimiento. El general Vetges llego Aítamirano ( D. Pedro). opnrtil minen te: CQri el regimiento 131.“ para arro­ Barrouge (D. Juan Bautista), mayor del primer jarlo-. , matarles 300 homores.» y hacerles 150 prir regimieuto de infantería ligera. eioi er-“. . • Bourbaki, capí rao ayudante mayor de las…</t>
  </si>
  <si>
    <t>determi­ Estado.: nar lo que fuere de derecho, parándoles entero perjuicio. Eo nuestro palacio de Madrid á 24 de mayo Por providencia del mismo señor D. Juan Bautista de tito. Guitart, del consejo de S. M., juez de primera instan­ Dou Josef Napoleón por la gracia de Dios y cia, comisionado especial para declarar la verdadera …</t>
  </si>
  <si>
    <t>.. ................ D. Bernardo París Cueto. .................................................................. D. Manuel Bello...................... D. Juan Bautista La borde. j. »....................................................... . D. Juliao Castaños..... ................................................</t>
  </si>
  <si>
    <t>, subteniente de húsares, idem. de nuestra guardia real. Villate (D. Estéban), tirador, idem. Pastor (D. Ju&gt;m Francisco) » capitán agregado al Virio (D. Juan Bautista de), cónsul general eo est.do mayor de la placa de Madrid. Hambargo. Patrás d? Campaignó (D. Claudio ) , coronel de Weodernotte ( D. Antonio) , soldado de la ge…</t>
  </si>
  <si>
    <t>gero. el hecho &gt;nísmo privado de su pensión. Kottman (D. Francisco), teniente de tiradores, ídem. art. vn. No estaa comprehendídas en el pre­ Le-Roi (D. Juan Bautista), sargento de granade­ sente decreto aquellas congregaciones cuyos indi­ ros, idem. , viduos no hacen votos perpetuos, y que tienen por Meot (D. Francisco), ten…</t>
  </si>
  <si>
    <t>Gaceta de Madrid n.º 337</t>
  </si>
  <si>
    <t>ia romana. Si M. ha mandado hacer en la fábrica de S. Mi­ AVISO. guel no juego de tapices, que representan las pin­ En virtud de providencia, del Sr. D. Juan Bautista turas arabescas, y descubiertas en las termas da Guitart, jileé jdé, primera instancia en esta villa, sé ha Tito. mandado celebrar junta de acreedores al concur…</t>
  </si>
  <si>
    <t>Bautista, Juao</t>
  </si>
  <si>
    <t>Juao Bautista</t>
  </si>
  <si>
    <t>cisco), húsar de nuestra guar­ Lobis (D. Leopoldo), soldado de caballería li­ dia real. . gera , ídem. Roujeor (D. Pedro), granadero, idem. Lorieux ( D. Juao Bautista) , cabo de caballería li­ Roujon (D. Pedro), capitán de tiradores, idem. gera , ídem. Rubio ( D. Manuel} » arcediano de .Huesca. Louerte (D. Joan Crisóstomo), t…</t>
  </si>
  <si>
    <t>Bautista, Juau</t>
  </si>
  <si>
    <t>Juau Bautista</t>
  </si>
  <si>
    <t>la ad­ Keotz (D. Francisco), soldado de caballería ligera ministración central de hospitales militares del de nuestra guardia real. ' reino. Kasler (D. Juau Bautista), idem. Ciouet (D. Ana Lois Antonio)comandante de Labreche (D. Gabriel), teniente de tiradores de ingenieros de nuestra guardia real. idem. Danís (D. Juan), sarg…</t>
  </si>
  <si>
    <t>Bauza, Felipe</t>
  </si>
  <si>
    <t>Felipe Bauza</t>
  </si>
  <si>
    <t>Gaceta de Madrid n.º 72</t>
  </si>
  <si>
    <t>306</t>
  </si>
  <si>
    <t>las costas occidentales de las islas de Mindoro, raíso hasta Buenos-Aires, por D. Josef de Espinosa Panai, Negros y Mindanao; se hicieron observa­ y D. Felipe Bauza: 2.0 otras sobre el calculo trí— ciones en nuestro presidio de Z^mboanga, y para onométrico de la altura de las montañas por Don entrar en el mar pacífico se sigu…</t>
  </si>
  <si>
    <t>BAVIERA</t>
  </si>
  <si>
    <t>Gaceta de Madrid n.º 201</t>
  </si>
  <si>
    <t>demostraciones de la mas viva alegría. minas de S. Adaiberg. S. M. asistió el mismo dia, con SS. A A II. las ar­ chiduquesas Leopoldina y Teresa , el príncipe BAVIERA. Antonio y las princesas María Ana y Amelia de Saxonia , al salón de Saxonia, donde se dignó S. M. Augsburgo 16 de junio. conversar con la mayor afabilidad con …</t>
  </si>
  <si>
    <t>BAVIERA, Na</t>
  </si>
  <si>
    <t>Na BAVIERA</t>
  </si>
  <si>
    <t>Gaceta de Madrid n.º 312</t>
  </si>
  <si>
    <t>1399</t>
  </si>
  <si>
    <t>á los prisioneros hasta recibir ta de los géneros coloniales y de las demas mer­ aviso del gobierno. cancías inglesas/ ,, Mr. Alquier , embaxador del Emperador Na­ BAVIERA. poleón cerca de la corte de Suecia , ha llegado á Helsingborg.” Munich 30 de setiembre. ESPAÑA. Ya se ha anunciado la supresión de varios con­ ventos; y h…</t>
  </si>
  <si>
    <t>Bayiin, Pedro</t>
  </si>
  <si>
    <t>Pedro Bayiin</t>
  </si>
  <si>
    <t>Gazeta de la Regencia de España e Indias n.º 22</t>
  </si>
  <si>
    <t>182</t>
  </si>
  <si>
    <t>á D. Vicente Cocui , capitán del re­ gimiento de infantería de Murcia. En la gazeta de 10 de abril número 13, se olvidó expresar que la promoción de D. Pedro Bayiin á brigadier de infantería, fue en consideración á sus servicios y al mérito que está contra­ yendo á la inmediación del señor marques de la Romana, En la gazeta d…</t>
  </si>
  <si>
    <t>Bayo, Matías</t>
  </si>
  <si>
    <t>Matías Bayo</t>
  </si>
  <si>
    <t>e Honor, que debe formarse en esta capital con arreglo á nuestro de­ creto de este dia , á D. Manuel Perez de Hervís, LIBRO. y para portaestandarte á D. Matías Bayo. Tratado de la reducción de todas las monedas fran­ art. 11. Asimismo nombramos para capitanes cesas de oro y plata á reales y maravedís de vellón , di­ vidido en…</t>
  </si>
  <si>
    <t>Bayona, Joaquín</t>
  </si>
  <si>
    <t>Joaquín Bayona</t>
  </si>
  <si>
    <t>Gazeta de la Regencia de España e Indias n.º 57 (suplemento)</t>
  </si>
  <si>
    <t>ontufar, ayudante del regimiento provincial de Xerez, y D. José de Eceta, teniente del de infantería de Málaga. . En atención á las circunstancias de D. Joaquín Bayona y La peña, caballero pago del rey nuestro señor D. Fernando vii , se ha servido S. M. concederle agregación de alférez en el regimiento de reales guar­ dias es…</t>
  </si>
  <si>
    <t>Bbickwood</t>
  </si>
  <si>
    <t>Gaceta de Madrid n.º 318</t>
  </si>
  <si>
    <t>600</t>
  </si>
  <si>
    <t>de guerra al Báltico para impedir que sus buques remitido ai almirantazgo la carta que le escribió el entrasen en Pillau y en los demas puertos de la capitán Bbickwood , comandante del navio LVórantigua Prosia. Habiendo sabido posteriormente pite , en qne le daba cuenta de haber salido de To­ que los fraoceses no ocupaban aqu…</t>
  </si>
  <si>
    <t>Bcbi, Santiago</t>
  </si>
  <si>
    <t>Santiago Bcbi</t>
  </si>
  <si>
    <t>895</t>
  </si>
  <si>
    <t>y 11 estad., lin­ forman las tierras de Manuel Tejera y de á Kvante y mediodia con tierras dé Doña Ana de Bebian...,.......................... 8 *76 D. Santiago Bcbi.in y del Indiano..........- id ¿20 Otra tierra al camino de Madrid, de 6 fa­ Otra en el mismo sitio de k Alevosía y negas............ ...........................…</t>
  </si>
  <si>
    <t>Bclmonte, Aíexandro</t>
  </si>
  <si>
    <t>Aíexandro Bclmonte</t>
  </si>
  <si>
    <t>que se ha observado astronómica­ í&gt;. Dionisio Galiano, D. Josef de Espinosa, D Jo- mente la latitud y longitud; y que por la exacti­ s.f María Lanz y D. Aíexandro Bclmonte un pro­ tud y métodos con que se han fixado estos elemen­ yecto dirigido á levantar ellos mismos con exacti­ tos , inspiran la mayor confianza y seguridad …</t>
  </si>
  <si>
    <t>Bcrdeja, Mateo González</t>
  </si>
  <si>
    <t>Mateo González Bcrdeja</t>
  </si>
  <si>
    <t>nsurado. promoción de t). Pedro de la Vega al de S. Justo Para el de Pesagnero, vacante por muerte de de los Oteros, á D. Joaquín González, presbíte­ D. Mateo González Bcrdeja, á D. Juan Antonio ro , cura de Saeiices de Sabero. González del Palacio, habilitado. Para el de Faentes de los Oteros , vacante por Para el de Llanabe…</t>
  </si>
  <si>
    <t>Bcre, Francisco Xavier</t>
  </si>
  <si>
    <t>Francisco Xavier Bcre</t>
  </si>
  <si>
    <t>a D. Mauricio Palla. Décimo batallón. Para ayudante primero D. Francisco de Paula Toledano, para segundo D. Juan Villa y Trigueros, y para abanderado D. Francisco Xavier Bcre. i. El conde de Villaoqnira....... D. Antonio Aquilino Aguilera. D. Antonio Aimrita. .................................................. D. Santiago Seda…</t>
  </si>
  <si>
    <t>Bcrnstorff</t>
  </si>
  <si>
    <t>in ninguna novedad eo su sa­ se saben con roda certeza las cansas que bao moti­ lud. Mañana saldrá S. M. para Wittingan» donde vado esta dimisión. El conde Bcrnstorff» primer se encontrará con el Emperador» y desde allí mar­ ministro» é hijo de un podre mui estimado y que­ charán juntos *á Praga. S. A. R. la archiduquesa rido…</t>
  </si>
  <si>
    <t>Bcrruezo, Francisco</t>
  </si>
  <si>
    <t>Francisco Bcrruezo</t>
  </si>
  <si>
    <t>de su Tenientes. patria exige que se ilustre la Opinión con estos sa­ D. Josef Medina y Andino. crificios para establecer la tranquilidad, pues ella D. Francisco Bcrruezo. es el único remedio 'para tantos males como han D. Josef Mario. causado una lucha desigual, y la inmoralidad de D. J i'.ef Prieto Moreno. los que aun la fo…</t>
  </si>
  <si>
    <t>Bdkran, Luis</t>
  </si>
  <si>
    <t>Luis Bdkran</t>
  </si>
  <si>
    <t>Gazeta de la Regencia de España e Indias n.º 109</t>
  </si>
  <si>
    <t>1022</t>
  </si>
  <si>
    <t>ún sus facultades , diferentes sugetos, le ha parecido conveniente publicar sus nombres para que se complazca la patria de te­ ner tan dignos hijos.— D. Luis Bdkran, D. Joaquín Riquelrai y Don Juan Peréz de Maruri , sirven gratuitamente de profesores, ademas del in­ fatigable D Agustín de Sexo, de quien ya se nabo en erra oca…</t>
  </si>
  <si>
    <t>Be, Juan</t>
  </si>
  <si>
    <t>Juan Be</t>
  </si>
  <si>
    <t>subasta de los bienes nacionales si­ nigo j á D. FranciscoXavier Viiialia , arcediano dé tos en su distrito, por las reglas que nuestros de= Reina; á D. Juan Be.mudez, dignidad de prior; á cretos de 9 de junio y 27 de setiembre del ano D. Pedro Gravina, arcediano de Carmona ; á Don próximo anterior establecen , á fin de que l…</t>
  </si>
  <si>
    <t>BeaO</t>
  </si>
  <si>
    <t>Gaceta de Madrid n.º 129</t>
  </si>
  <si>
    <t>129</t>
  </si>
  <si>
    <t>dis­ conferido las otras tres cond ■ ’or.i* iones de la misma tancia y de lo mucho que cuesta el transporte , se que se ltf habían enviado al senador conde BeaO- prefiere hacerlo por tierra. hafnais , al principe Alddbraudiai Borghese, y al general conde Reille. BA VIERA. FRUSIA. Jrfttnich &amp; de abril. Eerlirt 4 de abril. Fn v…</t>
  </si>
  <si>
    <t>Beatriz</t>
  </si>
  <si>
    <t>ntinuó so viage á S-r- que hao salido de él los coraceros de la división del war, donde esperaba á su augusta madre la archi­ general Saint* Germain. duquesa Beatriz. Ayer noche tuvimos aqui la sa­ En todas las provincias dinamarquesas ha cau­ tisfacción de volver á ver á S. M. la Emperatriz y sado una sensación extraordinari…</t>
  </si>
  <si>
    <t>Beauhatnais</t>
  </si>
  <si>
    <t>en , la segunda en Enns, y trega: después entraron lá duquesa de Mor.tebello, liz tercera eoRied: la entrega s* efectuará en las' dama de honor, y el-conde Beauhatnais , caballero dos recursos de un sinnúmero de: huestes, cuyos movi­ situaciones en que nos late el corazón, y sentimientos mientos nos parece ver, cuyas vocerías…</t>
  </si>
  <si>
    <t>Beaussaín</t>
  </si>
  <si>
    <t>que es lo mismo. guerra.” E^tas desgracias, no menos sensibles á los bue­ Córdoba 14 de abril. nos españoles que ai REI mis no , cont.rularan ín­ El coronel Beaussaín escribe al Excmo. Sr. go­ terin que los pucb.os no se conve zci de que esta bernador general con fecha de Ronda a 8 de abril, lid está concluida, y que solo res…</t>
  </si>
  <si>
    <t>Becerra, Diego</t>
  </si>
  <si>
    <t>Diego Becerra</t>
  </si>
  <si>
    <t>irmado = YO ÉL. REI. = Por formará una compañú. D. Francisco Pedrpsa Tor­ S. M., el ministro secretario de Estado== Firma­ res está nombrado capiran; D. Diego Becerra te­ do =Maiano Luis de Urquijo.” niente, y D. Josef de Torres Pedrosa subteniente. art. vi. . Eu la villa de Ptdrera se formará media compañíi. D. Josef Vergara…</t>
  </si>
  <si>
    <t>Becerra, Juan</t>
  </si>
  <si>
    <t>Juan Becerra</t>
  </si>
  <si>
    <t>Gazeta de la Regencia de España e Indias n.º 3 (extraordinaria)</t>
  </si>
  <si>
    <t>24 de Igualeja. — De todo lo qual doy á V. E. la com­ petente noticia por medio de D. Juan Becerra , de quien le tengo hablado, así á boca como en mi ofi­ cio de fecha de ayer. — Los cartuchos aprehendidos ha tenido á bien esta Justicia y Junta queden en es­ ta , para suministrar así á es</t>
  </si>
  <si>
    <t>313</t>
  </si>
  <si>
    <t>peñaca. Ultimamente salieron los enemigos á lo alto del camino es. « onde ios aguardaban las pariioas de Fa.n ján , Pugtrra é Ignaleja, manda, as por D. Juan Becerra, lasque i s saludaron óuram* n*&gt; , obligándolos i dt&amp;bandarse, tirando algu...es por los sen­ deros del coto que llaman de Ckavcro, perseguidos de guamlir-s: la …</t>
  </si>
  <si>
    <t>ada gente á es­ trechar al enemigo. A vista de todos derribó á 2 de á caballo, oficial el uno ; mas perdió su yegua , que fué pasada por las ar­ mas. D. Juan Becerra, aunque ocupado en la defensa de MarbeUa, acudió con maravillosa prontitud á oponerse al enemigo, y lo cargó en las cercanías de Ronda causándole mucho daño. Ge­…</t>
  </si>
  <si>
    <t>Becerra, Vicente</t>
  </si>
  <si>
    <t>Vicente Becerra</t>
  </si>
  <si>
    <t>497</t>
  </si>
  <si>
    <t>ernaiz, alcalde mayor provincial Dr. D. Franc:sco Marcos Santaelía: fiel executor Dr. D. Joaquín de Torres Duran: Licenciado D. Juan An­ tonio Mexía, D. Vicente Becerra, D. José María Dáviía, y el caba­ llero síndico procurador general D. Francisco Sauri: no concurrió el se­ ñor alcalde ordinario de primer voto por hallarse a…</t>
  </si>
  <si>
    <t>Becerril, Manuel</t>
  </si>
  <si>
    <t>Manuel Becerril</t>
  </si>
  <si>
    <t>pre­ sidente. b J&gt;¡ visio­ i.° Juez á D. Atanasio García' del Castillo, nes mi- PREFECTURAS. Ci rindes, litares. oidor del propio tribunal. t . 2.0 A D. Manuel Becerril, oidor de Sevilla. , 1 Madrid, "F iado, Gu-dalavara. Madrid. 3. ?,. A D. Agustín Riquelme, alcalde del cri­ 2 Cuenca, Valencia , Alicante...... Videncia. men …</t>
  </si>
  <si>
    <t>Beckwit</t>
  </si>
  <si>
    <t>Gazeta de la Regencia de España e Indias n.º 84</t>
  </si>
  <si>
    <t>810</t>
  </si>
  <si>
    <t>nemigo que procuraba penetrar por aquel mismo parage. — En este combate se dis­ tinguieron personalmente el brigadier general Crauford, el te­ niente coronel Beckwit del regimiento 95 , Barclay del regi­ miento 52, y los comandantes de los regimientos empleados en esta parte de la acción. Fuera de estos reencuentros, las trop…</t>
  </si>
  <si>
    <t>Beckwith</t>
  </si>
  <si>
    <t>Gazeta de la Regencia de España e Indias n.º 21</t>
  </si>
  <si>
    <t>o baxan de 40 millones de libras de azúcar y 6 millones de café, á que se agrega gran cantidad de cacao y algodón. Esta conquista se debe al teniente general Beckwith, coman­ dante en gefe de las tropas de tierra de S. M. en las islas de bar­ lovento , quien ha añadido este laurel k los que habla ya cogida en la Martinica. Ha…</t>
  </si>
  <si>
    <t>Bedia, Manuel</t>
  </si>
  <si>
    <t>Manuel Bedia</t>
  </si>
  <si>
    <t>e enero. S. Lorenzo.: - &gt; Ajemas la diputación del ayuntamiento de esta El REI nuestro Señor ha llegado hoi i medio ciudad , compuesta de los señores D. Manuel Bedia á esta ciudad , donde ha sido recibido con las cerril , corregidor; D. Lorenzo de Basabru , D. Ra­ 'demostraciones mas vivas de regocijo por sus habí fael de Ten…</t>
  </si>
  <si>
    <t>Bedoya, Francisco</t>
  </si>
  <si>
    <t>Francisco Bedoya</t>
  </si>
  <si>
    <t>r Ja seguridad-y la prosperidad púbíicak.'-'Esperan Compañía de Mejorada' déd‘go plazat. que los vocales de las dtís-cimaiasdel paríameato ~ Capitán, D. Francisco Bedoya. —.... ——1 11 ~—' .~*'r'¿*-1. s’!'**f* r’1 ’T'".■'* yor parteóle lo* dramas ¿oñócidór. f" V.0 ‘ tara enhorabuena 'aquella fría é'iWportuna relación que ;Y qt…</t>
  </si>
  <si>
    <t>BedroáQaandó</t>
  </si>
  <si>
    <t>t e oi ,Np raenqs jde«tcqriitda ms parece Ja variación que el ó nbsttdido, que zondae sin pasiom la voluntad de su señor C. ha. hecho en el papel do D. BedroáQaandó di­ hija, que la convenza si puede, y que si 004 ablande 1* ce á su muger-q Hepiqnsa - lia mar al cura pora que con- dureza'y obstinación de su' mar idio t en una…</t>
  </si>
  <si>
    <t>Beeston, Guillermo</t>
  </si>
  <si>
    <t>Guillermo Beeston</t>
  </si>
  <si>
    <t>­ dación con la lista de suscriptores núm. i.° , á que seguirán otras. Lista de suscripción: núm. i. — El señor D. Juan Corsbie, rs. vn. i.® El señor D. Guillermo Beeston, i®. El señor D. Juan Thuillier, i®. E.í señor D. Tomas Withington, i®. El señor D. Carlos O’Gorman, i@¡. El sensor D. Tomas Barber, 10. El señor D. Cárlos …</t>
  </si>
  <si>
    <t>Begines, Antonio</t>
  </si>
  <si>
    <t>Antonio Begines</t>
  </si>
  <si>
    <t>nde dirige á S. M. desde el quartel general de Centellas, con fecha de 3 del comente, ia siguiente copia del p-_-te que acababa de dar el bri­ gadier D. Antonio Begines de ios Ry&lt;s, comandante general del Llobregat. —*-£xcmo. Sr.— El día 26 habiendo tenido noticia que los enemigos la noche.anterior hablan reunido sus tropas c…</t>
  </si>
  <si>
    <t>Begnier</t>
  </si>
  <si>
    <t>r sino un pequeño número de tropas para de­ fenderlos. La mejor protección que puedo-darles, es derrotar 4 los ingleses y obligarlos 4 embarcarse.—El general Begnier merece los mayores elogios ; se ha portado como general ex­ perimentado y hábil. El general I:vison mantiene su reputa­ ción. En fin todos los oficiales y soldad…</t>
  </si>
  <si>
    <t>Begtrug</t>
  </si>
  <si>
    <t>Gaceta de Madrid n.º 282</t>
  </si>
  <si>
    <t>qoalquiera pueblo,, cuyos, imprímir y distribuir por medio de los mi­ habitantes no se pongan inmediatamente encami- nistros del Culto-un tolleto del profesor Begtrug, no, sea depuesto inmediatamente , y que el predi­ que enseña el modo de coltivar esta planra» que cador del pueblo sea al ¡ostáote despojado de su es de primer…</t>
  </si>
  <si>
    <t>Beiiiard</t>
  </si>
  <si>
    <t>de tropas y las combinaciones generales lo permitiesen,ocupar este punto muy importante por su situa­ ción , y corta distancia de la capital (3). EL general Beiiiard ha puesto á mi disposición quatro bandidos que se. han cogido en Orozco con sus arma*.-, para que ios haga juzgar (4) inmedi - .tatúente ; y así será. Conocen ya…</t>
  </si>
  <si>
    <t>Beílocq, Pedro</t>
  </si>
  <si>
    <t>Pedro Beílocq</t>
  </si>
  <si>
    <t>Gaceta de Madrid n.º 185</t>
  </si>
  <si>
    <t>s ^cadáveres de escos dos ilustres guerreros. La D. Vicente García Bravo...................... 1 JOO misma guardia ha tenido el honor de presentar al D. Pedro Beílocq—............................... 36177-25 corooei Dupui» comandante de ia comitiva» una D. Pedro CeHioi y compañía................ 23 ¿347..a6 corona de plata de…</t>
  </si>
  <si>
    <t>Bejines</t>
  </si>
  <si>
    <t>te de caballería muerto, un soldado, 9 heridos, 2 caballos muertos y un herido , 6 soma­ tenes muertos , 27 heridos y 9 contusos. Recomienda mucho et brigadier Bejines ei espíritu y denuedo con que se portaron en es­ tas acciones los oficiales , tropa y somatenes; y propone como acreedoras á ia recompensa de S. M. á las famil…</t>
  </si>
  <si>
    <t>Belair</t>
  </si>
  <si>
    <t>el mejor medio que pueden elegir mis Al tiempo mismo que el general Govinot hacia «pueblos para que me sean agradables. este movimiento, marchaba el general Belair por „ Me intereso especialmente por el bien de vues- ía's Aipujarras, disipando todos los pelotones que «tro país: he'teiido el gusto de Ver que se están encontrab…</t>
  </si>
  <si>
    <t>la que dispersó, matándole y haciéndole ñas y de las Indias. prisionera algup^^gente. Hemos decretado y decretamos lo siguiente : Entre tanto que el general Belair hacia esta ex­ . ,, El uniforme de los ministros será en lo suce­ pedición, el general de brigada Godinot, de vuelta sivo el que usaban los antiguos secretarios de…</t>
  </si>
  <si>
    <t>Belannino</t>
  </si>
  <si>
    <t>judicaban mas al feld- mariscal príncipe Adata Czartoriski; que . - • »testaciones, y Se consiguiente deben terminarse, en los Es bien notorio que el cardenal Belannino escribió m tribunales eclesiásticos.' Conforme á este sofisma, que un libro sobre el poder del papa en las cosas tempora­ se quería hacer pasar cómo un princi…</t>
  </si>
  <si>
    <t>Belcstá, Francisco</t>
  </si>
  <si>
    <t>Francisco Belcstá</t>
  </si>
  <si>
    <t>después de haber tomado y tidades siguientes: muerto a’gunos hombres. A la mañana inmediata R*. Mrt, dirigió su marcha hácia Batea , en donde entró á D. Francisco Belcstá, por...................... 4)345 continuación de haber tomado una posición de­ D. Josef Bonut 10218 ri fendida por mas de 253 hombres, por medio de un Boula…</t>
  </si>
  <si>
    <t>Belda, Tomas</t>
  </si>
  <si>
    <t>Tomas Belda</t>
  </si>
  <si>
    <t>á cargo de Angel Vicente.................................................................... 1 i 00 13 200 Otra en la calle del Ave-María, que habita D. Tomas Belda............................................................................. 250 3000 Otra en la de S. Buenaventura, que vive E&gt;.- Agustín Sánchez, presbítero....…</t>
  </si>
  <si>
    <t>Beldará</t>
  </si>
  <si>
    <t>os efectos militareis ^abandonados por el enemigo^ y destruyeron las fortificaciones que habian construido^, &gt; ¿ s , En unos partes interceptados del general Beldará• á thier con fechas de 5, 6 y 7 de julio,, se habla de varias par,-: tidas de patriotas de que no se tiene otra noticia. Cuenta que se habian presentado^ en Torr…</t>
  </si>
  <si>
    <t>Belderbuch, María Antonia Sanz Me</t>
  </si>
  <si>
    <t>María Antonia Sanz Me Belderbuch</t>
  </si>
  <si>
    <t>ice-almiranteThevcnard, los consejeros ; Sr. Marques Caballero...................... 79100..18 de Estado-condes-PLedón y de'Shée, y el barón de: Sra. Doña María Antonia Sanz Me­ Belderbuch , -prefecto del* departamento del Oise, rino.................................................. 6000 han; sido nombrados senadores. &lt;’ Sr. …</t>
  </si>
  <si>
    <t>Belerma, Francisco Muñoz</t>
  </si>
  <si>
    <t>Francisco Muñoz Belerma</t>
  </si>
  <si>
    <t>quedan nombrados para capitán de L’Epee, se bailará el bolero, y se finalizará con un la segunda compañía D. Diego de León, para te­ sainete. niente D. Francisco Muñoz Belerma , y para sub­ Nota. Mañana viernes á las quatro y media en el referido teatro se executará la comedia en tres acto* teniente D. Antonio Figueroa. titul…</t>
  </si>
  <si>
    <t>Belestá, Juan</t>
  </si>
  <si>
    <t>Juan Belestá</t>
  </si>
  <si>
    <t>Gazeta de la Regencia de España e Indias n.º 4</t>
  </si>
  <si>
    <t>do, á lo que no contribuyó poco el buen estado en que se bailaban las obras de fortificac'on por el zelo del director de ingenieros de esta provincia D. Juan Belestá, y ía actividad del teniente coronel D. Nicolás Verdejo, vo­ cal de la Junta. A las dos horas de un vivo fuego -cesó enteramente el de los enemigos , sin que est…</t>
  </si>
  <si>
    <t>Beliard, Auguro</t>
  </si>
  <si>
    <t>Auguro Beliard</t>
  </si>
  <si>
    <t>Gaceta de Madrid n.º 8</t>
  </si>
  <si>
    <t>hoi do­ do en el cimiento incontrastable ae la santa justicia. mingo 7 de enero el señor corregidor D. Dámaso de la Torre pasó cfi.io al Exorno. Sr. D. Auguro Beliard, gobernador de esta plaza, para que á las once y media u; la mañana hubiese un piquete de infantería , con su oficial , en la plazuela dé la Villa. Continúa el …</t>
  </si>
  <si>
    <t>Belinchon, Pedro Antonio</t>
  </si>
  <si>
    <t>Pedro Antonio Belinchon</t>
  </si>
  <si>
    <t>irectos de las plazas extrangeras con la general de España , arbitrages simples Ciudad- Real. y compuestos, tratas y remesas continuas &amp;c., con una A D. Pedro Antonio Belinchon , oidor decano idea exacta y distinta de lodo lo que corresponde á la de Granada, presidente. ciencia del giro, 4 satisfacción de todo el concurso. x.…</t>
  </si>
  <si>
    <t>Belliard</t>
  </si>
  <si>
    <t>deL rey intruso, representa con viveza su triste suerte, y dice que por no pagarles sus mesadas, ladrande hambre-. r Está instancia la recomienda el gobernador Belliard; añadien­ do en su apoyo, que es preciso consolar á estos hombres imperti­ nentes y cansados , á quienes compara con los palos de los andamios , que hay neces…</t>
  </si>
  <si>
    <t>io Flotafcs, subteniente del propio cuerpo, y D. Juan Palacios,‘teniente de Granada. i __ ^ Madrid 18 de julio. — El domingo 8 dél corriente hizo •él gobernador Belliard aguardar en el Carmen hasta las dos para la misa: á esta hora avisó que se dixera porque no podia ir-a oirla. Corrió la voz de que la causa era la llegada de…</t>
  </si>
  <si>
    <t>.de que lleguen á noticia de S. M., El gefe de batallón Mafou, edecán del exce­ .tengo el honor de dirigiros todas las circunstancias lentísimo señor general Belliard, gobernador da de este acontecimiento. = Firmado = Juan Arms- Madrid, encontró ayer en el prado cerca de Pa•TRONG.” . racuellos las dos partidas reunidas de los…</t>
  </si>
  <si>
    <t>Sebastani 13000, y en los reynos de Córdoba y Jaén unos 6000. Total 48000 hombres. Los alcaldes de algunos pueblos inmediatos han traído original al general Belliard el oficio de Francisquete, en que les prevenia no diesen raciones á los que se presentasen baxo</t>
  </si>
  <si>
    <t>Bello, Manuel</t>
  </si>
  <si>
    <t>Manuel Bello</t>
  </si>
  <si>
    <t>........................................ ................ D. Bernardo París Cueto. .................................................................. D. Manuel Bello...................... D. Juan Bautista La borde. j. »....................................................... . D. Juliao Castaños..... ..........................…</t>
  </si>
  <si>
    <t>Belloc, Luis</t>
  </si>
  <si>
    <t>Luis Belloc</t>
  </si>
  <si>
    <t>co Cabello» coronel de ORDEN DEL DIA. caballería ligera» y gobernador del Almadén; Don ,, El 4.* cuerpo de exércita mandado pór el ge­ Josef Vinuesa; D. Luis Belloc ; D. Pedro Serrét, neral Sebastian! ha entrado el 6 de este mes en Má­ capitán de caballería de línea; D. Fernando Uiiar- laga. Una reunión de gente armada, que s…</t>
  </si>
  <si>
    <t>Belloi</t>
  </si>
  <si>
    <t>bre Molior, y la opereta el Secreto. este mes al cardenal Mauri arzobispo de París por Actores en la comedia-: Señoras María García, Rosa­ muerte del cardenal Belloi, rio García, Virg y Torres. Señores Maiquez, Poncc, El día 28 de setiembre se colocó en una de las González , Avecilla, Casanova, Suarez y Contador. iglesias de …</t>
  </si>
  <si>
    <t>Ben</t>
  </si>
  <si>
    <t>Gaceta de Madrid n.º 57</t>
  </si>
  <si>
    <t>avanzadas. Los servios se dan Fronteras de la Rusia 2 4 de enero. por mui contentos ea que los deven quiet s, y la Se asegura en varias cartas que el general Ben- mayor parte de los baxaes de las inmeoi cionet han nírosen va caminando en este iroms ¡10 por Ukra- recibido orden de reunirse con sus ’tr pas al exárnir hácii Turq…</t>
  </si>
  <si>
    <t>Benavente, Josef</t>
  </si>
  <si>
    <t>Josef Benavente</t>
  </si>
  <si>
    <t>Matadero, que lin­ Otraen la calle de los Coches, que linda da por poniente con corral de la casa i oriente coa casa de Francisco Recio. 773 9*76 de D. Josef Benavente......................... 350 gooo Otra en la calle de los Hornos, que linda i Otra en la calle de los Bodegones, que oriente con casa de D. Antonio Morales. 50…</t>
  </si>
  <si>
    <t>Benavides, Manuel</t>
  </si>
  <si>
    <t>Manuel Benavides</t>
  </si>
  <si>
    <t>de V. M. ansiosa de merecer D. Juan Manuel de Robles y Acuña, veintiuna- una mirada halagüeña que io fique su reai agrado, tro de esre ayuntamiento: D. Manuel Benavides y y las soberanas insinuaciones á que puedan dar el Zstnbrano , maestrante de la real de Ronda, y al­ tnas exáoto cumplimiento , especialmente los que calde d…</t>
  </si>
  <si>
    <t>Benavides, Manuel Antonio</t>
  </si>
  <si>
    <t>Manuel Antonio Benavides</t>
  </si>
  <si>
    <t>486</t>
  </si>
  <si>
    <t>ya , deán de la santa iglesia, monial. y D. Josef Matías Calzas , canónigo lectora i. Por Concluido este acto con las firmas del príncipe la nobleza, D. Manuel Antonio Benavides. Por el archicanciller y del secretario de Estado de la fa­ comercio, D. Ramón de Senra. milia imperial, los maestros y ayudantes de cere­ En medio d…</t>
  </si>
  <si>
    <t>Benavides, Pedro</t>
  </si>
  <si>
    <t>Pedro Benavides</t>
  </si>
  <si>
    <t>imiento de infantería de la R^yna, compañías á D. José Amí, D, Joaquín Loyzaga , D. Juan Quesada y D. Heraclio de Alais: ; tenencias de cazadores , á D. Pedro Benavides , y de fu­ sileros a D. Angel García , y subtenencia á D. Fernando Pmango ; y en el de Voluntarios de la Patria , co?npañías á D. Pedro Al­ cántara Rute , D. …</t>
  </si>
  <si>
    <t>Benedicto, Manuel</t>
  </si>
  <si>
    <t>Manuel Benedicto</t>
  </si>
  <si>
    <t>Gazeta de la Regencia de España e Indias n.º 29 (extraordinaria)</t>
  </si>
  <si>
    <t>el que remitiré á V. E. inmediatamente que me lo pase, como también de los puntos que ocupan tanto las partidas de guerilla, co­ mo las del mando de D. Manuel Benedicto, que pasó á reforzarlas; solo me consta que el enemigo ha tenido 5 muertos, y por nuestra parte hay un muerto y s levemente heridos, siendo de esta última cla…</t>
  </si>
  <si>
    <t>y perdió un capitán del regi­ miento ae la Vitoria ahogado del calor y cansancio. A las 10 de la ma­ ñana llegó á Xerez incorporado con la partida de D. Manuel Benedicto, c informado Imaz de quanto habían observado estos gefes, se dispuso ¿ recibir á los enemigos que no tardaron en descubrirse desde Xerez por los caminos de S…</t>
  </si>
  <si>
    <t>Benitez, Diego Josef</t>
  </si>
  <si>
    <t>Diego Josef Benitez</t>
  </si>
  <si>
    <t>chez, canónigo de Por decretos de t6 descorriente S. M. se ha ella , para la dignidad de tesorero. servido nombrar asistentes del consejo de Estado A D. Diego Josef Benitez, canónigo magistral á D. Joaquín Ezquerra, teniente de infanteiú; á de la misma, para el arcedianato de Ronda. D. Manuel Pando, su page mas antiguo, y á D…</t>
  </si>
  <si>
    <t>Benitez, Joan</t>
  </si>
  <si>
    <t>Joan Benitez</t>
  </si>
  <si>
    <t>emigo*.y calumniadores: conseguirá por medios franciscafio observante. ^ ' legales y pacíficos el restablecimiento de aquella so Para la de TjmiUat á D. Joan Benitez, dé la antigua «sustitución, que declara que ningún poder misma órdeu.</t>
  </si>
  <si>
    <t>Benitez, José</t>
  </si>
  <si>
    <t>José Benitez</t>
  </si>
  <si>
    <t>Claudio González ; segunda ayudantía, á D. Jacinto Inozal ; tenencias, á D. Eustaquio Cevaílos , D. José Ramírez, D. Joaquín Moreno, D. Juan Morales, D. José Benitez, D, José Va­ ra del Rey, D. José Joaquín Daureia, y D. José Tirso Carvajal; y subtenencias , á D. Juan Miguel Balanza , D. Antonio Diaz Pintado , D. Tomas Leal, …</t>
  </si>
  <si>
    <t>Benito</t>
  </si>
  <si>
    <t>una cierta cantidad de cente Nieto, D. Lorenzo Navarrete, D. Alexandinero, y una renta anual al barón de Dalberg, que dro B-stamante, D. Josef Puche,D. Benito Del­ acaba de ser nombrado duque del Imperio francés, gado. y otra á Mr. Tascher de la Pagerie, futuro esposo art. iv. Nuestros ministros de lo Interior y de ia princes…</t>
  </si>
  <si>
    <t>199</t>
  </si>
  <si>
    <t>el enemigo hace diferentes movimientos, cuyo objeto se ignora. Badajoz 1 de mayo. Replegados en Mérida los enemigos que se hallaban en Almendralejo y D. Benito dirigieron sus movimientos sobre el Montijo y la Puebla en número de 50 hombres , los 10 de caballería. El 22 se propusieron atacar, como lo efectuaron, al brigadier E…</t>
  </si>
  <si>
    <t>fa Vázquez Silva...;.............. 1444 D. Manuel de Moya.............................. 14856..3» ‘ ' D. Josef Antonio de Escoval.......-..... • 1083 D. Benito de', la Mata-Linares..,„u...... . ■- 30000* D. Manuel Rodríguez............................ 180..17 D.' Juan Bauiista Condestable....................... 20880 D. Rodri…</t>
  </si>
  <si>
    <t>anadero de nuestra de la guardia rea). guardia real. Mourar-d ( D. Josef) , artillero de idem. Sr. Hiíaire (D. Augusto), ayudante mayor de ti­ Murga (D. Benito de), sargento mayor de caba­ radores , idem. llería retirado. Tamames (duque de), comandante de batallón de Naudet ( O. Heorique), tirador de nuestra guardia la guardi…</t>
  </si>
  <si>
    <t>Benito, Frutos Alvaro</t>
  </si>
  <si>
    <t>Frutos Alvaro Benito</t>
  </si>
  <si>
    <t>....... 4CCCO Doña Xa viera de Osmj........................ 722 Doñ 1 M^ria Manuela O-liz Je Azorin. 2 64c o Doña María Concepción Echevarría. 4i3 8| D. Frutos Alvaro Benito..................... 16:07- 5 Memori s de D. Francisco Rodrigurz. 180 17 Doña Manuela Durañona.................... 4202 2 5 D. T-m&lt;s Reguyer.............…</t>
  </si>
  <si>
    <t>d- id................ 95Ó42-*23 D. Joaquín de Eguiarreta, patrono y D. Juan Hume, por id. Id............ . 32ii4-.a6 poseedor de la memoria que fundó D. Frutos Alvaro Benito, por rs. vn... 150000 Doña Paula María de Garibai......... ; 2922..13 .. D. Manuel Francisco de Aguiguerre é ■ ’ D. Juan Teran, como marido de Do- ~hijos…</t>
  </si>
  <si>
    <t>Benito, Frutos de Alvaro</t>
  </si>
  <si>
    <t>Frutos de Alvaro Benito</t>
  </si>
  <si>
    <t>Gazeta de la Regencia de España e Indias n.º 20 (extraordinaria)</t>
  </si>
  <si>
    <t>opinan que es inevitable la guerra. El 6 del corriente salieron de aquí diputados por la muni­ cipalidad ceyca del rey D. Manuel García de la Prada, D. Frutos de Alvaro Benito, D. Martin de Huici y D. Tadeo Bravo del Ri~ vero , sugetos bien conocidos por su adhesión al gobierno intruso. Las noticias de la última mala nada dic…</t>
  </si>
  <si>
    <t>79 1 D. Andrés Alfonso de Choya............. 2 2000 D. Pedro Flores Quevedo................... 39 í 9 1 D. Pedro Irigoen y Almansa............. 67200 D. Frutos de Alvaro Benito................. 99102 2 D. Antonio Leiral y Doña María de D. Andrés Requena................................ i49&gt;8 los Dolores de Belandia su muger. 4…</t>
  </si>
  <si>
    <t>á tiempo se hizo la última salva de artillería. R*. Mr». La guardia de honor ha contribuido con sus servicios ¿ hacer mas pomposas las ceremonias fú­ D. Frutos de Alvaro Benito por.......... 13560 nebres executadas en los dias que bao estado aqui D. Plácido Ortiz de Eiejalde,-........ 1774a..25 los ^cadáveres de escos dos ilu…</t>
  </si>
  <si>
    <t>Benito, Josef</t>
  </si>
  <si>
    <t>Josef Benito</t>
  </si>
  <si>
    <t>Gaceta de Madrid n.º 201 (suplemento)</t>
  </si>
  <si>
    <t>........ ....................... IO 220 res, de una fin-, un celem. y 32 estad., Otra de 2 fan., 8 celen*.'y 13 estad., donde que linda i oriente con D. Josef Benito dicen el Pico del Monte, linde camino de Salcedo........»»...„........... ................. .......... 14*17 8*9 las Hiruelas por oriente y-mediodía........... 4…</t>
  </si>
  <si>
    <t>Benitos, Frutos de Alvaro</t>
  </si>
  <si>
    <t>Frutos de Alvaro Benitos</t>
  </si>
  <si>
    <t>os......... 36911 17 D. Santiago y .D. Simón déla Gallarde. 2cc:cn D. Luis de Goyeneche y Muzquiz... *9*3 2 ñ Doña María Andrea Moreno David... 36000 D. Frutos de Alvaro Benitos.......... 6148 26 D. Manuel Sánchez Toscano:............ 7200 Los señores: Albert é hijos. -»47:*7 Doña Josefa. Lorenza Conger...-........ 2189 22 D.…</t>
  </si>
  <si>
    <t>BenitqAlvarez</t>
  </si>
  <si>
    <t>n 73-'' 8f D: Tdáñ de Oliver;;;.;... ......... . 265 7 7/ R Cristóbal ^ludreosi.......... ............ &gt;2^t4&lt;;i7; D. Júán de Almognera-...... 39,I96 D. BenitqAlvarez.................w-1.»-—. ‘39$*!.‘ D.-SiAibo Ramos...;............................ 14589 Bpnt. Mtsucls 2*7o2 D^Jian- Bautista Irribarren, como Doña Jnapz Urqqijo.…</t>
  </si>
  <si>
    <t>Beotas, Pedro</t>
  </si>
  <si>
    <t>Pedro Beotas</t>
  </si>
  <si>
    <t>D.* Pedro Fernandez Tavira....... .......- ^3I~*5l Doña Ana Josefa de Huic!................... 5997-17 Doña María Magdalena-Araola............ 54i-i7 D. Pedro Beotas..................................... 35°° D. Dámaso Hermoso.................... ......... 12454..X7 D. Basilio Ramón Fernandez............... 12040 Doña María Ar…</t>
  </si>
  <si>
    <t>Ber</t>
  </si>
  <si>
    <t>e la imperio­ D. Luís-de Córdoba, D. Fe ipe Esc.mero, D. An­ sa Leí de los acaecimientos dispuso hi mas de un drés de Morales , D.' Franci co Muñoz , D. Ber­ siglo qne España fuese amiga y aliada de la Francia. nardo Cañete, D. Antonio Caballero, D. Josef Una revolución extraordinaria precipitó del tro­ Garrido, D. M-inutl Na…</t>
  </si>
  <si>
    <t>uel de la Huerta, 20. Doña Plácida Mingura, 12. D. Juan José Atenas, 50. D. Santiago Abren, 30. D. Juan Capistrano Zubia ,8. D. José María Porras ,8. D. Ber­ nardo Martínez 200. D. Francisco Jíuregui, roo. José Pablo Bracannonte, 39 y 3 rs. Ramón Hernández, 1 xa.--Valle de S. Bartolomé. Don Estéban Mata, 10. Doña María y Doña…</t>
  </si>
  <si>
    <t>e casi iodos Nombramos para capitán de la tercera compa­ los filósofos la han tratado t y que ninguno la ha ñía a D. Antonio Berrugo: para teniente á D. Ber­ conocido. Pero aun quando las explicaciones de nabé Cando; y para subteniente á D. Josef Tri­ Talés no sean en esta parte mas satisfactorias que gueros Ramírez. las de l…</t>
  </si>
  <si>
    <t>Beramendi, Carlos</t>
  </si>
  <si>
    <t>Carlos Beramendi</t>
  </si>
  <si>
    <t>e diciembre de 1609. — Exento. Sr.— Carlos de Beramendi. — Excmó. Sr D. Francisco Saavedra.” Con fecha de 25 de diciembre escribe desde Vich el mismo D. Carlos Beramendi noticiando que'se había presentado en el quartei general , distante una^Iqgua de allí, al general en xefe marques de Portsgo , con quien conferenció sobre pu…</t>
  </si>
  <si>
    <t>de agosto. la Calle, guardia de honor, D Josef Villa, Don Cayetano Janear, D. Josef Molinos, subteniente, El archidoqne Ranerio, llorado de sn gasto D. Carlos Beramendi, D. Luis Cañete, D. Juan por la historia natural&gt; ha corrido, los parages mas Galbsi, D. Santiago Moré, Don Joan Porcada, notables de las montañas de la Bukow…</t>
  </si>
  <si>
    <t>Beranguer, Francisco</t>
  </si>
  <si>
    <t>Francisco Beranguer</t>
  </si>
  <si>
    <t>431</t>
  </si>
  <si>
    <t>comandante de Artillería D. Francisco Ar« ñau, sosteniendo estas arriesgadas operaciones el qüarto ba­ tallón de la marina real al cargo de su ge fe D. Francisco Beranguer. Nuestra pérdida ha consistido en 4 soldarlos de Soria y 3 paisanos muertos , y 8 soldados del primer cuerpo y 6 pai­ sanos heridos, habiéndosediecho acree…</t>
  </si>
  <si>
    <t>Bérbecc, Rafael</t>
  </si>
  <si>
    <t>Rafael Bérbecc</t>
  </si>
  <si>
    <t>o 'de la parroquíade Torro*, - Para otro de la mismapirroqui* » vacante por vacantepor muerte deD. Francisco Mariano Guermuerte de IX Juan Lacostav á D. Rafael Bérbecc,. xay á p. Diego de Vargas* presbítero; • presbítero, teniente de curaidedá misma. Para el de la parroquia de Casarabonelá, va-; - . Para jel ínedio beneftcio …</t>
  </si>
  <si>
    <t>Bercsf</t>
  </si>
  <si>
    <t>Gazeta de la Regencia de España e Indias n.º 104</t>
  </si>
  <si>
    <t>vieron 3797 desertores : por aquí puede colegirse lo que habrán perdido desde que invadieron á Portugal. (La misma.) Oficie del general Silveyra , al mariscal Bercsf&amp;rd. “ Quartel general del Campo del Pereyro á las 4 de la tar­ de del 15 de noviembre.—Excmo Sr.: ayer mar el é sobre Pin­ cel. Los enemigos se hallaban en los p…</t>
  </si>
  <si>
    <t>Berdaew</t>
  </si>
  <si>
    <t>cia de cinco men­ que fueron rodeados por los turcos, quienes á pe­ tas de Rudschuck. sar de todos sns esfuerzos no pudieron romperlos. Conociendo el coronel Berdaew que los enemigos El coronel Sbieski formó también en quadro so querían esperar á que cerrase bien la noche , y apro­ regimiento, y se defendió con la mayor firme…</t>
  </si>
  <si>
    <t>Berdejo, Francisco</t>
  </si>
  <si>
    <t>Francisco Berdejo</t>
  </si>
  <si>
    <t>lón del quartel de S. Isidro D. Josef Cabredo. D. Bartolomé Gómez. Capitanes. D. Josef Chacón. D. Agustín Gamell. D. Tomas Perez. D. Bernardo Barril. D. Francisco Berdejo. D. Camilo Gamboa. D. Esteban Gómez. D. Pascual Santander. D. Mateo Norzagarai. D. Manuel de Cañas. I&gt;. J uan Picdrahica. Subtenientes. D. Ramón Rada. D. An…</t>
  </si>
  <si>
    <t>Berenguer, José</t>
  </si>
  <si>
    <t>José Berenguer</t>
  </si>
  <si>
    <t>Gazeta de la Regencia de España e Indias n.º 56 (suplemento)</t>
  </si>
  <si>
    <t>530</t>
  </si>
  <si>
    <t>ses , y cuya conservación Ies proporcionaba señorear ambasorillas. Nuestra pérdida consiste en 9 muertos y 12 heridos. Entré los primeros se cuenta á D. José Berenguer, capitán* de tiradores de Castilla ^ y entre tos segundos al teniente del mismo cuerpo D. Juan Valero , ambos oficiales de mérito so­ bresaliente , y que solic…</t>
  </si>
  <si>
    <t>Beres</t>
  </si>
  <si>
    <t>retirada del exército inglés' de Portugal^ -:'¡GRTAN B;RÍTAÑA. cuyo qaartel -general- se hallaba err sViseo, y sus poestos avanzados en Francosó. Et mariscal Beres..Londres 29 desetiembre. . fórd K hallaba con so división eii- Lageosa, y el En utWgazeti de Hoi se lee el artículo siguiente: general Trant eo San Juan de Pesquér…</t>
  </si>
  <si>
    <t>Beresford</t>
  </si>
  <si>
    <t>Gazeta de la Regencia de España e Indias n.º 58</t>
  </si>
  <si>
    <t>s de aquella parte de Pais’han atacado á un destacamento enemigo, matándole 25 hombres,’* El mismo marisca] de campo Francisco Silvéira comuni­ ca al mariscal Beresford, comandante en gefe, con fecha del 4 que noticioso de que el general español Tabeada había abandonado la Puebla de Sanabri'a, y que la habían ocupado el 29 de…</t>
  </si>
  <si>
    <t>581</t>
  </si>
  <si>
    <t>bispo-virey. —Por mandado de S. E. I. — José Ignacio Negruyrosy Soria” Badajoz 20 de agosto. Según los papeles públicos recibi­ dos en esta plaza, el mariscal Beresford, comandante en gefe de las tropas portuguesas, ha remitido a los gobernadores del reyno la siguiente carta del mariscal Silveyra: “limo, y Excmo. Sr. — Doy pa…</t>
  </si>
  <si>
    <t>655</t>
  </si>
  <si>
    <t>S DEL VIERNES 14 DE SETIEMBRE DE 1810. PORTUGAL. v Lisboa 8 do setiembre. El brigadier general Cox , gobérnador de la plaza de Álmeida, ha escrito al mariscal Beresford con fecha de 30 de agosto desde Aldea del Obispo, avisándo­ le que la noche del 2? se habia visto obligado á capitular de resultas de Ja desgraciada explosión…</t>
  </si>
  <si>
    <t>691</t>
  </si>
  <si>
    <t>e de acá de Freixedas: se hicieron algunos prisioneros at-enemigó, y los ingleses tuvieron un oficial y 2 dragones heridos. Por oficios recibidos del mariscal Beresford con fechas de 27 ; 28 y 29 de agosto y 4 del corriente se sabe, que habiendo propuesto el enemigo á la guarnición de Al ueyda que eli­ giese éntre quedarse al…</t>
  </si>
  <si>
    <t>Gaceta de Madrid n.º 274</t>
  </si>
  <si>
    <t>del ataque , siendo en todas par­ las tropas ligeras y el quartcl general están en Ce- tes necesario valerse del barreno para ponerse á 1 orico; y el mariscal Beresford está con las tropas cubierto. portuguesas en el camino de Traocoso. Eo la noche del 24 al 2) se abrió la segunda ,, No es de presumir que pensemos en empe­ pa…</t>
  </si>
  <si>
    <t>Gazeta de la Regencia de España e Indias n.º 83</t>
  </si>
  <si>
    <t>tos des­ aparecieron las dos colimas. Lord Wellington se halló perso­ nalmente en este ataque: á su lado fueron heridos 2 de sus «de* canes y uno del general Beresford. Quedaron en el campo 2000 franceses, y se hicieron muchos prisioneros, entre ellos 34 oficiales y el general Simón. Al mismo tiempo los cuerpos de Ney y Junot…</t>
  </si>
  <si>
    <t>on un cuerpo de infantería y ca­ ballería, quedando al mismo tiempo el brigadier general Mi* lur en Coimbra. — Incluyo á V. E. copia de una carta del mariscal Beresford sobre estos acontecimientos. Un destacamento déla guarnición de Fcniche enviado por el brigadier general Blunt, ha obrado también con felicidad, haciendo 48 p…</t>
  </si>
  <si>
    <t>85 7 Copia de las carias del mariscal Beresford á lorcy WclUúgfcn, Cuartel general del fuerte de Sobral 17 de ocluiré de 1810. — „Milord: Tengo la honra de participar á V. E. que por cartas del brigadier general Miller, fechas en Coimbra, he sabido que nu</t>
  </si>
  <si>
    <t>quieto en Sevilla, y tenia muchos enfermos. — Las últimas noticias de Cádiz llegan hasta 28 del pasado. Ten go la honra de ser &amp;c.— Wellingt&amp;nP Del '&gt;mariscal Beresford á lord JVeliingion. “Milord: Tengo el honor de remitiros la adjunta relación, sacada de las- que he recibido del brigadier generad Blunt 3 en la qual se expre…</t>
  </si>
  <si>
    <t>Berget</t>
  </si>
  <si>
    <t>73</t>
  </si>
  <si>
    <t>ritu en toda la provincia. El 18 se destina­ ron á Calanda 280 hombres, y á Fonz 150, temerosos de nues­ tras guerrillas, y compañías de paisanos. El general Berget ha pedido á Suchet comestibles desde la otra parte del Ebro. Frontera de Aragón $ de marzo.. El Sf. Perena con sus valerosos tercios ocupa la atención del enemigo…</t>
  </si>
  <si>
    <t>Berindoaga, Francisco Xavier</t>
  </si>
  <si>
    <t>Francisco Xavier Berindoaga</t>
  </si>
  <si>
    <t>D. Pedro Soler. D. Fermín Lumbreras. Batallón del quartel de Maravillas. D. Josef Osteret. D. Manuel Zavala Espetillo. Capitanes. D. Rafael Fleuriot. D. Francisco Xavier Berindoaga. D. Benito Angulo. D. Juan Oden y Meneses. D. Antonio San Germán. D. Juan Puente. D. Manuel Carranza. D. Jnan Verdes Montenegro. D. Nicolás María …</t>
  </si>
  <si>
    <t>Bermudcz, Josef María</t>
  </si>
  <si>
    <t>Josef María Bermudcz</t>
  </si>
  <si>
    <t>bastian! ha entrado el 6 de este mes en Má­ capitán de caballería de línea; D. Fernando Uiiar- laga. Una reunión de gente armada, que se presen­ te y D. Josef María Bermudcz, capitán retirado»y tó delante de dicha ciudad, ha sido disipada ó des­ subteniente ayudante de plaza, y al gobernador de truida por un solo ataque de ca…</t>
  </si>
  <si>
    <t>Bermudez, Anronio</t>
  </si>
  <si>
    <t>Anronio Bermudez</t>
  </si>
  <si>
    <t>su ministro secretario de Esta­ melitas descalzos de iienarnejí: para la de Conchar dos Firmado = Mariano Luis de Urquijo.” al ex-carmelita descalzo D. Anronio Bermudez: pa­ ta la de Durcal al ex-capitchino D. Manuel Iñiguez Extracto de las minutas de la secretaría de de Valdeorera: para la de Gete, Orivar y Lentegi Estado. a…</t>
  </si>
  <si>
    <t>Bermudez, Pedro José</t>
  </si>
  <si>
    <t>Pedro José Bermudez</t>
  </si>
  <si>
    <t>gencia de España c Indias á crear en nombre del rey nuestro señor D. Fkiu* an­ eo vii una junta interina en esta ciudad , compuesta de los profesores D Pedro José Bermudez, boticario de cámara de S. M., D. José Escribe, honorario de la misma dase , D. Alberto Monge y D. Juan Silvestre Rodríguez Sánchez , individuo supernumera…</t>
  </si>
  <si>
    <t>Bernabé</t>
  </si>
  <si>
    <t>z. Subteniente 4 Dí jciaquin MoVa. ^ . r ■ Compañía de Caíniehár '-vi(¡j^ dedil o *plazas.. a.ij C.i-, CompañíadSiGrlñon de d\gót1ptapal..ít Capitán, D. Bernabé dq la Fuente. C ipitan , D. Félix Pedraza. . !... Tenienté^Dí1''Aláíl5ó's5Ortjtíidr. I,: ' Tfiniente-.^D. B¿roabé Gaián.; " ' Subtenientc j R j'iIaa Gbasee'Ibañíi. i …</t>
  </si>
  <si>
    <t>Bernabeu</t>
  </si>
  <si>
    <t>Gazeta de la Regencia de España e Indias n.º 6 (extraordinaria)</t>
  </si>
  <si>
    <t>Igua­ le ja, con el valiente patriota Bezerra, con arreglo á mis instruccio* n:s, lia entrado en Cohin , y otra división de patriotas, al man­ do del capitán Bernabeu, avanzan apegando mi derecha liácia las al­ turas de Antequera. Yo paso en este instante á la expresada villa de Tí:has, por lo que no tungo lugar para responde…</t>
  </si>
  <si>
    <t>Bernabeu, Francisco</t>
  </si>
  <si>
    <t>Francisco Bernabeu</t>
  </si>
  <si>
    <t>sef Manzanilla. te de hacer el saludo y salvas, se presentó pocos D. Francisco Rodríguez Ledesma. dias há enfrente de los castillos, y quiso pasar el D. Francisco Bernabeu. canal sin detenerse ni hacer caso de las señales que D. Rafael Antonio Mazon. Se le hacia; pero los castillos le hicieron foego,y la D. Manuel Navarro. ob…</t>
  </si>
  <si>
    <t>Bernad</t>
  </si>
  <si>
    <t>ones .que iban á reforzar el exército rqso en Turquía;, recibieron con­ traorden , y se; encaminaron á sla Curlandia y a lasNprovincias polacas. &gt; El general Bernad(Otte nombrado príncipe íier^deró de ¿Suecia, ílegó el; 10/deíoctubre k Hambutigo, eimamiaándose k aquel reyno. El rey de Dinamarca ha mandado se 'lefcbseqme al pa…</t>
  </si>
  <si>
    <t>Bernadotte</t>
  </si>
  <si>
    <t>865</t>
  </si>
  <si>
    <t>ÑA É INDIAS DEL SABADO 3 DE NOVIEMBRE DE 1810, FRANCIA. París 19 de setiembre. Se está montando con la mayor magnificencia y ostentación la córte del general Bernadotte en calidad de príncipe heredero de Suecia , y hierben pre­ tendientes para los diferentes destinos y empleos de su pala­ cio. Ademas del que tenga en Suecifi,…</t>
  </si>
  <si>
    <t>Bernal, Juan Antonio</t>
  </si>
  <si>
    <t>Juan Antonio Bernal</t>
  </si>
  <si>
    <t>r Díaz, 25. D. Ignacio León, 25. D. Ig­ nacio Araíza, 25. D. Ignacio Serrano, 10. D. Tomas Valencia, 10. D. José López, 10. D. Agustín Pesqueyra, ió. D. Juan Antonio Bernal, 10. D. Ignacio Noriega, 8. D. José María Moreno, 10. Varios indivi­ duos, 71 y 1 real. — Fuerte. D. Gaspar Zañudo, 200. D. Estéban de la Vega, 50. D. Joa…</t>
  </si>
  <si>
    <t>Bernarda</t>
  </si>
  <si>
    <t>........ 27040 Hemos decretado y decretamos lo siguiente" D. DomingoGarcíá....¿.,..;................ 39372 3* articulo i. „ Se declaran acreedo- • .&lt; Doña Bernarda, pjaz,...... 21900 res del Estado al Monte pió de reales —-—B‘. , rV¿, D. Manuel-Moresqui...................... 1440C0 oficinas por.....-..,.-................ ....…</t>
  </si>
  <si>
    <t>Bernardo</t>
  </si>
  <si>
    <t>Fuentes. El marques de C &lt;mpo Villar. D. Bernabé Fuentevila. El marques de Cevados. D. Agu stin Chavarri. D. Mari, no Villodas. D. Faustino de Nieva. D. Bernardo Dios dado. D. Mateo Casado. D. Ji-sef Ibaceta. D. Joaquio Palacios. Subtenientes. D. Mariano de San Juan. D. Dámaso Machuca. D. Mariano Lfanderal. D. Pascual Carsi. …</t>
  </si>
  <si>
    <t>rino de Negocios y D. Josef Garai: en el de Sevilla, 3.0 de línea, eclesiásticos queda encargado de la execucion de subtenientes á D. Manuel Sánchez, D. Bernardo este decreto. = Firmado = YO EL REI. = Por Valdivia , D. Josef Martínez , D. Gregorio Corral, S. M. su ministro secretario de Estado=Firmadc= D. Juan Escovar, D. Ant…</t>
  </si>
  <si>
    <t>ustín), comandante de batallón mero 3.0 infantería de línea. de la guardia cívica de Madrid. Soto (D. Ignacio de), coronel de infantería. Moi¡e tte ( D. Bernardo ), cabo de caballería ligera Sonvignon (D. Francisco), granadero de nuestra de la guardia rea). guardia real. Mourar-d ( D. Josef) , artillero de idem. Sr. Hiíaire (…</t>
  </si>
  <si>
    <t>Bernardo, Juan</t>
  </si>
  <si>
    <t>Juan Bernardo</t>
  </si>
  <si>
    <t>satremañes (marques de), gobernador del Fuerpiegne, Soisons y Reims , donde esperarán á S. M, Jo de Santa María, la Emperatriz María Luisa. Cogheeri (D. Juan Bernardo). S. M. la Reina de España marchó el 7 á Stras- Cretvinker (D. Miguel), deán de la Catedral de burgo, y continuará so vuge hasta firauoau con Granada, un numero…</t>
  </si>
  <si>
    <t>Bernardo, Vicenta</t>
  </si>
  <si>
    <t>Vicenta Bernardo</t>
  </si>
  <si>
    <t>que los habitantes de esta clase han recibido á las Por el clero: D. Vicenta Bernardo efe Qnirós, tropas francesas como i amigos que iban á resti­ abad de la colegiata , y D. Fernando Fonseca, ca­ tuirles *t sosiego y la seguridad. A mería y Uxíjar nónigo de la misma. han enviado ya di</t>
  </si>
  <si>
    <t>Bernís, Antonio</t>
  </si>
  <si>
    <t>Antonio Bernís</t>
  </si>
  <si>
    <t>&lt;rques de Albeuto*. partamento de los dos Nethes, que se había fixido .... Marques de Tablantes. en circo por el art. iv del acta de las constitucio­ D. Antonio Bernís. nes susodichas , queda reducido á qoarrn. D. Eduardo Valvidares. art. iv. El departamento de las bocas del Es­ D. Josef del Valle. calda pertenecerá al tribun…</t>
  </si>
  <si>
    <t>Bernstoif</t>
  </si>
  <si>
    <t>19</t>
  </si>
  <si>
    <t>e de la isla de Sta. Maura. Su coman­ dante el general Camus y otros 22 oficiales han sido transporta­ dos k Brindis en virtud de la capitulación. El conde Bernstoif, primer ministro que ha sido muchos</t>
  </si>
  <si>
    <t>Bernstorf</t>
  </si>
  <si>
    <t>nsables á los padres y tutores de la conducta de sus hijos y ptipilos ; y previene que la guar­ nición opondiá la fuerza á la fuerza. La dina ion del conde Bernstorf ha ocasionado mucho des­ contento en Dinamarca.— Hamburgo se halla lleno de mer­ cancías extrangeras * y parecí qué ía intención de Napoleón es aislar enterament…</t>
  </si>
  <si>
    <t>Bernstorffí, Ka</t>
  </si>
  <si>
    <t>Ka Bernstorffí</t>
  </si>
  <si>
    <t>Gaceta de Madrid n.º 153</t>
  </si>
  <si>
    <t>o admitir en Varsovia. El general D.br&lt;&gt;wski el del segundo la renuncia que han hecho de sus destinos ei conde círculo, y tendrá ei suyo en Posen. Eí general Ka-¡ Bernstorffí ministro privado de Estado, por falta de miskiecki el del tercero, y su quarrcj gen.-ral eu salud , y su hermano el director dei departamento Lublin. El…</t>
  </si>
  <si>
    <t>BernstoríF</t>
  </si>
  <si>
    <t>só el 2 de mayo. Estas tropas son mui lu­ pañará en este viage. El señor Rotencrantz»sucesor cidas ; la mayor parte de los oficiales son jóvenes» del conde BernstoríF» ha sido por qoatro veces en­ perfectamente educados» y los soldados son robus­ viado extraordinario de Dinamarca en Peteriburgo. tos» aunque no dexan ya de ten…</t>
  </si>
  <si>
    <t>Bernteróde</t>
  </si>
  <si>
    <t>pas. Apéna&gt; había salido ticia; el; conde Bulow , ministro de Hacienda ; el la últim'i división del numeroso cuerpo -de-S. E. el general Albignac; el conde Bernteróde , comandan­ duque de Abrantes , quahdo llegaron 5© hombres te provisional de la guardia; Marinville, secretario que componen la primera división dé la gíiSrdi 1…</t>
  </si>
  <si>
    <t>Bernuces, Mariano</t>
  </si>
  <si>
    <t>Mariano Bernuces</t>
  </si>
  <si>
    <t>ta de Sarathaga......... 8032 8f D. Blas Martínez.................................... 6644 19 D. Dionisio López................................. 2166 D. Mariano Bernuces............................. 899 17 D. Diego Basañez.......................... ....... 14079 Doña Felipa de Aiderman, condesa Doña María Barbachano..........…</t>
  </si>
  <si>
    <t>Beronyil</t>
  </si>
  <si>
    <t>Gaceta de Madrid n.º 294</t>
  </si>
  <si>
    <t>PDF p. 1</t>
  </si>
  <si>
    <t>isión barón de Pcrnesí. El general de La Grange, los ge fes Je batallón BOHEMIA. Prevost-Bernoir y de Castres, el teniente coro­ nel de la Forcé y el capitán Beronyil'.e han sido Praga 14 de setiembre. nombrados caballeros de la misma árdea. El 8 de octubre deben juntarse en esta ciudad los estados del reino para celebrar una…</t>
  </si>
  <si>
    <t>Berrera, Ramón</t>
  </si>
  <si>
    <t>Ramón Berrera</t>
  </si>
  <si>
    <t>de Maravillas. casa en París, y que vendrán á ver las funciones que han de celebrarse aqui en el presente mes. Capitán , D. Carlos Reboul. Teniente , D. Ramón Berrera. ESPAÑA. v Snbtenienre , D. Francisco Farsante. Madrid a a de mayo. Batallón del quartel del Barquillo, S. M. ha expedido los decretos siguientes: Capitán, D. J…</t>
  </si>
  <si>
    <t>Berreta, Rameo</t>
  </si>
  <si>
    <t>Rameo Berreta</t>
  </si>
  <si>
    <t>Tomas Molina. i. '............................................................... D. Francisco Barsauti............. D. Gabriel Manger. a *.......... D. Rameo Berreta.......................................................................... D. Josef Paspan Bracho. ..............................................................…</t>
  </si>
  <si>
    <t>Berrio, Francisco</t>
  </si>
  <si>
    <t>Francisco Berrio</t>
  </si>
  <si>
    <t>Costello, hermanos, iooo. D. Manuel Ortiz de Muga y su muger 60. D. Pasqual Moreno de Mora, 600. D. Miguel Riva, 500.. D. Miguel Maten é hijos, 400. D. Francisco Berrio, 500. D. Manuel Ros, 1000. D. Tomas Isturiz, 4000. D. Ildefonso Ruiz del Rio, 4000. Duque del Infantado, 4000. D. Blas del Hierro, 500. Don Manuel Saez A y li…</t>
  </si>
  <si>
    <t>Berrío, Salvador</t>
  </si>
  <si>
    <t>Salvador Berrío</t>
  </si>
  <si>
    <t>.embarcasen á.su bordo los batallones , tercero de caza­ dores de Orihaela y. según lo de linea de Vaien ia, al mando del sargento mayor de aquello; D Salvador Berrío, para ame­ nazar al enemigo por su espalda. Verificaron su embarco con el mayor orden y presteza nuestras tropas durante la noche del 16 al 17; y entre tanto el…</t>
  </si>
  <si>
    <t>Berrocoso, Pedro</t>
  </si>
  <si>
    <t>Pedro Berrocoso</t>
  </si>
  <si>
    <t>rcíir¡o «per^r ¿ í¡ü€ c! tiempo hi« • Laiglesia , pre-idente; Drjoaquin Gdero, D. Juan cíese lo que no se atrevió á emprender con las ar­ de Astorga, D. Pedro Berrocoso, D. Juan Mayo- mas en la mano. ricos manjares; á un avaro el descubrimiento de algún ahora, decía: ;cómo es posible que Fulano sueñe si hdtesoro, ó el hallazg…</t>
  </si>
  <si>
    <t>Bersntoríf</t>
  </si>
  <si>
    <t>553</t>
  </si>
  <si>
    <t>to de gran mérito, y mui á propósito para desem­ que en los ducados de Schleswig y Holsteiu. peñarle en las circunstancias críticas eo que se en­ El conde Bersntoríf, qne fue nuestro ministro cuentra actualmente el imperio. de Negocios extrangeros, ha salido de esta ciudad En estos últimos dias ha habido algnna agita­ para el…</t>
  </si>
  <si>
    <t>Bertendona, Pedro María</t>
  </si>
  <si>
    <t>Pedro María Bertendona</t>
  </si>
  <si>
    <t>de Hacienda quedan encargados , cada uno en la director del real colegio de náutica de S. Telmo; parte que le toca, de la execucion del presente de­ D. Pedro María Bertendona; D. Lope de Ollcqui, creto. ssFirmados:YO EL REI. =Por S. M. tu alférez mayor de este ayuntamiento; D- Manuel de ministra secretario de Estado Mariano L…</t>
  </si>
  <si>
    <t>Bertevin, Juan</t>
  </si>
  <si>
    <t>Juan Bertevin</t>
  </si>
  <si>
    <t>............................. 5319 D. Manuel López Cerrcdo................... . 36641. .17 D. Abdres de Saucal.......... .................. 6988.. 17 D. Juan Bertevin...................... ...... ...... 15613.. 8J D. Esteban de Espina, por su apode­ El real Hospicio de Madrid, por snano rado D. Pedro Antonio Senosiain.... 233…</t>
  </si>
  <si>
    <t>Berteviu, Juan</t>
  </si>
  <si>
    <t>Juan Berteviu</t>
  </si>
  <si>
    <t>......................... 29264 D. Jo-ef Girard........................................ 1582 6 D. Rodrigo Sánchez.............................. t-'OÍ D. Juan Berteviu.................................... 2606 8} D. Juan Esteban 1 ricio........................ 160 JI 37 D. Francisco de Irusta.......................... 1083 D.a …</t>
  </si>
  <si>
    <t>Berthollet</t>
  </si>
  <si>
    <t>Gaceta de Madrid n.º 229</t>
  </si>
  <si>
    <t>ue debemos mérito de las de Bradlei y Mayer; ó de la meri­ hablar á V. M. La estática-química del señor diana de Lacailie y Cassini para el premio de conde Berthollet es una prodaccmn original en sut ciencias sujetas á cálenlo riguroso. principios fundamenta tes, y en las explicaciones y £a visra de esto, no presentando ni la…</t>
  </si>
  <si>
    <t>Gaceta de Madrid n.º 363</t>
  </si>
  <si>
    <t>1611</t>
  </si>
  <si>
    <t>nde T.aplace, autor de la me­ No merece menos elogios' la acción siguiente: cánica celeste. Mr. Dufei 1 que fue destacado A Mingorria con 3° Al señor conde Berthollet, autor de la es­ en destacaitiento de 5 o: hombres ,'atravesó por en­ tática química. tre una partida de guerrilla de 400 hombres man­ 4 ° Al señor Cnvier , aut…</t>
  </si>
  <si>
    <t>Bertolld, Jorge</t>
  </si>
  <si>
    <t>Jorge Bertolld</t>
  </si>
  <si>
    <t>. JuanMuguiro , D. Ramón Sánchez , D. José Goyti, D. Domingo Angulo , D. Andrés Martínez y D. Antonio Valderas ; y subte­ nencias , á D. José Perez , D. Jorge Bertolld , D. José Fernandez, D. Miguel Henriquez , D. Blas Marín, D. Antonio Ferrer, D. Agustín Escobar . D. Miguel Federico, D. Francisco Blanco , D. Bartc lomé Blanc…</t>
  </si>
  <si>
    <t>Berton</t>
  </si>
  <si>
    <t>te las órdenes mas eficaces a! $e~or ayudante comandante Berton pa­ ria que entregase luego, luego, luego á: disposición de V. E. el cor­ sario que se ha armado en ese puerto, y me pe. sitado que V. E. no tendrá que sufrir dilación ai gana sobre ese particular; pero la falta de es</t>
  </si>
  <si>
    <t>Bertrand</t>
  </si>
  <si>
    <t>ch y Ettlíngen los regimientos n.° y 12.0 Acaban de llegar S. E. el mariscal duque de de cazadores de á caballo, que vienen de la orilla Reggio, y el general Bertrand, edecán del Empe­ derecha del Inn, y vuelven también á Francia. rador. Esta mañana ha llegado el equipage del Estos dos regimientos pertenecían á la división de…</t>
  </si>
  <si>
    <t>Gaceta de Madrid n.º 149</t>
  </si>
  <si>
    <t>2 de mayo. gento , el orador de ia cániára y los magistrados de S. M. ha ido esta mañana, acompañado del Bow-Street, y que hubiera embarazado á todos conde Bertrand y de otros oficiales superiores, ¿ los oficiales de policía grandes y pequeños, altos examinar y reconocer las murallas de esta ciudad, y baxos, habla de embaraza…</t>
  </si>
  <si>
    <t>Berzosa, María Ignacia</t>
  </si>
  <si>
    <t>María Ignacia Berzosa</t>
  </si>
  <si>
    <t>...-.....i..vov.7fiM r1 Scéf? ¡3-2 * Ei conde de C»áadiUa..Wtt.;í:L.«í¿u*.-' 180000 • : - El márqnes de 5i»lina»*v....v..v.vv*-.-.v.v.¿;’ 17943'525,] Doña María Ignacia Berzosa.. 43100- • tf. jMif-Navanoi«m»iií..Mtniirty.V/).i&gt; 16497 ' 81 D. Josef AntonioGizardi.v.wn'l'A^U?^ ' '40+0° • D. Joaquín AI fon so Mcnyardin...v.... &lt;…</t>
  </si>
  <si>
    <t>Besa, Francisco</t>
  </si>
  <si>
    <t>Francisco Besa</t>
  </si>
  <si>
    <t>lberto Gteúudelt. Quar/o batallón. Para ayudante primero t&gt;. Bernardo de Ara, para segundo D. Gregorio Choya, y para abanderado D. Pablo Noriega. i*. D. Francisco Besa tes............. D. Julián Sane. 3*. »«•........Le....... D. Pedro P.bio Perez Arrieta. D. Gregorio García. B D. Manuel Gaviria.................. 3 a D. Josef …</t>
  </si>
  <si>
    <t>Bessarion</t>
  </si>
  <si>
    <t>Actores en la tragedia. Se­ El Papa Nicolás v fue quien fundó la bibliote­ ñoras María García y Rosario García. Señores Maiquez, ca del Vaticano. El cardenal Bessarion regaló á González y Caprara. Veneciana .suya .en prueba.,de ru amor á su patria, En el de Is Cruz, á las quatro y media de la tarde, y la excelente biblioteca …</t>
  </si>
  <si>
    <t>Bessieres</t>
  </si>
  <si>
    <t>eto.'sFínnadoSE YO EL XÍjfclLIANO LaMARQUE.” RELssPor S. M, su ministro secretario de E— Mariano Luis de Urqoljo/’ ”* París.*} de enero. , . El señor mariscal Bessieres , ¿urque de Istria» lia besado el mando del exército del Norte -para Carta remitida de Andújar 4 Madrid. venir á tomar el de la guardia imperial, y será reemp…</t>
  </si>
  <si>
    <t>no , llamado la Libertad, sil Curial» Walther, Gross y ott¡os vari también i capitán Guillelmo Spence, procedente de Cagliari Bayona. Se dice- que el mariscal Bessieres debe para Cádifc, con un cargamento de 6760 medidas establecer ¡uterina niente sn quartel general en esta de trigo, y 930 quintales de legumbres; y el se­ cip…</t>
  </si>
  <si>
    <t>Besst</t>
  </si>
  <si>
    <t>166</t>
  </si>
  <si>
    <t>Emperador mente á un paisano, y levemente á otros muchos. Napoleón. Ayer salió de aqní para Maguncia el La tropa toda estuvo sobre las armas durante conde Besst, ministro de nuestro gran duque, pa­ la noche: muchos vecinos abrían las puertas de sus ra avistarse y conferenciar sobre este panto con ei catas , y sacaban comida a…</t>
  </si>
  <si>
    <t>Beunza, Manuel</t>
  </si>
  <si>
    <t>Manuel Beunza</t>
  </si>
  <si>
    <t>yor de Ecija, vacante por ascenso de D. Francisco Manchtño á juez del tri­ Xerez de la Frontera, bunal criminal extraordinario de Xerex de la Fron­ A D. Manuel Beunza, oidor decano de Sevi­ tera, á D. Eufemiano Es tremerá. lla , presidente. r.° Juez á D. Juan Eugenio Calzadilla, oidor AVISO. del mismo tribunal. 2. a A D. Juan…</t>
  </si>
  <si>
    <t>Beust</t>
  </si>
  <si>
    <t>694</t>
  </si>
  <si>
    <t>do su poder y considera*S. E. el señor conde Jolivet hizo ayer la en­ cion, para hacerla despreciable, y para no verse trega de nuestro principado al conde Beust, comi­ jamas en la precisión á echar mano de ella en iaí sario de S. A. R. el gran duque de Francfort. épocas de turbulencias y a-borotos. Por el contra­ SS. EE. han…</t>
  </si>
  <si>
    <t>Bezares, Francisco</t>
  </si>
  <si>
    <t>Francisco Bezares</t>
  </si>
  <si>
    <t>ezuela. D. Manuel Palomera. D. Vicente Navajas. j D. J&lt;vef Fernandez Caso. D. Antonio G.rcía Vargas. D. Higinio Zazo de Lares. D. J ulian de Fuentes. D. Francisco Bezares. D Julián Saez. Tenientes. D Juan Roca. D. Tomas C.mpillo. D. Manuel López. D Ramón J ver. D Francisco S.tenz Rufz.' Batallón del quartel del Barquillo. D. …</t>
  </si>
  <si>
    <t>Bfitran, Josef</t>
  </si>
  <si>
    <t>Josef Bfitran</t>
  </si>
  <si>
    <t>D. Francisco de Cárdenas, idem de alcabala*. D. Josef María Moñiz, ídem. D. Alexo de Navas , ídem. Tesorería principal. D. Francisco Domínguez, ídem. D. Josef Bfitran . ídem. D. Pedro Díaz de Casso, tesorero principal. D. Miguel de la Oliva, meritorio sin sueldo. D. Vicente Díaz de Casso, oficial. D. Juan de la Portería, caxe…</t>
  </si>
  <si>
    <t>Biake, Joaquín</t>
  </si>
  <si>
    <t>Joaquín Biake</t>
  </si>
  <si>
    <t>lama, á los catatanes, naciéndo­ les _ saber. que ha tomado el mando interino del exército del psincipado de Cataluña, porque falto de salud el señor D. Joaquín Biake . á causa de sus incesantes desvelos y tareas en el pun­ tual desempeño de sus deberes, no puede continuar mas sin ex­ ponerse , miéntras np se restablezca. “He…</t>
  </si>
  <si>
    <t>Bielsa, Ermenegildo</t>
  </si>
  <si>
    <t>Ermenegildo Bielsa</t>
  </si>
  <si>
    <t>de infantería de Toledo, D. Benito Peili, del batallón de voluntarios catalanes , D. Bernardo Márquez, dei escuadrón de ja cruzada de Aiburquerque y D. Ermenegildo Bielsa , comandante de las 'partidas de guerrillas del reyno de Jaén; grados de capitán á los tenien­ tes D. José Salazar, del batallón de tiradores de Castilla, D…</t>
  </si>
  <si>
    <t>Biigh</t>
  </si>
  <si>
    <t>175</t>
  </si>
  <si>
    <t>ela á mí mis­ mo. Recomiendo mi muger y mis hijos a la Providencia y á las al­ mas compasivas. — De Bruly.” Hace algún tiempo que llegó k Spithead el capitán Biigh co­ mandante de la Valiente, que apresó la fragata francesa la Con­ fianza. Se asegura ser esta una de las mas ricas presas que se han hecho jamas, pues tenia á bo…</t>
  </si>
  <si>
    <t>Bílliard</t>
  </si>
  <si>
    <t>Gazeta de la Regencia de España e Indias n.º 38 (suplemento)</t>
  </si>
  <si>
    <t>342</t>
  </si>
  <si>
    <t>ir á uno sin injuri*-»' todos.” Por las cartas interceptadas en estos diferentes ataques , se viene en conocimiento de que el principal objeto que el general Bílliard se habia propuesto en esta expedición , era la destruc­ ción del cuerpo de D. Juan Martin. Este hombre extraordinario que ha inventado para las partidas sueltas…</t>
  </si>
  <si>
    <t>Binuesa, Josef</t>
  </si>
  <si>
    <t>Josef Binuesa</t>
  </si>
  <si>
    <t>cisco Cabañas. D. Juan de la Peña Melendez. D. Pedro Sedaño. D. Joaquín Sojo. D. Antonio de Uribarri. Nuestros ministros de lo Interior y de la Guer­ D. Josef Binuesa. ra quedan encargados de la execucion de este de­ D. Lázaro Figueroa. creto. = Firmado — YO EL REI. = Por S. M. su D. Vi cente Delgado Sedeño. ministro secretar…</t>
  </si>
  <si>
    <t>sco, cura de Campo Real. muerte de D. Ramón Ibañez, á D. Miguel Pale­ Para el de la Alameda de la Sagra, vacante por ro, clérigo de prima. ascenso de D. Josef Binuesa al de Carabaña, á Para el de S. Andrés de Talavera, vacante por D. Marcelino Romeral, cura de Coveja. muerte de D. Ramón Romero Caballero, á Don Para el de Pera…</t>
  </si>
  <si>
    <t>Biron, Gustavo</t>
  </si>
  <si>
    <t>Gustavo Biron</t>
  </si>
  <si>
    <t>para la Silesia la todas lasjtutoridades , y ha examinado dos piezas -caita' siguiente al príncipe de Hazifeldt, que aho­ de artillería, que S. A. el príncipe Gustavo Biron ra está domiciliado en Schoestin , en el ducado de de Curlandia le ha suplicado que aceptase. Des­ Nassau. •. pués á las seis y media ha montado en sa coc…</t>
  </si>
  <si>
    <t>Birraza, José Simón</t>
  </si>
  <si>
    <t>José Simón Birraza</t>
  </si>
  <si>
    <t>20. D. Fernando de la Cimpa y D. Francisco Noriega, 100. Doña Ignacia de León, 20. D. Teodoro Csneros, 18 D. Martin Barron, 2$. D. Cirios Rubio, 12. D. José Simón Birraza, 8 D. Atanasio Urbina, 10. D. Camilo Peynado, 10. D Juan José Salcedo , 6. D. Faustino Peynado, 6. Varios individuos 53 y 4 reales.--- Sta. Bár­ bara. El su…</t>
  </si>
  <si>
    <t>Bis</t>
  </si>
  <si>
    <t>236</t>
  </si>
  <si>
    <t>.hiriendo á varios de ellos y haciendo 3 prisioneros, con pérdida solamente de 11 lloridos por nuestra parte. 'Elo­ gia la conducta de los capitanes D. Bis tías de Guzman y D. Josi R ib eio , y el acierto de la artillería dirigida por el temente coronel D. Isidro López 4 de Arce. En la acción del l.Q de ma« yo, SO iariceros n…</t>
  </si>
  <si>
    <t>Blaá'Aranza</t>
  </si>
  <si>
    <t>Gazeta de la Regencia de España e Indias n.º 59 (suplemento)</t>
  </si>
  <si>
    <t>res meses de ia subsistencia del exército y y de los socorros que recibe de los pueblos. En virtud de un pían firmado el 16 de mayo por el excmo. Sr. D. Blaá'Aranza, corresponde al reyno de Sevilla. Fanegas de Id.de ceba- Quintales Arrobasde Id. de vi- Quintales trigo. da habas de legum- vino. nagre. de carne y maiz. brest se…</t>
  </si>
  <si>
    <t>Black, Alexandro</t>
  </si>
  <si>
    <t>Alexandro Black</t>
  </si>
  <si>
    <t>l bordo del transporte. En seguida un hermano de corsario (ranees la Ltonor, mandado por el cé ebre Mr. Delagreverie , prefecto también de la aduana, capitán Alexandro Black. Este corsario había apre­ que había pasado al barco tras de su hermano, sado el mismo día el Hope De-Mogador. El capi­ echando al agua un calabrote, log…</t>
  </si>
  <si>
    <t>Blake</t>
  </si>
  <si>
    <t>nte gene­ ral I). José Caro, nombrado diputado para las cortes extraor­ dinarias del ley no. Hay noticia de que el exército del centro mandado por el general Blake hacemovimiento hacia el reyno-de Granada, y que el quartel general se iba á poner en Lorca. Del 20. El mariscal de campo D. Juan Caro, en quien ha recaído, el. man…</t>
  </si>
  <si>
    <t>s im esta­ blecimiento que ha corrido con fluidez eon el sistema senci­ llo y frugal que caracteriza el reglamenta aprobado por S. M. oyendo antes al general Blake. Baxo tales principios yo sal­ go garante de cumplir la arrugante oferta hecha tantas ve­ ces á S. M., y que de nuevo hago al público de abastecer de oficiales dig…</t>
  </si>
  <si>
    <t>740</t>
  </si>
  <si>
    <t>on los 20 dragones que lo escoltaban por los pa­ triotas. Igual suerte dicen que ha tenido junto á Burgos otro que venia. Han echado la voz de que el general Blake , derrotado por Sebastiani, ha sido abandonado por sus tropas, y se ha visto precisado á embarcarse en Alicante ; y añaden que Massena ha batido completamente á lo…</t>
  </si>
  <si>
    <t>y no de Murcia este mes de agosto, no le ha proporcionado mayores satisfacciones que la primera que verificó en abril próximo pasado. El exército del general Blake había ocupado la línea desde el puerto de la Cadena por Alcantarilla hasta la Añora, y cubría la ciudad y huerta de Murcia. Todo el paisanage del reyno desde la ed…</t>
  </si>
  <si>
    <t>quienes les cuentan las ac­ ciones que ha habido en Cataluña con el general O-Donell, en Extre­ madura con el marques de la Romana, en Murcia ccn el general Blake, y en Portugal ccn un ingles llamado VVeiiington. Estoy cierto que quando vm. lea esto, no querrá creerlo, y que di­ rá que es imposible , porque habiéndose quitado…</t>
  </si>
  <si>
    <t>82</t>
  </si>
  <si>
    <t>§82 del movimiento hecho por el general Blake hacia Jaén. Badajoz 24 de noviembre. Las cartas de Portugal hablan de las grandes pérdidas que experimentan los franceses, y al­ gunas aseguran que han entrado ya en Lisboa 5000 prisione­ ros. Pero co</t>
  </si>
  <si>
    <t>997</t>
  </si>
  <si>
    <t>te perdida y desal­ mada. Con siguientemente á esto en la relación, comunicada por Soult á Aranza y publicada por este, de la acción de Ba­ za con el general Blake, se dice que las tropas imperiales ba­ tieron las quad villas que venían de Murcia. — Sin espbargo, en la gazeta del 16 había dicho el mismo Soult que los soldados…</t>
  </si>
  <si>
    <t>Blan, Josef María</t>
  </si>
  <si>
    <t>Josef María Blan</t>
  </si>
  <si>
    <t>L REI.es Por S. M. su mi­ rdios-racioneros de ella; á D. Manuel María Ro­ nistro secretario de Estado Mariano Luis de Urdríguez , capellán mayor, y á D. Josef María Blan­ „ quijo.” co, capellán de ia capilla real de S. Fernando; á D. Josef Gaseo, prior, y D. Leonardo Santander, Real alcázar de Sevilla á 21 de abril de 1810. m…</t>
  </si>
  <si>
    <t>Blan, Rafael</t>
  </si>
  <si>
    <t>Rafael Blan</t>
  </si>
  <si>
    <t>as retiradas, que es talar el’pais qne se dexa. examinador sinodal. Nos hemos traído todos los animales. El trigo, el Para la de la villa de Freila á D. Rafael Blan­ heno, la paja, y todo lo demas que no se ha. po­ co, de la referida órden. dido acarrear, ha sido quemado. En fin, para inco­ Para la de la villa de Orce á D. Ig…</t>
  </si>
  <si>
    <t>Blanca</t>
  </si>
  <si>
    <t>uiere romper los vínculo» sagrados que le unen á Do­ prendas justifica la pasión riel Infante. ña Inés. Kl padre, que po considera mas que el Ínteres Doña Blanca es una nauger sin carácter: pero el au­ del estado, y que ve que la nación pide el enlace con la tor le ha dado cierta nobleza, haciéndola desaprobar la casa de Nava…</t>
  </si>
  <si>
    <t>Blanca, Mariano</t>
  </si>
  <si>
    <t>Mariano Blanca</t>
  </si>
  <si>
    <t>... 9494-rt D. Esteban de Agreda.....*..................... 2377—’*4‘ ‘ Dv Benito de la Mala Linares........ D. Manuel de Agreda....... ....... •. 9' D. Mariano Blanca,*.......................... -. • S857-.*9 D. Tomas Qasanova.,............................... 71,37.. 1 • D. Juan Gabriel J&amp;tfibcFHda—■ . 2833-27 D., Juan-Ditgo…</t>
  </si>
  <si>
    <t>Blancar</t>
  </si>
  <si>
    <t>ronel del i.° regimiento tillería necesaria para armar las baterías de la cos­ de carabineros. ta. Los tnimigos no se han atrevido á atacarlo; le­ Ei barón Blancar, coronel del 2.0 id. jos de esto, se han retirado después de haberlo re­ conocido por medio de varios buques ligeros. ESPAÑA. Ñápales J¡ de junio. El regimie to de…</t>
  </si>
  <si>
    <t>Blance, Carlos</t>
  </si>
  <si>
    <t>Carlos Blance</t>
  </si>
  <si>
    <t>Gazeta de la Regencia de España e Indias n.º 38</t>
  </si>
  <si>
    <t>338</t>
  </si>
  <si>
    <t>dro de la Ro­ cha, D. Fernando de la Rocha, D. Juan Rivera y D. Juan Ai* tonio Correa empleos de alférez á los porta estandartes D. Vi­ cente Vargas, D. Carlos Blance, D. Manuel Monti y D. Ma­ nuel Arjona; y estas resultas b los cadetes D. Enrique Lo^-esr, D. Joaquín Bustamente, D. Ramón de Moya y D. T&lt;iesf. ro Sotolongo, est…</t>
  </si>
  <si>
    <t>Blanco, Diego Martin</t>
  </si>
  <si>
    <t>Diego Martin Blanco</t>
  </si>
  <si>
    <t>lps intendentes respectivos , nos cons¿‘í Rosendo Garmona, cura de ia parroquia de sultaiáa pata la provisión desdichas saermías á los S. Martin ; á D. Diego Martin Blanco, cura de la ex-¡rtgulares , que siendo idóneos, según los infor­ de&gt;&gt;.. Nicolás, y. A, l5. Juan Fernandez Soler, ra¿ mes «Je los ordinarios eclesiásticos ,…</t>
  </si>
  <si>
    <t>Blanco, Domingo</t>
  </si>
  <si>
    <t>Domingo Blanco</t>
  </si>
  <si>
    <t>viruela á los individuos en quienes S. M. se ha servido nombrar caballeros de la se de'euvpeive el pus de un modo reguh.r. Las Orden Real de España á D. Domingo Blanco de experiencias -que ha hecho la comisión central de Salcedo, intendente de Burgos: á D. Francisco Jus­ la sociedad de Ja vacuna, y las de ¡os corresponsa­ to …</t>
  </si>
  <si>
    <t>Blanco, Francisco</t>
  </si>
  <si>
    <t>Francisco Blanco</t>
  </si>
  <si>
    <t>José Perez , D. Jorge Bertolld , D. José Fernandez, D. Miguel Henriquez , D. Blas Marín, D. Antonio Ferrer, D. Agustín Escobar . D. Miguel Federico, D. Francisco Blanco , D. Bartc lomé Blanco D. Joaquin Gómez, D. José Flaquer, D. Lean­ dro Rubira , D. José Velasco, D. Joaquín Velasco, D. Caytt no Vico, D. Manuel Aranda , D. A…</t>
  </si>
  <si>
    <t>Blanco, Gregorio</t>
  </si>
  <si>
    <t>Gregorio Blanco</t>
  </si>
  <si>
    <t>ran­ cisco Espinosa, 10. Sargentos, cabos y soldados, 404.— Primera Vio­ lante. Capitán D. Pedro Larramendi, 92. Teniente D. Lúeas Valenzuela, 5. Id. D. Gregorio Blanco, 10. Alférez D. Fermín Tarbe, 25. Id. D. Gorgonio Olivas, 3. Capellán D. Rafael Nevares, 3. D. José Ronqui­ llo, 15. Sargentos, cabos y soldados , 197.— Segun…</t>
  </si>
  <si>
    <t>Blanco, José María</t>
  </si>
  <si>
    <t>José María Blanco</t>
  </si>
  <si>
    <t>l LuL González, D. Joaquín de Reyna y D. Francisco de Saits Rodríguez, medios racionero* de ella ; k D. Manuel María Rodríguez , capellán mayor, y-.i D. José María Blanco , capellán de ía capilla real de S. Fernan­ do ; y á D. José Gaseo, prior, y D. Leonardo Santander, ma­ gistral de la colegiata del Salvador de esta ciudad.…</t>
  </si>
  <si>
    <t>. Juan Pablo Ayala, D. José Cortés; D. Hilario Mora, D. Isidro Mendez, D. Francisco Rivas; D. Rafael González, D. Valentín Rivas, D. José Félix Sosa; D. José María Blanco, D. Dionisio Palacios, D. Juan Ger­ mán Rossio, D[ Juan Ascanío, D. Pablo González , D. Fran­ cisco Xavier Ustariz, D. Silvestre Tovar, D. Nicolás A usóla,'…</t>
  </si>
  <si>
    <t>Blanco, Ventura</t>
  </si>
  <si>
    <t>Ventura Blanco</t>
  </si>
  <si>
    <t>io Carlos Martel, o la Francia libertada de los Astruc: en el 4..“ de cazadores á caballo teniente sarracenos, por el señor de San-Marcel; Orestes, á D. Ventura Blanco , que lo fue de dragones de por el señor Dumesnil j y la batalla de Hastbzgs, Sagunto, y subtenientes á D. Rodrigo Farfan , ca­ ó la Inglaterra conquistada , p…</t>
  </si>
  <si>
    <t>Blanco, Vicenta</t>
  </si>
  <si>
    <t>Vicenta Blanco</t>
  </si>
  <si>
    <t>el propio cuerpo ; esta resulta i D. José de Elorduy, capitán dei de cabañería del Príncipe ; com­ pañía ai ayudante D. Pedro Viilare»! ; ayudantía á D. Vicenta Blanco, y esta resulta al capitán graduado D. José María d# Aguilar; en el 2.a de Lusitania ayudantía i D. Miguel Domín­ guez, teniente del de caballería de Borbon , …</t>
  </si>
  <si>
    <t>Blanei</t>
  </si>
  <si>
    <t>Gaceta de Madrid n.º 359</t>
  </si>
  <si>
    <t>1593</t>
  </si>
  <si>
    <t>sea de Jó in­ ner qoe’décirá vnd. que se ha desgraciado la erterior sea de lo exterior; puede suspender ‘interi­ pe'didioo secreta mandada por el lo.-d Blanei, en la ‘v namente todas las providencias que le parezcan qual iba el regimiento 8q u, que desembarcó cerca perjudiciales al estado Hasta la nueva decisión del del casti…</t>
  </si>
  <si>
    <t>Blas, Manuel</t>
  </si>
  <si>
    <t>Manuel Blas</t>
  </si>
  <si>
    <t>ratica.................................................. 11 242 deros de Blas Solano, y por mediodia con Una tierra de 8 celem. y un pie de olivo, en D. Manuel Blas............................ .................. ¿3..17 dicho olivar...................................................... 2 Otra de 6 fan., á la Hoya rasa, donde s…</t>
  </si>
  <si>
    <t>Blasér, Baltasar</t>
  </si>
  <si>
    <t>Baltasar Blasér</t>
  </si>
  <si>
    <t>1020</t>
  </si>
  <si>
    <t>1020 duado del regimiento de Kavser D. Baltasar Blasér, Asegura Osario que sus fuegos firmes y sostenidos causa­ ron mucho daño al enemigo, quien con todo de tener tuerzas superiores, temió adelantarse por su flanco derecho, conte­ niéndole ést</t>
  </si>
  <si>
    <t>Blondean</t>
  </si>
  <si>
    <t>esnudez del soldado. Acordémonos de que si el REI y el Córdoba *8 de abril. exército francés retardaran su entrada en Sevi­ Extracto de una carta del general Blondean* lla hubieran ido al campo de bata la , como estaba gobernador de Andújar, al Exento. Sr. gobernador mandado, todos los vecinos que pudiesen llevar ar­ general.…</t>
  </si>
  <si>
    <t>Bluchcr</t>
  </si>
  <si>
    <t>GAZETA DE MADRID DEL MARTES 17 DE ABRIL DE i8i«. TURQUIA, capital desde Strclitx, y también el general Bluchcr , que viene desde Stargardt. Constantinojpla j de febrera. El exército ruso va haciendo cada día nuevo* AUSTRIA. progresos en Turquía. La fortaleza de Ibrallow ha caldo ya eu su poder, y la</t>
  </si>
  <si>
    <t>Blucher</t>
  </si>
  <si>
    <t>Gaceta de Madrid n.º 37</t>
  </si>
  <si>
    <t>gua francesa 28.1 ¿69, lengua italiana 4.079©, len­ Corren voces de que ha habido un desaño entre gua alemana 2.705®, lengua flamenca 2 277©, len­ el general Blucher y nuestro ministro de lo Inte­ gua' bretona 9670, lengua vascongada ic89. rior conde de Dohna. IMPERIO FRANCES. El periódico intitulado Diario de los párrocos&gt; d…</t>
  </si>
  <si>
    <t>oche para Pcters— permanece todavía en este pueblo; y aunque no burgo. está enteramente restablecida de su indisposición, Se halla en esta capital el general Blucher , que sigue algo mejorada. ha venido á desafiar al ministro coode Dohna, et qual en una carta que le dirigió de oficio, le dió AUSTRIA. un tratamiento inferior á…</t>
  </si>
  <si>
    <t>Bmgcd, Domingo</t>
  </si>
  <si>
    <t>Domingo Bmgcd</t>
  </si>
  <si>
    <t>os de infantería ; y sobre todo no podrán sorprehendev la ventud de dichas provincias para formar los cuerpos nuevosB Don Juan López* Quevedo habla á D. Domingo Bmgcd de res­ tablecer, en Granada la fábrica de armas prontamente, para ar­ mar en España, y mejor en el Báltico , á los españoles, á quie­ nes la nueva, y grandiosa…</t>
  </si>
  <si>
    <t>Bnggiero, Antonio</t>
  </si>
  <si>
    <t>Antonio Bnggiero</t>
  </si>
  <si>
    <t>denal Spina, nuestro arzobispo , acompaña­ del regimiento de Sevilla, 3.® de infmtería de lí­ do del cardenal Cazelli. SS. EE., después de ha­ nea, á D. Antonio Bnggiero; subteniente en el reberse detenido aqui dos dias, salieron ayer pa­ ¡miento de J jen , 8.° de infantería de línea , á Don ra Savona. f osef María de la Parr…</t>
  </si>
  <si>
    <t>Bnrger</t>
  </si>
  <si>
    <t>erecha: ocupó al principio fusilería y de metralla que hicieron ios españoles. algunas toesas de nuestra paralela; pero bien pron­ Al mismo tiempo e! general Bnrger con quatro com­ to se ie arrojó de allí, y se le obiigó á remarse. pañías e.'cngidas del 114 dos del 121.0, otras En la noche del 7 las trincheras quedaron otra d…</t>
  </si>
  <si>
    <t>Bó, Alexandro</t>
  </si>
  <si>
    <t>Alexandro Bó</t>
  </si>
  <si>
    <t>ques de Guardia «adores á caballo los oficiales siguientes: capitán Real , su gefe, en uniforme y brillantemente ves­ D. Agustín St. Priest, teniente D. Alexandro Bó­ tida. El REI manifestó su satisfacción á este celoso veda. comandante y á los oficiales subalternos por lo lu­ 4.RT. ni. Nuestro ministro de Guerra queda cido d…</t>
  </si>
  <si>
    <t>Boan, Antonio</t>
  </si>
  <si>
    <t>Antonio Boan</t>
  </si>
  <si>
    <t>D. Cándido Palacios. a.*. D. Félix lzaguirre.................. D. Gerónimo Sobrado. D. Mannel Gonzalo del Rio. D. Gabriel Sobrado. D. Josef Zerralde. D. Antonio Boan. 6.*.......... D. Pedro Real D. Eugenio Fourdioier. D. Josef Trasvina.................... D. Josef Batalon. S.\.. D. J uan de Ribera y Céspedes. D. Jorge Escuder…</t>
  </si>
  <si>
    <t>Boan, Ildefonso</t>
  </si>
  <si>
    <t>Ildefonso Boan</t>
  </si>
  <si>
    <t>-haberlo hecho, les para­ rá el perjuicio que haya lugar. la segunda compañía. t. D. Ceferino Casas, subteniente,» á teniente, dR la quarta compañía. D. Ildefonso Boan , sargento primero» á aban­ ‘ . trataos. : . derado. . En el del Príncipe» 4 las quatro de la tarde, se re­ . • Tercer batallón, r - presentará pqr. la compañí…</t>
  </si>
  <si>
    <t>Bobadilla, Ramiro</t>
  </si>
  <si>
    <t>Ramiro Bobadilla</t>
  </si>
  <si>
    <t>ervará h.-sta i ° de enero de i8ti , desde cuyo el regimiento 4.0 de cazadores á caballo capitán á dia se quitará, y será líbre la comunicación de la D. Ramiro Bobadilla ; subteniente'! D. Josef Gon-v Holanda con el imperio. zalez ,&lt; y cirujano á D. Antonio Ronda. En el re­ art. X. Los géneros coloniales que se encuen­ gimien…</t>
  </si>
  <si>
    <t>Bobo, Alonso Perez</t>
  </si>
  <si>
    <t>Alonso Perez Bobo</t>
  </si>
  <si>
    <t>649</t>
  </si>
  <si>
    <t>vecino de Pontevedra, á quien se nombró tesorero de la suscripción, sustituyéndose su comisión para mayor comodidad de los suscripto-res en Orense en D. Alonso Perez Bobo, en la Coruña en D. Francisco Guerra y en San tiago en D. José Roig. Como la fortificación y población son partes inseparables de este establecimiento, y el…</t>
  </si>
  <si>
    <t>Boda, Segundo</t>
  </si>
  <si>
    <t>Segundo Boda</t>
  </si>
  <si>
    <t>................................. 10260 D. Fulgencio de la Riva Agüero........ 37963 3 D. josef Lidon........................................ 6364 32 D. Segundo Boda................................... 4937 21 D. josef Travieso................................... 31665 D- Francisco Gu o Carrasco............... 5414 21 D. JosefT…</t>
  </si>
  <si>
    <t>Bohor, Mauricio</t>
  </si>
  <si>
    <t>Mauricio Bohor</t>
  </si>
  <si>
    <t>bla; el Sr. D. Cris­ Josrf Navoi.eüX i, Rei de España y de In­ tóbal Fernandez de Córdoba, conde de Luque , de dias. capitán de la primera , y el Sr. D. Mauricio Bohor- El dia 18 á Jas seis de la ta'de habrá una salva ques, duqué de Gor, de espitan de la segunda. de artillería para anunciar ios días de nuestro au­ Este cuerpo…</t>
  </si>
  <si>
    <t>Boi</t>
  </si>
  <si>
    <t>na suerte de escapar del poder de los tuó sobre el rio Nalon , no lejos de aquella ciudad; bandidos, que pretenden que ios acaudille hasta el pero el general Boi et, obrando con ú destreza y momento en que la presencia de algún cuerpo de talento militar que acostumbra , dio sus órdenes el tropas francesas los obligue á una ve…</t>
  </si>
  <si>
    <t>Boice</t>
  </si>
  <si>
    <t>Gaceta de Madrid n.º 279</t>
  </si>
  <si>
    <t>1243</t>
  </si>
  <si>
    <t>á ver. al hijo mui Vixen al óficial ingles, y antes que este supiese la amado de nuestro augusto Soberano. S. A. I., respuesta de Trippe, nos tiró el capitán Boice.ua acompañado de las expresiones mas vivas de la pú­ cañonazo, cuya bala pasó por encima de nuestro blica alegría, pasó á los salones, donde se dignó puente, y cor…</t>
  </si>
  <si>
    <t>Bolide, Saturnino</t>
  </si>
  <si>
    <t>Saturnino Bolide</t>
  </si>
  <si>
    <t>nto i.úm. 27.0 de cazadores de á Sr. D. Salvador Rodríguez Palocaballo. meqae................. 13808 7I „En Andalucía reina la mayor seguridad , y la D. Saturnino Bolide.......................... 3 539 8f confianza es grande y recíproca entre los habitan» D. Benito Sánchez Navarro............. 1353 a5 f tes y las tropas.” Doñ…</t>
  </si>
  <si>
    <t>Bom</t>
  </si>
  <si>
    <t>Gaceta de Madrid n.º 118</t>
  </si>
  <si>
    <t>bernador, general tía. escrito, al sioneros ; también se les cogieron de nueve á diez «loso magistrado que dirigió esta expedición, dán« caballos. El comandante Bom tomó lengua en Fuen- dolé tas merecidas gracias; y ha mandado que se teovejuua , y sopo que la fuerza principal de los vendan los caballos aprehendidos, repartién…</t>
  </si>
  <si>
    <t>Bonafbn, Francisco</t>
  </si>
  <si>
    <t>Francisco Bonafbn</t>
  </si>
  <si>
    <t>1428</t>
  </si>
  <si>
    <t>e glorioso concurso, y la lentitud con que pro­ al castellano, sobre la traducción del Dr. Corai, por cede es una prueba de lo convencido que está de D. Francisco Bonafbn, profesor de medicina en esta la importancia de esta decisión, y del deseo sin­ capital. Un tomo en 8.a en ia imprenta de la calle de cero que tiene de acer…</t>
  </si>
  <si>
    <t>Bonaparte, Napoleón</t>
  </si>
  <si>
    <t>Napoleón Bonaparte</t>
  </si>
  <si>
    <t>Gazeta de la Regencia de España e Indias n.º 26 (extraordinaria)</t>
  </si>
  <si>
    <t>ho señor en manera alguna prestar su voz, voto ó consentimiento á tran­ sacción , tratado, treguas ó paz con la nación francesa, ni el que se dice su emperador Napoleón Bonaparte, que directa ni indirectamente ceda 6 pueda ceder en su perjuicio 6 detrimento j pues si lo contrario hiciere ( h&gt; que no es de esperar de su religi…</t>
  </si>
  <si>
    <t>Bonar, Josef</t>
  </si>
  <si>
    <t>Josef Bonar</t>
  </si>
  <si>
    <t>chet y Dandumont..... 1353..25I D. Antonio Saín2 de Rozas................... 2346..17 ESPAÑA. . D. Matías de Mor.......;......................... 992 D. Josef Bonar........................................ 722 Madrid 2 de marz*. D. Francisco de las Barreras............ 149970..25! D. Lucas de Carranza...................... 170…</t>
  </si>
  <si>
    <t>Bonet</t>
  </si>
  <si>
    <t>Gaceta de Madrid n.º 22</t>
  </si>
  <si>
    <t>ncimiento per.dia de vuestra voluntad; La ciudad de Santander y sn provincia, desean­ pero entre la confusión y los horrores de la obscu­ do dar á su general Bonet una prueba de su amor ridad se exponía la vida del ciudadano pacífica?. y de su gratitud por haberla libertado del furor ¡Qué combate para un vencedor! Mas decide …</t>
  </si>
  <si>
    <t>ander $ de febrero. Sevilla r~ de febrero. El dia 23 de enero anterior se puso en marcha El dia 12 del corriente pasó revista el REI para Asturias el general Bonet con las tropas de su nuestro Señor á la guardia cívica , que se habia mando. El 24 hizo que pasase la línea el regimien­ formado en esta ciudad , eo consecuencia d…</t>
  </si>
  <si>
    <t>ue venia de Cataluña de­ seoso de reunirse con su familia, abandonando una Santander 2 € de febrerb. causa que tanto ha comprometido su reputación El general Bonet, que ha ocupado con sn di­ militar, se ha visto precisado en su paso por aqui visión las Asturias, viéndose amenazado por una á ponerse al frente de un cuerpo deso…</t>
  </si>
  <si>
    <t>Gaceta de Madrid n.º 326</t>
  </si>
  <si>
    <t>general Bonet, volvió á Gijoo; pero los ingleses y Variedades. espacióles no se atrevieron á espejarla, y se reem­ barcaron con la mayor precipitación y confusión. - . BELLAS ARTES. La esquadrilla no pud</t>
  </si>
  <si>
    <t>Boni</t>
  </si>
  <si>
    <t>dente del cuerpo legislativo. Córdoba 19 dt abril. „Señor: El cuerpo legislativo mezcla hoi sus votos con las aclamaciones de ios pueblos. En toda El comandante Boni desbarató el dia 7 de abril qual dixo un poeta filósofo que humanos mores nesse genio? Sí; bien mirado una biblioteca no es mas que un viltnti sufficit una damus…</t>
  </si>
  <si>
    <t>o de tropas españolas, y lo ha sobre todo la caballería mandada por el teniente logrado completamente. Don Carlos España se ha D. Gerónimo Repiso. El comandante Boni asegura salvado refugiándose en las sierras con la poca gen­ en su relación da oficio que han rivalizado digna­ te que le ha quedado, á la qual se le sigue todav…</t>
  </si>
  <si>
    <t>Gaceta de Madrid n.º 122</t>
  </si>
  <si>
    <t>Jesucristo era el mas discordia civil con faaáticas insinuaciones y fragua­ favorable que podia ser para la propagación del das patrañas, encarga al comandante Boni que dé evangelio: que el comercio de tantos puehdos di­ orden á todos los ex-regulares que le parecieren versos, extrangeros en otro tiempo los unos á los sospech…</t>
  </si>
  <si>
    <t>Bonifaq, Juan Bautista</t>
  </si>
  <si>
    <t>Juan Bautista Bonifaq</t>
  </si>
  <si>
    <t>5. D Rafael Sánchez A varez, 12. V^ios individuos, 63. — Cuencamé. El subdelegado D. José María Du­ ran., 50. D. José Esparza, 100. D. José Horna, 6. D. Juan Bautista Bonifaq, 5. D. José Joaquín Lugo, 5. D. Julián Rivas, 5. Manuel Frayre, 5. D. Vicente Valdes, 10. Silverio Fabela, 10 Antonio Abad y Nungaray, 5. Varios individ…</t>
  </si>
  <si>
    <t>Bonini</t>
  </si>
  <si>
    <t>an asi á la ca­ IX Mariano Lafu.nte , y p_ra la plaza de alcalde nalla, y de que ellos son víctima. mayor, que tvsu'ta vacante por la promoción de El comandante Bonini acaba de venir de una cite último, á D. Juan Bautista Alverola. expedición, en que ha recorrido con la tropa que S. M. ha prom &gt;vido á oidores de la audiencia …</t>
  </si>
  <si>
    <t>Bonnct</t>
  </si>
  <si>
    <t>operacio­ nes del brigadier general Blunt y del capitán Fentoicke. — El general Siíveira , con fecha de 19 del pasado, me participa haber oido que el general Bonnct había evacuado las Asínrías , y que se supone haberse encaminado á Vizcaya. — Ten­ go cartas de Extremadura y de Castromarin de 27 de octu­ bre , según las quales…</t>
  </si>
  <si>
    <t>Bonnet</t>
  </si>
  <si>
    <t>Gaceta de Madrid n.º 113</t>
  </si>
  <si>
    <t>ya de vuelta cés , y no tardará en suceder lo mismo con las da en esta capital. La Emperatriz los ha despedido des-i Lérida, Tarragona y Tortora. El general Bonnet es de U rna después de ¿haberles hecho regalos de dueño de las Asturias y de Oviedo su capital. mucho valor. Al conde de Torring le ha regalado,1 Por los diarios d…</t>
  </si>
  <si>
    <t>uas-tanto ingle­ sas como francesas de 6 y media que haya en el territorio de su jurisdicción, pagando antes su justo valor. Las tropas francesas del general Bonnet abandonaron á Ovie­ do el 20 del pasado, dexándose sus heridos y enfermos. El moti­ vo fu é haber sabido que el general Ponte había mandado pasar el Nareea a 6D h…</t>
  </si>
  <si>
    <t>258</t>
  </si>
  <si>
    <t>general francés Junot ha mandado demoler las fortificaciones reducidas á una simple muralla , y después de enriar 20 hombres k Asturias á reforzar al general Bonnet, ha dexado otros 4 © 50 «n las inmediacior es de Astcrga, y retrocedido , según dicen, hacia lo in­ terior de Castilla con el resto de sus fuerzas. El g n eral po…</t>
  </si>
  <si>
    <t>to francés de Castilla rey na la deserción. A principios del corriente se presentaron 50 desertores de una vez en Celar ico de Be ira. Se dice que el general Bonnet ha evacuado la mayor par­ te de los punios que ocupaba en Asturias. Id-jjn 2). El comandante D. Juan Antonio Orobio escri­ be á esta junta con fecha de 10 del cor…</t>
  </si>
  <si>
    <t>395</t>
  </si>
  <si>
    <t>rticipó el día 4 que habiá llegado a las inmediaciones de Astorgá una división eUemiga de infantería de 4090 hombres venida de Asturias al* mando del general Bonnet. El 5 fueron atacadas en Mombuey por 700 caballos las1 avanzadas españolas , y obligadas á retirarse : los franceses saquearon al pueblo. Él dia 7 atacaron en Alc…</t>
  </si>
  <si>
    <t>Gazeta de la Regencia de España e Indias n.º 60 (suplemento)</t>
  </si>
  <si>
    <t>59O En Asturias, el general Bonnet lia derrotado á los insur­ gentes siempre que los ha encontrado. Tiene el quartel gene­ ral en Oviedo, y puede ir sin dificultad sobre Galicia; pero ha recibido orden de permanecer en sus' posiciones actuales esperando nuevas circunstancias ^14).” : ESP</t>
  </si>
  <si>
    <t>en sus tropas y las de Fuensagrada á reunirse con las del brigadier Barcena. Las éiiemi gasl qáíe se batieron con este ultimo* estaban mandada^por el general Bonnet en persona, quien al parecer'tiene orden- de .mantenerse: en Asturias hasta per­ der el ultimo soldado.: Una carta autorizada del mismo Cangas fecha del 9 refie­ …</t>
  </si>
  <si>
    <t>Bonut, Josef</t>
  </si>
  <si>
    <t>Josef Bonut</t>
  </si>
  <si>
    <t>dirigió su marcha hácia Batea , en donde entró á D. Francisco Belcstá, por...................... 4)345 continuación de haber tomado una posición de­ D. Josef Bonut 10218 ri fendida por mas de 253 hombres, por medio de un Boulade y Casad35517 avan t.............................. 13766 33 ataque bridante á bavonet i calad*, uue…</t>
  </si>
  <si>
    <t>Bor</t>
  </si>
  <si>
    <t>tibles y 63 panes. ,,Los individuos comprefcendido* en esta nó­ Det 8. mina quedan oorábraios regidores de la municipa­ Las funcione* que S. A. I. la princesa Bor- lidad de Sevilla desde este dia, en que por conse­ ghese debió dar ayer par,i obsequiar á SS. MM. se cuencia cesarán de serlo lo* que no se contienen en han suspen…</t>
  </si>
  <si>
    <t>Gaceta de Madrid n.º 247</t>
  </si>
  <si>
    <t>r, en manos del general Madrid 3 de setiembre. y., barón Borde-Soult. . El mariscal Massena, príncipe de Esling , ha En la comida que han dado hoi al general Bor- entrado en Almeida, cuya plaza ha capitulado el de-Sault ios oficiales del primer batallón y del de­ 27 de agosto anterior. La guarnición, compuestadf pósito del 5.…</t>
  </si>
  <si>
    <t>Borbio, Josef</t>
  </si>
  <si>
    <t>Josef Borbio</t>
  </si>
  <si>
    <t>Montemayor, Pedro Abad D. Manuel de la Paz López Vago, corregidor; y Lucena. D. Francisco de Paula Aguilar y D. Francisco An­ Por Montoro se presentó D. Josef Borbio, al­ tonio de Ros, Veintiquatros, por el cabildo; Don calde mayor; y por Cañete D. Miguel Fertiandez Ignacio Arzamendi, canónigo , por el clero; Don dé Molina, a…</t>
  </si>
  <si>
    <t>Bordalonga, Francisco</t>
  </si>
  <si>
    <t>Francisco Bordalonga</t>
  </si>
  <si>
    <t>Miguel de aquella puerto de Arbe. ciudad,para el curato de Sra. Miría de Dolar, va,,Ppr las relaciones que he recibido he sabido cante*por ascenso de D. Francisco Bordalonga al que las fuerzas del brick consistían en 16 picz«s de de S. Miguel de la mi-ma. cañón, 4 culebrinas deá ia y too hombres de .tri­ A D. Juan Sánchez Fer…</t>
  </si>
  <si>
    <t>Bordas, Gerardo</t>
  </si>
  <si>
    <t>Gerardo Bordas</t>
  </si>
  <si>
    <t>allos heridos. Censináala/i$a de los donamos hechos por los individuos de! apos­ tadero de 'marina de Aíontevideo. Bergantín Belen, alias S. Nicolás. D. Gerardo Bordas, capitán, primer piloto, 35. Id. segundo, D José Moreno, 50. D Benito Estevez, segundo - ciruj&amp;no habilitadoy 30. D. Angel Mille , encargado de víveres, iz. - …</t>
  </si>
  <si>
    <t>Borde-Soult</t>
  </si>
  <si>
    <t>kblos de nuestras costas, diencia á S. M. I. y R., coa repetidas aclamacio­ nes de viva el Emperador, en manos del general Madrid 3 de setiembre. y., barón Borde-Soult. . El mariscal Massena, príncipe de Esling , ha En la comida que han dado hoi al general Bor- entrado en Almeida, cuya plaza ha capitulado el de-Sault ios ofic…</t>
  </si>
  <si>
    <t>Bordeta, Luis</t>
  </si>
  <si>
    <t>Luis Bordeta</t>
  </si>
  <si>
    <t>677 D. Francisco Nicolás de la Torre. D. Francisco Saez. D. Diego del Rio. D. Francisco Acevedo. D. Luis Bordeta. D. Roque Bunio, hijo. D. Vicente Marañen. D. Agustín de la Canal. D. Domingo Villamil. D. Agustín del Mazo. D. Isidro Gutiérrez. Tenientes. D. Manuel González del Rio. D. Josef Ramón de Ag</t>
  </si>
  <si>
    <t>Borgh</t>
  </si>
  <si>
    <t>o sitio de Morte-Fonraine ¿ S. A. R. el archiduque Fernando, gran duqne de Se han publicado noticias exactas sobre lo ocur­ Wurtzburgo; á S. A. I. el príncipe Borgh ese ; al rido en las fronteras de la Croacia. El 20 de mar­ señor Metternich, ministro de Negocios excrange— zo las tropas francesas é ¡líricas principiaron á re­…</t>
  </si>
  <si>
    <t>Borghe</t>
  </si>
  <si>
    <t>S. M., el príncipe Luis Na­ *&gt;aqci presente?" poleón , Rei de Holanda , el príncipe Gerónimo S. A. I. y R. responderá: Napoleón, Rei de Westfalia, el príncipe Borghe- ,, DecLro qae recibo en matrimonio á S. M. el se, duque de Guastala, el príncipe Joaquín Na­ m Emperador y Rei Napoleón que está aquí prepoleón . Rei de Ñipóles…</t>
  </si>
  <si>
    <t>Borghese</t>
  </si>
  <si>
    <t>Gaceta de Madrid n.º 94</t>
  </si>
  <si>
    <t>repita Parit 8 de marzo. ahora envanecida de baberos visto nacer sobre su suelo, y que la historia lo transmita después á las Se dice que S. A. I. la princesa Borghese irá i generaciones futuras, presentándoos comio el mejor Strasburgo. modelo de los principes que mas la han ilastrado El corsario el Wajfram se ha apoderado de…</t>
  </si>
  <si>
    <t>427</t>
  </si>
  <si>
    <t>JE. el articulo r. ,, El palacio de la Alambra dé gran maestro, y presentado á S. M. por S. A. I. Gránada , aotigua residencia de lós Rcyes moros, el príncipe Borghese, gobernador general de los se reparará y restablecerá. departamentos.del otro lado de los Alpes, que ha art. 11. £1 palacio empezado segad las órde­ hecho las …</t>
  </si>
  <si>
    <t>Gaceta de Madrid n.º 195</t>
  </si>
  <si>
    <t>700</t>
  </si>
  <si>
    <t>. MM. la París jy de junio. Ayer se juntó el consejo de estado en Sr. Cload« S .elia de Ñapóles, el Reí y la Reina de Wcstfália, y de SS. A A. II. el príncipe Borghese, y el y-presidió la sesión S. M. el Emperador. gran duque dé Wurtzburgo, se dirigieron á los Se asegora que S.' E. el príncipe de Schwart— jardines que parecía…</t>
  </si>
  <si>
    <t>ente acta* firma. que será presentada mañana á la firma de S. M. Fecha en presencia de S. M. el Rei de Westei Emperador y Rei. falia y de S. A. I. el príncipe Borghese, los quales Fecha en presencia de S. M.- el príncipe Gero- ^ han firmado como testigos, y asimismo S. A. 1. la nlmo Napoleón, Rei de Wcstfalia, hermano del gra…</t>
  </si>
  <si>
    <t>r economía, sin faltar por eso á ¡a de­ Gros-bois. Toda la vi,la se iluminó en un instante. bida curiosidad y pulcritud. Hai exemplarcs finos i 1$ la princesa Borghese y el gran duque de Bcrg rs. en papel; y también se dan los dos retratos sueltos habian llegado la víspera. por 2 rs. duración no debe achacársele el crimen de …</t>
  </si>
  <si>
    <t>Borisíovvitsch, Alexis</t>
  </si>
  <si>
    <t>Alexis Borisíovvitsch</t>
  </si>
  <si>
    <t>o ai ministro d* señalado aun su llegada con ninguna providencia lo Interior príncipe Kurakin. ruidosa: ant.es de obrar parece que quiere asegurar ,, Príncipe Alexis Borisíovvitsch: su autoridad. „En estos últimos días ha llegado la noticia »Se habia esparcido la noticia tantas veces acre­ del cange de las ratificaciones del …</t>
  </si>
  <si>
    <t>Borja, Valentino César</t>
  </si>
  <si>
    <t>Valentino César Borja</t>
  </si>
  <si>
    <t>ta quedar casi exangüe y pre- «en foragidos, de que es lamentable cxemplo el mons•1 caria ia autoridad tic los prelados, especialmente des­ »truo del duque Valentino César Borja , homiiidi, fraude que el papa Gregorio vtr, ¡untando en Roma un «tricida, y obispo de Pamplona y de Valencia.” «sínodo de obispos y abades de Italia…</t>
  </si>
  <si>
    <t>Borras, Manuel</t>
  </si>
  <si>
    <t>Manuel Borras</t>
  </si>
  <si>
    <t>El teniente de fragata D. Pedro Hurtado de Corcuera, 160. El teniente de navio D. Domingo Allende, 50. El teniente de fragata D. José Roldan, 80. Id. D. Manuel Borras, 40. Id. D. Benito Lago, 35. El alférez de fragata I). Mateo Mozo, 25. Id. D. Lorenzo Sotomayor, 2$. Id. D. Eugenio Loño, 25^ Oficiales mayores. D. Fulgencio de…</t>
  </si>
  <si>
    <t>Borrás, Ramón</t>
  </si>
  <si>
    <t>Ramón Borrás</t>
  </si>
  <si>
    <t>840</t>
  </si>
  <si>
    <t>o; un capitán del batallón de voluntarios de Tarragona y $ soldados contusos, y otros 3 de está clase heridos, el subteniente aban­ derado de Almería D. Ramón Borrás y 16 entre sargentos, cabos y sol­ dados heridos y un hombre muerto: el distinguido de húsares reales de Granada D. J sé Nieto y un soldado heridos, 3 caballos e…</t>
  </si>
  <si>
    <t>Borrego, Miguel María</t>
  </si>
  <si>
    <t>Miguel María Borrego</t>
  </si>
  <si>
    <t>, y Napoleón no dexaria de aprove­ Compañía de granaderos. Capitán D. Manuel charse de este incidente, y de sacar de él grandes Diez Zapata, teniente D. Miguel María Borrego; ventajas. otro,, D. Jacinto Sobijana, subteniente D. Rafael Hidalgo , otro ,.D. Hilario Crespo. Núm. Extracto de unos pliegos remitidos Primera compañía…</t>
  </si>
  <si>
    <t>Boscheti, Juan María</t>
  </si>
  <si>
    <t>Juan María Boscheti</t>
  </si>
  <si>
    <t>521</t>
  </si>
  <si>
    <t>e sus haberes y eqnipages. Aunque todos los católicos de aquella congregación se pres­ tan gustosos á estas contribuciones, merecen particular elogio D. Juan María Boscheti , arquitecto de reales obras ; el cónsul americano D. Juan Gtvino y el negociarte D. Marcial Ü&amp;ilat, no solo por las surozs considerables con que han cont…</t>
  </si>
  <si>
    <t>Boss</t>
  </si>
  <si>
    <t>a esqnadra inglesa delante de príncipe se reduce solamente al señor YVartensherg, Fiesinga , que dice lo siguiente : ayudante general; á su médico el doctor Boss: ard, „Nos hallamos unas ocho midas de Fiesinga, y al director general de correos el señor Pfettco. y continuamente vamos á hacer reconocim eutos hasta tiro de cañón…</t>
  </si>
  <si>
    <t>Bossu, Santiago</t>
  </si>
  <si>
    <t>Santiago Bossu</t>
  </si>
  <si>
    <t>o por el general coman­ nieros á D Mateo Hurtado: en el regimiento de dante del cantón del Stgre y del trinca , y por el infantería Real Extrangero á D. Santiago Bossu gobernador de la plaziydel castillo. = Firmados = comandante de batallón; á D. Luis Mnller y Don Jaime G írela Conde. — Josef González. = Aproba­ Amonio Gieitz…</t>
  </si>
  <si>
    <t>Botella, Rafael</t>
  </si>
  <si>
    <t>Rafael Botella</t>
  </si>
  <si>
    <t>954</t>
  </si>
  <si>
    <t>castigos. • ' Ademas de las 3 vacas diarias con que los vecinos de Tri­ gueros contribuían para la división de Aremberg , ha manda­ do el subprefecto D. Rafael Botella que remitan otras dos del 16. del corriente en adelante. Así fomentan la agricultura nues­ tros regeneradores, llevándose los medios de labrar las tierras al m…</t>
  </si>
  <si>
    <t>Botets, Gaspar</t>
  </si>
  <si>
    <t>Gaspar Botets</t>
  </si>
  <si>
    <t>ngo Ugalde, 200. D. Juan de Heredia, 140. D. Juan Triana, 15. D. Fernando Sánchez, alterez de fragata graduado, con­ tramaestre de- construcción, 25. D. Gaspar Botets, primer cirujano , 4c. D. Lúeas Obbes, asesor, 3$ y 4 rs. D. Manuel de Cavia, $5 y 4 rs. - —</t>
  </si>
  <si>
    <t>Botizas, José</t>
  </si>
  <si>
    <t>José Botizas</t>
  </si>
  <si>
    <t>557</t>
  </si>
  <si>
    <t>voluntarios de Guadalaxara al mando del capitán D. Hipólito Angula, granaderos al de D. Casimiro Gregory Dávila, y 30 caballos recien montados al de D. José Botizas. Con estas tropas em­ bistieron junto á Trillo á los enemigos que los esperaban em­ boscados , y á pesar de la superioridad de su caballería les obligaron, despué…</t>
  </si>
  <si>
    <t>Bourke, Edmundo</t>
  </si>
  <si>
    <t>Edmundo Bourke</t>
  </si>
  <si>
    <t>Similier.-............ ■ 25629 16Í D. Francisco deVárgas.,,....'3753"20! D. Juan Malnéro;.;...-..........: ••■57061 i D. Domingo de-Vengoa jao98.'24T D. Edmundo Bourke............'..s.f;.;i¡Ui; • 97333 25Í D. Joaquín Calvo..........n.i. ..... .46217) D. Juan Andureó;..................itoib 17 L&gt;. Ramón Serrano......12097 17 D…</t>
  </si>
  <si>
    <t>Bourlet, Juan</t>
  </si>
  <si>
    <t>Juan Bourlet</t>
  </si>
  <si>
    <t>A itonin Panugua p«ra la vi­ hasta las fronteras del imperio. caría perpetua de Aldea-Calvo. ESPAÑA. A VISO. Córdoba 14 de junio. Se cita y emplaza á D. Juan Bourlet, ausente, á quien representaba D.“ Juana G;:sicne Foulon, su 11111' El capitán Dalmont, del regimiento Jí*» co­ ger, difunta, conocida pur madama Bourlet , que t…</t>
  </si>
  <si>
    <t>Bowes</t>
  </si>
  <si>
    <t>ta de guerra y 3 trans­ portes han fondeado hoy enfrente del castillo de Sabinilla, te­ niendo á bordo 800 infantes de S, M. B., baxo las órdenes del general Bowes, con el fin de proteger mis operaciones en la Serranía, sea ocupando la posición de Casares ó mantenién­ dose cruzando sobre aquella costa; y dexándolo dicho gene­…</t>
  </si>
  <si>
    <t>Bracho, Josef Paspan</t>
  </si>
  <si>
    <t>Josef Paspan Bracho</t>
  </si>
  <si>
    <t>sco Barsauti............. D. Gabriel Manger. a *.......... D. Rameo Berreta.......................................................................... D. Josef Paspan Bracho. ......................................................................................................... ................ D. Bernardo París Cueto. .....…</t>
  </si>
  <si>
    <t>Brai, Ana</t>
  </si>
  <si>
    <t>Ana Brai</t>
  </si>
  <si>
    <t>. 424T 2^4 D. Agustín RatrintiPiteir*.*13700 8| Doña'Teresa Geferiua Ramonel....... 9009: 30’ D. Manad Eligió.»»............................ '2346 17 Doña Ana Brai.. Doña Juána Aogo'M-lea lí j&gt;.. •• - - '-■7444. Di Pedro Rubio...;....... ...............64bb: ’ E D. Manuel GrfrtZaldz'D^lí^do.;.’.;;;;.. 12725- 8^- JD. Tontas de…</t>
  </si>
  <si>
    <t>Bralie</t>
  </si>
  <si>
    <t>1581</t>
  </si>
  <si>
    <t>miembros del clero : ia moral subli­ mediatamente en lengua sueca. me del evangelio, que estáis encargados de predi­ Después de haber leído el señor conde Bralie car, debe servir de guia á todos los hombres. Ella la acta de elección, y de haberla presentado el da lecciones á ios Reyes y á los pueblos ; yo ten­ mariscal al Prí…</t>
  </si>
  <si>
    <t>Branscomb, Guillermo</t>
  </si>
  <si>
    <t>Guillermo Branscomb</t>
  </si>
  <si>
    <t>ards , 500. El Sr. D^ Diego Guillermo Glass , 3000. El Sr. D. Tomas Barber, 2000: El Sr. D. Tomás Tucker, 1000. El Sr. D. Tomas Goddard, 2000. El Sr. D. Guillermo Branscomb , 2000. El Sr. D. Carlos Vaughan , 2000. Ei Sr. D. Alexaúdo Briarly , 1000. El Sr. D. Diego DufF, cónsul dé S. M. B. , 3000. El Sr. D. Gedeon Cranstoun , …</t>
  </si>
  <si>
    <t>Branscombe, Guillermo</t>
  </si>
  <si>
    <t>Guillermo Branscombe</t>
  </si>
  <si>
    <t>©. El señor D. Archibaldo Turnbull, 10. El honorable J. H. Frere, 5©. El Excmo. señor D. B. Frere, $®. El se­ ñor D. Francisco Christin, 10. El señor D. Guillermo Branscombe, 1®. El señor D. Alexandro Bryerly, i0. El Excmo. señor D. Henrique VVellesiey, 5^. El señor D. Eduardo Grellet, 500. La señora Doña Margagarita Morphy d…</t>
  </si>
  <si>
    <t>Braschi</t>
  </si>
  <si>
    <t>70</t>
  </si>
  <si>
    <t>para siempre en ouo de los salones del capitolio, donde tiene sus la suerte del nuestro. sesiones la municipalidad. Esta noticia ha sido anunciada al duque Braschi, corregidor de esta Del 20. ciudad por el coode Miollis, presidente de la con­ Ataba de llegar la mala de Lisboa con noticias sulta, que le escrihió en los térmiao…</t>
  </si>
  <si>
    <t>Brasil</t>
  </si>
  <si>
    <t>n aquí dentro de dos dias. portugués Ja Amizade, forrado en cobre, proce­ S. A. el gran duque heredero ha expedido ór­ dente de Liverpool, y que iba ;d Brasil con un denes para completar tódois los regimientos. rico cargamento de indianas, paños, muselina, ine­ L s únicas tropas badesar qpe: ea ia actualidad dias de seda y de…</t>
  </si>
  <si>
    <t>Bratica, Francisco</t>
  </si>
  <si>
    <t>Francisco Bratica</t>
  </si>
  <si>
    <t>.............................................. 10..17 231 Otro de 19 pies, en el rincón del Majuelo, Otra, de 2 fin., al pago de Santa Bárbara, linde D. Francisco Bratica...... .................... 5 XIO que antes fue viña, y linda con tierra de Una viña de 200 cepas,en la fuente del Vi­ las Olivas............................…</t>
  </si>
  <si>
    <t>Bratnti, Florencio</t>
  </si>
  <si>
    <t>Florencio Bratnti</t>
  </si>
  <si>
    <t>nte por i D. Ramón del Rio y Sainz , cura de Atanzon. ascéoso de D. Simón Cob Suelves al de CasalgorPara el de. Cerralbo, vacante por muerte de do, á D. Florencio Bratnti, clérigo de prima. D. Pedro Torres y Colomet, á D. Juan Luengo Para el de Perales de Milla , vacante por ascen­ Mayoral, cura de Techada. so de D. Alfonso G…</t>
  </si>
  <si>
    <t>Bravo, Eusebio</t>
  </si>
  <si>
    <t>Eusebio Bravo</t>
  </si>
  <si>
    <t>............ dcéi 8f D. Andrés Abrisquieta , cuno apode­ Doña Mi .ue!a de la Piaza................... nb 17 rad-'* de D. R. *nv-n de Fortuondo.. 2l66 D. Eusebio Bravo.................................... 243G 2 &gt;4 D o fu M «rit Josefa Olarrima.............. 721 % D. Josef Manuel de izagurre............. 3°10 D. Juan Trsefde Oj…</t>
  </si>
  <si>
    <t>Bravo, Gertrudis</t>
  </si>
  <si>
    <t>Gertrudis Bravo</t>
  </si>
  <si>
    <t>e, 100. D. Francisco López, 25. D. Rafael Morales, 150. D* Martin Zuviria, ico. D. Miguel Morales, 50. D. Gabriel Padilla, 20. D&gt; Ignacio Serrano, 45 Doña Gertrudis Bravo, 15 D. Rafael Elias, 25. D Ignacio Perez, 20. Varios individuos, 29 y 3 rs—Real de Alamos. ÍL' .sub­ delegado D. Tomas Pelayo, 50.'El cura D. Juan Nicolás d…</t>
  </si>
  <si>
    <t>Bravo, Juan</t>
  </si>
  <si>
    <t>Juan Bravo</t>
  </si>
  <si>
    <t>es in­ D. Josef Guardado. mediatamente que ha Uegado.&gt;e3 Dromedario á In­ D. F rancisco Cabrera. glaterra han s&gt;d&lt;&gt; remitidas al marques de Weüesiéi. D. Juan Bravo. - Escriben de Pinnouth con fecha del 3 lo si­ guiente j ; -...j:. . * Tenientes. ,. El brick armado el Orestes ha salido de aquí D. Francisco López. para Falmouth…</t>
  </si>
  <si>
    <t>Bravo, Juan de Arrieta</t>
  </si>
  <si>
    <t>Juan de Arrieta Bravo</t>
  </si>
  <si>
    <t>M rtinez Alonso para el de Santa mas terminante de mi rendimiento á vuestra per­ Murcia de B.itiucga. sona-, y del deseo de sacrificarme en sei vicio D. Juan de Arrieta Bravo para el de Bu'gui­ vuestro. llo*. „ Soi con el mas profundo respeto = Señor = D. Miguel de Secos Alvarez para el de No­ de V. M. I y R. — H| mui humilde…</t>
  </si>
  <si>
    <t>Bravo, Vicenta García</t>
  </si>
  <si>
    <t>Vicenta García Bravo</t>
  </si>
  <si>
    <t>... 19845 D. Femando Fon!.................................. 4~- e D. Mi gu-4 de Lizarjzu........................... 4-95^ D. Joaquin l: z 32136 216so Doña Vicenta García Bravo................ 18124 27 D. Fermín Ze'ayeta................................ 15220 La n-a do .-Vbert é hijos...................... 470Ó5 D. Mariano fier…</t>
  </si>
  <si>
    <t>Bravo, Vicente García</t>
  </si>
  <si>
    <t>Vicente García Bravo</t>
  </si>
  <si>
    <t>Terreros ..... 195 a L B. fPedro Fstcnpr-..?, ¡ 26400 • D. Roque de Avila...,......................... 4200 : ? Doña Mirra Carmen. Alxarez......*6400 D. Vicente García Bravo................ 2030 , I D. Estéban de Ja.Torfe...a*.....11403 28' La casa de Aguirre é hijos...................... 9+65 ;2Ji D.; Jaime H403 '281 Doña Ma…</t>
  </si>
  <si>
    <t>nebres executadas en los dias que bao estado aqui D. Plácido Ortiz de Eiejalde,-........ 1774a..25 los ^cadáveres de escos dos ilustres guerreros. La D. Vicente García Bravo...................... 1 JOO misma guardia ha tenido el honor de presentar al D. Pedro Beílocq—............................... 36177-25 corooei Dupui» com…</t>
  </si>
  <si>
    <t>Bray, Amonio</t>
  </si>
  <si>
    <t>Amonio Bray</t>
  </si>
  <si>
    <t>de Burgos á D. Francisco Gómez Barreda, y las sargentías mayores del mismo cuerpo, y de los de Tiradores de Cádiz y Veh-zMálaga á D. Antonio Delgado, D. Amonio Bray, y D. Manuel Brizuela. ■imiKgnrr i.i»... ..... Continúa la lista de los donativos hechos por los individuos del apos­ tadero de marina de Afontevideo. Deposito en…</t>
  </si>
  <si>
    <t>Brc, Manuel</t>
  </si>
  <si>
    <t>Manuel Brc</t>
  </si>
  <si>
    <t>aquín por la constitución dei estado, REI de las Espa— Cueva, D. Diego 1 opez, el conde de la Quinte­ ñas y de las Indias. ría, el conde de Guadiana, D. Manuel Brc«ca, Hemos decretado y decretamos lo siguiente': D. Antonio Rubio, D. Juau Ahumada, D. Fran­ articulo i. ,,Hemos nombrado y nombramos cisco Vargas, D. Jcsef Echavar…</t>
  </si>
  <si>
    <t>Bremond, Antonio</t>
  </si>
  <si>
    <t>Antonio Bremond</t>
  </si>
  <si>
    <t>o se verifique la re­ préstito de 20 millones y orros efectos. A este ac­ unión de sds vocales. Murcia 21 de abril de 1810. to asistieron igualmente; D. Antonio Bremond, „ Por acuerdo de la junta _ superior de esta contador de la dirección de bienes nacionales, y provincia=Agustin Fernandez Costa.” D. Joan Villa y Olier, secr…</t>
  </si>
  <si>
    <t>Brenot</t>
  </si>
  <si>
    <t>Gaceta de Madrid n.º 299</t>
  </si>
  <si>
    <t>314</t>
  </si>
  <si>
    <t>mpor­ de la estadística de las islas jónicas. tantes ventajas contra ias partidas de guerrilla. También ofrece otro prémio de 600 francos El ayudante comandante Brenot alcanzó el dia dispuesto por Mr. Teotochi, miembro de la Aca­ ij entre Las Casas y Picón á La qaadriila del lla­ demia , y presidente del senado jónico, al qué…</t>
  </si>
  <si>
    <t>BRETAÑA, CraucGRAN</t>
  </si>
  <si>
    <t>CraucGRAN BRETAÑA</t>
  </si>
  <si>
    <t>Concepción, que estaba ocnpadp por dad de consejero de la legación rusa. una parte de la tercera división de infantería. „ Durante este movimiento el capitán CraucGRAN BRETAÑA. kemburg y el portaestandarte Cordemman , al fren­ te de un corto destacamento del i.° de húsares, Londres jo de julio. tuvieron ocasión de distinguirs…</t>
  </si>
  <si>
    <t>BRETAÑA, GRAN</t>
  </si>
  <si>
    <t>GRAN BRETAÑA</t>
  </si>
  <si>
    <t>le­ y le ha echado á tundo otras dos cañoneras y dos mania. xabeques. S. M. manifiesta su satisfacción á las es­ forzadas divisiones de la marina, al comandante GRAN BRETAÑA. ) de la escolta que ha mostrado tanto denuedo co­ Liverpool jo de junio. mo talento , y á codos los oficiales de la escolta del convoi; habiendo cumplid…</t>
  </si>
  <si>
    <t>Gaceta de Madrid n.º 269</t>
  </si>
  <si>
    <t>to que firmen la representación que piensaa nes ó efectos. presentar á S. M. el Rei, suplicándole humilde y respetuosamente restablezca á S. A. R. el duque GRAN BRETAÑA. de Yorck en el destino de comandante en gefe. ,,Loc registros destinados para recibir las firmas Londres 22 de agosto.' de los oficiales para la solicitud de…</t>
  </si>
  <si>
    <t>BRETAÑA, We GRAN</t>
  </si>
  <si>
    <t>We GRAN BRETAÑA</t>
  </si>
  <si>
    <t>re el em­ Juuot y otros muchos oficiales del exército préstito. francés encargaron al parlamentario que salnd-se y cumplimentase de parte de ellos al general We— GRAN BRETAÑA. lliugtou. Lóndres 22 de octubre. Esta mañana ha llegado la mala de Lisboa con Extracto de algunos diarios americanos. noticias que alcanzan hatta el 14…</t>
  </si>
  <si>
    <t>Bretnond, Antonio</t>
  </si>
  <si>
    <t>Antonio Bretnond</t>
  </si>
  <si>
    <t>qne parece no es per­ secretrrio de la Municipalidad, y varios porteros. mitid» dudar de sa autenticidad , pero no para ti— Estando en la sala llegó D. Antonio Bretnond, xar de un modo segu r; Sa opinión púb ica en una contador de la dirección general de Bienes nacio­ materia tan delicada. Se a«egur„ que á cierta per­ nales ,…</t>
  </si>
  <si>
    <t>Bretnond, Nicolás María</t>
  </si>
  <si>
    <t>Nicolás María Bretnond</t>
  </si>
  <si>
    <t>co Xavier Berindoaga. D. Benito Angulo. D. Juan Oden y Meneses. D. Antonio San Germán. D. Juan Puente. D. Manuel Carranza. D. Jnan Verdes Montenegro. D. Nicolás María Bretnond. Subtenientes. D. Juan Francisco Pastor. D. Tomas Mari. D. Policarpo Saez de Tejada Hermoso. D. Felipe Colmenares. EL marques dei Valle de la Paloma. D…</t>
  </si>
  <si>
    <t>Bretón, Vicenta</t>
  </si>
  <si>
    <t>Vicenta Bretón</t>
  </si>
  <si>
    <t>ico. Don Pedro Mallen remitió por el correo desde Valencia ¿ Sevilla 34 vales reales de 150 pesos déla creación de setiem­ bre, renovados á nombre de Doña Vicenta Bretón con los núme­ ros siguientes: 149613 , 150389 , 149694 , 152144 , 160427, 153076, 161486 , 162088 , 162179 , 164175 , 168811 , 169138, 1S5786 , 181962 , 1903…</t>
  </si>
  <si>
    <t>Brian, Benigno</t>
  </si>
  <si>
    <t>Benigno Brian</t>
  </si>
  <si>
    <t>ternal, que han celebrado Subtenientes. con la mayor alegría y entusiasmo. D. Tomas Tordesiilas. D. Francisco Garibai. ESPAÑA. D. F ranci co Canales. D. Benigno Brian. Madrid9 de junio. D. Manuel Cardeñoso. S. M. ha expedido e! decreto siguiente: D. M .rtin Azcué. Extracto de las minutas de la secretaría de D. Andrés Cabello …</t>
  </si>
  <si>
    <t>ercta. TcDlefltts. Subtenicatsa. Compañías. espiraos». ______ —ro————■ »'■ D. Vicente Morelli D. Fermín Marquioa, D. Próspero Morrola. x *...... «a*« D. Benigno Brian..... D. Gregorio Gamboa, i........ D. M.rtin Azcué...... D. Pedro Simón Puerta. D. Antonio F.beirac. D. Camilo Gonsalex. $•"* El conde de Isla............. ....…</t>
  </si>
  <si>
    <t>Briarly, Alexaúdo</t>
  </si>
  <si>
    <t>Alexaúdo Briarly</t>
  </si>
  <si>
    <t>ber, 2000: El Sr. D. Tomás Tucker, 1000. El Sr. D. Tomas Goddard, 2000. El Sr. D. Guillermo Branscomb , 2000. El Sr. D. Carlos Vaughan , 2000. Ei Sr. D. Alexaúdo Briarly , 1000. El Sr. D. Diego DufF, cónsul dé S. M. B. , 3000. El Sr. D. Gedeon Cranstoun , 2000. El Excmo. Sr. D. Enrique Wellesley , 5000. El Sr. D. Joaquín de V…</t>
  </si>
  <si>
    <t>Brignoíe</t>
  </si>
  <si>
    <t>desorden antiguo , á que es urgente poner livet» condesa de Permn, condesa de Lascaris de bn término. Un escrito de esta naturaleza unirá Vintimilla, condesa Brignoíe, condesa Gentile, y los sentimientos de los pueblos con los de la capi­ condesa de Cauisi. tal. En él convendrá hacer algunas reflexiones , que Del 25. sirvan á…</t>
  </si>
  <si>
    <t>Brittain, Jorge</t>
  </si>
  <si>
    <t>Jorge Brittain</t>
  </si>
  <si>
    <t>de la gazeta del comercio de Cádiz por tos exemplares que han impreso y distribuido gratis. La Sra. Doña María del Rosario Gordon, 400 rs. vn. El Sr. D. Jorge Brittain, 1000. Ei Sr. marques de Pedroso , 320. La Sra. Doña' María Dolores Morphy de Izquierdo , 400. El Sr. D. Arthuro Hunt, del real cuerpo de artillería de S. M. B…</t>
  </si>
  <si>
    <t>Brizuela, Manuel</t>
  </si>
  <si>
    <t>Manuel Brizuela</t>
  </si>
  <si>
    <t>ncisco Gómez Barreda, y las sargentías mayores del mismo cuerpo, y de los de Tiradores de Cádiz y Veh-zMálaga á D. Antonio Delgado, D. Amonio Bray, y D. Manuel Brizuela. ■imiKgnrr i.i»... ..... Continúa la lista de los donativos hechos por los individuos del apos­ tadero de marina de Afontevideo. Deposito en Áfimtevideo y otr…</t>
  </si>
  <si>
    <t>Brlin</t>
  </si>
  <si>
    <t>neral y el estado mayor del segundo cuerpo del P RUSIA. exército francés á las órdenes del general de divi­ sión Tarreau , por estar ausente S. E. el mariscal Brlin jo de diciembre de 1803. duque de Rcggio. El dia is asistieron SS. MM. á los oficioJ divi­ Este cuerpo de exército, cuya fuerza es de 30 nos e 1 la iglesia de S. …</t>
  </si>
  <si>
    <t>Brodet, Casimiro</t>
  </si>
  <si>
    <t>Casimiro Brodet</t>
  </si>
  <si>
    <t>fael Sánchez Saravia, D. Mi­ guel Guajardo, D. José Arechaga, D. Antonio López, D. Juan Arango, D. José Herrera, D. Clemente Grima, D. Bautista Vila, D. Casimiro Brodet, D. Guillelmo Claramunt, D. Bernardo Cobian y D. Francisco Juárez ; y subtenencias, á D. Juaii de la Fuente , D. Mtnuel Martinez , D. Pió Moron , D. Francisco…</t>
  </si>
  <si>
    <t>Brost, Pedro M-ría</t>
  </si>
  <si>
    <t>Pedro M-ría Brost</t>
  </si>
  <si>
    <t>go Larramendi. D. Manuel Sánchez del Valle. D. Manuel Ramos Zafra. D. Manuel Celestino Carrasco. D. Francisco Zuñiga. D. Mariano Trevíño. Tenientes:, D. Pedro M-ría Brost. D. Pedro San Miguel. I&gt;. Josef Perez Azofra. Batallón del quartel de Avapies. D. Pedro Rubio, hijo. Capitanes. D. Angel Machado. D. Antonio Fuentes. El mar…</t>
  </si>
  <si>
    <t>Brousse, Juan</t>
  </si>
  <si>
    <t>Juan Brousse</t>
  </si>
  <si>
    <t>tiflebotomista, ó enemigo de la sangría. Co­ nombrado cotonel de este cuerpo al mayor del mis­ mo quiera, si su sistema llegase á prevalecer algún mo D. Juan Brousse. dia, y se reconociese el abuso contra el qual de­ clama , entonce; será necesario añadir el nombra del doctor Gai al de los perseguidos apologistas del antimoni…</t>
  </si>
  <si>
    <t>Brun, Josef Mariaoo</t>
  </si>
  <si>
    <t>Josef Mariaoo Brun</t>
  </si>
  <si>
    <t>debea olvidarse para siempre de la Cruz Mendoza y D. Francisco de Paula Ra-* por ios-males qne causaron á (a nadón. £1 tal con­ da ; y los tet.ientes D. Josef Mariaoo Brun, D. dea trato está compuesto de las qualidades y atribucio­ rónimo dei Pozo, D. Manuel Viljareal y D. Aa- nes ,de otros contratos nominados; pero su basa t…</t>
  </si>
  <si>
    <t>Bruna, Luis Meíendez</t>
  </si>
  <si>
    <t>Luis Meíendez Bruna</t>
  </si>
  <si>
    <t>Gazeta de la Regencia de España e Indias n.º 40</t>
  </si>
  <si>
    <t>357</t>
  </si>
  <si>
    <t>cretario del Rey nuestro señor, lo hice escribir por su mandado. — D. José Colon. — D. Sebas­ tian de Torres.— D., Bernardo Riega.—D. José Salcedo. — D. Luis Meíendez Bruna. — Canciller, D. Ramón María de Chaves..— Registrada, D. José Rebollo.— Es copia.de su ori­ ginal.— Esteban Varea* El Consejo de Regencia de los reynos de…</t>
  </si>
  <si>
    <t>Bruna, Luis Melendez</t>
  </si>
  <si>
    <t>Luis Melendez Bruna</t>
  </si>
  <si>
    <t>Gazeta de la Regencia de España e Indias n.º 79</t>
  </si>
  <si>
    <t>770</t>
  </si>
  <si>
    <t>cido: y en su virtud pongo la pre­ sente, que es fecha en México á 7 de mayo de 1810.—José Caiapis Mulos CORTES. El decano del consejo de las órdenes D. Luis Melendez Bruna , después de prestar ante las Cortes el dia S del cor­ riente el juramento prescrito por el decreto de CZ5 del pasa do dixo: “Señor. — El decano del conse…</t>
  </si>
  <si>
    <t>Brunswick, JosJ</t>
  </si>
  <si>
    <t>JosJ Brunswick</t>
  </si>
  <si>
    <t>dan sus granos ai pre­ sóido para Viena el arzo’ispo de Eil .u, el gr-n cio corriente, y á quien mejor les parezca, sin es­ cruz Josef de Vermeni, el conde JosJ Brunswick tar obligados, como antes, í descargarlos en las de Korompa , el presidente Andrés de Setrsei, y el alhóndisas, ni á darlos á precio fíxo. Mediante es­ Señe…</t>
  </si>
  <si>
    <t>Bruquieros, Raimundo</t>
  </si>
  <si>
    <t>Raimundo Bruquieros</t>
  </si>
  <si>
    <t>..X7 D. Basilio Ramón Fernandez............... 12040 Doña María Arquedas............................ 8215.-25 Doña Francisca García, viuda de f&gt;. Jo­ D. Raimundo Bruquieros..................... . 2808 sef Frechj............................................. 1370 D., Antonio de Siles........................... . 5505- Doña Marí…</t>
  </si>
  <si>
    <t>Bryerly, Alexandro</t>
  </si>
  <si>
    <t>Alexandro Bryerly</t>
  </si>
  <si>
    <t>. El honorable J. H. Frere, 5©. El Excmo. señor D. B. Frere, $®. El se­ ñor D. Francisco Christin, 10. El señor D. Guillermo Branscombe, 1®. El señor D. Alexandro Bryerly, i0. El Excmo. señor D. Henrique VVellesiey, 5^. El señor D. Eduardo Grellet, 500. La señora Doña Margagarita Morphy de Shavv , 500. El señor D. Juan Collin…</t>
  </si>
  <si>
    <t>Bspert</t>
  </si>
  <si>
    <t>con ellas intentó penetrar por el presentó el enemigo en las llanuras de Vich ea centro, atacando furiosamente ai 42.°, mandado tres colunas. por el coronel Bspert, que tuvo su vestido acribi­ La primera, de que hacia parte toda su caballe­ llado de balazos: este regimiento con el batallón ría , vino por Tona , y se colocó de…</t>
  </si>
  <si>
    <t>Bsrton</t>
  </si>
  <si>
    <t>ición; y aun en ese caso tal vez seria mas acertado y mas conveniente que dicho Serafín conservase el mando de todas ellas. Reitero al señor ayudante comandante Bsrton la orden de favorecer con todos sus arbitrios á V. E. en el curso de sus operaciones , y que le haga proporcionar con toda exactitud quanto sea necesario en ar…</t>
  </si>
  <si>
    <t>Btramendi, Cirio</t>
  </si>
  <si>
    <t>Cirio Btramendi</t>
  </si>
  <si>
    <t>o sublime propuesto á su imita­ ción. Así creemos que la nación leerá con cierta coir.piaceueia, por la gloria que ls resulta, el oficio que sigue de D. Cirio* Btramendi, ministre de hacienda de aquella plaza durante el sitio, escrito, can fecha- del 20 de diciembre al Sr. D. Francisco de Saavedra, y al Sr. marques de las Hor…</t>
  </si>
  <si>
    <t>Bu, Josef María</t>
  </si>
  <si>
    <t>Josef María Bu</t>
  </si>
  <si>
    <t>emo de ella; todos los balcones Segundo batallón, Comandante de bitallnn y ventanas estaban ocupados- S. M. atravesó la D. Pablo Carbonell , ayudante D. Josef María Bu» ciudad á caba’lo ea medio de repetidas aclamacio­ rel , abanderado D. Jostf Repiso, cirujano D Juan nes de sus moradores: todos los semblmies mani­ Jarzuelo. …</t>
  </si>
  <si>
    <t>Buedo, Manuel</t>
  </si>
  <si>
    <t>Manuel Buedo</t>
  </si>
  <si>
    <t>redro Joaquín Escudero, oidor de ia au­ 4.® tí. Iñigo de Casanova. diencia de Navarra , presidente. D,, Ignacio Roale^., fiscal. , , ¡ . Jueces. 1.® D. Manuel Buedo. ARTICULO, XII. 2.® D. Nicolás Rodríguez. Gitadalaxara. 3.® D. Josef González Varela. * D. Roqne Moyna y Mazarredo, oidor de la 4.0 D. Fermín Cosío.; -c audiencia…</t>
  </si>
  <si>
    <t>Buelna, José</t>
  </si>
  <si>
    <t>José Buelna</t>
  </si>
  <si>
    <t>a, 35 y 4 rs. Los de Atil, 15 y 4. Los deTeutlama, 30 y 4. Los de Caborca y Pltic, 54 y 2. Los de Sta. Cruz, 31 y 3 —Pitic. D. Manuel Rodríguez, 100; D. José Buelna, 25. D. Xavier Díaz, 25. D. Ignacio León, 25. D. Ig­ nacio Araíza, 25. D. Ignacio Serrano, 10. D. Tomas Valencia, 10. D. José López, 10. D. Agustín Pesqueyra, ió.…</t>
  </si>
  <si>
    <t>Buelves, Simón Cob</t>
  </si>
  <si>
    <t>Simón Cob Buelves</t>
  </si>
  <si>
    <t>D. Gerónimo Martin Ximenez para el d* S. M., queriendo dar a sus pueblos un nuevo Riba tejada. testimonio de *u solicitud paternal, ha abierto á su A D. Simón Cob Buelves para el de Alc^bon. ministro de lo Interior un crédito aoudl, y especid- A D. Manuel González Robles para el de P¡menie destinado para ocurrir X ¡os gastos …</t>
  </si>
  <si>
    <t>Buena</t>
  </si>
  <si>
    <t>Gaceta de Madrid n.º 343</t>
  </si>
  <si>
    <t>e de rigor y exactitud, y tiene capítulos enteros, clérigo m^nor. como el de los planos y el de la medida de los só­ Para la de Santiago de Granada a D. Buena­ lidos, llenos de defectos primordiales: sus trigono­ ventura Ramiiez, ex-franciscano, sacristán de San metrías no son mas que la. demostración de ¡o que Andrés en la m…</t>
  </si>
  <si>
    <t>Buenaven, Manuel</t>
  </si>
  <si>
    <t>Manuel Buenaven</t>
  </si>
  <si>
    <t>Gazeta de la Regencia de España e Indias n.º 92</t>
  </si>
  <si>
    <t>ó sus instrucciones á Araujo, para que manteniéndo­ se á la capa, fondease la noche del 18 en la playa donde debia esperarle. Destinó á los capitanes D. Manuel Buenaven­ tura López y D. Tomas Noriega para que con sus compañías entretuviesen al cuerpo enemigo que se hallaba en Cangas : al capitán D. Valentín Casores con la suy…</t>
  </si>
  <si>
    <t>Bueno, Josef</t>
  </si>
  <si>
    <t>Josef Bueno</t>
  </si>
  <si>
    <t>626</t>
  </si>
  <si>
    <t>la España los ingleses nos han regalado ió el alcalde de Palos D. Bernardo Domínguez y para qae se exerciten en el asesinato, el robo y el de Moguer D. Josef Bueno , han dado al prínci­ toda especie de horrores, también hai otros como pe de Araroberg, \os partes siguientes: lo son los habitantes de Moguer y de Palos, y se­ ,,…</t>
  </si>
  <si>
    <t>Buget</t>
  </si>
  <si>
    <t>Gaceta de Madrid n.º 13</t>
  </si>
  <si>
    <t>guiólos ai día siguiente el esforzado re­ 'han portado mm bien por su parte. gimiento i t,y.° Jxasta mas allá de Benabarre; y i £1 30 de noviembre el general Buget ha perse­ pesar de la noche y de una copiosa lluvia los al­ guido las bandas de Mina, Varío-Lucio y Cubi— canzó el 1+ en Lasquarre.. Los acomido á paso de Has, que…</t>
  </si>
  <si>
    <t>Bull</t>
  </si>
  <si>
    <t>837 enemtgo por espacio de 2 millas hasta el rio. .Después de^ pa­ sarlo , fui reforzado por el capitán Bull con 2 piezas de artiHería, y continué la retirada en buen orden á Leiria según mis instrucciones. Se distinguieron en esta ocasiona el teniente coronel Elley , y el capitán marques de Trondall.-—P. D. Ea&gt; vio 3 ofic</t>
  </si>
  <si>
    <t>Bullen</t>
  </si>
  <si>
    <t>is; peroun viento recio y tempestuoso- lo imposibi­ litó, obligándonos á salir á la mar después de haber .estado la fragata de S: M. B. del mando del capitán Bullen en peligro de perderse. -— f rápusé en Lianza?,a algunos partidarios deci­ didos de la Francia 2000 duros de milita , y en Caduques. una contribución de 4000 duro…</t>
  </si>
  <si>
    <t>Bulow</t>
  </si>
  <si>
    <t>in intérrepcion y con una actividad dente de los estados; Limeon, ministro de la Jus­ incréible el paso de las tropas. Apéna&gt; había salido ticia; el; conde Bulow , ministro de Hacienda ; el la últim'i división del numeroso cuerpo -de-S. E. el general Albignac; el conde Bernteróde , comandan­ duque de Abrantes , quahdo llegaro…</t>
  </si>
  <si>
    <t>Bunio, Roque</t>
  </si>
  <si>
    <t>Roque Bunio</t>
  </si>
  <si>
    <t>677 D. Francisco Nicolás de la Torre. D. Francisco Saez. D. Diego del Rio. D. Francisco Acevedo. D. Luis Bordeta. D. Roque Bunio, hijo. D. Vicente Marañen. D. Agustín de la Canal. D. Domingo Villamil. D. Agustín del Mazo. D. Isidro Gutiérrez. Tenientes. D. Manuel González del Rio. D. Josef Ramón de Aguiar. D. Domingo</t>
  </si>
  <si>
    <t>Buragueño, Ramón</t>
  </si>
  <si>
    <t>Ramón Buragueño</t>
  </si>
  <si>
    <t>. 5../ . *43 Madrid, y linda con otra de Alonso Otra á la Cantueña, linde tierras de del Pera'.................... ........................ .3* . 704 D. Ramón Buragueño.dé 5 J fanegas. 113.17. : 2497 O'.rf de 2 fanegas y 133 estadales a la \ Otra á las Pitillas, que liflda'crth cerro Atalaya , junto 4 otra de las monjas . eri…</t>
  </si>
  <si>
    <t>Burgos, Francisco Xavier</t>
  </si>
  <si>
    <t>Francisco Xavier Burgos</t>
  </si>
  <si>
    <t>actividad para armar y equipar la es qu adra. Se es- D. Francisco Xavier Burgos, de Almería. tan limpiando todos los canales para que puedan D. Santiago Agüero, de Baza. sabir por ellos los baques que necesitan repararse. En la prefectura de Jaén. IMPERIO FRANCES. D. F</t>
  </si>
  <si>
    <t>Burillo, Pedro</t>
  </si>
  <si>
    <t>Pedro Burillo</t>
  </si>
  <si>
    <t>onas, y al subteniente D. Magín Tondo: subte­ nientes de infantería de línea á D.JFrancisco L pez, Cbntta el castillo de la Fuengirola; fue una ver­ D. Pedro Burillo, D. Pedro Denovi, D. Miguel güenza qaanto sé execuió; nos volvimos ignominio­ Coronado, D. Ramón Rodríguez, D. Mariano samente, dexaodo mal puesto el honor de la…</t>
  </si>
  <si>
    <t>Burone, Jósef</t>
  </si>
  <si>
    <t>Jósef Burone</t>
  </si>
  <si>
    <t>es de Doña Francisca ballo, D. Juan María Arias de Saavedra á teniente. Muñoz, soltera, criada jubilada que fue d# Ja señora En caballería de línea. 'D. Jósef Burone á ca­ condesa de la Alcudia, para que en el preciso término de 15 dias, contados desde el citado 22 de mayo, com­ pitán. parezcan ante $. S., y por la escribanía…</t>
  </si>
  <si>
    <t>Burquiere, Alexandro</t>
  </si>
  <si>
    <t>Alexandro Burquiere</t>
  </si>
  <si>
    <t>Cruz, á las quarro de la tarde.se execuguez Solier......... ......................... 66408 12 tará la comedia titulada Dido abandonada , con bolero, D. Alexandro Burquiere....... ......... 4602 2$ y el sainete titulado los Músicos y Danzantes, en el que La testamentaría de D. Joset Joa­ habrá un baile de paloteo, con varios …</t>
  </si>
  <si>
    <t>Burruero, Juan</t>
  </si>
  <si>
    <t>Juan Burruero</t>
  </si>
  <si>
    <t>1211</t>
  </si>
  <si>
    <t>an. y 8 cel., ■■ , ■ :i á oriente con mayorazgo de Toreen.. 26 57* linde á poniente y mediodía'con tier­ Una-viña en el-.Rdble, término de San­ ra de D. Juan Burruero.b.................. jo 660 torcaz , con 628 cepas, que linda á Otra en Valdecebra, de una fon. y 6 oriente con D. Xj"’ier Monge............ 99-17 2189 ccl-, lin…</t>
  </si>
  <si>
    <t>Bustamante, Angel</t>
  </si>
  <si>
    <t>Angel Bustamante</t>
  </si>
  <si>
    <t>y 3. Id. de Guaxoritañ ,9. El cura y vecinos de S. Borja, 48 y 6. Los vecinos de S. Lorenzo , 40. Los de Non o a va , 13.— Batopilas. El subdelegado D. Angel Bustamante, loco. D José María Soróndo, 25;. D. Feliciano Arce,,25. D Manuel Echeverría^, ^o.iD. jiian Mi­ guel Gil, 30 , D. Blas A-yarez, 52. D¿ CriscóbailPerez, 15Ó:• …</t>
  </si>
  <si>
    <t>Bustámánté, Antonió</t>
  </si>
  <si>
    <t>Antonió Bustámánté</t>
  </si>
  <si>
    <t>onde como 18 cubiertos de plata ; en otro de un familiar dé Castañedo 2 ta­ legos j uno con 8® y otro con 22® reales, propios, que* dixo ,„¿érati’de&gt; D. Antonió Bustámánté; racionero deja^n, que se hallaba preserve: qué ^ al concluirse esta diligencia’ entregaron los vocales un memorial, pidiendo que se les oyese en justicia …</t>
  </si>
  <si>
    <t>Bustamante, Fernando</t>
  </si>
  <si>
    <t>Fernando Bustamante</t>
  </si>
  <si>
    <t>z D. Ignacio Diaz, 6. Id. D. Manuel Casanova , y. Lqs sargentos , cabos y soldados:,, 212. — Sta. Cruz- Capitán D. Do­ mingo? ¡Espinosa, 50. Teniente D. Fernando Bustamante, 50. Alférez tí. Francisco Rivera, 10. Id. D. Pedro ViÜaescusa, ro. Cade:? D. Ra­ món Espinosa, 5. Los sargentos, cabos y soldados, 297 y 2 rs — Turson. C…</t>
  </si>
  <si>
    <t>Bustamente, Joaquín</t>
  </si>
  <si>
    <t>Joaquín Bustamente</t>
  </si>
  <si>
    <t>los porta estandartes D. Vi­ cente Vargas, D. Carlos Blance, D. Manuel Monti y D. Ma­ nuel Arjona; y estas resultas b los cadetes D. Enrique Lo^-esr, D. Joaquín Bustamente, D. Ramón de Moya y D. T&lt;iesf. ro Sotolongo, este último del de dragones de Viitdvicioso ; en el de Calatrava la comandancia del tercer esquadren ai sargen…</t>
  </si>
  <si>
    <t>Bustaniantc, Manuel</t>
  </si>
  <si>
    <t>Manuel Bustaniantc</t>
  </si>
  <si>
    <t>■&gt; • Dr Manuel Sánchez Toscano........ 20000 1 D. Joaquín Lerga..................................... 7aa - L» marquc»a de la Solana........... . 9000 D. Manuel -Bustaniantc.......... ....... 171-4..2 5Í El marques de Bajamar.......................... 20000 D. Benito Corrazar .......... ................. *444 D; Joaquirr Ronuú…</t>
  </si>
  <si>
    <t>Butler, Agustín</t>
  </si>
  <si>
    <t>Agustín Butler</t>
  </si>
  <si>
    <t>ipa D. Pedro José Chaves de la Rosa,.500. D. Se* bastían Antonio^ Gamiea , 500. Duque de Hijar, y conde de Salvatier­ ra, 640. D. Juan S. Román , 100 D. Agustín Butler, 2000 D José Alvareda é hijos, 306* D: Juan Manuel S. Román, 100, D. M. D. D., 320. D. Fermín de Elizalde, 3000. D. Tomas de la Cuesta, 500. Don Alexandro de l…</t>
  </si>
  <si>
    <t>Butrón</t>
  </si>
  <si>
    <t>Gazeta de la Regencia de España e Indias n.º 62</t>
  </si>
  <si>
    <t>montaron uno de aquellos y fué preciso abandonarlo , clavándolo antes y recogiendo el armón y ga­ nado. — El mismo dia se incorporó en el exército el general Butrón con la caballería de su mando, y se aguardaba la bri­ gada portuguesa de la misma mrma , mandada por el general Madden, que lord Wellimgton envía á disposición de…</t>
  </si>
  <si>
    <t>Gazeta de la Regencia de España e Indias n.º 86</t>
  </si>
  <si>
    <t>litar del exército de la izquierda ha publicado la siguiente relación sobre el combate de Fuente de Cantos el 15 del ipasado: “ El 14 de setiembre el general Butrón, oon su división de caballe­ ría 9 estaba en Monasterio (rhabiendo: sostenido las escaramuzas que sus avanzadas tuvieron con eh enemigo el dia anterw&gt;ri)tii dispu…</t>
  </si>
  <si>
    <t>pueblos comarcanos, y recibido muchos refuerzos, señaladamente de caballería. : Las avanzadas francesas fueron rechazadas el 12 y el 13 per otras del general Butrón en Bienvenida y L sagre. — be paí an á nuestros puestos bastantes desertores franceses y juiamentados. Cuentan que padecen mucha falta de víveres, y que se pasarí…</t>
  </si>
  <si>
    <t>Buttechet, James</t>
  </si>
  <si>
    <t>James Buttechet</t>
  </si>
  <si>
    <t>1479</t>
  </si>
  <si>
    <t>la esfera celeste perpendicular al exe se llama ha apresado la galeaza Atlante de 107 toneladas, eqttador. Los meaoies que las estrellas describen su capitán James Buttechet, que iba de Gtbraltar paralelanuote al cquador se llaman simplemente á Ló &gt;dres cargada de plomo, seda y lana. paralelos. El navio Eugenio, que entró en …</t>
  </si>
  <si>
    <t>Buttlar</t>
  </si>
  <si>
    <t>HEMIA. deberán saber perfectamente p3ra quando vuelva el Rei á esta corte, donde harán el exercicio á pre­ Praga 21 de mayo. sencia de S. M. El señor barón Buttlar, prefecto Ayer se dignó S. Mf I. poner las insignias dé del palacio, es el comandante de esta guardia na­ la orden de S. Leopoldo, en presencia de los caba­ cional…</t>
  </si>
  <si>
    <t>Buyos</t>
  </si>
  <si>
    <t>: papel en 4.0 á 3 rs. en TÚstica. Se hallarán El barón Peone, coronel del 112.0 de línea. en la librería deQuiroga, calle de las Carretas, casada El barón Buyos, coronel de! S2.° de'cazado­ la fonda de i Angel. res de á caballo. El barón Montesqoiou , coronel del 13.°, idem. El domingo 24 de junio por S. A. S. el prín­ cipe …</t>
  </si>
  <si>
    <t>Buzcns</t>
  </si>
  <si>
    <t>Gazeta de la Regencia de España e Indias n.º 59</t>
  </si>
  <si>
    <t>14</t>
  </si>
  <si>
    <t>fes hán’dado. fuego á un campamento, y que se oian á lo lejos mucho» tiros. Las gentes conjeturen que esto pueda ser ó alguna escaramuza del valiente capitán Buzcns, cuya guerrilla no cesa de dañar al enemigo, é* algún cheuue serio con la división de García Navarro ó Campo Verde: iAtún sé/adelanran .á decir, que la quema del …</t>
  </si>
  <si>
    <t>C'arós, Juan</t>
  </si>
  <si>
    <t>Juan C'arós</t>
  </si>
  <si>
    <t>Gazeta de la Regencia de España e Indias n.º 108</t>
  </si>
  <si>
    <t>n donde se remun las dos. cordilleras de Cpll de Sachs y Serra del Bach al mando del sargento mayor de la 's.ecciqn D. Migue-) Córdoba y del coróne 1 D. Juan C'arós , no se con­ tenta h ya con sostener , .sino que inflamadas á un mismo tiem­ po y por un mismo espí ritu , atacan. por -te dos los puntos con resolución, y ponen,…</t>
  </si>
  <si>
    <t>C, Gabdel</t>
  </si>
  <si>
    <t>Gabdel C</t>
  </si>
  <si>
    <t>IEMBRE. Reales decretos. ■ 1 ■■ ' - . .. Habiendo las Cortes generales y extraordinarias nombrado por uno de los individuos deí Consejo de Regencia á D. Gabdel C.scar, secretario que era de estado y del despacho ae marina ; ha venido el C onsejo de Regencia en nombre del rey nuestro Sr. D. Fernando vrr. en habilitar para la f…</t>
  </si>
  <si>
    <t>C, Josef</t>
  </si>
  <si>
    <t>Josef C</t>
  </si>
  <si>
    <t>D. Francisco Armenia , emó- verdad; os la debo: me lisonjeo de que será con nizos: D. Josef Roucali , D. Pedro García , Don utilidad. Josef M izuelo, D. Josef C:v dios , racioneros: Saben los hombres que piensan que la imperio­ D. Luís-de Córdoba, D. Fe ipe Esc.mero, D. An­ sa Leí de los acaecimientos dispuso hi mas de un dré…</t>
  </si>
  <si>
    <t>C, Manuel'Francisco</t>
  </si>
  <si>
    <t>Manuel'Francisco C</t>
  </si>
  <si>
    <t>nencia de granaderos, á D. Cayetano Carcer ; primera tenencia de fusileros al teniente coronel D, Oíaguer Desvalí?; segunda tenencia de granaderos, á D. Manuel'Francisco C avalery; y segunda tenencia de Cazadores , á D. Antonio de Agüera; segunda ayundantía mayor, á D. Luis Fernando Mon ; segundas tenencias de fusileros, á. D…</t>
  </si>
  <si>
    <t>C, Pedro Agustín</t>
  </si>
  <si>
    <t>Pedro Agustín C</t>
  </si>
  <si>
    <t>ten el mismo juramento las ,,Oido nuestro ministro interino de Negocio* tripulaciones de; los baques que hai allí. Después eclesiásticos, nombramos á D. Pedro Agustín 4C pasará 6 Helveetsluis-con igual objeto. Olabariieta para una canongía de la catedral de París 22 de julio. Zamora , qae disfrutaba el extinguido tribunal de …</t>
  </si>
  <si>
    <t>C, Tomas</t>
  </si>
  <si>
    <t>Tomas C</t>
  </si>
  <si>
    <t>rnandez Caso. D. Antonio G.rcía Vargas. D. Higinio Zazo de Lares. D. J ulian de Fuentes. D. Francisco Bezares. D Julián Saez. Tenientes. D Juan Roca. D. Tomas C.mpillo. D. Manuel López. D Ramón J ver. D Francisco S.tenz Rufz.' Batallón del quartel del Barquillo. D. Gaspar B usá. D. Narciso B.*sia. Capitanes. D. Francisco Lópe…</t>
  </si>
  <si>
    <t>C-rlos</t>
  </si>
  <si>
    <t>un modo el modo ron que la Sru. Rosario lo lia desempeñado, que merece los mayores elogios. nos hace formar de su talento las esperanzas mas ii .on- D. C-rlos, j íven de un ingenio violento, y acalo­ jeras. Los amantes de los progresos del teatro español rado por una pasión fuerte, debe manifestar este carác­ ven ya en e»ra j…</t>
  </si>
  <si>
    <t>Ca, Joan Osario</t>
  </si>
  <si>
    <t>Joan Osario Ca</t>
  </si>
  <si>
    <t>: á Doq por la constitución del estado, REI de las;Espa— Joaquín Petez capitán en el 3.°- regimiento de cañas y de las Indias; . zaaores á caballo: a D. Joan Osario Ca biche te­ fe( ,t En atención ¿ los,descnbrimientos con que niente en el regimiento de Murcia , 2.° de infante­ O. Luis Prousr ha contribuidora'los adelantamien…</t>
  </si>
  <si>
    <t>Ca, Josef María</t>
  </si>
  <si>
    <t>Josef María Ca</t>
  </si>
  <si>
    <t>D. Josef Mendoza, abande­ tonio Caballero; .para teniente á D. Manuel Saa- rado, queda nombrado ayudante segundo del mis­ vedra, y para subteniente á D. Josef María Ca­ mo batallón. ballero. • art. xv. En la villa de la Puebla de Cazalla Para capitán de la quarta compañía á D. An­ se aumentará ana compañía á mas de la ya for­…</t>
  </si>
  <si>
    <t>Ca, Juan</t>
  </si>
  <si>
    <t>Juan Ca</t>
  </si>
  <si>
    <t>hospital de la Encarnación de.,1a. , . , ^ tyj . . e 71? D. Juan Antonio del .Valle -■ xfio 17 ciudad de Zamora.............. ;......... . 42123. 29 D. Juan Ca .VOv......m*.iVi.iVMv__ * j 20185 • '; D.'Feíípe de Canga 'Argfietíés.'....n¿......; 2902^ Ao;f D. Francispo Lqpcz.de Alcaraz.— L5149 31 D. P^olo Arrib'ss 7b, . D. Jua…</t>
  </si>
  <si>
    <t>Ca, Juau Fernandez</t>
  </si>
  <si>
    <t>Juau Fernandez Ca</t>
  </si>
  <si>
    <t>corriente dio el Excmo. Sr. maban D. Manuel Pareja , alcalde primero; D. Eu­ gobernador general una suntuosa cena y un es­ frasio de Gamiz, síndico; D. Juau Fernandez Ca- pléndido baile, á que asistieron todas las personas macho, diputado; D. Andrés Muñoz, síndico del principales de Córdoba. S. M. se dignó honrarle común; D. …</t>
  </si>
  <si>
    <t>Ca, María Magdalena López</t>
  </si>
  <si>
    <t>María Magdalena López Ca</t>
  </si>
  <si>
    <t>avo................ 2030 , I D. Estéban de Ja.Torfe...a*.....11403 28' La casa de Aguirre é hijos...................... 9+65 ;2Ji D.; Jaime H403 '281 Doña María Magdalena López Ca- ? v D. Francisco Gajo. Carrasco....... 106038 ii' brejas............................................................ 4549 35L D. Francisco Perez.R…</t>
  </si>
  <si>
    <t>Cabada, Don Vicente</t>
  </si>
  <si>
    <t>Don Vicente Cabada</t>
  </si>
  <si>
    <t>e buque, que se ha apresurado á restituir, luego que ha podido, á su patria. Concluyen los donativos de la Nmva-Ch.caya. Santa Cruz de Tepehuanes. El cura Don Vicente Cabada, 50. Subdiácono D. Ignacio Cepeda, 16. D. José Cabada, 50. D. José Cabada , menor, D. J&lt;sé Blanco, 16. Varios individuos 157. — Ciénega de los Olivos. El…</t>
  </si>
  <si>
    <t>Cabada, José</t>
  </si>
  <si>
    <t>José Cabada</t>
  </si>
  <si>
    <t>á su patria. Concluyen los donativos de la Nmva-Ch.caya. Santa Cruz de Tepehuanes. El cura Don Vicente Cabada, 50. Subdiácono D. Ignacio Cepeda, 16. D. José Cabada, 50. D. José Cabada , menor, D. J&lt;sé Blanco, 16. Varios individuos 157. — Ciénega de los Olivos. El subdelegado D. Atanasio Loya, 283. D. José Antonio Loya, 125*. …</t>
  </si>
  <si>
    <t>Cabalen, Miguel</t>
  </si>
  <si>
    <t>Miguel Cabalen</t>
  </si>
  <si>
    <t>si , 200. D. Manuel Gil y Cosío, 100. D. José Ramón de Gorostiza , 100. D. Ignacio Albiní , 25. D. Alberto Herrero, 100. D. Domingo Q'utierrez , 100. D. Miguel Cabalen , 100. D. Cayetano Cana­ leta , 50. D. Gerónimo Q.uijano, 50. D. Faustino Rodríguez , Medico, 50. Don — ........................... ~ — o---------- *----------…</t>
  </si>
  <si>
    <t>Caballero, Andrea</t>
  </si>
  <si>
    <t>Andrea Caballero</t>
  </si>
  <si>
    <t>amino.de j celemines. ¿■*7 » • *43 Otra de una fanega y 3 quartilias en Otra en el mismo valle,'linde rierras de ‘ dicho sitio, qüe salé al camino de D. Andrea Caballero, de 3 celemines. 5../ . *43 Madrid, y linda con otra de Alonso Otra á la Cantueña, linde tierras de del Pera'.................... ........................ .3…</t>
  </si>
  <si>
    <t>Caballero, Antonio</t>
  </si>
  <si>
    <t>Antonio Caballero</t>
  </si>
  <si>
    <t>acaecimientos dispuso hi mas de un drés de Morales , D.' Franci co Muñoz , D. Ber­ siglo qne España fuese amiga y aliada de la Francia. nardo Cañete, D. Antonio Caballero, D. Josef Una revolución extraordinaria precipitó del tro­ Garrido, D. M-inutl Nadales, D. Felipe Villaes- no la casa que reinaba en aquella nación. La rama…</t>
  </si>
  <si>
    <t>Caballero, Bartolomé</t>
  </si>
  <si>
    <t>Bartolomé Caballero</t>
  </si>
  <si>
    <t>de Azoyú y sus feligreses, 325. D. Juan Antonio Aguilera , su esposa é hija , 1500. 1). Miguel de Arizmendi , 1000. D. José Gregorio de Calera , 100. D. Bartolomé Caballero , 25. D. Santiago Sastre, 50 pesos y otros tantos cada ano. D. José María Fernandez del Cam­ po , cura de Huastuco , y varios de sus feligreses , 37*1 pes…</t>
  </si>
  <si>
    <t>Caballero, Bernardo Perez</t>
  </si>
  <si>
    <t>Bernardo Perez Caballero</t>
  </si>
  <si>
    <t>. Il­ cho el Excmo. Sr. gobernador general del marques defonso Morales, prior nombrado por S. Al., y de Guatdia Real para el gobierno de la sierra de D. Bernardo Perez Caballero, presbítero, por el Córdoba , substituyéndole en el mando de la guar­ estado eclesiástico. dia cívica de esta ciudad D. Juan de Molina. £1 dia 7 de a…</t>
  </si>
  <si>
    <t>Caballero, Diego Rafael</t>
  </si>
  <si>
    <t>Diego Rafael Caballero</t>
  </si>
  <si>
    <t>nos, como todas las pre­ riano Gutiérrez, subdiácono , para el beneficio de la villa de Cañete , diócesis de Córdoba, vacante cedentes. por muerte de D. Diego Rafael Caballero , con la ESPAÑA. obligación de servirle y de ayudar al párroco en la administración de los sacramentos. Córdoba 28 de julio. El citado ministro ir.rer'…</t>
  </si>
  <si>
    <t>Caballero, Josef</t>
  </si>
  <si>
    <t>Josef Caballero</t>
  </si>
  <si>
    <t>999</t>
  </si>
  <si>
    <t>. . 242 2904 • 20 celemines, en et sitio de las Otra , calle de ios Sorias, á cargo Pitillas........................................... 4.C0 8800 d„- D. Josef Caballero................ 33° 3960 Otra .le 9 celemines en el sitio de Otra , calle de las Tenerías del so­ la Mata del Cahíz... .............. . , 400 8800 lar , arren…</t>
  </si>
  <si>
    <t>Caballero, Ramón Romero</t>
  </si>
  <si>
    <t>Ramón Romero Caballero</t>
  </si>
  <si>
    <t>de prima. ascenso de D. Josef Binuesa al de Carabaña, á Para el de S. Andrés de Talavera, vacante por D. Marcelino Romeral, cura de Coveja. muerte de D. Ramón Romero Caballero, á Don Para el de Perales de Tajona, vacante por Matías Alonso Villalobos, clérigo de prima. Muerte de D. Ramón María Cabeza, á D. Joaquín Para el de S…</t>
  </si>
  <si>
    <t>Cabañas, Bonifacio</t>
  </si>
  <si>
    <t>Bonifacio Cabañas</t>
  </si>
  <si>
    <t>D. Bonifacio Cabañas. Subtenientes. D. Simón Gallardo. D. Agustín Zaldo. D. Joaquín Gómez. D. Francisco Berdejo Pacz. D. Josef González de Hoyuelo. Tenientes. D........................................ Ej?Josef</t>
  </si>
  <si>
    <t>Cabañas, Francisco</t>
  </si>
  <si>
    <t>Francisco Cabañas</t>
  </si>
  <si>
    <t>Tuan Valdivieso. D. J osef Navarro. Tenientes. D. Josef Ortiz Herboso. D. Andrés Saez. D. Gabriel de Alearáz. D. Santiago Sedaño. D. Juan de Adanero. D. Francisco Cabañas. D. Juan de la Peña Melendez. D. Pedro Sedaño. D. Joaquín Sojo. D. Antonio de Uribarri. Nuestros ministros de lo Interior y de la Guer­ D. Josef Binuesa. ra…</t>
  </si>
  <si>
    <t>Cabañas, Pedro</t>
  </si>
  <si>
    <t>Pedro Cabañas</t>
  </si>
  <si>
    <t>917</t>
  </si>
  <si>
    <t>o de voluntarios de Madrid; segunda tenencia de fu­ sileros- al alférez D. Ramón Solís; y empleos de Alféreces a los cadetes D. Buenaventura de Mena, D. Pedro Cabañas, y D. Carlos Pozzodivorgo,. y al teniente del batallón de voluntarios de . la Serena D. Vicen­ te Segurado. Asimismo ha concedido el Consejo tenencia en el bata…</t>
  </si>
  <si>
    <t>Cabañas, Vicente</t>
  </si>
  <si>
    <t>Vicente Cabañas</t>
  </si>
  <si>
    <t>e Aragón se ha servido con­ ceder compañías á D. Feíix Mijares, y D. José Montero ; ayundamía , á D. Martin Sierra ; tenencias, á D. Eduardo Velase»; D. Vicente Cabañas , D. Manuel Laget, D. Miguel Navarro, D. Antonio Aznar , y D. Laureano Sauz; y subtenencias, ? X). Bruno Soaso, D. Antonio Llamas, D. Lorenzo Adelantado D. Ju…</t>
  </si>
  <si>
    <t>Cabañero, Juan</t>
  </si>
  <si>
    <t>Juan Cabañero</t>
  </si>
  <si>
    <t>a, y uno de ellos en esta Por1 real decreto de 30 de mayo último se ha ciudad; que se distribuyan cada año seis premió*, servido S. M. nombrar al Dr. D. Juan Cabañero, uno de 3© francos, dos de 2©, y los otros tres dfr' cora de Sta. María de Cogollos, para el curato de á 1©, á los sugetos que vacunaren mayor número la parroqu…</t>
  </si>
  <si>
    <t>Cabarrus, Francisco</t>
  </si>
  <si>
    <t>Francisco Cabarrus</t>
  </si>
  <si>
    <t>223</t>
  </si>
  <si>
    <t>te pertenecen á los gobiernos separados por el decreto de 8 de febrero de lo restante de España, y agrega­ dos inmediatamente ai imperio de Napoleón? D. Francisco Cabarrus, ministro que se llamaba de hacienda de la nueva corte, murió en Sevilla á fines del pasado. Dicen, que ha influido mucho en su muerte la impresión que cau…</t>
  </si>
  <si>
    <t>Cabello, Andrés</t>
  </si>
  <si>
    <t>Andrés Cabello</t>
  </si>
  <si>
    <t>o Brian. Madrid9 de junio. D. Manuel Cardeñoso. S. M. ha expedido e! decreto siguiente: D. M .rtin Azcué. Extracto de las minutas de la secretaría de D. Andrés Cabello , hijo. Estado. D. Estéban Urquijo. En nuestro palacio de Madrid á 6 de junio D. Fermín Marquida. de ib 10. Batallón del quartel de la Plaza. Don Josef Napoleó…</t>
  </si>
  <si>
    <t>Cabello, Francisco</t>
  </si>
  <si>
    <t>Francisco Cabello</t>
  </si>
  <si>
    <t>. general gobernador de esta vi­ Villavicencio» comandantes de la milicia cívica de lla hizo saber anteayer á las tropas la siguiente esta capital; á D. Francisco Cabello» coronel de ORDEN DEL DIA. caballería ligera» y gobernador del Almadén; Don ,, El 4.* cuerpo de exércita mandado pór el ge­ Josef Vinuesa; D. Luis Belloc ; …</t>
  </si>
  <si>
    <t>Cabello, Isidoro</t>
  </si>
  <si>
    <t>Isidoro Cabello</t>
  </si>
  <si>
    <t>Gaceta de Madrid n.º 185 (suplemento)</t>
  </si>
  <si>
    <t>........................................ 18 t 'rfjrtí Otra al camino viejo de Parla, que lin­ Otra en ios Alhiiios , junto í otra de da con tierra de D. Isidoro Cabello, D. Tomas de L.uizugorla, de 24/ est. 3* 704 de 3 fanegas y algunos estadales...... 4&amp; 990 Otra camino de Segovia , á mano dere­ Otra camino de Fueniabrada, l…</t>
  </si>
  <si>
    <t>Cabello, Juan Raíz</t>
  </si>
  <si>
    <t>Juan Raíz Cabello</t>
  </si>
  <si>
    <t>o de Robles, á D. Vicente del Castillo, ex-- . tias de la misma ciudad de Granada, vacante por regular de la orden tercera de S. Francisco. muerte de D. Juan Raíz Cabello, á D. Mariano Para el de la iglesia parroquial dei Jogar.de Sicilia , cura de Albuñol. Domingo Perez, vacante por reonacia de D Cris-; Para el de la iglesia…</t>
  </si>
  <si>
    <t>Cabello, Luis</t>
  </si>
  <si>
    <t>Luis Cabello</t>
  </si>
  <si>
    <t>786</t>
  </si>
  <si>
    <t>ro É&gt;. Pedro Aguado y el cerro do la linde Maestra, lindante con tierra la Morena.............................. .............. 11 *4* de herederos de D. Luis Cabello..... »7 594 Una tierra á las eras de Valdehermosos, Otra camino de Madrid, á la izquierda, que linda coh otra de monjas Ber­ con el que linda, y tierras de la ca…</t>
  </si>
  <si>
    <t>junto al camino que, de la quierda, mas acá de la fuente Are­ Soledad guía á Getafe, linde era de. nosa, de 835 estadales............... 94-17 *0 79 D. Luis Cabello............ aj 306 Otra'mas adentro, donde dicen el Re­ Otra á la izquierda de S. Sebastian, el sinar, que linda con tierra del esta­ Viejo, frente al camino que …</t>
  </si>
  <si>
    <t>Cabeza, Ramón María</t>
  </si>
  <si>
    <t>Ramón María Cabeza</t>
  </si>
  <si>
    <t>de Coveja. muerte de D. Ramón Romero Caballero, á Don Para el de Perales de Tajona, vacante por Matías Alonso Villalobos, clérigo de prima. Muerte de D. Ramón María Cabeza, á D. Joaquín Para el de Somosierra, vacante por muerte de Alooso Moron, cura de Fuente el Saz. D. Vicente Boruel y Via , á D. Casimiro García, Para el de …</t>
  </si>
  <si>
    <t>Cabezas, Bernabé</t>
  </si>
  <si>
    <t>Bernabé Cabezas</t>
  </si>
  <si>
    <t>franceses' en Mi ajadas, entre ellos su comandante, é interceptado un convoy de harinas qué conducían á Truxillo. — El 28 de. ju­ nio próximo pasado D. Bernabé Cabezas acometió con 20 ca­ ballos á otros 17 franceses en laa inmediaciones de Valencia del Ventoso, matando á uno é hiriendo á 7 * Jos restantes hu­ yeron, pero habi…</t>
  </si>
  <si>
    <t>Cabillas, Miguel</t>
  </si>
  <si>
    <t>Miguel Cabillas</t>
  </si>
  <si>
    <t>a , regidor. ser feliz. Ai verá un REI, en cayo semblante r D. Pedro Cantoral y Estrada , regidor. se ve pintada la bondad, y de coya boca no salen * D. Miguel Cabillas , regidor. sino palabras de paz , de olvido de lo pasado, y de D. Francisco Angulo, maestrante de Sevilla, re­ beneficencia, estos habitantes, en extremo sens…</t>
  </si>
  <si>
    <t>Cabré, Magdalena López</t>
  </si>
  <si>
    <t>Magdalena López Cabré</t>
  </si>
  <si>
    <t>dulas hipotecarias correspendieotes, admisibles Doña Alfonsa Cnavarría........................ 140000 solo en compra de bienes nacionales con arreglo Doña Magdalena López Cabré jas...... 60000 i nuestro decreto de 4 de octubre último. D. G'.iitíclmo l’éironet.................. 86800 ART. m. Nuestro ministro de Hacienda queda …</t>
  </si>
  <si>
    <t>Cabredo, Josef</t>
  </si>
  <si>
    <t>Josef Cabredo</t>
  </si>
  <si>
    <t>la. D. Vicenre Tejada. D. Domingo Ventades. D. Julián Sojo. D. Tomas Ibargiien. Tenientes. D. Ramón García Ximenez. Batallón del quartel de S. Isidro D. Josef Cabredo. D. Bartolomé Gómez. Capitanes. D. Josef Chacón. D. Agustín Gamell. D. Tomas Perez. D. Bernardo Barril. D. Francisco Berdejo. D. Camilo Gamboa. D. Esteban Gómez…</t>
  </si>
  <si>
    <t>Losada y Calvo. lle jo. 6.*.......... D. Ramón García Ximenez.......................................................... D. Josef Vive*. 7.* ........ D. Josef Cabredo........ D. Pedro González Scpúlveda. 8.*.......... D. Bartolomé Gómez,. D. Joaqurn Sánchez. 9.a.......... D. Josef Chacón.......... D. Ventura Cordero. 10.a.....…</t>
  </si>
  <si>
    <t>Cabrejas, María López</t>
  </si>
  <si>
    <t>María López Cabrejas</t>
  </si>
  <si>
    <t>Güilísimo Peíroner........... ............... .13079.. 10 ' D. Ramón de Posada, como marido / D. Fernando de Beingochea.................. 4542..14 de Doña María López Cabrejas, por D. Bernardo Rodríguez...................... 49210 acciones y réditos................................. a/ipSS"1® D. Domingo Torrecilla.............…</t>
  </si>
  <si>
    <t>Cabrera, Agustín</t>
  </si>
  <si>
    <t>Agustín Cabrera</t>
  </si>
  <si>
    <t>D. Diego Zapata y D. J¡ a i Diestre; tenencias, á D. Fernando de Prado, D. Manuel Sa­ ladar, D. Félix Aznar , D. Dionisio Angulo , D. Enrique Huelen, D. Agustín Cabrera, D. Manuel Ibarroia , D. Gregorio Arroyo, D. JuanMuguiro , D. Ramón Sánchez , D. José Goyti, D. Domingo Angulo , D. Andrés Martínez y D. Antonio Valderas ; y …</t>
  </si>
  <si>
    <t>Cabrera, Antonio</t>
  </si>
  <si>
    <t>Antonio Cabrera</t>
  </si>
  <si>
    <t>a grabada, ¡a qual se vendió in­ En la prefectura de Sevilla. mediatamente cu una gran cantidad de dinero. El gobierno ha dado las órdenes correspon- D. Antonio Cabrera, subprefecto de 'Sevilla. dientes para restablecer, en quanto sea posible, el D. Cayetano Nudide Ayamonte. . magnífico templo.de.Vesta.» y parece que se trata…</t>
  </si>
  <si>
    <t>ro D. Francisco Truxiílo, 100. D. Isidro Madero, oficial primero de la resorería, 20 D. Manuel Calderón ,segundo, 10. D. Ramón Peimbert, ensayador, 2 D. Antonio Cabrera, administrador de rentas, 50. D. Fran­ cisco Prieto, interventor, 10. D. Francisco Xavier Losa , vista , 10 D. Juan José Ruiz de Bustamante, subdelegado, 250.…</t>
  </si>
  <si>
    <t>Cabrera, Francisco</t>
  </si>
  <si>
    <t>Francisco Cabrera</t>
  </si>
  <si>
    <t>286</t>
  </si>
  <si>
    <t>erio de la guerra se ha circulado al exérclto la real orden siguiente. ^Habiéndose examinado en el tribunal de seguridad publica la sumaria formada á D. Francisco Cabrera, coronel del regi­ miento de infantería de Soria, por los sucesos ocurridos en la isla de Menorca de 1.* de junio de 1808 , acordó en providencia de 13 de a…</t>
  </si>
  <si>
    <t>Cabrera, Josef</t>
  </si>
  <si>
    <t>Josef Cabrera</t>
  </si>
  <si>
    <t>as. Tampoco el gobíétnó ha tenido el mayor cui­ ScfGotóéz. J !V f'-; 2 • dado en averiguar ápuórófixo el esfado dé la po-¡ s'’ Para ia de-Santiago á :D. Josef Cabrera ex- blación. EL úhTmo; censo que se conoce- es del aña mínimo. t ^ . • . 1801. Ei señor Rhas Ib publicó'ett aleman; y- se“ - Erí la Vicaría de-v ele* T para-la …</t>
  </si>
  <si>
    <t>Cabrera, Josef Francisco</t>
  </si>
  <si>
    <t>Josef Francisco Cabrera</t>
  </si>
  <si>
    <t>ad de Toledo para los curatos de Guadamur y Para el de S. Andrés de Guadalaxara, vacante Vaidelaconcha, vacantes enel mismo arzobispado, ir muerte de D. Josef Francisco Cabrera , á Don según la propuesta hecha por los gobernadores E anuei Josef Sánchez Mencía , clérigo de prima. Para «1 de Rielves, vacante por ascenso de Don …</t>
  </si>
  <si>
    <t>Cabrera, Leonor</t>
  </si>
  <si>
    <t>Leonor Cabrera</t>
  </si>
  <si>
    <t>ria.................. 4 So 5760 Otra casa , colación oe Sta. Leocadia, á espaldas del ex-convento de capuchinqs, perteneciente á la memoria que fundó Doña Leonor Cabrera en el convento de S. Pedro...................................................................................................................................…</t>
  </si>
  <si>
    <t>Cabrera, Manuel</t>
  </si>
  <si>
    <t>Manuel Cabrera</t>
  </si>
  <si>
    <t>sin enlazarlos como corresponde. Sin em­ Para la de Cortes y Grazna al ex-franciscano bargo , el historiador debe saber que el enlace en la descalzo D. Manuel Cabrera. relación de los hechos los une también en la me­ Para la de Beas al ex-mercenario calzado Don moria , y los dexa grabados en ella mas profunda­ Manuel Mirantes…</t>
  </si>
  <si>
    <t>Cabrera, Vicente Ferrer</t>
  </si>
  <si>
    <t>Vicente Ferrer Cabrera</t>
  </si>
  <si>
    <t>or............................. ........ 76500 Doña María Ignacia de Recalde....... 54000 2.498110.. 29 D. Miguel Pascual Dominici............. 85500 D. Vicente Ferrer Cabrera........ *.... 113400 Que á una suma importan 2.498110 reales y ao Doña María Antonia Portería por sn maravedís de vellón. marido D. Pedro Irigoyen y Al…</t>
  </si>
  <si>
    <t>Cabrero, Mariano</t>
  </si>
  <si>
    <t>Mariano Cabrero</t>
  </si>
  <si>
    <t>era tardado, tal vez mez, subtenientes del regimiento de Jaén: tenien­ no me encontraría aqui el portador, pues me pien­ tes de infantería de línea á D. Mariano Cabrero, so pasar á la plaza» y retirarme del servicio, pues subteniente dé infantería , á D. Angel Barluce Mar- . ya no sufro mas injusticia i han puesto aqui ai bri…</t>
  </si>
  <si>
    <t>Cabrón, Antonio</t>
  </si>
  <si>
    <t>Antonio Cabrón</t>
  </si>
  <si>
    <t>toda la carrera. E&gt; Excmo. Sr gobernador general, Quarta ídem. Capitán D. Juan Hernández, te acompañado de todo el estado may r, salió a caba­ nieute D. Antonio Cabrón, subteniente D. Joa­ llo á encontrarse con S. M. á media legua de Córquín Q iicoza, otro, D. Francisco Villegas. . doba. También le recibieron mas »llá de ¡as …</t>
  </si>
  <si>
    <t>Cabtrava, Francisco</t>
  </si>
  <si>
    <t>Francisco Cabtrava</t>
  </si>
  <si>
    <t>de donde ha tomado el autor los franciscano descalzo» predicador y guardián. hechos qne refiere son mui conocidas , y en esta Para la de Calahorra á D. Francisco Cabtrava, parte poco ha tenido que trabajar; pero en el mo­ ex- franciscano • predicador y guardia». do de presentar estos mismos hechos ha quedada Para la de Fetrei…</t>
  </si>
  <si>
    <t>Cacauit</t>
  </si>
  <si>
    <t>Gazeta de la Regencia de España e Indias n.º 52</t>
  </si>
  <si>
    <t>48</t>
  </si>
  <si>
    <t>e les exige baxo el nom­ bre de empréstito''Otra contribución, sin perjuicio de las ante­ riores, que se acerca á otro 10 por 100.— Place poco que el general Cacauit ha impuesto 2 millones de contribución á la provincia de Soria.</t>
  </si>
  <si>
    <t>Cacho, Domingo</t>
  </si>
  <si>
    <t>Domingo Cacho</t>
  </si>
  <si>
    <t>e setiembre, señalado con el núm. 190,873, endosado á D. Francisco Rufino. El sugeto en cuj^o poderse hallare, se servirá entregarlo en el almacén de D. Domingo Cacho, en la recoba. Desenfado patriótico, ó diálogo entre un Emisario del rey Pe• que vino á pedir la entrega á los francés de la esquadra espa­ ñola , y un buen pat…</t>
  </si>
  <si>
    <t>Cadenas, Melchor</t>
  </si>
  <si>
    <t>Melchor Cadenas</t>
  </si>
  <si>
    <t>Lolas Barsanti............................ 1825 D. Mariano Iiundain..'..... ..ÍV...1.......... 1983 28 Doña María Andrea Moreno..;.......... 3573 26, D. Melchor Cadenas.;........ 768 D. Juan Retz........................................ - 3000• Doña Angela Célva.;.'..;...... 480 Doña Dionisia Portenia..................... ' 15…</t>
  </si>
  <si>
    <t>Cadet, Juan Faure</t>
  </si>
  <si>
    <t>Juan Faure Cadet</t>
  </si>
  <si>
    <t>.............itoib 17 L&gt;. Ramón Serrano......12097 17 D. Domingo Gil................... 39800 8r D- Agustín Pedrayes........ ................ '8980'. D. Juan Faure Cadet.v........... 5505 8| D. Maouet de Lázaro........................ 2197 í 29 D. Pedro Prado' y Baeza.....¡ g02 17* D, Joaquín; Calvóme.,......... .«.'.i.......…</t>
  </si>
  <si>
    <t>Cádiz</t>
  </si>
  <si>
    <t>58</t>
  </si>
  <si>
    <t>nsultar' al lector ponerse á rebatir semejante calumnia, que no merece otra respuesta que el desprecio. ' (?) No dice adonde i pero seguramente no es d Cádiz. (9) Esto es vendad, y no prueba grandes progresos en el ataque con­ tra Cádiz.</t>
  </si>
  <si>
    <t>Cadogmn</t>
  </si>
  <si>
    <t>855</t>
  </si>
  <si>
    <t>de Sobral de Monte agrazo , con el fin de cubrir uno de los reconocimientos hechos por sus partidas. Nuestro destaca­ mento , teniendo á su frente al teniente coronel Cadogmn y al teniente coronel Bei/nell, cargó al enemigo con la mayor bi­ zarría, obligándole á retroceder al lugar mencionado. — No obstante, toda la. fuerza d…</t>
  </si>
  <si>
    <t>Cáelos</t>
  </si>
  <si>
    <t>s lo si­ Wan-h^leO1 (D. Antonio) , gefe de division en et guiente : ... . ministerio de Marina. articulo i. ,, No.rpjbramo* caballeros comenZirignér (D. Cáelos):, sargento de tiradores del dadores de la Orden España á ios. señores * regimiento Real’Extrangero. ■&lt; Don Joaquín Martí, teniente general; de nuestros -■ARTi tr. Nue…</t>
  </si>
  <si>
    <t>Caer</t>
  </si>
  <si>
    <t>Gaceta de Madrid n.º 40</t>
  </si>
  <si>
    <t>161</t>
  </si>
  <si>
    <t>idos de robos y pi-. empleadas en ellas. llage sobre territorio austríaco, han sido degrada­ En estos dias se ha introducido mucho algodoa dos por el general en gefe Caer ni-Jorge á presen­ de Turquía; y sin embargo se mantiene al mismo' cia del consejo servio. recio por los muchos pedidos de la Suiza, da Í randa y del Norte.…</t>
  </si>
  <si>
    <t>Cafarelli</t>
  </si>
  <si>
    <t>de 31 del mismo mes se ha servi­ do S. M&gt; nombrar mayor del regimiento de húsa­ Brest 11 de mayo. res de su guard¡3 á D. Anselmo Gai : capitanes á El general Cafarelli, prefecto marítimo, ha he­ Di Ignacio Calvo y D. Antonio Caraza: tejientes cho insertar en el diario de nuestra ciudad las no­ á D. Próspero Chariier, D. Julio…</t>
  </si>
  <si>
    <t>Caflor</t>
  </si>
  <si>
    <t>general Kamenski 1 se Ei comandante en gefe de las tropas turcas entró en la plaza ei seraskier con ro© hombres, la Mahmoud , fcaxá de dos colas; el príncipe Caflor del exército turco, cuya ala derecha formaban, liraacbi, nombrado por la Puerta hospodar de «on la intención de defimdetse hasta derramar la ul­ Moldavia , y un b…</t>
  </si>
  <si>
    <t>Cahnañuo</t>
  </si>
  <si>
    <t>RIO FRANCES. distincioo. Se asegura que no se hará innovación ningu­ Marsella de marzo. na en nuestra constitución} hasta el i.° de enero de 1811. El capitán Cahnañuo, comandante de! xabeMagdeburgo ai de marzo. que el Angel de la Guarda, que salió de Argel el 25 de febrero último, ha entrado en este puer­ Una parte de las tro…</t>
  </si>
  <si>
    <t>Caho, Pascual</t>
  </si>
  <si>
    <t>Pascual Caho</t>
  </si>
  <si>
    <t>340</t>
  </si>
  <si>
    <t>ían , entre eliós; el presbítero de Valdeolivas D. José Garrido, D. José Verde,‘ vecino de Cifuentes , y los alcaldes de Trillo , Solanilles y'otros. D. Pascual Caho, uno de los españoles mas perversos que han seguido el bando de los franceses , acompañaba la cola­ na de RmsííH-, y fue muerto durante la acción en Brihut ga. S…</t>
  </si>
  <si>
    <t>Caiasus, José</t>
  </si>
  <si>
    <t>José Caiasus</t>
  </si>
  <si>
    <t>el de Avila , los comandantes de dos divisiones de somatenes de Villafranca D. Antonio Gilovar , D. Francisca Alaorná , el capitán D. Ramón Ferrers y D. José Caiasus, el te­ niente D. Jayme Carbó, y un capitán de somateaes ce S. Boy. Desde dicho dia no ha ocurrido m?.s novedad que la de haber los enemigos retirádose á S. Just…</t>
  </si>
  <si>
    <t>Caicedo, José</t>
  </si>
  <si>
    <t>José Caicedo</t>
  </si>
  <si>
    <t>nte por idem: D. José Maria Gutiérrez de Terán , suplente por idem: D. Pedro Tagíe, suplente por Filipinas: D. José Manuel Couto , suplente per idem: D. José Caicedo, suplente por el vireynato de Santa Fe: Marques de S. Felipe y Santiago , suplente por la ida de Cuba: D. Joaquín Santa Cruz, suplente por idem: Marques de Puñoe…</t>
  </si>
  <si>
    <t>Cal, Isidro</t>
  </si>
  <si>
    <t>Isidro Cal</t>
  </si>
  <si>
    <t>8 niente con otra de María Perez.......... 92 1104 Otra en la calle Empedrada, que mira á Otra en la calle de la puerta del Vado, oriente con casa de D. Isidro Cal­ linde á norte y poniente con casa de cada....................................................... 227 2724 S. Justo................................................…</t>
  </si>
  <si>
    <t>Cal, Joaquín Sánchez</t>
  </si>
  <si>
    <t>Joaquín Sánchez Cal</t>
  </si>
  <si>
    <t>ía. A&gt;. Alonso Paez Pachón subteniente. Queda nombrado capitán de- esta compañía art. iv. En la villa de Xilena se formará una D. Francisco Alorudo ; D. Joaquín Sánchez Cal­ compañía. Para capitán de esta compañía osrá derón teniente, y D. Miguel Palomino -subte­ nombrado D. Juan Josef de Galvez; D. Manuel niente. Diaz para t…</t>
  </si>
  <si>
    <t>Cal, Josef</t>
  </si>
  <si>
    <t>Josef Cal</t>
  </si>
  <si>
    <t>e la Puebla de Cazalla Para capitán de la quarta compañía á D. An­ se aumentará ana compañía á mas de la ya for­ tonio González Álés; para teniente á D. Josef Cal­ mada. vo, y para subteniente á D. Jqan Manuel Mon- D. Pedro de Herdara está nombrado capitán; tijar.o. D. Josef Ramón Peñaranda teniente, y D. Juani art. m. En la …</t>
  </si>
  <si>
    <t>Cal, Manuel</t>
  </si>
  <si>
    <t>Manuel Cal</t>
  </si>
  <si>
    <t>1209</t>
  </si>
  <si>
    <t>..................'........ .'I........... 64 1408 Otra en Valdegorban, de fan., que Otra en el Candial, de 3 'fan.-',1-í cel. y linda á oriente, ¿on D. Manuel Cal­ 112. estadales....v..;......... 30..17 671 derón...................................... ........... 9-17 2O9 Otra al Juncarillo, de una-fan., a cel. y Otra tierra …</t>
  </si>
  <si>
    <t>Cal, Pedro</t>
  </si>
  <si>
    <t>Pedro Cal</t>
  </si>
  <si>
    <t>Gaceta de Madrid n.º 145</t>
  </si>
  <si>
    <t>PE. Vaya á Verla á la quinta del Rei Don Luis busca ua barco para acudir a la cita, y D. Lope le ofrece cortes■4 secrete agravie secreta venganza, de D. Pedro Cal­ mente el suyo. Luego que los dos están en el mar, Dom derón. Lope hace niufrag.ir el barquichuelo, ahoga á su rival, y ét sale i. nado. No contento con esto se va …</t>
  </si>
  <si>
    <t>Calamar, Bartolomé</t>
  </si>
  <si>
    <t>Bartolomé Calamar</t>
  </si>
  <si>
    <t>Gaceta de Madrid n.º 41</t>
  </si>
  <si>
    <t>luJbble operación &lt;3e limpiar en país, para qne dis­ adiciones por D. Bartolomé Calamar, médico de frutemos quanto ¡jotes, djj dientas los bienes de la k»s reales exércicoiy de los hospitales General y tranquilidad y seguridad interior. , , . , Pasión, individuo dé da academia</t>
  </si>
  <si>
    <t>Calatrava, Cayetano</t>
  </si>
  <si>
    <t>Cayetano Calatrava</t>
  </si>
  <si>
    <t>que el 19 de noviembre había do S. M. en nombrar mayor del regimiento de Se­ encontrado su división, y apresado tres buques de villa, 3.a de línea, á D. Cayetano Calatrava; ca­ la compañía procedentes de Inglaterra con direc­ pitán á D. Tadeo López; tenientes á D. Josef ción á Bengala. El mismo dia se divisaron seis bu­ Aquin…</t>
  </si>
  <si>
    <t>Calbache</t>
  </si>
  <si>
    <t>signaron por uno de los agentes principa­ sión y de la plaza, el tribunal de apelación de les de la rebelión. Douai, el prefecto del departamento, el secretario Calbache, este nuevo Pelayo (asi tiene la des­ general de la prefectura, los subprefectos, los con­ vergüenza de llamarse este sedicioso), ha podido sejeros de prefec…</t>
  </si>
  <si>
    <t>Calderón</t>
  </si>
  <si>
    <t>rre­ glada mi colana á las órdenes del capitán de granaderos de á caballo ¿e Fernando Vil D. Tomas Montero, pasé á las guerrillas, y dis­ puse que el alférez Calderón atacase i los enemigos al galope con es»</t>
  </si>
  <si>
    <t>Calderón, Juan</t>
  </si>
  <si>
    <t>Juan Calderón</t>
  </si>
  <si>
    <t>uierda, adelantándolas con la precaución debida $ encargando la primera al expresado Mancha, y la segunda al alférez de caballería del 1.® de húsares D. Juan Calderón : y arre­ glada mi colana á las órdenes del capitán de granaderos de á caballo ¿e Fernando Vil D. Tomas Montero, pasé á las guerrillas, y dis­ puse que el alfér…</t>
  </si>
  <si>
    <t>Calderón, Maíiuel</t>
  </si>
  <si>
    <t>Maíiuel Calderón</t>
  </si>
  <si>
    <t>no art. iv.. Nuestros ministros de N-goc ios ecle­ Ruiz: para la de Restava! y Saícres ai ex-geróni- siásticos y de Hacienda quedan encargado* del mo D. Maíiuel Calderón: para la de Padul a Don cumplimiento de este decreto. = Firmado = YO EL Antonio Galvez y Quintanüla,, ex- prior de car­ REI. = Por S. M. su ministro secretar…</t>
  </si>
  <si>
    <t>Calderón, Mana</t>
  </si>
  <si>
    <t>Mana Calderón</t>
  </si>
  <si>
    <t>del quartel de S. Martin. D. Gervasio Fernandez Izquierdo. Capitanes. D. León de Montenegro. D. Fulgencio de la Riva. Agüero. D. Ignacio de la Torre. D. Mana' 1 Calderón. El marques de Cusano. Subtenientes. D. Benito Prado y Ulloa. D. Francisco Diez. El conde de S o Rafael. D. Francisco García. Marques de la Cerrezuela. D. Ma…</t>
  </si>
  <si>
    <t>Calderón, Manuel</t>
  </si>
  <si>
    <t>Manuel Calderón</t>
  </si>
  <si>
    <t>ncisco Antonio de la Presa , 50. -- Chibuagua. Ei ministro tesorero D. Francisco Truxiílo, 100. D. Isidro Madero, oficial primero de la resorería, 20 D. Manuel Calderón ,segundo, 10. D. Ramón Peimbert, ensayador, 2 D. Antonio Cabrera, administrador de rentas, 50. D. Fran­ cisco Prieto, interventor, 10. D. Francisco Xavier Los…</t>
  </si>
  <si>
    <t>Calderón, Pedro</t>
  </si>
  <si>
    <t>Pedro Calderón</t>
  </si>
  <si>
    <t>Gaceta de Madrid n.º 151</t>
  </si>
  <si>
    <t>636</t>
  </si>
  <si>
    <t>CIAS ILIRICAS. artículo i. Se -colocarán á un lado y otro del proscenio del teatro del Principe los bustos dte Trieste 23 de abril. Lope de Vega y de D. Pedro Calderón. Todas las embarcaciones torcas que habían lle­ art. 11. A los dos lados del proscenio del tea­ gado últimamente ¿ este puerto han sido secues­ tro de la Cruz …</t>
  </si>
  <si>
    <t>Calderón, Toma</t>
  </si>
  <si>
    <t>Toma Calderón</t>
  </si>
  <si>
    <t>3150. Varios vecinos de la villa de Aguas-calientes, 30. El convento de Sta. Ciara de Méxi­ co , 30 de sus fondos, y 200 como particulares. El oidor D. Toma* Calderón, 20. D. Juan Francisco Gallo , 20. La real concordia de cigarreros de México, de sus fondos, 20. D. Pedro Antonio Ace­ bedo, coronel del regimiento de dragones …</t>
  </si>
  <si>
    <t>Calero, Juan</t>
  </si>
  <si>
    <t>Juan Calero</t>
  </si>
  <si>
    <t>iales de la Saxonia con el stfv arela, que lo fue graduado de capitán del de Levante son mas activas cada dia ; y aunque los Ñapóles, y subteniente á D. Juan Calero, que lo pagos en dinero no son fáciles, se remiten de las era del de húsares de Extremadura: en el de Soria, fábricas de Plaven y de otras ciudades saxonas 4.0 de…</t>
  </si>
  <si>
    <t>Calleja, Juan Manuel</t>
  </si>
  <si>
    <t>Juan Manuel Calleja</t>
  </si>
  <si>
    <t>nsatos, y hasta los mismos generaSilvestre Mateo , capellán de altar de la citada real ics que se han puesto después á la cabeza de esos capiila, y á D. Juan Manuel Calleja para dos ra­ exércitos visoños, sacrificados á una pericia y i un ciones de la misma santa iglesia de Toledo: á Don ; esfuerzo por tantos años vencedores …</t>
  </si>
  <si>
    <t>Calles, José Manuel</t>
  </si>
  <si>
    <t>José Manuel Calles</t>
  </si>
  <si>
    <t>Diego García Celis, 100. D. Carlos La­ vandera , 120. B. Felipe López, 20. D. Juan Monzon , 20. Varios individuos, 87 y 2 rs. — S. Francisco Xavier. D. José Manuel Calles, J00. B. Domin­ go Santa Coloma , 100. D. Joaquín Piñeyra, 100. B. Lorenzo Flores . 12 y 8 rs. B. Pablo Flores y B. Marcos ÍJaguno , 26. D. Santo* Gavióla y…</t>
  </si>
  <si>
    <t>Calvo, Dámaso</t>
  </si>
  <si>
    <t>Dámaso Calvo</t>
  </si>
  <si>
    <t>zález.... 44000 art. 11. Nuestro ministro de la Justicia cui­ Doña Francisca de Velasco, viuda, dará de la execucion del presente decreto. = Fir­ ■ y D. Dámaso Calvo................ 97200 mados YO EL REI. = Por S. M. su ministro se­ D/ Pedro Ramón Fernandez , y Dona cretario de Estado = Firmado = Mariano Luis de María Cuervo.…</t>
  </si>
  <si>
    <t>Calvo, Joaquín</t>
  </si>
  <si>
    <t>Joaquín Calvo</t>
  </si>
  <si>
    <t>.,,....'3753"20! D. Juan Malnéro;.;...-..........: ••■57061 i D. Domingo de-Vengoa jao98.'24T D. Edmundo Bourke............'..s.f;.;i¡Ui; • 97333 25Í D. Joaquín Calvo..........n.i. ..... .46217) D. Juan Andureó;..................itoib 17 L&gt;. Ramón Serrano......12097 17 D. Domingo Gil................... 39800 8r D- Agustín Ped…</t>
  </si>
  <si>
    <t>Calvo, Manuel</t>
  </si>
  <si>
    <t>Manuel Calvo</t>
  </si>
  <si>
    <t>sentado á S. M-; esquálidos, desnudos, sin za­ gro, al gobernador D. Ignito Siria, y al alcalde patos ni camisas, parecen unos espectros. No se mayor D. Manuel Calvo. puede oír sin indignación el modo coa qae refieren art. viii. Nuestros ministros de lo Interior y se les trata. Piden con ansia servir entre los solda­ de Hacie…</t>
  </si>
  <si>
    <t>onio Aimrita. .................................................. D. Santiago Sedaño................. D. Antonio González. D. Ignacio Agudo y Andrade. D. Manuel Calvo. 4: .......... D. Matías Cesáreo.................. D. Vicente de la Torre......... JX Francisco Bian. í D. Juan Xaramiilo.................. D. Sebastian del Cond…</t>
  </si>
  <si>
    <t>, 100. D. Francisco Magarola , 50. D. Francisco Guer­ ra , 50. D. Francisco Torres y Juyol, 25. D. Bartolcmé Muriel, 25. D. José de las Plazas , 100. D. Manuel Calvo, 50. D. Francisco Puy, 50. D. Domingo Lagoa, 100. Señores Matorell , Pía y compañía. 100. D. Jorge la Cenia, ICO. D. Bruno Barnoya, 100. D. José Lagarda, 100. D.…</t>
  </si>
  <si>
    <t>Calvo, Pascual</t>
  </si>
  <si>
    <t>Pascual Calvo</t>
  </si>
  <si>
    <t>vivamente hasta Brifiuegá el coronel X). Juan Martin. -Este xefe escribía que en la hora en q¿te daba el parte,.iban muertos 31 enemigos, entre ellos D. Pascual Calvo, .español renegado, sobrino que se llamaba del intendente-Sa­ las, y muchos heridos. Se habían aprehendido á los franceses : varios efectos, y se había puesto'e…</t>
  </si>
  <si>
    <t>Calvo, Valerio</t>
  </si>
  <si>
    <t>Valerio Calvo</t>
  </si>
  <si>
    <t>tires y Doña 1 liemos decretado y decretamos lo siguiente: Francisca de Velasco..................... 24000 articulo 1. „ D. Luis María Guerrero, pri­ D. Valerio Calvo por sus tutores mer juez de la junta criminal de Jaén, queda nom­ D. Mauricio de los Mártires y Do­ brado presidente de la de Málaga. ña Francisca de Velasco...…</t>
  </si>
  <si>
    <t>Calzadilla, Manuel Lázaro</t>
  </si>
  <si>
    <t>Manuel Lázaro Calzadilla</t>
  </si>
  <si>
    <t>Gaceta de Madrid n.º 232</t>
  </si>
  <si>
    <t>1040</t>
  </si>
  <si>
    <t>rer. No puede formarse idea cabal del es­ Doña Petronila Antonia Hidalgo, viuda y heredera que tado á que ha quedado redocida Ciudad- Rodrigo; fue de D. Manuel Lázaro Calzadilla, y para el pago de todo está arruinado y echado por el suelo ; no hai los respectivos créditos de aquellos, se vende la hacien­ nna casa que haya que…</t>
  </si>
  <si>
    <t>Calzas, Josef Matías</t>
  </si>
  <si>
    <t>Josef Matías Calzas</t>
  </si>
  <si>
    <t>ti. Por el cabildo de la catedral y el peratriz , según el orden dispuesto por el cere­ clero, D. josef Montoya , deán de la santa iglesia, monial. y D. Josef Matías Calzas , canónigo lectora i. Por Concluido este acto con las firmas del príncipe la nobleza, D. Manuel Antonio Benavides. Por el archicanciller y del secretario …</t>
  </si>
  <si>
    <t>Cam, Tomas</t>
  </si>
  <si>
    <t>Tomas Cam</t>
  </si>
  <si>
    <t>la falda del arco de "Bañuelos ó’peña de la Zarza, por Buenavista, de 4^ f,n., linde A orien­ medio del camino de dicha peña en­ te con herederos de D. Tomas Cam­ tH 00 tre él y el de Daganzo de arriba, pa­ puzano........................... ....................... . J 9B sado el juncar de Bañuelos................. 119 *618 Ot…</t>
  </si>
  <si>
    <t>Camacho, Cristóbal</t>
  </si>
  <si>
    <t>Cristóbal Camacho</t>
  </si>
  <si>
    <t>han llegado muchos bata­ D. Luis de Alanis, regidor. llones de fusileros de la guardia imperial. r Jurados. ESPAÑA. D. Juan de Vera, ............... D. Cristóbal Camacho. Sevilla j de febrero. D/Juan Guisado. 1 En la gazeta de hoi se han publicado los artí­ D. Salvador Gómez. culos siguientes: ....... .......... I?.JFewundoi …</t>
  </si>
  <si>
    <t>Camant, Zacarías</t>
  </si>
  <si>
    <t>Zacarías Camant</t>
  </si>
  <si>
    <t>........................... D. Antonio Arias. D. Vicente Ferrer. D. F rancisco Sagasta. D. Mariano de la Cuesta. Batallón del quartel de S. Gerónimo. D. Zacarías Camant. D. Manuel Saez de Prado. Capitanes. D. Vicente Romero de Tejada. D. Francisco Xavier Ruiz de Mendoza. D. Ramón Tamayo. D. Manuel de S. Vicente. D. Josef Vale…</t>
  </si>
  <si>
    <t>Camarasa, Félix</t>
  </si>
  <si>
    <t>Félix Camarasa</t>
  </si>
  <si>
    <t>istóbal Dócio, D. Manuel Bausa, D. Juan Doz, D. Jayme Perj, D. Juan Nioa , D. Juan Vasadre, y D. Pablo Baliñani; ayudantías, á D. Francisco Valdés, y D. Félix Camarasa ; te­ nencias, á D. Manuel Sainz, D. Juan Conde, D. Francisco Carrion, D. Miguel Valbuena, D. Rafael Sánchez Saravia, D. Mi­ guel Guajardo, D. José Arechaga, D…</t>
  </si>
  <si>
    <t>Camarero, Manuel</t>
  </si>
  <si>
    <t>Manuel Camarero</t>
  </si>
  <si>
    <t>ubdelegado D. Pedro Carrete, 25. El cura D. Igna­ cio Colon, 15. El teniente cura Fr. Juan Bórica, 10 D. José María Sánchez, 12. D. Rafael Franco, 15 D. Manuel Camarero, 25. Don Pedro Barraza, 12. D. Rafael Lara, 5. D Rafael Sánchez A varez, 12. V^ios individuos, 63. — Cuencamé. El subdelegado D. José María Du­ ran., 50. D. J…</t>
  </si>
  <si>
    <t>Camargo, Antonio</t>
  </si>
  <si>
    <t>Antonio Camargo</t>
  </si>
  <si>
    <t>224</t>
  </si>
  <si>
    <t>ccmo muy digno de elogio el acierto con que dirigieron el ataque el teniente co­ ronel D. Isidro López, comandante de la anillen*, el de igual clase D. Antonio Camargo, xefe de todas as goerri-Ias de irfanter'a, D. Julián Sánchez que manda, las de caballería, y el capi­ tán D. Cayetano Puente. El resultado de esta bril arrie …</t>
  </si>
  <si>
    <t>Cambier</t>
  </si>
  <si>
    <t>Gaceta de Madrid n.º 150</t>
  </si>
  <si>
    <t>er. y del prefecto marítimo, los al­ pote! coronel Twent, y la fragata la Venus por macenes de la arboladura , las ¡raguas, cordages . el el tenieote coronel Cambier: la tercera, anclada en­ almacén general, y todos los de nás edificios de que frente de esta capital » al maodo del contra-almi­ se compone el arsenal marítimo d…</t>
  </si>
  <si>
    <t>Cambio</t>
  </si>
  <si>
    <t>Gaceta de Madrid n.º 336</t>
  </si>
  <si>
    <t>Lasteirie sobre el cultivo del algodón. cías aj del cambio; y asi, baxo este respecto , el se­ Í £¡cho extracto se ha traducido en las diferentes ñor D. Cambio, según la expresioa de an aldeano, lenguas que se hablan en Hungría, y se han dis- que creía que era algún ministro, causa muchos . tribuido machos exemplares entre lo…</t>
  </si>
  <si>
    <t>Camborda, Fernando</t>
  </si>
  <si>
    <t>Fernando Camborda</t>
  </si>
  <si>
    <t>alcalde mayor de La- Guardias 4.°- A D. Josef del Alamo, abogado del colegio para la alcaldía mayor de L-erena,‘vacante por as­ de Granada. censo de D Fernando Camborda á juez del tribu­ Y á D. Juan María Amorin, abogado de Cór­ nal criminal extraordinario de Ciudad-Real , á Don doba , fiscal. Joaquín de Cáceres : para la alc…</t>
  </si>
  <si>
    <t>Cambronera, Manuel María</t>
  </si>
  <si>
    <t>Manuel María Cambronera</t>
  </si>
  <si>
    <t>Gaceta de Madrid n.º 61</t>
  </si>
  <si>
    <t>es á las bonda­ ó de la prefectura mas inmediata al lugar donde se des del Monarca. justifique el deliro ó la contravención, sin perjui­ El limo. Sr. D. Manuel María Cambronera, con­ cio de remitirlas ulteriormente á quien le corres­ sejero de Estado, encargado del ministerio de la Jus­ ponda de derecho. ,r ticia en las Andal…</t>
  </si>
  <si>
    <t>colección de chistes, agudezas, pa* tros consejeros de Estado D. Ignacio Joven de Sa­ sages graciosos, chanzas ligeras y singulares rasgos his­ las , D. Manuel María Cambronera , D. Vicente tóricos para recreo del espíritu y adorno del entendi­ González Arnao, D. Manuel Sixto Espinosa y miento, sacado de varios autores é idio…</t>
  </si>
  <si>
    <t>Cambronero, Manuel</t>
  </si>
  <si>
    <t>Manuel Cambronero</t>
  </si>
  <si>
    <t>ros este lenguage, Dios, que lee en en iguales términos ha encargado S. Ai. al consejero los corazones de los mortales, sabe el ínteres que de Estado D. Manuel Cambronero ei despacho de me anima. los negocios de Justicia; y al consejero de Estado ,, Españoles: el destino inmutable no ha pro­ D. Francisco Arnorós el de los asu…</t>
  </si>
  <si>
    <t>Camden</t>
  </si>
  <si>
    <t>26 PARLAMENTO. Idem 24. Ayer á las de la tarde se abrió el parlamento por los comisionados de S. M. el arzobispo de Cantorbery, el lord Canciller, el conde Camden, y los condes de Aylesford y Dartmouth. El lord Canciller en. nombre de S. M. pronunció el si­ guiente discurso. Afilores y Señores: ,,S. M. nos manda expresaros su…</t>
  </si>
  <si>
    <t>Cami</t>
  </si>
  <si>
    <t>a.ti ez. D. Almud Sánchez Tofcano...,......... 118963 «I 0 0 D. J os f Ignacio de Joven.................... 36540 Doru Alaria Eugenia Zubiaga, por sí Doña Cami! i de Amaga...................... 5 4r 00 y como totora y curadora de su D. Tontas Aisú....................................... 28800 hijo D. Pedro Zubiaga.............…</t>
  </si>
  <si>
    <t>Camicho, Joaquim</t>
  </si>
  <si>
    <t>Joaquim Camicho</t>
  </si>
  <si>
    <t>veetland, vecino de Gibraltar, 2®. El señor D. Roberto Mitchell, 1®. El señor D, Patricio Mo* llisoti, 1®. El señor conde de Villamar, 300. La señora Doña Joaquim Camicho, 320. El Excmo señor duque de Hijar, 320. El Excmo seño, marques de Brígida, 320. Imperta el total de esta lista núm. 1. la cantidad de 76860 rs. vn., su ma…</t>
  </si>
  <si>
    <t>Camilo</t>
  </si>
  <si>
    <t>................. • 3..17 II Otra en Valdezorita, ¡de 7 fin.. qué linda' Otra de 4 fán., ai camino de Brúñete, con i ' 'con la senda «de dicho pagó y D. Camilo el que linda y*con tierra de Narciso Beni­ y, Sánchez Oreilana.......... .......................... 13-17 397 to , y 01ra de Miguel Moreno...... ............... 18 ■ 3…</t>
  </si>
  <si>
    <t>derío para pro­ ducir sus efectos. La disposición que se adquiere Turra 28 de setiembre. con el sueño y la vigilia favorecen la acción de S. A. I. el príncipe Camilo, gobernador ge­ los agentes que causan las enfermedades. Seis ho­ neral de los departamentos del otro lado de los ras de dormir está acreditado por la experienci…</t>
  </si>
  <si>
    <t>Camilo, Rafael de Te</t>
  </si>
  <si>
    <t>Rafael de Te Camilo</t>
  </si>
  <si>
    <t>-ij8 esplendor por la presencia de S. A. I. el p ríncipe comisario ordenador honorario-; D. Rafael de Te­ Camilo , gobernador general, y re de rutero aqnella na y Castril, caballero de la citada órden de Cir­ magnificencia digna del rango que ocupaba entre ios iii ; D. Lorenzo de Basabru , teniente cor</t>
  </si>
  <si>
    <t>Campbell</t>
  </si>
  <si>
    <t>816</t>
  </si>
  <si>
    <t>m. 2, á las órdenes del general Colman; los batallones de cazadores núm, 1 y 3 con la división ligera inglesa , y el batallón sexto de la brigada del general Campbell; dos briga­ das de artillería mandadas por el mayor Arentschild, y 2 de las tres apostadas mas á la izquierda.. La única diferencia que hubo en ia conducta de t…</t>
  </si>
  <si>
    <t>Gaceta de Madrid n.º 310</t>
  </si>
  <si>
    <t>Rei de Suecia , ha pasado tam­ 12.° decipayos, que todos componen 25 00 eu­ bién por la misma ciudad coa pliegos para París. ropeos y 2© cipayos. El coronel Campbell man­ da la vanguardia. El coronel Fraser es el oficial mas antiguo de los de la expedición ; pero luego que ESPAÑA. •sta llegue á la isla de Rodrigo, debe tomar …</t>
  </si>
  <si>
    <t>879</t>
  </si>
  <si>
    <t>camentos del 12,33 y 89; una compañía de artillería, y los regimientos 6 y 8 de Cipajros : todo compone un cuerpo de 1800 «europeos y 1850 indios. El teniente coronel Campbell manda la brigada ligera; el teniente coronel Fraser era el oñcial mas antiguo; pero al llegar la expedición debía tomar el mando el teniente coronel Ke…</t>
  </si>
  <si>
    <t>1031</t>
  </si>
  <si>
    <t>y napolitanos qué habiañ pasado el estrecho eñ 40 barcos grandes, y llegaron á la costa de Sicilia antes de amanecer.— A la primera alarma, el mayor general Campbell marchó al punto amenazado, donde encontró los tiradores alemanes com­ batiendo ya con el enemigo, y el regimiento núm. 21 con par­ te del segundo regimiento alem…</t>
  </si>
  <si>
    <t>1032</t>
  </si>
  <si>
    <t>ral y de la legión corsa. También ha perdido el enemigo mucha gente entre muer­ tos y heridos, sobre todo á bordo al tiempo de abandohar la costa. El general Campbell elogia la conducta de los te­ nientes coroneles Adams y Fisclier y del capitán A’Court. Ha­ ce también mención del zelo y del entusiasmo de los paisanos de los …</t>
  </si>
  <si>
    <t>Campe, Nicolás</t>
  </si>
  <si>
    <t>Nicolás Campe</t>
  </si>
  <si>
    <t>la Cenia, ICO. D. Bruno Barnoya, 100. D. José Lagarda, 100. D. Antonio Celestino Navar­ ro , 100. D. José Marsan , 100. D. Joséjlgnació Pabon , 100. D. Nicolás Campe­ ro , 100. D. Manuel de Villa y Gibaja, 200. D» Felipe Vivanco, 50. D. Francis­ co García Puertas., 100. El Escribano D. Manuel Vidal , 100. D. Rafael de Ibarra …</t>
  </si>
  <si>
    <t>Campero, Antonio García</t>
  </si>
  <si>
    <t>Antonio García Campero</t>
  </si>
  <si>
    <t>D. Manuel Rubiano y Nieto. Palma............... D. Martin Mallol. - Santander. . . . Señores Vidal é hijo. Sta. Cruz de Te-) . , . „ , ’a ■ ‘ nerfe r D. Antonio García Campero. Tarragona. ... D. Ramón de Llordetla é hijo. Valencia, .... D. Francisco Peyrolon y compañía. LIBROS. Discurso en elogio de la milicia, y delineacion …</t>
  </si>
  <si>
    <t>Campillo, Tomas</t>
  </si>
  <si>
    <t>Tomas Campillo</t>
  </si>
  <si>
    <t>30*5 fempaifeo ^ Capttaaat. «ratona*. Subtaaltittas. ' D. Antonio Leiral... D. Valdoméro Gallego, D. Gerónimo Wolls. D. Tomas Campillo, D. Mariano Fernandez del Canto; D. Narciso Batía..... D. Matías de Mor y Ríos.... D. Josef Villanas; D. Rafael Yarce..... D. Estéban Moreno..... ......... I&gt;. Manuel López. D. Güilísimo Go</t>
  </si>
  <si>
    <t>Campo</t>
  </si>
  <si>
    <t>de las órdenes de S. M. I. y R. , y NOTICIAS DE OFICIO. del aviso que me dio el 4 de! corriente el goberna­ dor general. La carta que he recibido del duque Campo real de Piala d tr de julio de 1810. de Gaeta , ministro de Hacienda , sn fecha el 24 de febrero, me ha dado á conocer mejor las inten­ El enemigo se habia dexado de…</t>
  </si>
  <si>
    <t>Campoy, Ignacio</t>
  </si>
  <si>
    <t>Ignacio Campoy</t>
  </si>
  <si>
    <t>teo y Ramos, 300. D. Manuel Cayetano Espinosa, 150 D. Antonio de Cevallos, 200. D. Manuel Campoy, 10. D. Jasé Ignacio Ruiz, 10. D. José Urquides, 10. D. Ignacio Campoy, 20. D. Pedro Quirós, 10. D. Bernardo Zarala, 15. D Manuel Valenzuela, 14. Varios individuos, 78 y 4 rs. Los vecinos é indios de las misiones de Sta. Cruz, Nab…</t>
  </si>
  <si>
    <t>Campoy, José María</t>
  </si>
  <si>
    <t>José María Campoy</t>
  </si>
  <si>
    <t>uos, 29 y 3 rs—Real de Alamos. ÍL' .sub­ delegado D. Tomas Pelayo, 50.'El cura D. Juan Nicolás de Quinos * ico. El presbítero D. Eüas Zayas, 50. Idem D. José María Campoy* 20. Idem D. Pedro Campoy , 10. El administrador de rentas D. Manuel Zuloaga, 50. D. Bartolomé Salido, 300. D. Bruno de Palacio, 150. D. Nicolás Alfaro, 10.…</t>
  </si>
  <si>
    <t>Campoy, Manuel</t>
  </si>
  <si>
    <t>Manuel Campoy</t>
  </si>
  <si>
    <t>D. Joan Manuel de Ortiz, 300. D. Antonio Aunada, 150. D. Toribio de Mateo y Ramos, 300. D. Manuel Cayetano Espinosa, 150 D. Antonio de Cevallos, 200. D. Manuel Campoy, 10. D. Jasé Ignacio Ruiz, 10. D. José Urquides, 10. D. Ignacio Campoy, 20. D. Pedro Quirós, 10. D. Bernardo Zarala, 15. D Manuel Valenzuela, 14. Varios individ…</t>
  </si>
  <si>
    <t>Campoy, Pedro</t>
  </si>
  <si>
    <t>Pedro Campoy</t>
  </si>
  <si>
    <t>ÍL' .sub­ delegado D. Tomas Pelayo, 50.'El cura D. Juan Nicolás de Quinos * ico. El presbítero D. Eüas Zayas, 50. Idem D. José María Campoy* 20. Idem D. Pedro Campoy , 10. El administrador de rentas D. Manuel Zuloaga, 50. D. Bartolomé Salido, 300. D. Bruno de Palacio, 150. D. Nicolás Alfaro, 10. D. Manuel Anguiz, 50. D. Joan …</t>
  </si>
  <si>
    <t>Camps, Francisco</t>
  </si>
  <si>
    <t>Francisco Camps</t>
  </si>
  <si>
    <t>4 la misma hora por el ca­ mino de Mora, á tomar posición y posesionarse del Mas Kcig enfrente del eampamentó'de lasfói'cas /teniendo á su derecha á D. Francisco -Camps para sostenerlo con sus somatenes ; y que D. Baltasar P»Uíse,r sé dirigiese sobré García con todo su destacamento de 300 hombres, sos;tenido por D. Mariano Vi…</t>
  </si>
  <si>
    <t>CampT</t>
  </si>
  <si>
    <t>dido tener k la mano. Los prisioneros que se han hecho llegan, á 1200, y de continuo llegan otros de las montañas donde habían intentado salvarse. El general CampT bell mandaba el regimiento 21 , un batallón alernan, y el ba­ tallón extrangero de infantería ligera, que con tanto valor se han portado en esta gloriosa acción. N…</t>
  </si>
  <si>
    <t>Camus</t>
  </si>
  <si>
    <t>el mar Adriático. — En el Jónico se ha rendido al cuerpo de tropas bri­ tánicas que lo sitiaba el fuerte de la isla de Sta. Maura. Su coman­ dante el general Camus y otros 22 oficiales han sido transporta­ dos k Brindis en virtud de la capitulación. El conde Bernstoif, primer ministro que ha sido muchos</t>
  </si>
  <si>
    <t>Cana, Cayetano</t>
  </si>
  <si>
    <t>Cayetano Cana</t>
  </si>
  <si>
    <t>Cosío, 100. D. José Ramón de Gorostiza , 100. D. Ignacio Albiní , 25. D. Alberto Herrero, 100. D. Domingo Q'utierrez , 100. D. Miguel Cabalen , 100. D. Cayetano Cana­ leta , 50. D. Gerónimo Q.uijano, 50. D. Faustino Rodríguez , Medico, 50. Don — ........................... ~ — o---------- *-------------------------- y — Marti…</t>
  </si>
  <si>
    <t>Cañadas, Alonso Diaz</t>
  </si>
  <si>
    <t>Alonso Diaz Cañadas</t>
  </si>
  <si>
    <t>retirado al punto que las vio descubier­ tercer curato de dicha iglesia , vacante por muer-íl tas: la celeridad de sus maniobras para emprender te de D. Alonso Diaz Cañadas, á D. Joaquín Ma­ su fuga co le impidió recibir á bordo uoa treintena rin; y para ei quarto curato, vacante por muerte ' de balas roxas , que íe causaron …</t>
  </si>
  <si>
    <t>Canan, Carlos</t>
  </si>
  <si>
    <t>Carlos Canan</t>
  </si>
  <si>
    <t>de julio de 1S10. ,, Mi mas esti­ de Fuentjalida; tenientes en el mismo regimiento k mado amigo: ahora que sondas ocho de la mañana D. Nicolás Gubo, D. Carlos Canan, D. Severinoacabo de recibir la tuya, única que ha Legado á Bisinchí, D. Miguel Esprit y D. Prudencio Gó­ mis manos', y esta si se hubiera tardado, tal vez mez, s…</t>
  </si>
  <si>
    <t>Cañas, Alexandro</t>
  </si>
  <si>
    <t>Alexandro Cañas</t>
  </si>
  <si>
    <t>de la hacienda de Bocas y otras , 429.. El capitán reti­ rado de navio D. José de Torres y del Campo, 100, y ofrece otros 100 para el año siguiente. D. Alexandro Cañas , 100. Deña María Josefa de Bieira y Vallen , de Xalapa , 1000. Varios comerciantes y vecinos de San Luis del Potosí , 3268. El vecindario de Acapulco , 2157. …</t>
  </si>
  <si>
    <t>Cañas, Juan Félix</t>
  </si>
  <si>
    <t>Juan Félix Cañas</t>
  </si>
  <si>
    <t>s de aquel reverendo arzobispo y demas Rafael Navarro: para la de Callar y Ambrox al que han parecido convenientes., de sacerdotes ex­ ex-franciscano D. Juan Félix Cañas : para la de regulares pára servir las sacristías vacantes en di­ Beas at ex-franciscano D. Vicente del Castillo: cha ciudad y pueblos de su arzobispado, hem…</t>
  </si>
  <si>
    <t>Cancela, Froilan</t>
  </si>
  <si>
    <t>Froilan Cancela</t>
  </si>
  <si>
    <t>z, presbítero , cura de Salió. Y para el de Oreonagar vacante por muerte de Para el de Santiago de las Villas, vacante por D. Juan García Miranda,, á D. Froilan Cancela promoción de D. Bruno Montes al de Grulleros, González , tonsurado. á D. Juan Rodríguez , cura de Pembes. Nuestro ministro interino de Negocios eclesiás­ Para…</t>
  </si>
  <si>
    <t>Cándano, Josef</t>
  </si>
  <si>
    <t>Josef Cándano</t>
  </si>
  <si>
    <t>ez de Arcos..................... 171057 18 D. Juan Bautista de Ibarra................. 216 6 D. Antonio Escudero............................ 115038 8 D. Josef Cándano.................................. 180 17 La condesa viuda de Sanafé................. 136846 D. Tomas García Serrano................... 9566 *7 D. Gregorio de An…</t>
  </si>
  <si>
    <t>Candero, Tomas</t>
  </si>
  <si>
    <t>Tomas Candero</t>
  </si>
  <si>
    <t>568 mayor de montage* de artillería , subteniente; y i el terreno que oenpa la manzana comprehendida D. Tomas Candero, guarda-almacén de la misma entre las plazas de R gina y de ia Encarnación. maestranza de artillería de esta ciudad de Sevilla. art. ii. Antes de proceder á la demolición de art. ii. Nuestr</t>
  </si>
  <si>
    <t>CándidoPeratra</t>
  </si>
  <si>
    <t>dos á los .qé-regulares ‘les completará Para la dé Uxíjar y Lncaínena al ex-tnercena- por el tesoro público-la cantidad que falte, con arrio descalzo D. CándidoPeratra. reglb al artículo m del mismo. - -v, Para la de Lanjaron al' ex-carmelita descalzo art. in. Nuestros ministros de Negocios «cié. D. Joséf-Rtalz Pareja. elásti…</t>
  </si>
  <si>
    <t>Cañete, Luis</t>
  </si>
  <si>
    <t>Luis Cañete</t>
  </si>
  <si>
    <t>guardia de honor, D Josef Villa, Don Cayetano Janear, D. Josef Molinos, subteniente, El archidoqne Ranerio, llorado de sn gasto D. Carlos Beramendi, D. Luis Cañete, D. Juan por la historia natural&gt; ha corrido, los parages mas Galbsi, D. Santiago Moré, Don Joan Porcada, notables de las montañas de la Bukowina, aunque D. Josef …</t>
  </si>
  <si>
    <t>Cañizares, Fernando</t>
  </si>
  <si>
    <t>Fernando Cañizares</t>
  </si>
  <si>
    <t>368</t>
  </si>
  <si>
    <t>cuchillado los dos un buen es­ pacio. Badajoz 17 de junio. La insurrección de la Mancha ha«e mayores progresos cada día. D. Mateo Velez de Guevara, y D. Fernando Cañizares, vocales de la junta de Almagro, han alarmado el campo de Calatrava, y tenido varios cho­ ques con los enemigos. Han salvado de sus manos 141 yeguas del re…</t>
  </si>
  <si>
    <t>Cañizares, Josef</t>
  </si>
  <si>
    <t>Josef Cañizares</t>
  </si>
  <si>
    <t>Gaceta de Madrid n.º 241</t>
  </si>
  <si>
    <t>78</t>
  </si>
  <si>
    <t>edio la execucion rápida y sencilla de presentará por Ja compañía española la comedia an­ los contratos del comercio, de evitar con las for­ tigua de D. Josef Cañizares, en tres actos, titulada el Picarillo en Kspaña, y un divertido fin de fiesta. Acto­ mas y trámites comunes la entera pérdida ó des­ res en la comedia: Sras. …</t>
  </si>
  <si>
    <t>Cañnelo, Miguel</t>
  </si>
  <si>
    <t>Miguel Cañnelo</t>
  </si>
  <si>
    <t>a, de S. Miguel ; Don cisco Melchor de Prbgo, D. Juan Miguel Eche­ Francisco Morales, del Sagrario de la catedral; verría y D. Pedro Miguel Manzano. -D. Miguel Cañnelo, de Santa Marina; D'. Joan Ademas S. M. se informó mui por menor de del Pozo y Onievá , de S. Pedro; Dr. D. Rafael estos sugetos de tony io reiativo ai estado …</t>
  </si>
  <si>
    <t>Cano, Antonio</t>
  </si>
  <si>
    <t>Antonio Cano</t>
  </si>
  <si>
    <t>en la me­ Para la de Beas al ex-mercenario calzado Don moria , y los dexa grabados en ella mas profunda­ Manuel Mirantes. mente. Para la de la Peza 4 D. Antonio Cano, ex­ El señor Lacretelle cuenta y no pinta; para franciscano descalzo, lector, guardián y examina­ abreviar la narración calla circunstancias que ex­ dor sinodal…</t>
  </si>
  <si>
    <t>Cano, José García</t>
  </si>
  <si>
    <t>José García Cano</t>
  </si>
  <si>
    <t>D. Fermín Uribe, 8. Capellán Fr. Agustín Gó­ mez, 10. Sargentos, cabos y soldados, 818..— S. Buenaventura. Capi­ tán D. José Ronquillo, 100. Teniente D. José García Cano, 6. Idem D. Francisco Quintanilia, 46. Alférez D. José Medina, 20. Id. D. Pasqual Montano, 30. Capellán Fr. Juan Perez, 5*. Sargentos, cabos y sol­ dados, 15…</t>
  </si>
  <si>
    <t>Cano, Matías</t>
  </si>
  <si>
    <t>Matías Cano</t>
  </si>
  <si>
    <t>rete..-................... 43T2^ D. Frutos Alvaro Benito..... ................ 188 V3 37 D. J oscf Labarte...... ............................... jrto D. Matías Cano.............. ........................ CO.- + D. "j.oefde Roxas................. 63020 D. Angel de Sata y Zabiria................ 6--.7 D ña María I. nacía Berzos…</t>
  </si>
  <si>
    <t>Canosa, Juan</t>
  </si>
  <si>
    <t>Juan Canosa</t>
  </si>
  <si>
    <t>805</t>
  </si>
  <si>
    <t>tivos hechos por tes individuos del apos­ tadero de marina de Montevideo. Zumaca Carlota. Oficiales mayores. D. Pablo Guillem, segundo pi­ loto, ,3o- D. Juan Canosa, capellán zo. D. Ignacio Domingo, cirujano segundo , 50. —Idem de mar, de sueldo fixoy temporal. Amador Ponsada, primer guardián, 26. Eduardo Finch', práctico, 25…</t>
  </si>
  <si>
    <t>CantalinóV, Benito</t>
  </si>
  <si>
    <t>Benito CantalinóV</t>
  </si>
  <si>
    <t>....; 4696^ 44^* Doña Ajelítena Perez, :»*Ü*l-7Xaí|£ 2 1 r i D. Feliciano de Guizaburuaga,..,2089.14c/ D. Ventura de ArqueJlada..^... '• » ^607 ' 19I D. Benito CantalinóV............... «./ 6470 :2*.3; D. MiglMfde Land.í..,,,,.,...... . .. ' ^s^xSo ; 1 D. Martin 5 2oqxi Doña Auíonia QuadradP........... 12 25 - ^ 1 I3i Antonio…</t>
  </si>
  <si>
    <t>Cantarero, Manuel</t>
  </si>
  <si>
    <t>Manuel Cantarero</t>
  </si>
  <si>
    <t>el señar Lacretelle , el joven , es .obra digna D. Luis Bernardo de la Calle. de particnlar distinción. Es el quadro mas comple­ Para la de Alcudia á D. Manuel Cantarero» to de los acontecimientos ocurridos 4 la Francia ea ex-franciscano» predicador y confesor. la primera mitad del siglo xvm ; porque los dos Para la de Cogoll…</t>
  </si>
  <si>
    <t>CantelmL, Josef</t>
  </si>
  <si>
    <t>Josef CantelmL</t>
  </si>
  <si>
    <t>Gaceta de Madrid n.º 350</t>
  </si>
  <si>
    <t>...... .x j Tomas Rodríguez... t i Granaderos.... t Pto Santa María. 1 '-Manuel Ibar..... . 1 Tambor.......... Antonio Bernajai.... 1 Sargento i.°... D. Josef CantelmL. t Sargento 2.°... Francisco de Castro 1 /Juan Fernández.'..... .1 Soldados...... . ^■Santiago Alonso. .x Cabo 1.*....... . Cárlos Dote.......... 1 Sargento 2.…</t>
  </si>
  <si>
    <t>Cantío</t>
  </si>
  <si>
    <t>os los marinos , como también á los conscriptos con gran silencio creyendo sorprchendernos; pero refractarios, no es aplicable á sus fautores y cónel capitán Cantío y una compañía, que se había plices en caso de ataque, resistencia y auxilio da­ formado por de pronto de los marineros de los bu­ do contra la fuerza armada, ni …</t>
  </si>
  <si>
    <t>Canuco, Manuel</t>
  </si>
  <si>
    <t>Manuel Canuco</t>
  </si>
  <si>
    <t>......... .......... . •••«••••hete-*»»»***» ••♦••••................ D. M.riano Calderón. 8.' D* Joan Palas........... D. Ventara Arqoellada......... D. Manuel Canuco.............. . D. Francisco Saochcs Moa9/. dragon. D. Antonio Laredó. 10. Segundo batallón. Pata ayudante primero D. Francisco Dufoo» para ugundo D. Manuel Ale…</t>
  </si>
  <si>
    <t>CapitanéV, Guillelmo Fernandez</t>
  </si>
  <si>
    <t>Guillelmo Fernandez CapitanéV</t>
  </si>
  <si>
    <t>&amp;í ¡de, 4 'plazáft'f Capitán, -£&gt;.;j Joz^nfrl Fé?rfeníie¿ TótiWti-’1*'”' Dos.x&lt;t?m?%%f tHúYé4mK°'-&amp;;A*o° fb?" s'£ri w.nD ‘ ' cada una. ^ Subtediedte, D. Guillelmo Fernandez/ CapitanéV,n3f^^rahcjiffd llfn*|es 'y' T). Juan . fr.*ít 1 &gt;»d ton^ *i .d ./iLj nK3 Campara* de ■ Mós tSer 'de d: /6b .plaaasn'C Ff TSn¡enfe$?’!jb?K?^dn»Í…</t>
  </si>
  <si>
    <t>Capmani, Antonio</t>
  </si>
  <si>
    <t>Antonio Capmani</t>
  </si>
  <si>
    <t>D. Antonio Llaneras, por la isla de Mallorca: D. Ramón Lázaro de Don , por Cataluña: D. Alonso Maria de la Vera y Pantoja , por la ciudad de Mérida: D. Antonio Capmani, por Cata­ luña : D. Juan María Herrera, por Extremadura : D. Manuel María Mar­ tínez por ídem: D. Alfonso Nuñez de Haró, por la provincia de Cuen­ ca: D. Pedr…</t>
  </si>
  <si>
    <t>Capmany, Antonio</t>
  </si>
  <si>
    <t>Antonio Capmany</t>
  </si>
  <si>
    <t>acduff, 5000. D. Manuel Femando Ruiz del Burgo, 500. Oficiales de la primera se­ cretaría de estado, 7000. Archivero de la misma y sus oRciales, noo. D. Antonio Capmany, ico. D. Luis Fernandez Gonzalo dei Rio, 300. D. José Batlle y Mayner, 3GO. D. Miguel Riera y Refart, 300. D. Ma­ nuel Fopiano, roo. Conde de Fernan-Nuñez, 6c…</t>
  </si>
  <si>
    <t>Car</t>
  </si>
  <si>
    <t>Gaceta de Madrid n.º 190</t>
  </si>
  <si>
    <t>ren servicio perso­ ga, calle de las Carretas: su precio ó rs. nal en la guardia cívica , podrán ser substituidos Empresa, victorias y desgracias del príncipe Car­ por persona Inscrita en la misma guardia, ó paga­ los Eduardo Stuurd, pretendiente de Inglaterra, resi­ rán la quota de jo reales vellón por cada uoa de dente en R…</t>
  </si>
  <si>
    <t>Cár</t>
  </si>
  <si>
    <t>ven­ Aguado: en el regimiento de Madrid , i.° de in­ ción en el plan, interes en la acción, variedad .en fantería de línea, á capitanes los tenientes D. Cár- los incidentes, y perfección de estilo en la execulos Supino y D. Luis Perez; á tenientes á los sub­ cíod , tales son las principales prendas tjue lo ca­ tenientes D. Ca…</t>
  </si>
  <si>
    <t>Gazeta de la Regencia de España e Indias n.º 100</t>
  </si>
  <si>
    <t>de te­ ner en el mediodia, de España, parece que resuelven irse en otro convoy que se esta, disponiendo, y á que acompañarán el canónigo Morales y el cura Car mona, canónigo electo por los franceses , y no admitido por el cabildo.-—Nuestros, opresores tratan de desmentir las noticias recibidas acerca de Massena con otras que …</t>
  </si>
  <si>
    <t>Car, Angel</t>
  </si>
  <si>
    <t>Angel Car</t>
  </si>
  <si>
    <t>ell y al’cadete Don Evaristo Fiallo: en el de, Murcia tenencia al subteniente; D. Francisco Preilcr : en el de 'Africa tenencias al teniente agregado D. Angel Car­ ril!, y a los subtenientes D. José García y D. Joaquín Larramendi y y subtenencias al sargento primero D. Dionisio Racjabalal Cadete Don Felipe Calderón y al solda…</t>
  </si>
  <si>
    <t>Car, Félix</t>
  </si>
  <si>
    <t>Félix Car</t>
  </si>
  <si>
    <t>330</t>
  </si>
  <si>
    <t>de Curtidores, arren­ dada á Diego Sierra.... .......... 165 * 320 Una casa en la calle del Puente, Otra, calle de las Beatas,arrear . en la que vive D. Félix Car- ■ &lt;d»da á Josef (juucrrez......... 44 352 vajal................ .............. .......... 55* • 4400 Otra, calle de Tres cruces , en Otra en id., arrendada á Migue…</t>
  </si>
  <si>
    <t>Carabantes, Carlos</t>
  </si>
  <si>
    <t>Carlos Carabantes</t>
  </si>
  <si>
    <t>106</t>
  </si>
  <si>
    <t>pio Consejo de Regencia se lia servido, en el real nom­ bre del Rey nuestro Señor D. Fernando VII, promover k briga­ dieres de los reales exércitos k D. Carlos Carabantes , coronel del regimiento provincial de Guadix ; y á D. Ignacio de Vera y Rocafull , capitán de la real brigada de Carabineros , en con­ sideración k sus ser…</t>
  </si>
  <si>
    <t>Caralla, Pedro</t>
  </si>
  <si>
    <t>Pedro Caralla</t>
  </si>
  <si>
    <t>igiíi, se ha encargado de presentar á S. E. &lt;1,mi­ D. Juan Sabina Fuentes está nombrado capitaní nistro de lo Interior cinco libras de dichos granos» D. Pedro Caralla teníeute, y D. Bernardo Gon­ y otra pequ.eña cantidad á la sociedad de agri­ zález subteniente.. ... cultura. % ' . &gt; art. ni. En el batallón de milicia fcívica…</t>
  </si>
  <si>
    <t>Caramodar, Ignacio</t>
  </si>
  <si>
    <t>Ignacio Caramodar</t>
  </si>
  <si>
    <t>la paja, y todo lo demas que no se ha. po­ co, de la referida órden. dido acarrear, ha sido quemado. En fin, para inco­ Para la de la villa de Orce á D. Ignacio Caramodar mas al enemigo se han arrasado todos los vaca, de la propia órden, confesor y predicador. •molinos, y los materiales de estos han sido que­ Para la de la vi…</t>
  </si>
  <si>
    <t>Caraso, Pedro José</t>
  </si>
  <si>
    <t>Pedro José Caraso</t>
  </si>
  <si>
    <t>, 100. D. Juan Manuel Revuelta, 200. D. Pedro de la Puente;‘20Q. B. Isidro Zulueta , 200. D. Bartolomé García y García, 100. Don Diego Barren , *200. D. Pedro José Caraso , 200. D. Julián Judice , 200. D. Jo­ sé Ramón Recaño.., 100. Guivcrt y Tulsó , 100. D. Valentín . Revilla, 200. Viuda de Torre y compañía , 100. D. Valentí…</t>
  </si>
  <si>
    <t>Caraza, Antonio</t>
  </si>
  <si>
    <t>Antonio Caraza</t>
  </si>
  <si>
    <t>miento de húsa­ Brest 11 de mayo. res de su guard¡3 á D. Anselmo Gai : capitanes á El general Cafarelli, prefecto marítimo, ha he­ Di Ignacio Calvo y D. Antonio Caraza: tejientes cho insertar en el diario de nuestra ciudad las no­ á D. Próspero Chariier, D. Julio Riperr y D. An­ ticias siguientes tr. ÍJas de la isla de Franci…</t>
  </si>
  <si>
    <t>Carbajal</t>
  </si>
  <si>
    <t>lo­ grarse tales como aguardábamos del valor de aquellas tropas y temeridad de los enemigos. La copia adjunta lo es del avi­ so que acaba de darme el general Carbajal, y dirijo á V. E. para satisfacción de S. M. El primer objeto qne tuve en dicha combinación y que no he perdido le vista, es el obligar 4 ios enemigos á abandon…</t>
  </si>
  <si>
    <t>Carbajal, Ciríaco González</t>
  </si>
  <si>
    <t>Ciríaco González Carbajal</t>
  </si>
  <si>
    <t>por con­ siguiente todas las providencias que las extinguieron $ cuya junta ha de componerse de los ministros del consejo D. Antonio Ranz Romanillos, D. Ciríaco González Carbajal, del secretario del mismo consejo y cáma­ ra D. Esteban Varea , y del intendente de exércitó D. Mateo Diez Du­ ran. Pero ha resuelto al mismo tiempo…</t>
  </si>
  <si>
    <t>Carbalio, Gregorio Aívarez</t>
  </si>
  <si>
    <t>Gregorio Aívarez Carbalio</t>
  </si>
  <si>
    <t>. Miguel Navarro, D. Antonio Aznar , y D. Laureano Sauz; y subtenencias, ? X). Bruno Soaso, D. Antonio Llamas, D. Lorenzo Adelantado D. Juan Sotelo , D. Gregorio Aívarez Carbalio , D. Ramón Min guillen , y D. José Piñeyro. Asimismo ha concedido grado de capitan de infantería , á. D. Manuel de Oromí , teniente del bata­ llón d…</t>
  </si>
  <si>
    <t>Carballo, Manuel</t>
  </si>
  <si>
    <t>Manuel Carballo</t>
  </si>
  <si>
    <t>amigos y aliados los ingleses S. M., juez de primera instancia y de los autos de abno derramarán poeps lagrimones al ver que se ha lle­ intestato de D. Manuel Carballo , ha scfiilado el dia 2/ vado el diantre á uno de tus mas acérrimos defensores de agosto próximo á las cinco de su tarde para la junta y apasionados que. tan b…</t>
  </si>
  <si>
    <t>Carballo, Miguel</t>
  </si>
  <si>
    <t>Miguel Carballo</t>
  </si>
  <si>
    <t>Díaz Granados y D. Luís Francisco García j de fusileros á los ayudan­ tes D. Lorenzo Escudero y D. Bernardo Vaiiarino, y al teniente de gra­ naderos D. Miguel Carballo; ayudantías á ios tenientes D. Antonio Fominaya y D. Antonio Fernandez Rebustillo j tenencia de granaderos al de fusileros D. José López, y de fusileros á los …</t>
  </si>
  <si>
    <t>Carbó, Jayme</t>
  </si>
  <si>
    <t>Jayme Carbó</t>
  </si>
  <si>
    <t>e dos divisiones de somatenes de Villafranca D. Antonio Gilovar , D. Francisca Alaorná , el capitán D. Ramón Ferrers y D. José Caiasus, el te­ niente D. Jayme Carbó, y un capitán de somateaes ce S. Boy. Desde dicho dia no ha ocurrido m?.s novedad que la de haber los enemigos retirádose á S. Justo , aumentando su artillería ba…</t>
  </si>
  <si>
    <t>Carbonell, Pablo</t>
  </si>
  <si>
    <t>Pablo Carbonell</t>
  </si>
  <si>
    <t>el Vázquez. tuado al otro extremo de ella; todos los balcones Segundo batallón, Comandante de bitallnn y ventanas estaban ocupados- S. M. atravesó la D. Pablo Carbonell , ayudante D. Josef María Bu» ciudad á caba’lo ea medio de repetidas aclamacio­ rel , abanderado D. Jostf Repiso, cirujano D Juan nes de sus moradores: todos …</t>
  </si>
  <si>
    <t>Carceller, Luis</t>
  </si>
  <si>
    <t>Luis Carceller</t>
  </si>
  <si>
    <t>erpo compañías á D. Manuel Márquez , D. JoSé Pinto , D. Antonio Guto , IV Antonio Áivarez , y D. Juan Cosulh-ela ; t ív.-ncias á. D. l^edro Carmena , D. Luis Carceller, D. Nicolás de Robles , D. Vicente Castaño , IV José .Zurbanó, D. José Lorite , D. Mamó 1 de la Vega, D. Domingo Molina, D. Cícmentí Lemüs, D. Tornas Gatída . …</t>
  </si>
  <si>
    <t>Carcer, Cayetano</t>
  </si>
  <si>
    <t>Cayetano Carcer</t>
  </si>
  <si>
    <t>isco de Quesada y Vial, teniente del regimiento ele B&amp;ylén. En el mismo real cuerpo ha concedido igualmente S. M. pri­ mera tenencia de granaderos, á D. Cayetano Carcer ; primera tenencia de fusileros al teniente coronel D, Oíaguer Desvalí?; segunda tenencia de granaderos, á D. Manuel'Francisco C avalery; y segunda tenencia d…</t>
  </si>
  <si>
    <t>Carcomé</t>
  </si>
  <si>
    <t>Gaceta de Madrid n.º 289</t>
  </si>
  <si>
    <t>r mandó que se formase en rriaCO.'-,' círculo, y. Habló í los oficiales , sargentos y solda­ • Por S. E. el señor duque; dé Frías , embaxador dos. Ei general Carcomé, comandante de la le­ de SvM.'él Rei-de-España^ íScE..el señor mar­ gión, iba traduciendo en portugués las palabras ques de Almenaran-ministro de lo Interior de …</t>
  </si>
  <si>
    <t>Carde, José María</t>
  </si>
  <si>
    <t>José María Carde</t>
  </si>
  <si>
    <t>seus , 100. El Tesorero principal D. José Antonio Carvajal , 100. D. Angel López Stn. Ana, 50. D José Ramón Petancour, £0, I&gt;. Antonio Figueroá, 100. D. José María Carde ña’, 100. D. José Cenen y Castilla , 100. X). Luis-de Elexaldre, 100 D. Pedro García del Valle, 100. Den Juan Antonio Aguilar, 50. D. Pedro del Puerto Vicari…</t>
  </si>
  <si>
    <t>Cardenal, Dcogtacias</t>
  </si>
  <si>
    <t>Dcogtacias Cardenal</t>
  </si>
  <si>
    <t>............. ..i... El conde dé Montaren.............. ”34:4^ Doña María IgnaciadeAptaia. «f B. Miguel de Gorr.es.;;.;;v..vf:v.;;;'..', 2 t eco , &lt;1 D. Dcogtacias Cardenal—..........'^.í.... &gt;yijl Di Simon de TPrres.-..'.v.....v.. , 548 ¿ .'1 D. Pedro Baille y compañía..........;. 79315.J,7; Doña María dcl Cármen Herrau.....…</t>
  </si>
  <si>
    <t>Cardeñoso, Manuel</t>
  </si>
  <si>
    <t>Manuel Cardeñoso</t>
  </si>
  <si>
    <t>es. con la mayor alegría y entusiasmo. D. Tomas Tordesiilas. D. Francisco Garibai. ESPAÑA. D. F ranci co Canales. D. Benigno Brian. Madrid9 de junio. D. Manuel Cardeñoso. S. M. ha expedido e! decreto siguiente: D. M .rtin Azcué. Extracto de las minutas de la secretaría de D. Andrés Cabello , hijo. Estado. D. Estéban Urquijo. …</t>
  </si>
  <si>
    <t>Cari, Pedro</t>
  </si>
  <si>
    <t>Pedro Cari</t>
  </si>
  <si>
    <t>gente, nuestro señor, se celebró en Riojaneiro el casamiento de la serenísima señora Doña María Teresa, infanta de Portugat , con el serenísimo señor D. Pedro Cari os de Borbon, infante de España. Con tan plausible mo­ tivo hizo el gobierno varias gracias á muchos sugetos de dis­ tinción empleados en la servidumbre de palacio…</t>
  </si>
  <si>
    <t>Cariota, Luisa</t>
  </si>
  <si>
    <t>Luisa Cariota</t>
  </si>
  <si>
    <t>Gaceta de Madrid n.º 357</t>
  </si>
  <si>
    <t>particulares de Andrioópolí que ' Esta tarde á las seis y media se celebra el ma­ Mucbrar-Baxá había sido'rechazado en qn ataque trimonio de S. A. la princesa Luisa Cariota de Di­ que habí* dado el dia 7 contra el ezérdto ruso. namarca con S. A. el príncipe Guillélmn de Hesse. Parece que el Gran Señor insiste en su 'resolu­ L…</t>
  </si>
  <si>
    <t>Carlos</t>
  </si>
  <si>
    <t>Toledo. terior. García Ximenez ( D. Pedro Segando), alcalde ma* Conde de Melito, superintendente de nuestra Real yor de Manzanares. Casa. Gregorio ( D. Carlos de), teniente general de nues­ Marques de Montehermoso , nuestro primer gentil* tros Reales exércitos. hombre de cámara. Huici (D. Martin), director de la compañía dé D…</t>
  </si>
  <si>
    <t>Gaceta de Madrid n.º 11</t>
  </si>
  <si>
    <t>federación.-Suspende inmediatamente su marcha sobre Eckmii h : rodea la izquierda del exército triunfadora, dexa sus exé citos en España, y cree del príncipe Carlos , reducida á quatro cuerpos por que sn presencia bastarla' para destruir sus ene­ la separación de los otros dos ; la pone en comple­ migos. " , ... ta derrota, l…</t>
  </si>
  <si>
    <t>1810. El Emperador no estuvo perplexo sobre su plan; después de haber desecho el grande exérci­ S. M. ha llegado aqni á las once de esta maña­ to del príncipe Carlos, y arrojado quarro de sus na , y; después de haberse detenido dos horas, ha cuerpos sobre la Bohemia, se propuso seguir los continuado su viage á Madridejos. En …</t>
  </si>
  <si>
    <t>de España, ¿cómo podíais desconocerlas? Obrasteis grafo español Alonso de Sta. Cruz, maestro del pues centra vuestras mas sagradas oblig ¡dones res­ Emperador Carlos v, ügun aseguró el Sr. Navarpecto de La patria , y no por error ni ignorancia, rete en su citado discurso, y demuestra ahora eo sino por seguir el ímpetu de las …</t>
  </si>
  <si>
    <t>Gaceta de Madrid n.º 74</t>
  </si>
  <si>
    <t>311</t>
  </si>
  <si>
    <t>. Por este medio es caballería ligera hemos tenido también aqui un ba­ fácil, sobre todo á los aldeanos, surtirse de azúcar tallón del regimiento del duque Carlos, y varios des­ y de los xarabes mas simples y comunes. tacamentos. Dentro de pocos dias saldrán las pocas Se asegura que el Rei hará en la primavera pró­ tropas fra…</t>
  </si>
  <si>
    <t>epartamentos.del otro lado de los Alpes, que ha art. 11. £1 palacio empezado segad las órde­ hecho las funciones de archicanciller de Estado. nes del Emperador Carlos v en el recinto de la Una diputación de Ja academia imperial de la* Alambra, se terminará con arreglo á los mismos ciencias de Turin, compuesta del senador cond…</t>
  </si>
  <si>
    <t>Cárlos</t>
  </si>
  <si>
    <t>ncion de estas provi­ con motivo de la coronación, en memoria de la dencias debian también preceder otras operaciones elección que ha hecho S. M. del príncipe Cárlos preliminares ; sin embargo, podemos ya presentar^ Augusto para príncipe heredero de Suecia. El ban­ ¿ nuestros súbditos para su tranquilidad fas basas co hará lo…</t>
  </si>
  <si>
    <t>Esta expedición ha costado á citan ocupados por tropas francesas. La Romana, los foragidos mas de 300 de los suyos, sin contar la junta de Badajoz y D. Carlos España, que es su con los muchos que se dispersan escarmentados con agente mas furioso, empleaban los medios mas vio­ las pérdidas que han padecido. La infantería fran­…</t>
  </si>
  <si>
    <t>la Emperatriz, ¿1 Rei y la Reina de vía se esperan otros muchos, que serán agregados Westfjiia, y tola la corte. Después se han em­ al regimiento del duque Carlos, el qual antes de barcado á bordo del Anversois, de 74 cañones, la última guerra estaba siempre de guarnición ea y. han examinado mei despacio este navio, el qual A…</t>
  </si>
  <si>
    <t>sto, poco mas ó menos , en los térmi­ se representan el Firsco , XValensttin, Marta Estuar- nos siguientes: ,,Nosotros no tenemos mas Tentas que da y D. Carlos, piezas maestras del mayor ¡«genio del lo que sacamos de las entradas. Tenemos la experiencia Norte. Ni es solo el populacho el que concurre con an­ de que las bueDas …</t>
  </si>
  <si>
    <t>rror mismo que le inspiraría c! personaenérgicas representaciones del cura. En sus escenas con ge oue representa. U.i profundo silencio, y ciato mur­ D. Carlos debe manifestar el enfado que las reconvencio­ mullo de indignación que debe oiise de qu-.ndo en quannes amargas de un jcí.ven , que ¿1 cree único autor de todos do, s…</t>
  </si>
  <si>
    <t>o? y' ^ue 'ejsté ^alf aquella familia afligida.?Si.el poeta lo hace por mortifi­ ga hecho un tonto, que no dice maa que asi car á D. Pedro,, a^í está D. Carlos que rabia por dirle y «st ha’de str'. r ■ :&lt;»t *¡. •' ' ’ lina pesadumbre ,'y,que como .vtené déjaWéra^Vó sabo No hái Vetfiédioj eh iaá btírásdtí'está1 especieó :tós t…</t>
  </si>
  <si>
    <t>o, nuestro edecán y primer caballerizo. Ranci JD. Manuel Antonio) , capitán de cabalie r*q« art. ii. Nuestros gran:canciller y gran tésore-i Reding ( D. Carlos );, talariscat de campo de riñesro de la Orden quedan encargados de; iaiexecociom ¡ tros realeJ exércitos. del presente decreto. = Firmado =YO EL ILELsé Rodrigo de Men…</t>
  </si>
  <si>
    <t>as pa­ mado ? ¿Por qué, preguntan,’oye el altivo' IX Pedro labras que me propuse hablar con vtnd. Todos tos pre­ con aquella frescura las amenazas de D. Carlos? :Potque' ceptos: del arte dramática están tan estrechamente uni­ •1 poeta no le ha mandado que responda. sCómó con­ dos entre sí, que de qualquiera pieza dramática qu…</t>
  </si>
  <si>
    <t>Gaceta de Madrid n.º 193</t>
  </si>
  <si>
    <t>ntre los documentos que manifiestaú minico, y después obispo electo de Canarias, dado al esta oposición de nuestros Monarcas, es mui TOtable el señor Emperador Carlos v y pri.tmíro de España sobre que se lee ep el nútti. *.? de esta coleccióny que. conr las controversias con la corte de Roma. El testimonio tiene una carta del…</t>
  </si>
  <si>
    <t>eda notificó motivos, ello es que el papa determinó y prometió re­ al papa.esta protesta en 16 de énero dé, 2709, y pidió conocer al serenísimo señor D. Carlos, archiduque de Testimonio de esta diligencia. ■Austria, con el carácter de Rei in genere, y con los El pontífice disimuló porúntonces; pero deseoso dé demas at'ibutqs …</t>
  </si>
  <si>
    <t>Gaceta de Madrid n.º 200</t>
  </si>
  <si>
    <t>nteresantes, que descubren las causas de la guerra onsada, y los varios sucesos de la cam­ HOLANDA. paña de 1809, En ella se ve también que él archi­ duque Cárlos ba sido ea todo tiempo opuesto á la Amsterdan 14 de junio. guerra , y que ha estorbado por dos veces el tom- El teniente coronel Hiux, comandante de los pimiento en…</t>
  </si>
  <si>
    <t>spensa­ el nuncio en España mas jurisdicción que la de un em­ ciones matrimoniales, y que no habían bastado á conte­ baxador ordinario; pero el señor D. Carlos v de Ale­ ner las medidas tomadas'hasta su tiempo por los Sobe­ mania, y 1 de Castilla, pidió al papa Paulo ttt que co­ ranos de España, se ve que este escritor recono…</t>
  </si>
  <si>
    <t>e paz. Brauoau. Es ta mañana .ha llegado á esta el 4.0 regimien­ to de infantería de Salem, y SS. AA. el Principo GRAN DUCADO DE FRANCFORT. Real y el Príncipe Cárlos le han pasado revista en presencia de los tenientes generales deTriva y De- Francfort 25 de junio. roi. Esperamos otros muchos cuerpos que vuelven Mr. de Hngel h…</t>
  </si>
  <si>
    <t>de la Bukowina, aunque D. Josef Soria, D. Francisco de Paula Veluti, mui escabrosos. S. A. 1. ha visitado las fronteras D. Francisco de Paula Micas, D. Carlos fimo, de la Moldavia, y ba vuelto á Skolc, Stnolna, cadete, D. Pedro Gerona, cadete , D.. Agostía Drohobieiz y Sambor por las ferrerías y salinas de Viado , D. Antonio …</t>
  </si>
  <si>
    <t>*34$ Aodrieuk (D.Gregorio), artillero de nuestra goar- Faiponlt (D. Cárlos), consejero de Estado, di­ dia real. ... rector general del tesoro público. Antoioe (D. Santiago), «argento de tiradores, ídem. Favier ( U. Claudio), capitán de artillería de núes* Arpin (D</t>
  </si>
  <si>
    <t>limentos resisten mas á las impresiones de las cau­ Rancourt ( D. Juan), gefe de euquadron. sas morbíficas que pueden, trastornar el orden de Ratier (D. Carlos) , gastador dtl regimiento de ti­ sus funciones. Como eo el tiempo que es propio radores de nuestra guardia real. para desenvolverte las tercianas el calor incomo­ Rav…</t>
  </si>
  <si>
    <t>querer pasar á la izquierda del Tajo, donde ya había á pre­ vención algunas tropas inglesas y portuguesas. — El cuerpo de tropas ligeras del mando de D. Carlos España ocupa el im­ portante punto de Abrantes.</t>
  </si>
  <si>
    <t>ueron desalojados de tres posi­ ciones sucesivas, y sufrieron alguna pérdida. Nue. tros solda­ dos , y los españoles, pertenecientes á la división de D. Carlos España, continúan mostrando la superioridad que hemos ad­ quirido sobre los franceses. ( Gazeta de Lisboa.) La Regencia de este país que desde primeros de octubre se j…</t>
  </si>
  <si>
    <t>Posé , 30. Varios individuos, 23. — S. Antonio de la Huerta. I). José Tomas de Zuza, 200. D Rafael Lumbier, 100. El cura D. Diego García Celis, 100. D. Carlos La­ vandera , 120. B. Felipe López, 20. D. Juan Monzon , 20. Varios individuos, 87 y 2 rs. — S. Francisco Xavier. D. José Manuel Calles, J00. B. Domin­ go Santa Coloma …</t>
  </si>
  <si>
    <t>Cárlosj</t>
  </si>
  <si>
    <t>casa de la intendencia de Jos edificios de la cor­ impe ría 1, S. M- conducida por.S* A-.L el! archi­ te representaba un templo.de la mas hermosa ar­ duque Cárlosj.y precedida de varios .page$v arcra-*¿ quitectura con esta inscripción en transparente* veso la sala del consejo, donde estaban. retuiidó&amp; los consejeros intimos, …</t>
  </si>
  <si>
    <t>CarlosrSoler, Ahtonio</t>
  </si>
  <si>
    <t>Ahtonio CarlosrSoler</t>
  </si>
  <si>
    <t>deá ia y too hombres de .tri­ A D. Juan Sánchez Fernandez, presbítero, pa­ pulación.” ^ • ra el de Sra. María de Fondas ^vacante por prorno— ’cion de D. Ahtonio CarlosrSoler al de Sta. María IMPERIO FRANCES. de Bmamamanrel. Nuestro ministro interino de Negocios eclesiás­ Midde'burga, 4 de junio. ticos cuidará del cumplimiento…</t>
  </si>
  <si>
    <t>Carlota</t>
  </si>
  <si>
    <t>Gaceta de Madrid n.º 179</t>
  </si>
  <si>
    <t>antando machas baterías, sin Por cartas de Falmouth, de fecha de hoi, se otra oposición por parte nuestra ni de la de los es­ sabe que el paquebot la Princesa Carlota, man­ pañoles qne fa de arrojar algunas bombas de riera-' dado por el capitán Kerr, habia llegado á aquel po en. tiempo. Es mui probable que dentro de al­ puert…</t>
  </si>
  <si>
    <t>Gaceta de Madrid n.º 342</t>
  </si>
  <si>
    <t>E FRANCFORT. ,, Remito el adjunto estado del convoi que se hizo ayer á la vela con buen viento de N. E., es­ Francfort i 8 de octubre. coltado por la Princesa Carlota y por eí Stateli. Escriben de Rusia que se ha recibido allí fa no­ Estol mui ¡acomodado desde que me han dicho ticia de que la esquadra turca se había presentad…</t>
  </si>
  <si>
    <t>Gaceta de Madrid n.º 358</t>
  </si>
  <si>
    <t>e reunido inmediatamente algunas tropas francés&lt;s, márch;fon contra la villa, loque ESPAÑA. obligó á nnestra tropa á reembarcarse (1). El paquebot la Princesa Carlota, que sa'ió Madrid 25 de diciembfe. de Lisboa en 30 de octubre, ha entrado en F.d- Con arreglo á lo dispuesto en el decreto, mouth. Al pasar por junto al Cabo Le…</t>
  </si>
  <si>
    <t>Carlsruhe</t>
  </si>
  <si>
    <t>r. que de Bcrg , que ahora esta en VenalUs , ha re­ ALEMANIA. cibido la denominación de cuerpo de lanceros, y hará parte de la guardia imperial. Cada soldado Carlsruhe 2 / de enero. . A traerá una lanza con un guión encarnado y blanco. Todas las tropas baiesa; que han servido en la Las cartas de Strasburgo del 24 dicen que «u…</t>
  </si>
  <si>
    <t>Carmen, Mirra</t>
  </si>
  <si>
    <t>Mirra Carmen</t>
  </si>
  <si>
    <t>......... 33333 8 Doña Paulina Gil de Terreros ..... 195 a L B. fPedro Fstcnpr-..?, ¡ 26400 • D. Roque de Avila...,......................... 4200 : ? Doña Mirra Carmen. Alxarez......*6400 D. Vicente García Bravo................ 2030 , I D. Estéban de Ja.Torfe...a*.....11403 28' La casa de Aguirre é hijos......................…</t>
  </si>
  <si>
    <t>Carne</t>
  </si>
  <si>
    <t>se le ha recha­ ros no naturalizados. zado con gran pérdida de- parte suya. art. 11. Por consiguiente todo súbdito de una E: teniente ccone HuM y el capitán Carne ron de las dos potencias que haya establecido su do­ están en la lista de ios muertos. Se dice que la in­ micilio en la otra, ó que se halle en ella como fantería i…</t>
  </si>
  <si>
    <t>Caro</t>
  </si>
  <si>
    <t>567</t>
  </si>
  <si>
    <t>nuestro* exércilo &gt; y la entregaúde Va lene ¿ax y. Venís cola ^ há excitada la risa uniVersaL «.-!;■ :ií-Vr: '-.wsd ..dr-íi'.'-vi. v A la salida del general Caro él mis mo dia 31 de j ulio--, de es­ ta ciudad á Castellón de la -Plana, siguió la del regimiento de infantería de Casulladel tercer! batadonde cazadores de Od* huel…</t>
  </si>
  <si>
    <t>te dente general Saiut-Marcli , hecho prisio­ nero en Zaragoza , y dos,edecanes del mismo Franceschi por otros dos oficiales de igual graduación. El general Caro le res­ pon lió que no estaba autorizado para ha er seme; ante cange, y que remitía sti propuesta al supremo'KHott^ejo de Regencia. El mariscal de campo D. Luis Alex…</t>
  </si>
  <si>
    <t>Caro, José</t>
  </si>
  <si>
    <t>José Caro</t>
  </si>
  <si>
    <t>ral Abert, al anochecer del mismo di:a al arrabal llamado de Murviedro; y los recibe la ciudad cón diferentes descargas de artillería. El Excmo. S*r. D. José Caro , capitán general de este exército y reyno , había tomado las disposiciones pro­ pias de su actividad, inteligencia, y acreditado patrio­ tismo: tenia Uñen fortific…</t>
  </si>
  <si>
    <t>en­ cia, que al mismo tiempo que un hijo suyo el Excmo. Sr. marques de la Romana ahuyenta á los franceses de la Extremadura, otro hijo suyo el Excmo. D. José Caro , que la ha fortificado , la defiende y libra de estos pérfidos enemigos. Complázcase con razón de ha­ ber logrado en el espacio de unos veinte meses ven­ cerlos do…</t>
  </si>
  <si>
    <t>Carolina</t>
  </si>
  <si>
    <t>mar 30 Jkt. mayo. reunión se seguirá inevitablemente el cerrar el Bál­ tico, y aun una guerra activa en el mar del Nor­ El matrimonio* de S. A. S. la princesa Carolina te, i inquietarlos perpetnamente en las cortas de con S. A.S. el principe heredero de Meck.iemburgo- la Escocia y de la Irlanda. Por todas estas razones Schwer…</t>
  </si>
  <si>
    <t>Carr-Bcresford, Sir Guillermo</t>
  </si>
  <si>
    <t>Sir Guillermo Carr-Bcresford</t>
  </si>
  <si>
    <t>979</t>
  </si>
  <si>
    <t>dudo que la mis­ ma armonía continuará todo el tiempo que se juzgue nece­ saria la unión de los exércitos. El teniente general Sir Brent Spencer , el mariscal Sir Guillermo Carr-Bcresford y los oficiales del estado mayor de! exército , han continuado prestándome todos los servicios que les son posibles. — Tengo el. honor &amp;c. …</t>
  </si>
  <si>
    <t>Carranza, Manuel</t>
  </si>
  <si>
    <t>Manuel Carranza</t>
  </si>
  <si>
    <t>illo. Capitanes. D. Rafael Fleuriot. D. Francisco Xavier Berindoaga. D. Benito Angulo. D. Juan Oden y Meneses. D. Antonio San Germán. D. Juan Puente. D. Manuel Carranza. D. Jnan Verdes Montenegro. D. Nicolás María Bretnond. Subtenientes. D. Juan Francisco Pastor. D. Tomas Mari. D. Policarpo Saez de Tejada Hermoso. D. Felipe C…</t>
  </si>
  <si>
    <t>Carrasco, Manuel Celestino</t>
  </si>
  <si>
    <t>Manuel Celestino Carrasco</t>
  </si>
  <si>
    <t>e del año próximo pasado , en vista D. Gabriel Gómez...................................... icSc-o de varias consultas hechas por la comisión , lo cx- D. Manuel Celestino Carrasco............... * 5975 Ya habréis observado, señor secretario, que yo rerco por ellas solas que mandéis expedir:; e ii::redia:a_ también me doi el ti…</t>
  </si>
  <si>
    <t>. 8754 8f Sevilla, habiendo sido prevenido, se ha dispersado D. Francisco Jrusta........................... 992 25£ enteramente, y ha roto sos armas. D. Manuel Celestino Carrasco......... 1263 17 „Todos los bagages de esta colunia han caldo en Sr. Marques de Muzquiz................. 541 i j poder del regimiento i.úm. 27.0 de …</t>
  </si>
  <si>
    <t>Josef de las Barcenas., D. Gnillelmo González Saez. D. Claüdio Larrañaga. D. Santiago Larramendi. D. Manuel Sánchez del Valle. D. Manuel Ramos Zafra. D. Manuel Celestino Carrasco. D. Francisco Zuñiga. D. Mariano Trevíño. Tenientes:, D. Pedro M-ría Brost. D. Pedro San Miguel. I&gt;. Josef Perez Azofra. Batallón del quartel de Ava…</t>
  </si>
  <si>
    <t>Carrascoso, Eulogio</t>
  </si>
  <si>
    <t>Eulogio Carrascoso</t>
  </si>
  <si>
    <t>ión : La junta dé Cádiz á los sobresa­ lientes de la academia militar año de 1810 , que fueron entre­ gados por mí á presencia de todos á los alumnos D. Eulogio Carrascoso , D. José Andrés , D. Anastasio Navas , D. Juan Senovilla, D. M anuel Rodríguez, D. Pedro González, D. Fer­ nando López , D. Santiago Pereyra, D. Cándido M…</t>
  </si>
  <si>
    <t>Carrau, Salvador</t>
  </si>
  <si>
    <t>Salvador Carrau</t>
  </si>
  <si>
    <t>ntonio López , 25. Dr. T). Fran­ cisco Hernández , 25. D. Juan José de Arejula,25.1). Gerónimo José Malagairba , 25. Sarrat y Marciria compañía, 100. D. Salvador Carrau , 25. D, Gabriel Gómez , 100. i&gt;.-Manuel Antonio de Tsasi , 200. D. Manuel Gil y Cosío, 100. D. José Ramón de Gorostiza , 100. D. Ignacio Albiní , 25. D. Albe…</t>
  </si>
  <si>
    <t>Carreaga</t>
  </si>
  <si>
    <t>s mandado por el coronel corado en el sitio que habia prepaiado Mr. Kersainc Falck i del Almirante Zontman de 8o cañones por enfrente del arsenal. el coronel Carreaga; el Brabante de 76 por el co­ Hoi ha visitado S. M. el Emperador, acompa­ ronel Melville Van- Carubec; el Juan de Witt de ñado del ministro de la Marina, del co…</t>
  </si>
  <si>
    <t>Carreno, Juan Galo</t>
  </si>
  <si>
    <t>Juan Galo Carreno</t>
  </si>
  <si>
    <t>Gazeta de la Regencia de España e Indias n.º 71</t>
  </si>
  <si>
    <t>705</t>
  </si>
  <si>
    <t>ra propuesta proporcio­ namos algunos; huya de nosotros el egoismo, y será liore. rr Afarian» Gil de Bernabé. Defensa de Zaragoza, poema heroico, por D. Juan Galo Carreno: un tomo en 8.® mayor. Se hallará en el despacho, de la imprenta real, á S reales. Ea la gazeta núm. 6 , en que hablamos del origen y estado de la acade- • …</t>
  </si>
  <si>
    <t>Carrera</t>
  </si>
  <si>
    <t>278</t>
  </si>
  <si>
    <t>algunos soldados del batallón de Barcelona, con otros de guerrillas y paisanos, los quales mataron 14 infantes y un dragron, hiriéndoles otros 4. El general Carrera había dado disposición de que se par ase por las armas-k 2 prisioneros en descuento de lamugCry el paisano que asesinaron en lá Cabezuela, según lo tiene ofrecido…</t>
  </si>
  <si>
    <t>871</t>
  </si>
  <si>
    <t>rcitos patriotas, por la expulsión de los franceses de Galicia, y otros hechos de armas igualmente memorables. Se espera por momentos la división del general Carrera , y ya hace algunos dias que entró en Lisboa la del general O-Donell. Así se reúnen para la entera derrota del mariscal Massena los valientes lusitanos que pelea…</t>
  </si>
  <si>
    <t>efieren que las tropas de MasseOa padecen Mucha escasez, y sus enfermes el máyer abandonó. ' Antes de&lt; ayer llegó la división española mandada por el general Carrera, compuesta de excelehtés soldados, que con­ tinuarán mereciendo én nuestro páis él1 crédito' de valientes que adqmrieron en -Gallofé V Castilla y Extremadura. —-…</t>
  </si>
  <si>
    <t>Carrera, Vicente Ferret</t>
  </si>
  <si>
    <t>Vicente Ferret Carrera</t>
  </si>
  <si>
    <t>en Herran..... 12003 28 fidelidad, y en el dia está sirviendo en el quarto Dona Micaela Zorraquin.................. 23207 22 cuerpo del exército. ^ . D. Vicente Ferret Carrera............. 387 „Se anuncia que varios regimientos españoles D. Mariano Agustín......................... 23207 22 seguirán el exemplo del de Reding. D…</t>
  </si>
  <si>
    <t>Carrera, Vjcenté Ferrer</t>
  </si>
  <si>
    <t>Vjcenté Ferrer Carrera</t>
  </si>
  <si>
    <t>Janjásco Salauova....____ ____ ,v ^6822 O IX Antonio Perla....................... y......a.. &gt; a * Sr.-Michel Joven...... ——...... .;á': 12:3732 '2ii D. Vjcenté Ferrer Carrera..........,.^;;. 51171 2.3^ D.t Fraueifco Be testa...... .................;" 7129 2f| IX Francisco María López MofelIe.,r: i D. LúeaS'Carranza..........…</t>
  </si>
  <si>
    <t>Carrera, VRente Ferrcr</t>
  </si>
  <si>
    <t>VRente Ferrcr Carrera</t>
  </si>
  <si>
    <t>...................... J' - ,3 14 D. Josef Pelaez...,............. ..................... 3475 D. xM'auuel Sixto L-purosa..................... i6:;0 4 D. VRente Ferrcr Carrera, por si, y D. Juan E-tébm Tiicio........................ -40 *4 como mari io de Doña Josefa Ra­ D Antonio Dimingo Poi.ier............... 5 2'6 ij pos ■"…</t>
  </si>
  <si>
    <t>Carrete, Pedro</t>
  </si>
  <si>
    <t>Pedro Carrete</t>
  </si>
  <si>
    <t>. José Ignacio Villegas, á mas de lo ontribaido como minero, 50. D. Vicente Nepomuceno de Herrera, 10. Varios pobres, 95. — Guanacevi. El subdelegado D. Pedro Carrete, 25. El cura D. Igna­ cio Colon, 15. El teniente cura Fr. Juan Bórica, 10 D. José María Sánchez, 12. D. Rafael Franco, 15 D. Manuel Camarero, 25. Don Pedro Barr…</t>
  </si>
  <si>
    <t>Carretero, Miguel Rodrigues</t>
  </si>
  <si>
    <t>Miguel Rodrigues Carretero</t>
  </si>
  <si>
    <t>arroquial de S. Gil de»la Ximenez Romero, á D. Lorenzo Antonio Marín,: misma, vacante por muerte de O. Vicente Eche­ cura económo de Armiliaverría, i D. Miguel Rodrigues Carretero, ex- Para el de la igle&gt;ia parroquial del logar de’ regnlar de carmelitas calzados. Hoetor y su anexo Caxar, vacante por muerte de , Para el de la …</t>
  </si>
  <si>
    <t>Carri, Pedro</t>
  </si>
  <si>
    <t>Pedro Carri</t>
  </si>
  <si>
    <t>Chica. cipado de Ratisbrna. Tenientes. D. Joan Josef de Torre*» D. Josef Se asegura que la Baviera cederá al reino de Canillo, D. Agustín de Torres, D. Pedro Carri­ Italia el Tirol meridional, y al reino de Wurtem- llo, D. Josef Moreno, D, Henrique Salido. b¿rg una población de 170© almas en Suabia. Subtenientes. D. Manuel de…</t>
  </si>
  <si>
    <t>CarriJo, Manuel</t>
  </si>
  <si>
    <t>Manuel CarriJo</t>
  </si>
  <si>
    <t>ino Ballestea. ................................................. D. Luis María Z.Vala. D. Fcrmin Aifaro................... D. Juan Armando ‘Düjardín. D. Manuel CarriJo....................................... ............................ D. Miguel Antonio Ib.ruz.......... .............. .V.J..... ..y..........'. D. Luis Babich.…</t>
  </si>
  <si>
    <t>Carril, Antonio</t>
  </si>
  <si>
    <t>Antonio Carril</t>
  </si>
  <si>
    <t>Pereyra, D. Blas Peinador, D. Antonio Rubín, D. Ra­ món Momeo , D. José Benito Perez , D. Faustino Diez , D. To­ mas Rodríguez, D. Bernardo Guallar, D. Antonio Carril, Di Cos­ me Sancho, D. Alonso Sanjurjo ,y D. Fulgencio Ayalai También se ha servido S. M. conferir los empleos de Coro­ neles , del regimiento de infantería de …</t>
  </si>
  <si>
    <t>Carrillo, Cristóbal</t>
  </si>
  <si>
    <t>Cristóbal Carrillo</t>
  </si>
  <si>
    <t>ndido baile, á que asistieron todas las personas macho, diputado; D. Andrés Muñoz, síndico del principales de Córdoba. S. M. se dignó honrarle común; D. Cristóbal Carrillo, prior; D. Vicente con su presencia, y también fueron convidados los Moreno, presbítero; D. Juan de Lirio y D. An­ señores ministros y toda la corte. El jú…</t>
  </si>
  <si>
    <t>Carrillo, José María</t>
  </si>
  <si>
    <t>José María Carrillo</t>
  </si>
  <si>
    <t>l propio cuerpo j y comandancias de les terceros batallones de los regi­ mientos de infantería de Ordenes militares , y de Leales de Fernan­ do VII á D. José María Carrillo , y D. Joaquín de Eguía : grado de coronel de infantería , en conformidad del real decreto de 9 de marzo del año próximo pasado , al teniente coronel D. J…</t>
  </si>
  <si>
    <t>Carrillo, Saturnino</t>
  </si>
  <si>
    <t>Saturnino Carrillo</t>
  </si>
  <si>
    <t>nte por muerte jJe je* . clérigo de prima. ' D. Juafi Ximenez Madueño, á D. Mateo Razóla, Para el de Caudilla, vacante por ascenso de cora de Torija. D. Saturnino Carrillo al de Algete, á D. Pedro Para el de Calera, vacante por muerte de Don Amonio Areta , clérigo de prima. Francisco Valdivieso, á D. Antonio Martinez Ve- Para…</t>
  </si>
  <si>
    <t>Carrion, Antonio</t>
  </si>
  <si>
    <t>Antonio Carrion</t>
  </si>
  <si>
    <t>io Fernandez* Ce- '■&amp; D^jFdipe Rodríguez,iid............,.í.ii -■ 44oai&gt;-f!Areceda, id*. 44®®®’* ■ *■ D.-Bia's Antonio Rabadan ,ex-catm¿- "• ■ ’ &lt;;&gt;* D. Antonio Carrion, de metgeñawos * ; ' ■ -Gta: calzado.................... . . ■44060'”-' ’ ’ descalzos......... ...................4.. ~ *44®®® ■, * D. Pedro Carrera y Lauchar…</t>
  </si>
  <si>
    <t>Carrion, Francisco</t>
  </si>
  <si>
    <t>Francisco Carrion</t>
  </si>
  <si>
    <t>Nioa , D. Juan Vasadre, y D. Pablo Baliñani; ayudantías, á D. Francisco Valdés, y D. Félix Camarasa ; te­ nencias, á D. Manuel Sainz, D. Juan Conde, D. Francisco Carrion, D. Miguel Valbuena, D. Rafael Sánchez Saravia, D. Mi­ guel Guajardo, D. José Arechaga, D. Antonio López, D. Juan Arango, D. José Herrera, D. Clemente Grima,…</t>
  </si>
  <si>
    <t>Carsi, Pascual</t>
  </si>
  <si>
    <t>Pascual Carsi</t>
  </si>
  <si>
    <t>do Dios dado. D. Mateo Casado. D. Ji-sef Ibaceta. D. Joaquio Palacios. Subtenientes. D. Mariano de San Juan. D. Dámaso Machuca. D. Mariano Lfanderal. D. Pascual Carsi. D. Víctor Moreno. D J uan de ios Heros. D Vicente Per^ti. Tenientes. D. Gregorio Simón de Diego. D. Ramón Vartureu. D Macuel Alevio. D. Diego Castro. D. Juan L…</t>
  </si>
  <si>
    <t>Carvajal, Círiaco Gómez</t>
  </si>
  <si>
    <t>Círiaco Gómez Carvajal</t>
  </si>
  <si>
    <t>uel ba ­ chiller y su esposa, 10. Ei oi ior D. G-.iiiiermo de Aguirre, 10. El fiscal de la real hacienda, D. Francisco Xavier de Borbon, 10. El oidor D. Círiaco Gómez Carvajal, 10. Ei conde de Medina y Tor­ res, 10. La congregación del oratorio de S. Felipe Neri, 10. D. Ignacio García Saenz , ademas de servir sin sueldo como …</t>
  </si>
  <si>
    <t>Carvajal, José Antonio</t>
  </si>
  <si>
    <t>José Antonio Carvajal</t>
  </si>
  <si>
    <t>uel de Luna, 25. 1). Ramón de Echavarría, 50. Compañía de Julia y mustien Mustich , ¿x 50. Tornamira, Aygameyra y Goseus , 100. El Tesorero principal D. José Antonio Carvajal , 100. D. Angel López Stn. Ana, 50. D José Ramón Petancour, £0, I&gt;. Antonio Figueroá, 100. D. José María Carde ña’, 100. D. José Cenen y Castilla , 100.…</t>
  </si>
  <si>
    <t>Carvajal, José Tirso</t>
  </si>
  <si>
    <t>José Tirso Carvajal</t>
  </si>
  <si>
    <t>s, á D. Eustaquio Cevaílos , D. José Ramírez, D. Joaquín Moreno, D. Juan Morales, D. José Benitez, D, José Va­ ra del Rey, D. José Joaquín Daureia, y D. José Tirso Carvajal; y subtenencias , á D. Juan Miguel Balanza , D. Antonio Diaz Pintado , D. Tomas Leal, D. Francisco Ortiz , D. José Mazon, D. Andrés Serrano,D. José Gutiér…</t>
  </si>
  <si>
    <t>Carvia, Josef María</t>
  </si>
  <si>
    <t>Josef María Carvia</t>
  </si>
  <si>
    <t>fun­ D. Luis Cordero. dían epo el de veúta y arrendamiento) , y er: fuer-5D. Antonio Ramón Gallegos. zade .la iei zenoniana ie dio nombre especial de D. Josef María Carvia; : entitéusis, señalándole qualidades necesarias para D. Francisco Izquierdo. sd celebración.¡.Desde esta época .fueron muchas D. Manaei Pablo León: Castil…</t>
  </si>
  <si>
    <t>Casabona, Estéban</t>
  </si>
  <si>
    <t>Estéban Casabona</t>
  </si>
  <si>
    <t>conoce de los mencionados autos , se ha mandado publicar por los periódicos, para que.los he­ . .. • ; Pritñer batallón. ,, rederos nombrados por el D. Estéban Casabona en su D. FraneiscoBatdon, sargento primero» á sub— testamento , ú otros que presuman tener derecho á sus teniente de la séptima compañía. ... :¡ bienes, compa…</t>
  </si>
  <si>
    <t>Casado, Manuel</t>
  </si>
  <si>
    <t>Manuel Casado</t>
  </si>
  <si>
    <t>de Urquijo.” Capitanes. D. Gregorio García. D. Vicente Verdura. Aviso. D. Josef Rodríguez Mexía. En 18 de febrero de 1809 falleció en esta corte Don D. Manuel Casado. Estéban Casabona, vecino y del comercio de Ja misma, natural de la villa de Olot-, en el principado de Cata­ Tenientes. luña, hijo legítimo de D. Pedro Casabona…</t>
  </si>
  <si>
    <t>Casado, Mateo</t>
  </si>
  <si>
    <t>Mateo Casado</t>
  </si>
  <si>
    <t>C &lt;mpo Villar. D. Bernabé Fuentevila. El marques de Cevados. D. Agu stin Chavarri. D. Mari, no Villodas. D. Faustino de Nieva. D. Bernardo Dios dado. D. Mateo Casado. D. Ji-sef Ibaceta. D. Joaquio Palacios. Subtenientes. D. Mariano de San Juan. D. Dámaso Machuca. D. Mariano Lfanderal. D. Pascual Carsi. D. Víctor Moreno. D J u…</t>
  </si>
  <si>
    <t>Casajus, Vicente</t>
  </si>
  <si>
    <t>Vicente Casajus</t>
  </si>
  <si>
    <t>D. Andrés de Bustos y Martínez , eo la .de Má­ ciudad, tesorero de la real casa de moneda de ella. laga* En coosecaencia del real decreto de 21 abril D. Vicente Casajus, en la de Sevilla. último sobre la reunión de los cuerpos de maes­ D. Pedro Andino, en la de Xerez. tranzas en sos respectivas capitales, se ha servido art. i…</t>
  </si>
  <si>
    <t>Casal, Ignacio</t>
  </si>
  <si>
    <t>Ignacio Casal</t>
  </si>
  <si>
    <t>o. D. Juan Águilar, icoo. D. Miguel Mendízabal,. 400. D Salvador de Oria , 50. Duque de Medinaceli, ioco. D. José Manuel Abalia , ibo D. R. A.A., 40. D. Ignacio Casal, 5000. D. Juan José Oferral, 6co. Tres dependientes de la dirección de Correos , 120. D. Francisco Noriega, presbítero , 180. D. F. F. G., 10.—Total, ^8322 rs. …</t>
  </si>
  <si>
    <t>Casalc, Josef</t>
  </si>
  <si>
    <t>Josef Casalc</t>
  </si>
  <si>
    <t>J uan de ios Heros. D Vicente Per^ti. Tenientes. D. Gregorio Simón de Diego. D. Ramón Vartureu. D Macuel Alevio. D. Diego Castro. D. Juan Lecanda. • D. Josef Casalc. D. Plácido Ffexalde. D. Ramón Pando. D. Cj i*o Garc.a. D. Tomas García Domínguez. D Nicolás Herencia. Batallón del quartel de S. Martin. D. Gervasio Fernandez Iz…</t>
  </si>
  <si>
    <t>Casanova, Jaime</t>
  </si>
  <si>
    <t>Jaime Casanova</t>
  </si>
  <si>
    <t>a Serrano................... 9566 *7 D. Gregorio de Anguita...................... 11503 28 D. Santiago Santos................................. 090 81 D. Jaime Casanova................................. 6249 20 D. Manuel Tiburcio Martínez de No­ D Juan Teran.......................................... 13079 M vales...............…</t>
  </si>
  <si>
    <t>Casanova, Manuel</t>
  </si>
  <si>
    <t>Manuel Casanova</t>
  </si>
  <si>
    <t>dante inspector D. Antonio Texada, ioo. — Fronteras. Capican D. Antonio Narbona, 90. Teniente D. Guillermo Limón, 10. Alférez D. Ignacio Diaz, 6. Id. D. Manuel Casanova , y. Lqs sargentos , cabos y soldados:,, 212. — Sta. Cruz- Capitán D. Do­ mingo? ¡Espinosa, 50. Teniente D. Fernando Bustamante, 50. Alférez tí. Francisco Riv…</t>
  </si>
  <si>
    <t>Casanova, Saturio García</t>
  </si>
  <si>
    <t>Saturio García Casanova</t>
  </si>
  <si>
    <t>a , vacante por ascen­ Mayoral, cura de Techada. so de D. Alfonso Gabriel Rod'rigaez al de ValdiPara el dé Yuncos, vacante por muerte de Don lecha, á D. Saturio García Casanova, clérigo de Francisco Vigil y Quiñones , á D. Isidro Arreo, prima. cura de Retleqdas. Asimismo nombramos á D. Vicente Menchéro Para el de S. Pedro de …</t>
  </si>
  <si>
    <t>Casanova, Tomas</t>
  </si>
  <si>
    <t>Tomas Casanova</t>
  </si>
  <si>
    <t>.......... *S°5^ Dr JosefLacrouts—- —.—................ *44 Señores Rivas, Peña y compañía.......... 35°2-**7 F.1 convento de religiosas-de la Piedad D. Tomas Casanova........-..-i-...... ; 18»—*7 .Bernarda,............................................. - *509*-*4 D. Josef Pelaez..................................... . - S-&gt;49 …</t>
  </si>
  <si>
    <t>Casas</t>
  </si>
  <si>
    <t>llas para que 'flanqueasen. Ja colima de ataque del .enemigo. Esta,,que gegun raí cálculo excedía de 1000, hombres, ataco la posición que defendía el capitán Casas,, y aunque este la sostuvo enérgicamente, se vio por iittitno en la. preci­ san de abandonarla; peto con tanto.orden, que replegán­ dose á menos de tiro de fusil e…</t>
  </si>
  <si>
    <t>Casas, Ceferino</t>
  </si>
  <si>
    <t>Ceferino Casas</t>
  </si>
  <si>
    <t>rimero D. Francisco Dufoo» para ugundo D. Manuel Alevio» y para abande­ rado D. Carlos Abancini. D. Tomas Garda Suelto...... D. Tullan González Saes, D. Ceferino Casas. El Marques de los Zoidos..... D. Luis Le Clair........... , D. Pedro Luis Napoli. D. Mariano Herranx........... . D. Josef Gamarra........... . D. Juan Valenc…</t>
  </si>
  <si>
    <t>f Panlagua» subteniente» á teniente de ciblmiéñto de que pasados sin-haberlo hecho, les para­ rá el perjuicio que haya lugar. la segunda compañía. t. D. Ceferino Casas, subteniente,» á teniente, dR la quarta compañía. D. Ildefonso Boan , sargento primero» á aban­ ‘ . trataos. : . derado. . En el del Príncipe» 4 las quatro de …</t>
  </si>
  <si>
    <t>Cásasela, Francisco de Paula</t>
  </si>
  <si>
    <t>Francisco de Paula Cásasela</t>
  </si>
  <si>
    <t>dantía mayoF á D. Ignacio Morales; primeras tenencias de granaderos al marques de Casatreviño y ai coronel L&gt;. Fernando Salamanca; id. de caradores á D. Francisco de Paula Cásasela ; id. de fusileros á I). Marcos Nuñez de Abreu , D. Luis de S. Clemente, D. Manuel SAazar y D. Amonio Aguilar ; segunda ayudantía mayor á I). Fran…</t>
  </si>
  <si>
    <t>Cascan, Joaquín</t>
  </si>
  <si>
    <t>Joaquín Cascan</t>
  </si>
  <si>
    <t>resoltes, incapaces de co­ gía que dexa vacante á D. Esteban Querol , eapc- nocer SU3 iltlCLeoes , jr a.), va-vulv algutjO páia pro— ll-n de honor: á D. Joaquín Cascan y á D. Anto­ nosticar el último suceso, estaban vacilantes y aun nio Hernández, capellanes de altar de la citada dispuestos á arrojarse en ios brazos de una ru…</t>
  </si>
  <si>
    <t>Caslr</t>
  </si>
  <si>
    <t>Gazeta de la Regencia de España e Indias n.º 82</t>
  </si>
  <si>
    <t>794</t>
  </si>
  <si>
    <t>nales, á fin de que salgan de las D. Joaquín Leyva. prisiones los que fuesen inocentes, y -1). Pedro María Ric. sean Drontamente casti erados los aue D. Caslr0• í^en culpados. Y cumpliendo con D. Francisco González. tan honroso encargo, hacen presen­ te por ahora á V. M.: Que las Cortes extraordinarias, separando el 24 de set…</t>
  </si>
  <si>
    <t>Casquera, Francisco</t>
  </si>
  <si>
    <t>Francisco Casquera</t>
  </si>
  <si>
    <t>*37# de 8 fanegas» y un tajón de ña María Ruiz, arrendados á 16 celemines, arrendado en... .. 3184 38208 D. Francisco Casquera en..... 309 3609 Una porción de castañar, notn- .1 Cinco marjales con frutales, pa­ bradoSanta Brígida, compues- : go de üambil, linde con Juan to de235 maus, sin compre- Bueno y barranco de P</t>
  </si>
  <si>
    <t>Cassano, Juan Bautista Serra</t>
  </si>
  <si>
    <t>Juan Bautista Serra Cassano</t>
  </si>
  <si>
    <t>Gaceta de Madrid n.º 4</t>
  </si>
  <si>
    <t>o regí mi ¿oto. • ; ya estamos mejor informados , se pasó el Por otro decreto de 31 *del * 4 mismo 56 nies primer terror , y nos preparamos á reparar D. Juan Bautista Serra Cassano , escudero este golpe. de S. M., queda nombrado comandante de ,,No se cause vmd.; la España está llena esqnadron. de traidores; es menester hacer …</t>
  </si>
  <si>
    <t>Cassano, Pedro</t>
  </si>
  <si>
    <t>Pedro Cassano</t>
  </si>
  <si>
    <t>Gaceta de Madrid n.º 254</t>
  </si>
  <si>
    <t>Don IMPERIO FRANCES. Francisco Xavier de Zenzano capitán segundo de S. Maló a de agosto. la tercera compañía de inválidos hábiles de esta plaza; y á D. Pedro Cassano teniente de la segun­ Hace cerca de tres semanas que llegó á las eos» da compañía deL mismo cuerpo. tas, entre S. Maló y Cancale , una bandada gran­ dísima de pá…</t>
  </si>
  <si>
    <t>Cassel</t>
  </si>
  <si>
    <t>347</t>
  </si>
  <si>
    <t>febrero. Un correo que llegó esta mañana de París ha traido la agradable noticia de haberse firmado el WESTFALIA. contrato matrimonial entre S. M. el Emperador Cassel 20 de febrero. Napoleón' y S. A. I. la archiduquesa María Luisa. Es imposible pintar la alegría que ha causado esra El Reí ha expedido con fecha de 16 de este n…</t>
  </si>
  <si>
    <t>Cassoni, Felipe</t>
  </si>
  <si>
    <t>Felipe Cassoni</t>
  </si>
  <si>
    <t>torizados los mismos pre­ cisco de Bahamonde, canónigo; á U. Josef García fectos para admitir las proposiciones que se hicie­ de Prado, canónigo, y á D. Felipe Cassoni, tam­ ren á comprar fincas fuera de subasta, con arreglo bién canónigo, todos de esta iglesia de Sevilla ;á á nuestro decreto de 29 de diciembre último, en D. …</t>
  </si>
  <si>
    <t>D. Felipe Cassoni , canónigos de la santa iglesia de Sevilla ; k D.. Vicente F«rrer García, D. Vicente Lobo y Arjona , D. Andrés Amaya, D.. Miguel de MaÁauaga y D. Nicolás Leso y Garro, ra­ cioneros d* ia sn&gt;</t>
  </si>
  <si>
    <t>Cassoui, Felipe</t>
  </si>
  <si>
    <t>Felipe Cassoui</t>
  </si>
  <si>
    <t>arse de la amnistía publicada por José , y que se han pasado voluntariamente íi vi vir entre sus enemigos. Obsérvese que uno de ellos es el Emmo. Sr. D. Felipe Cassoui, que después de haber residido en calidad de nuncio pontificio cerca de nuestro gobier­ no durante algunos anos, fué nombrado cardenal el de 1801, y paso á Ita…</t>
  </si>
  <si>
    <t>Casta</t>
  </si>
  <si>
    <t>o, el embango pota y antinacional. (Gazeta de Jaén del 4 de toda la madera vieja, puertas y celosías para mayo.) poder con esto cocer el pan: que &lt;?1 general Casta-; ■- • Madrid if de mayó. rños rezelaba mucho del pueblo, y asi salía siempre escoltada deuii/grati número dq soldados ingleses: Escriben de Segoyia que el di# 11 …</t>
  </si>
  <si>
    <t>Castañeda, Joaquín</t>
  </si>
  <si>
    <t>Joaquín Castañeda</t>
  </si>
  <si>
    <t>en Inglaterra no se compensa con nada este de­ franciscano D. Juan Lozano: para la de la Alambra fecto con respecto á la Escocia, á la Irlanda, y á k D. Joaquín Castañeda, ex-guardiao de franciscos un gran número de ciudades importantes, que tie­ de Montefrio: para la segunda sacristía de S. I denen una parte tan desproporcio…</t>
  </si>
  <si>
    <t>Castañeda, José</t>
  </si>
  <si>
    <t>José Castañeda</t>
  </si>
  <si>
    <t>as, 10. D. IBrnardo Urabo y B. Francisco Salcido , 20. Varios individuos , 37. Los vecinos de Fronteras, 74 y 2. rs.— Rosario. B. Rafael Rendon , IO. D. José Castañeda , 25. D. Manuel Esnaola, 25. B. Rafael Sauceda y B. Bernardo Briugas , 100. D. Francisco Alvarado, 15. B. Urbano Niebla y B. Ignacio Murua , 20. El presbítero …</t>
  </si>
  <si>
    <t>Castañeda, Julián</t>
  </si>
  <si>
    <t>Julián Castañeda</t>
  </si>
  <si>
    <t>disgusto al drés P«ris, otro, D. Antonio Paris. Emperador. Quarta ídem. Capitán D. Josef Muñoz, te­ Puesto que S. M. I. no puede contar ya con niente D. Julián Castañeda , otro, D. Antonio Anque continúen las operaciones contra la Holanda, drade, subteniente D. Loicuzo Castañoa, otro, ¡asiste en que seexecute el primer plan, …</t>
  </si>
  <si>
    <t>Castaño, Vicente</t>
  </si>
  <si>
    <t>Vicente Castaño</t>
  </si>
  <si>
    <t>Sé Pinto , D. Antonio Guto , IV Antonio Áivarez , y D. Juan Cosulh-ela ; t ív.-ncias á. D. l^edro Carmena , D. Luis Carceller, D. Nicolás de Robles , D. Vicente Castaño , IV José .Zurbanó, D. José Lorite , D. Mamó 1 de la Vega, D. Domingo Molina, D. Cícmentí Lemüs, D. Tornas Gatída . *D. 'Santiago Blanco , y D. A«nt©nio Morí …</t>
  </si>
  <si>
    <t>Castañoa, Loicuzo</t>
  </si>
  <si>
    <t>Loicuzo Castañoa</t>
  </si>
  <si>
    <t>e S. M. I. no puede contar ya con niente D. Julián Castañeda , otro, D. Antonio Anque continúen las operaciones contra la Holanda, drade, subteniente D. Loicuzo Castañoa, otro, ¡asiste en que seexecute el primer plan, esto es, en D. Josef Mauvheño.</t>
  </si>
  <si>
    <t>Castaños</t>
  </si>
  <si>
    <t>Un espía cuenta que el 18 *de julio hubo una gran revolución en el pueblo, en que fueron muertos el general Castaños y muchos vocales de la junta. Han llegado á Cádiz diputados de Veracruz y de otras colonias de América , y han notifi­ cado que el partido'de los insurgentes no debe aguardar so­ corros de las colonias {6). „En…</t>
  </si>
  <si>
    <t>Castaños, Juliao</t>
  </si>
  <si>
    <t>Juliao Castaños</t>
  </si>
  <si>
    <t>...................... D. Manuel Bello...................... D. Juan Bautista La borde. j. »....................................................... . D. Juliao Castaños..... ................................................</t>
  </si>
  <si>
    <t>Castañou, Julián</t>
  </si>
  <si>
    <t>Julián Castañou</t>
  </si>
  <si>
    <t>Josef Fernandez Zúñiga. D. Josef María Monserrat. D. Ramón Echaetea. D. Gaspar Soiiveres. Subtenientes. D. Juan Ncpomuceno Rosales. D. Josef Vargas. D. Julián Castañou. D. Diego Giraldo. D. Juan Crespo. D. Andrés Almarza. D. Antonio Reyelo. D. JnrefTubó. D. Joaquín Pacheco. D. Pedro Josef Mayora. D. Esteban Bains. D. Modesto …</t>
  </si>
  <si>
    <t>Castejon</t>
  </si>
  <si>
    <t>zas de canon, bles. El exército imperial hace noche hoi eu Bai­ todos los eqnipages, y J500 prisioneros , entre lo* len y en Andújar. que se halla el general Castejon, ex-marques del La relación circunstanciada de los movimien­ Badillo, quatro coroneles, muchos oficiales del re­ tos que han producido estos importantes resulta…</t>
  </si>
  <si>
    <t>Castejon, María Librada</t>
  </si>
  <si>
    <t>María Librada Castejon</t>
  </si>
  <si>
    <t>entregarán á estos interesados las cédulas Doña María de Vivero y Cabeza........ «6821..31 hipotecarias correspondíe'ntes, con arreglo1 á nuestro de­ Doña María Librada Castejon, por su creto de 9 de junio del.año próximo pasado. apoderado Dutari heimatius............. 13808.. 7 art. ui. Nuestro ministro de Hacienda queda enc…</t>
  </si>
  <si>
    <t>Castellanos, Miguel</t>
  </si>
  <si>
    <t>Miguel Castellanos</t>
  </si>
  <si>
    <t>..................» 69^0: ; í D.:FranciiQo López.Nuñe*....... 105000 El conde de Montarco.........389121;: D.'.Francisco Andureo,,,*,........., 8c000 D. Miguel Castellanos.......................... J13.1 liyC 15. Martin ¿Estenoz,,.,,*,..................... 33333 8 Doña Paulina Gil de Terreros ..... 195 a L B. fPedro Fstcnpr-.…</t>
  </si>
  <si>
    <t>.-Vbert é hijos...................... 470Ó5 D. Mariano fierran......... ................ . 48',3 D. Ped'o Al áruara Tbañcz................... 2 543 7 D. Miguel Castellanos........................... 1624 37 D. MAriin Antonio Huici...................... 19862 17 D. Bernardo Iriarte............................... I7:4 ““-&gt;ia D …</t>
  </si>
  <si>
    <t>Castilla, Antonio</t>
  </si>
  <si>
    <t>Antonio Castilla</t>
  </si>
  <si>
    <t>aba el Monarca. No ha manifestado ei Carpió menos al­ Batallón del quartel de Maravillas. borozo; y el REI ha visto en estas muestras de Comandante , D. Antonio Castilla. cordial afecto, ni provocadas ni estudiadas, el es­ Ayudante, D. P;dro Ferrer. píritu que anima á los moradoresdel reino de Cór­ Abanderado , el conde de Is…</t>
  </si>
  <si>
    <t>Castro</t>
  </si>
  <si>
    <t>Gazeta del Gobierno n.º 7</t>
  </si>
  <si>
    <t>éla audiencia áe la Coruña (D. Pedro) ; el nombrado Casardique, rico habitaste cer­ ca de la barca de Belesar sobre la ribera izquierda del Miño ; el sargento Castro. El mariscal comandante en xefe ordena, que por todas partes en donde sean hallados los individuos aquí señalados, sean inmediatamente arrestados , y conducidos …</t>
  </si>
  <si>
    <t>Castro, Antonio</t>
  </si>
  <si>
    <t>Antonio Castro</t>
  </si>
  <si>
    <t>nuestro decreto de 1-9 de abril anterior, y 4 del 3* D. Alexandro Maríipéjz 'Azj&gt;eitj¿. (;J corriente, gozarán del sueldo asignado á ¡os reaentes 4.® D. Antonio Castro’ ’ . "J, ^ .. de las audiencias, y los jueces.del que disfrutan los: D. MateoGonza!ez^Ari^Sfisfal. , oidores, y con ios mismos honores y prerogativas. ARTÍCULO…</t>
  </si>
  <si>
    <t>Castro, Diego</t>
  </si>
  <si>
    <t>Diego Castro</t>
  </si>
  <si>
    <t>. Pascual Carsi. D. Víctor Moreno. D J uan de ios Heros. D Vicente Per^ti. Tenientes. D. Gregorio Simón de Diego. D. Ramón Vartureu. D Macuel Alevio. D. Diego Castro. D. Juan Lecanda. • D. Josef Casalc. D. Plácido Ffexalde. D. Ramón Pando. D. Cj i*o Garc.a. D. Tomas García Domínguez. D Nicolás Herencia. Batallón del quartel d…</t>
  </si>
  <si>
    <t>Castro, Josef</t>
  </si>
  <si>
    <t>Josef Castro</t>
  </si>
  <si>
    <t>s Arenillas. í?. Gaspar de Losas Hidalgo. D. Josef lbárreta. D. Pedro Batelú. D. Manuel Negueruela. D. Antonio Bailo. D. Ramón Rites. D. Manuel Toro. D. Josef Castro. D. Antonio Rubio. D. Andrés Saiz Dnrango. Batallón del quartel de S. Francisco. D. Jo sef Antonio Molina. Capitanes. D. Josef Garai. D. Andrés Perez. Subtenient…</t>
  </si>
  <si>
    <t>Castro, Josef María</t>
  </si>
  <si>
    <t>Josef María Castro</t>
  </si>
  <si>
    <t>‘ O*,En nuestro ■ palacio de Madrid í 11 de junio r i -.ri ... oí&lt; ;■/' ,• s *-.i- de 1810. Burgos. &gt;• . . Don Josef Napoleón por la gracia de Dios y D. Josef María Castro, oidor de la chancille* por.Ia constitucion^del estado, R.til de las Espa­ ría de Valiadolid, presidente. ,,j . .v-rr rtas y de las Indias. Hemos decretado…</t>
  </si>
  <si>
    <t>Catalá, Francisco</t>
  </si>
  <si>
    <t>Francisco Catalá</t>
  </si>
  <si>
    <t>on árboles, plantas, anima­ primero: 2.0 otro extracto de la navegación del te­ les, aves y peces; del gobierno de la colonia, y de niente da fragata D. Francisco Catalá con la nom­ la tropa que la guarnece para su defensa; y en lin brada Itigenia desde Calcuta á Manila por el paso de la absoluta falta de tráfico, que tiene r…</t>
  </si>
  <si>
    <t>Caulaincourt</t>
  </si>
  <si>
    <t>ue es forzoso decirlo) el que detuvo el mo­ vimiento retrógado del regimiento 19 de dragones, y el que mandó volver otra vez ai frente del enemigo al general Caulaincourt (1) Yo fui quien puso de reserva la compañía escogida del 27, y esta compañía detuvo el movimiento del enemigo que volvía á adquirir la superiori­ dad. Sin …</t>
  </si>
  <si>
    <t>Cava, Joan</t>
  </si>
  <si>
    <t>Joan Cava</t>
  </si>
  <si>
    <t>xós, que penetradas de. unos mis­ y Aranda, E&gt;. Pedro Cárdenal ,,D. IgnaeIo' Baena'. mos sentimientos dirigían sos súplicas af Dios de 'Subtenientes: D. Joan Cava) ,* D. Pedro Mn- lol Ejércitos por la éalud dé;'nuestro ^Soberano , y radas; D. Cristóbal, Lorenzo» D'Iñigo Fonseca, * por la paz y pronto.sosiego dé todo el reído:…</t>
  </si>
  <si>
    <t>Cavada, Joaquín</t>
  </si>
  <si>
    <t>Joaquín Cavada</t>
  </si>
  <si>
    <t>1050</t>
  </si>
  <si>
    <t>arlos de la Fuente, rompieron sus fuegos cou viveza por derecha é izquierda de las zanjas , y la artillería por el centro , dirigida por el capi­ tán D. Joaquín Cavada, con tanto acierto, que seles ocasio­ nó pérdida de consideración, según se coligió por los que con­ ducían á hombros. El enemigo disparó 25 tiros de artillerí…</t>
  </si>
  <si>
    <t>Cavagnac</t>
  </si>
  <si>
    <t>1429</t>
  </si>
  <si>
    <t>por Jos ingleses ra ejecutarse todo él á un tiempo sino parcial­ contra los buques de transporte de, la división de mente. , reserva, mandada por el general Cavagnac, y fon­ ,, Los generales y el comandanta en gefe de la deada en aquella época en la bahía de Peotimele, artillería ,é ingenieros habían recibido igualmente cerca…</t>
  </si>
  <si>
    <t>ormaron de modo qne no podía ,,En los dias 23, 24 y 2y no bobo ninguna no­ temerse nada de los movimientos que pudiera ha­ vedad. cer ei ¿nemigo. 'El general Cavagnac tomó rodas ,, Tengo el honor de saludar á V. E. con da qnanras disposiciones quiso y le parecieron conve­ mayor consideración, rr El general de división, niente…</t>
  </si>
  <si>
    <t>o. Mientras que é^tos movimientos fixabanla atención del principal cuerpo del exército ingles, efectuó su desembarco un destacamento manda­ do por el general Cavagnac cerca de S. Éstéfa ío , unas 7 mi­ llas al sur. Este cuerpo se componía de 3500 sol lados corsos y napolitanos qué habiañ pasado el estrecho eñ 40 barcos grande…</t>
  </si>
  <si>
    <t>r la noche en diferentes puntos de la costa, las divisiones de lo&lt; generales Partonneáux y Lamarque en la Punta del P.zzo y la reserva mandada por el general Cavagnac en Pentimele: que esta ultima fué la única que tuvo vieu^ to para navegar, y que aportó efectivamente no á la Scaleta, punto señalado para el desembarcó, adonde…</t>
  </si>
  <si>
    <t>Cavaleri, Franchco</t>
  </si>
  <si>
    <t>Franchco Cavaleri</t>
  </si>
  <si>
    <t>consulto or­ D. Andrés de Coca. gánico , cuyas disposiciciones son las siguientes : „ Marques de Rivas. articulo 1. ,,Las islas de Walcherer», Sud- ^ D. Franchco Cavaleri. Bevdand , Nord-Beveland , Schouven y Tbolen, . D Francisco E»quivel. reunidas al departamento de los dos N.-thes por el — Marques de I car. are. ni del act…</t>
  </si>
  <si>
    <t>Cavalier</t>
  </si>
  <si>
    <t>na exactitud tan escru­ Burdeos 8 de noviembre. ■ pulosa, que pnedan en caso necesario confirmarlas baxo juramento; y ademas qne declaren de tiem­ El capitán Cavalier, comandante del corsario po en tiempo de donde reciben las mercancías co­ Bagatela, de esta ciudad, ha escrito á sus arma­ loniales, y en qné cantidad , y quále…</t>
  </si>
  <si>
    <t>Cavignac</t>
  </si>
  <si>
    <t>BRE DE 1810. SICILIA. Palerm* 20 de setiembre. La mañana del 18 del corriente ima división enemiga, compuesta de cerca de 3.500 hombres al ínando del general Cavignac , consiguió desembarcar 6 mi­ llas al sur de Mecina. Apenas empezaba k ocupar las alturas* quando fué atacada por las valerosas tropas inglesas, y no tu­ vo otr…</t>
  </si>
  <si>
    <t>Caxigas, Francisco</t>
  </si>
  <si>
    <t>Francisco Caxigas</t>
  </si>
  <si>
    <t>José (le la Vega, 25. D. Manuel -Vanderas , 50. D. Jacinto Gaxiola, 11. D. José M aria Verdugo , 50. Varios individuos , 119 y 5'rs. — Rio de Sonora. D. Francisco Caxigas, 10. D. IBrnardo Urabo y B. Francisco Salcido , 20. Varios individuos , 37. Los vecinos de Fronteras, 74 y 2. rs.— Rosario. B. Rafael Rendon , IO. D. José C…</t>
  </si>
  <si>
    <t>Cayetano</t>
  </si>
  <si>
    <t>án del regimiento núm. 1.* birá 10 conveniente por decret.os imperiales. de cazadores á caballo. art. viii. Quedarán qnatro conventos de mu- Pastera (D. Cayetano), capitán en el Real Ir­ gero en Génova , y uno en Sabona, para qae pue­ landés. dan habitar en ellos las religiosas de todas las ór­ Sanz (D. Víctor), teniente del …</t>
  </si>
  <si>
    <t>o.Carmona y ál soldado distinguido D. Francisco Carrillo., Asimismo se ha dignado conferir la sargentía mayor del regimiento de voluntarios de'León á D. Cayetano deT iá.Cálle, capitán de vclúntarios de Madrid , tenencias en este á los subtenientes D. José Sánchez, D. José María Sierra y D. Antonio Gomfez dé la Torre , y subte…</t>
  </si>
  <si>
    <t>Caylleaux</t>
  </si>
  <si>
    <t>hubiese sido posible destruir la bateria. — Es igualmente escusado el decir á V. lo O , • i í ' , ___ bien que se portó el teniente coronel Arco, el capitán Caylleaux y el tenie te ¡Nlalvehi. -— Me han sido igualmente muy útiles en tierra el cirujano Dcke, el contador Waters , ámbos de la fragata Cambrian, y el joven irlandés…</t>
  </si>
  <si>
    <t>Caytt</t>
  </si>
  <si>
    <t>el Federico, D. Francisco Blanco , D. Bartc lomé Blanco D. Joaquin Gómez, D. José Flaquer, D. Lean­ dro Rubira , D. José Velasco, D. Joaquín Velasco, D. Caytt no Vico, D. Manuel Aranda , D. Antonio Sánchez Navarro , D. José Ocaña, y D. Miguel Larraz. Empleos de alféreces en el regimien­ to de Reales Guardias Españolas , á los…</t>
  </si>
  <si>
    <t>Cazelli</t>
  </si>
  <si>
    <t>D. Miguel de Soto; comandante de batallón el cardenal Spina, nuestro arzobispo , acompaña­ del regimiento de Sevilla, 3.® de infmtería de lí­ do del cardenal Cazelli. SS. EE., después de ha­ nea, á D. Antonio Bnggiero; subteniente en el reberse detenido aqui dos dias, salieron ayer pa­ ¡miento de J jen , 8.° de infantería de …</t>
  </si>
  <si>
    <t>Ccrvcra, Francisco</t>
  </si>
  <si>
    <t>Francisco Ccrvcra</t>
  </si>
  <si>
    <t>nto de Ciiaro , 468 y 4 rs. D. .Tose S.igarraga , vecino de México , 3000. El subdelegado de Zotuta y varios vecinos de aquel partido, 219 y un real. D. Francisco Ccrvcra, 50. I). José Vicente María de Paz y Mendoza, 100, y 500 anualmente. Su ahijado D. Juan Nepomuceno, 100. D. Juan Nepomuceno Fiorez , te­ niente retirado, 36…</t>
  </si>
  <si>
    <t>Cdafati</t>
  </si>
  <si>
    <t>s productos, es de­ cir, qúe es mentíster cargarle , lo qual equivale á Anteayer salió de eita ciudad para Páris e! ca­ «stabVcer Utta nuevo. ballero barón Cdafati, prefecto de ia Istria , ea No contento todavía con esto Mr. Perceval, nos calidad de presidente de ¡a diputación de nuestras habla del estado floreciente de nuest…</t>
  </si>
  <si>
    <t>Ce, Rafael</t>
  </si>
  <si>
    <t>Rafael Ce</t>
  </si>
  <si>
    <t>zm ponderación. Su bizarro gobernador el sargento mayor del re­ gimiento de Málaga.. D. Rafael Ce val los Escalera, tan va­ liente como patriota, es merecedor de la gratitud nacional, y su entusiasmo y esfuerzos repetidos per la conservación de de este importante cantillo, le hacen acreedor á que S. M.</t>
  </si>
  <si>
    <t>Ceballos, Juan</t>
  </si>
  <si>
    <t>Juan Ceballos</t>
  </si>
  <si>
    <t>io. Posadas , 12. D. Basilio Gutiérrez, 'io?* D. José María, Ponce, 10. D. Francisco Cienfuegcs, 30. D. José Crivelli, 35, D. Fernán-, do Maynez , 8. D. Juan Ceballos, 20. D: Francisco Oírnos i SO V. Fran­ cisco Xavier Chaves, 10. Varios individuos 169-y 3- ts-, — yuta HéV Jüqtnhre de Djp$¿ D. Jijan: Amonio Yandiola^ 5a íy&amp; J…</t>
  </si>
  <si>
    <t>Ceballos, Juan Femando</t>
  </si>
  <si>
    <t>Juan Femando Ceballos</t>
  </si>
  <si>
    <t>an Ba.rrera, 200. Don Tomas del Campo, 25. Don Juan Ventura Ga~ ray, ro. Varios pobres, 25 y 4 rs. D. Leonardo Flores, 20, D. Pedro Rábago 24 y 4 rs. D. Juan Femando Ceballos, 40. D. José Antonio Lorina, 50. D. Manuel Orendain, 25c D. Cirios de Arriaga, 100. Don Francisco Antonio de la Presa , 50. -- Chibuagua. Ei ministro te…</t>
  </si>
  <si>
    <t>Cebos, Martia Miguel</t>
  </si>
  <si>
    <t>Martia Miguel Cebos</t>
  </si>
  <si>
    <t>iputado por el pueb o. trador de rentas. Diputados por la Rambla D. Francisco García La diputación de Javalquinto, que se preseotó Ortíz, corregidor; D. Martia Miguel Cebos, re­ 4 S. M. en Jaén el dia 2 de abril, se componía de gidor decano; D. Antonio Estrada Navarrete, al­ D. Josef Martínez Sánchez, alcalde primero; Don gua…</t>
  </si>
  <si>
    <t>Cebrian, Tuan García</t>
  </si>
  <si>
    <t>Tuan García Cebrian</t>
  </si>
  <si>
    <t>7r + nitario descalzo................ ............... 44®°°, D.'Blas de Torres Erjrázquin............. • 48222 25? D. Tuan- García Cebrian', ex rega­ Doña .Manuela Perez........................... 4»oco lar id........................................... . 4+000 D oña Josefa Larrea.............................. 291K1 6 D. Patrici</t>
  </si>
  <si>
    <t>Cedillo, Alfonso</t>
  </si>
  <si>
    <t>Alfonso Cedillo</t>
  </si>
  <si>
    <t>del Arco, lector de su orden: para quín- Enamorado: para la de Asquerosa al ex-fran­ la de Turón al ex-agostino calzado D, Juan Sán­ ciscano descalzo D. Alfonso Cedillo: para la de chez: para la de Athama la Seca al ex-carmelita Gojar á D. Simón Gutiérrez , ex-guardián de fran­ calzado D. Josef Gómez: para la de Aihavia al ex…</t>
  </si>
  <si>
    <t>Celiini, Pedro</t>
  </si>
  <si>
    <t>Pedro Celiini</t>
  </si>
  <si>
    <t>as II emos decretado y decretamos lo siguiente: guiente: de Villachica........................................ 5054 articulo i. ,, Se declaran acree­ D. Pedro Celiini y compañía.............. 3 1 “68 Rs vu. Mrs. dores de¡ estado á D. Rafael Marli- O. 1 lian ííe; R íl&gt;e*ra............ ........ _.fr ■3 I 4ü6 I 7 rt”z de. Ariza …</t>
  </si>
  <si>
    <t>Celles</t>
  </si>
  <si>
    <t>lmente á ofrecerse voluntarios. lieron de, la cala Napoleón con un viento favora­ Üna gran parte de los nuevos reclutas de ja actual ble la canoa del conde Celles, la del comisario conscripción será incorporada eo el nuevo regimien­ principal, y otras varias suntuosamente adornadas to de infantería dé línea que va á formarse.…</t>
  </si>
  <si>
    <t>Cellini, Pedro</t>
  </si>
  <si>
    <t>Pedro Cellini</t>
  </si>
  <si>
    <t>oyes é hijos, D. Frutos D. Manuel del.Burgo..............., -26155 23de Alvaro Benito,,D. Felipe Ra- ± D. Salvador ^lussiútc-.* ^r-.,:, ..24074 bara, D. Pedro Cellini y compa- •í D.'Baltasar Delgado»,...........470 &gt; ñí:i, y Wcreruise hermanos......... .'. 645107 [ D. Mtgoebde la Palenque ¡ 263 5 ’ ló1 D. Dámaso de la Torre..…</t>
  </si>
  <si>
    <t>Juan Teran, como marido de Do- ~hijos.-;....-....... .................................... 120000 -ña María'Teresa de Anoz........... . - 536$.. 10 ^ D. Pedro Cellini y compañía................. 30000 . ' D. Manuel de Ramos de Zafra..... tope.. 2 D. Miguel Sancho Larrea y .D. An­ D. Francisco García de Rozas........... . : 843…</t>
  </si>
  <si>
    <t>rado D- Juan l eran........ .............. 11103-28 Dovat, hermanos y compañía............... *93ái-3* D. Francisco Antonio de Brir.gas......... 1500 D. Pedro Cellini y compañía.............— 44000 . Juan Josef de Matute...................... 42415..11 D. Miguel Sancho Larrea...................... D. Santiago de Urtzar.......…</t>
  </si>
  <si>
    <t>Celva, Anacía</t>
  </si>
  <si>
    <t>Anacía Celva</t>
  </si>
  <si>
    <t>Marli- O. 1 lian ííe; R íl&gt;e*ra............ ........ _.fr ■3 I 4ü6 I 7 rt”z de. Ariza por....................................... 3 1 201 ió 31201 IÓ Doña Anacía Celva................................ "6137 Dina Josefa C yetaría Maeso.............. 4 joco D&lt;&gt;ña Feliciana Barí?............................ 1 263 27 D. C . yeM 10 …</t>
  </si>
  <si>
    <t>Célva, Angela</t>
  </si>
  <si>
    <t>Angela Célva</t>
  </si>
  <si>
    <t>1983 28 Doña María Andrea Moreno..;.......... 3573 26, D. Melchor Cadenas.;........ 768 D. Juan Retz........................................ - 3000• Doña Angela Célva.;.'..;...... 480 Doña Dionisia Portenia..................... ' 157 5 : Doña Manuela Cólica y Soto....-......... 488 Doña María Valentina Salcedo.......... 11147…</t>
  </si>
  <si>
    <t>Centc, Manuel</t>
  </si>
  <si>
    <t>Manuel Centc</t>
  </si>
  <si>
    <t>iudad :D. Antonio López» Por el clero: El Dr. D. Pedro Alvarez,digni­ síndico personero 6 procurador del común; D. Jo- dad de maestre-escuela; el Dr. D. Manuel Centc•ef ViJlanueva , abogado; D. Francisco Tarrago, ro, magistral. abogado; el Dr. D. Andrés de Ana ya, dignidad de prior de la catedral. Diputación de la villa de Sa…</t>
  </si>
  <si>
    <t>Centelles, Simón</t>
  </si>
  <si>
    <t>Simón Centelles</t>
  </si>
  <si>
    <t>1049</t>
  </si>
  <si>
    <t>­ cados en la batería , y sostenidos por una compañía de grana­ deros de las secciones catalanas ai mando del capitán 2?. Fé­ lix Ferré y el teniente D. Simón Centelles. Al amanecer del 19, se vió i a retaguardia de una columna enemiga como de 500 hombres, que subía por el camino de Ulldecona, á la que hizo fuego l^ardizabal …</t>
  </si>
  <si>
    <t>Centurio, Luis</t>
  </si>
  <si>
    <t>Luis Centurio</t>
  </si>
  <si>
    <t>D. Amonio Aguilar ; segunda ayudantía mayor á I). Francisco de Sales Moa.; segunda tenencia de granaderos á D. Juan de Beamurguia; id. de cazadores á D. Luis Centurio i; id de fusileros á D. Jayme Ruiz y Abreu, D. Ig­ nacio Medina y Huet, D. Antonio Aguilera y J). Mariano López ; em­ pleos de alféreces de cazadores á D. Manue…</t>
  </si>
  <si>
    <t>Cepeda, Ignacio</t>
  </si>
  <si>
    <t>Ignacio Cepeda</t>
  </si>
  <si>
    <t>r, luego que ha podido, á su patria. Concluyen los donativos de la Nmva-Ch.caya. Santa Cruz de Tepehuanes. El cura Don Vicente Cabada, 50. Subdiácono D. Ignacio Cepeda, 16. D. José Cabada, 50. D. José Cabada , menor, D. J&lt;sé Blanco, 16. Varios individuos 157. — Ciénega de los Olivos. El subdelegado D. Atanasio Loya, 283. D. J…</t>
  </si>
  <si>
    <t>Cepeda, Luis</t>
  </si>
  <si>
    <t>Luis Cepeda</t>
  </si>
  <si>
    <t>Agustín Poncerot, y de ayudantes segundos á les capitanes D. Antonio Quiróga, graduado de teniente coronel, D. Joaquín Ezcario, D. Agustín Salazar , D. Luis Cepeda , D. Pedro Eguiá y D. José Revesr, al ayudan-' te D. Nicolás Sanz, y al teniente D. Angel García de Borunda. Prospecto del Diario de Cortes que se ha de publicar l…</t>
  </si>
  <si>
    <t>Cerero, José</t>
  </si>
  <si>
    <t>José Cerero</t>
  </si>
  <si>
    <t>r la ciudad de Tarragona : D. José Alonso y López , por la junta superior de Galicia: D. José María Suarez deRioboo, por la provincia de San­ tiago : D. José Cerero, por la de Cádiz : D. Manuel Ros, por la de San­ tiago : D. Francisco Papiol, por Cataluña: D. Pedro María Ric, por ía junta superior de Aragón : D. Antonio Abadi…</t>
  </si>
  <si>
    <t>Cerero, Josef</t>
  </si>
  <si>
    <t>Josef Cerero</t>
  </si>
  <si>
    <t>géneros ingleses de esta especie. En Mala- nez, subteniente qne fae de caballería de Alcán­ para y en Sieiwitz hai ya fábricas de hierro mui tara , y D. Josef Cerero, teniente que era del 2.a acreditadas: ramo de comercio mui útil á la Sile­ regimiento de Sevilla : en el regimiento de Murcia, sia y á Jas demas provincias veci…</t>
  </si>
  <si>
    <t>Cerero, Juan Josef</t>
  </si>
  <si>
    <t>Juan Josef Cerero</t>
  </si>
  <si>
    <t>qoarrn. D. Eduardo Valvidares. art. iv. El departamento de las bocas del Es­ D. Josef del Valle. calda pertenecerá al tribunal imperial de Bru.'éUs.” D. Juan Josef Cerero. Ei domingo por la tarde entrarán SS. MM. en D. Celedonio Alonso. París por el arco triunfal de la Estrella , y atrave­ Marques de Torreblanca. sarán en el …</t>
  </si>
  <si>
    <t>Cerezo, Juan</t>
  </si>
  <si>
    <t>Juan Cerezo</t>
  </si>
  <si>
    <t>ficio son del 19 del Para el de la de Benadalid, vacante por pro­ mes pasado. A esta época los franceses babian prin­ moción de D. Miguel del Real, á D. Juan Cerezo, cipiado ya el sitio de Almeida. Lord Weilington clérigo diácono. concentraba entre tanto sas fuerzas para obligar por Para el de la de Competa, vacante por muert…</t>
  </si>
  <si>
    <t>Cermeño, Manuel</t>
  </si>
  <si>
    <t>Manuel Cermeño</t>
  </si>
  <si>
    <t>5 D. Antonio Vázquez , 1$. D. José María Noriega, 25. D. Vicente Moreno , 10. Don Bernarda GiStellum, 10. D. Damian Segrega, 1 o. D. Juan Mendez, 13* D Manuel Cermeño, 10. Doña María Teresa Vázquez, ió. Doña Fran­ cisca Vázquez, 7. Varios individuos, 154 y 6 rs. ■—Aíulatos. D. Do­ mingo Goyenecnea, 200. Fr. Dionisio O iederra…</t>
  </si>
  <si>
    <t>Cerrcdo, Manuel López</t>
  </si>
  <si>
    <t>Manuel López Cerrcdo</t>
  </si>
  <si>
    <t>.... 5415 mentario de Doña Juana Macarti.... 2964-27 D. Manuel de Amandarro..... . 61099.. 8§ D. Antonio Torres................................. 5319 D. Manuel López Cerrcdo................... . 36641. .17 D. Abdres de Saucal.......... .................. 6988.. 17 D. Juan Bertevin...................... ...... ...... 15613.. 8…</t>
  </si>
  <si>
    <t>Cerutti, Florencio</t>
  </si>
  <si>
    <t>Florencio Cerutti</t>
  </si>
  <si>
    <t>114 nuei Monti , y á D. Florencio Cerutti alféreces de fragata de la Real armada ; y á L). Francisco de Quesada y Vial, teniente del regimiento ele B&amp;ylén. En el mismo real cuerpo ha concedido igualmente S. M. pri­ mera tenencia de granaderos, á D. Cayetano Carcer ; prim</t>
  </si>
  <si>
    <t>Cervera, Juan</t>
  </si>
  <si>
    <t>Juan Cervera</t>
  </si>
  <si>
    <t>le acompañaban» á pesar de ignorar el Ladrón de Guevara y D. Bartolomé Otero : y pa­ objeto de la marcha , manifestaban en su ademan ra abanderados á D. Juan Cervera, D. Joaquín y serenidad que se creían capaces de las empresas Villaplani y D. Aiíonso Guerrero. mas arduas y arriesgadas: la pequeña colana de art. iii. Asimismo…</t>
  </si>
  <si>
    <t>Cesáreo, Matías</t>
  </si>
  <si>
    <t>Matías Cesáreo</t>
  </si>
  <si>
    <t>................................. D. Santiago Sedaño................. D. Antonio González. D. Ignacio Agudo y Andrade. D. Manuel Calvo. 4: .......... D. Matías Cesáreo.................. D. Vicente de la Torre......... JX Francisco Bian. í D. Juan Xaramiilo.................. D. Sebastian del Conde Va­ D. Luis Losada y Calvo. l…</t>
  </si>
  <si>
    <t>Cevaílos, Eustaquio</t>
  </si>
  <si>
    <t>Eustaquio Cevaílos</t>
  </si>
  <si>
    <t>da, D. Francisco de Paula Miranda, D. Francisco Sacue, D. Juan Ma­ tos, y D. Claudio González ; segunda ayudantía, á D. Jacinto Inozal ; tenencias, á D. Eustaquio Cevaílos , D. José Ramírez, D. Joaquín Moreno, D. Juan Morales, D. José Benitez, D, José Va­ ra del Rey, D. José Joaquín Daureia, y D. José Tirso Carvajal; y subten…</t>
  </si>
  <si>
    <t>Cevailos, Joaquín de la Huerta y Don Francisco</t>
  </si>
  <si>
    <t>Joaquín de la Huerta y Don Francisco Cevailos</t>
  </si>
  <si>
    <t>a, 8. D. José María Moreno, 10. Varios indivi­ duos, 71 y 1 real. — Fuerte. D. Gaspar Zañudo, 200. D. Estéban de la Vega, 50. D. Joaquín Velarde, 25. D. Joaquín de la Huerta y Don Francisco Cevailos, 50. Varios individuos, 156 y 5 reales. (JV continuará) CADIZ ; EN LA IMPRENTA REAL.</t>
  </si>
  <si>
    <t>Cevallos, Ciríaco</t>
  </si>
  <si>
    <t>Ciríaco Cevallos</t>
  </si>
  <si>
    <t>Gaceta de Madrid n.º 68</t>
  </si>
  <si>
    <t>os que adquirieron en estas ex­ extendido por el Sr. D. Josef de Mazarrédo» la que pediciones varios oficiales, aplicados á unas opera­ ha continuado D. Ciríaco Cevallos en la costa de ciones tan propias de su instituro, proporcionaron Campeche y Veracruz, y los reconocimientos y que qnatro de ellos propusiesen el primer plan…</t>
  </si>
  <si>
    <t>Cfi</t>
  </si>
  <si>
    <t>lt JA DE IA ariEXA. ves , de í o fanegas—............................... 102 **44 troductas Valores' Otra trigal 3 Caríe mancillen», de 4 fanegas y 8 D Cfi. VQ, eü M. VOa Una tierra trigal al sitio de la Verdeja, de cabida ! celemineé...................... .................................i.;...., n83 3168 Oti-a centeiial don…</t>
  </si>
  <si>
    <t>Cha</t>
  </si>
  <si>
    <t>as de haberse derramólo por ella pa­ ra subsistir parte del exército de M ireia. EL 21 del corriente he en­ viado á la parte de Alcázar de S. Juan al general Cha?sé para perse­ guir este cuerpo. Me escribe que tiene not'c a de que son 2® hom­ bres que se han reunido hacia Lillo, y que marcha contra ellos; pero me será preciso…</t>
  </si>
  <si>
    <t>Cha, Beltiau</t>
  </si>
  <si>
    <t>Beltiau Cha</t>
  </si>
  <si>
    <t>1320 Don Joséf Napoleón por la gracia de Dios y D. F ermm de Zelayeta........................ 360000 por la constitución del estado, REI de las £spá- D. Beltiau Cha roleo............................... 3*900 ñas y de las Indias. D. J osefde la V‘ga Ordoñez........... 127800 Vistas las consultas de la comisión de liqui­ Dona M…</t>
  </si>
  <si>
    <t>Chabot</t>
  </si>
  <si>
    <t>a historia, literatura y costumbres de los griegos y de­ Mrs. el barón Lagrange y el barón S. Germán más naciones antiguas , habiendo merecido que el autor Chabot, generales de división. del viige de Anacarsisla prefiriese en cierto modo i la El barón Tousard, el barón Barbanegre, el suya: un tomoá 20 rs. en rústica.-—La escl…</t>
  </si>
  <si>
    <t>Chabran</t>
  </si>
  <si>
    <t>0 hombres, y se ha encaminado hacia la frontera. El maris­ cal se lleva todas las alhajas del palacio de los capitanes genera­ les donde habitaba. Ei general Chabran, por un efecto de mode­ ración rara en los gefes franceses de estos tiempos, devolvió la baxilla de plata que usaba á su dueño : los demas comandantes y oficiale…</t>
  </si>
  <si>
    <t>Chacano, Josef</t>
  </si>
  <si>
    <t>Josef Chacano</t>
  </si>
  <si>
    <t>se habian escondido los bandidos: siu detenerse se di­ La del Puerto de Sta. María , compuesta de rigieron i la casa en que estaban , la rodearon , y D. Josef Chacano, regidor perpetuo. aprehendieron á los dos. D. Juan Marín de Valcnzuela, ídem, ambos De este modo han sido presos quatro de los por ia municipalidad. •eis berga…</t>
  </si>
  <si>
    <t>Chacón, Antolin</t>
  </si>
  <si>
    <t>Antolin Chacón</t>
  </si>
  <si>
    <t>en el de Murcia, subtenencia á D. José María Solano. Por el particular mérito que han contraido en las guerrillas del exército del centro los cadetes D. Antolin Chacón, del regímiento de granaderos á caballo de Fernando VII, y D. Vicente Lobo, del primero de húsares de Extremadura , se ha servido S. M. promoverlos á alféreces…</t>
  </si>
  <si>
    <t>Chacón, Francisco</t>
  </si>
  <si>
    <t>Francisco Chacón</t>
  </si>
  <si>
    <t>............. . i-j 330 Otro pedazo de tierra al sitio que llaman los Molodros, de caber seis fanegas, de • interior calidad ,~y linda con tierras de D. Francisco Chacón............................... .*.... . 20 44Q * • i C!:'í_ r- ~ 1- •' ' • •' ■ ..... ..2263O 362160 Importan los productos d$ las casas y haciendas compreti…</t>
  </si>
  <si>
    <t>Chacón, Gonzalo</t>
  </si>
  <si>
    <t>Gonzalo Chacón</t>
  </si>
  <si>
    <t>n á D. Vi­ perai á los corrégidores de- ios pueblos cabezas de ceate Cahellos; para teniente á D..Vicente María patrido Heredia, y para subteniente á D. Gonzalo Chacón. p revengo á V-- qne para" evitar las vexaciones.que á los dispersos pudieran seguirse di pre­ •&gt; AVISOsentarse cada tres días, lie Venido en que solo se En la…</t>
  </si>
  <si>
    <t>Chacón, Josef</t>
  </si>
  <si>
    <t>Josef Chacón</t>
  </si>
  <si>
    <t>lián Sojo. D. Tomas Ibargiien. Tenientes. D. Ramón García Ximenez. Batallón del quartel de S. Isidro D. Josef Cabredo. D. Bartolomé Gómez. Capitanes. D. Josef Chacón. D. Agustín Gamell. D. Tomas Perez. D. Bernardo Barril. D. Francisco Berdejo. D. Camilo Gamboa. D. Esteban Gómez. D. Pascual Santander. D. Mateo Norzagarai. D. M…</t>
  </si>
  <si>
    <t>Josef Vive*. 7.* ........ D. Josef Cabredo........ D. Pedro González Scpúlveda. 8.*.......... D. Bartolomé Gómez,. D. Joaqurn Sánchez. 9.a.......... D. Josef Chacón.......... D. Ventura Cordero. 10.a................................................ D. Juan de la Fuente. N.'estío ministro de la Guerra queda encargado de la cxec…</t>
  </si>
  <si>
    <t>Chalanes</t>
  </si>
  <si>
    <t>Gaceta de Madrid n.º 328</t>
  </si>
  <si>
    <t>................ Alarifes. Albañiles, soladores y revocadores. Carreteros. 8.*. ^ Caldereros. . 200 160 120 80 40 Carpinteros. Cerrajeros. Corredores d Chalanes. .Cuchilleros.................. ...................... ......................... ........................ ..</t>
  </si>
  <si>
    <t>Chalina</t>
  </si>
  <si>
    <t>varias mudanzas en el mi­ nisterio y en el cuerpo diplomé tico, y se hablaba de un viage de la emperatriz madre á Tver, residencia de su luja la gran duquesa Chalina, y de ai.í á Moscou á visitar varios &lt;siabiecimiertos. Pa­ rece que esta princesa no profesa los mismos principios que su lijo el emperador en órden á las relaci…</t>
  </si>
  <si>
    <t>Champagni</t>
  </si>
  <si>
    <t>248</t>
  </si>
  <si>
    <t>Italia, protec­ tor de la confederación del Rliin , mediador'de la confederación suiza, á su ministro de negocios extrangeros el Sr. Juan Bautis­ ta, conde Champagni, duque de Cadore, de la banda de la le­ gión de honor, comendador de la orden de la corana de hierro, caballero de la órden real de Vestfalia , gran dignidad de …</t>
  </si>
  <si>
    <t>Champagny</t>
  </si>
  <si>
    <t>rey, que son dignas de la atención de todo el mundo, porque en ellas se manifiesta la fal­ sedad de la acusación hecha contra Holanda en la nota del ministro Champagny en 24 de enero, publicada en el monitor de 31 del mismo(I) y Y el disgusto de estos naturales, que abandonan su pais por no sujetarse al yugo de hierro de la F…</t>
  </si>
  <si>
    <t>dos la mayor parte de los holandeses, que eran los que qiiasi exclusivamente poseían las obligaciones sobre su país. En la representación que hace el ministro Champagny sobre este asunto, dice que esta reunión es el mayor gol­ pe que la Francia puede dar á la Inglaterra, por la gran ía^ cilidad que proporcionan su situación g…</t>
  </si>
  <si>
    <t>Champagoi</t>
  </si>
  <si>
    <t>teras sin noticia de las auto­ 7. a , á su tr.ioistro de Negocios extrangeros el Sr.J uan ridades antes de la publicación del ukase de 24 de Bauósta, conde Champagoi, duque de (Saciara,</t>
  </si>
  <si>
    <t>Champalimaud</t>
  </si>
  <si>
    <t>809</t>
  </si>
  <si>
    <t>gar á la cumbre de la cordillera por el regimiento nüm. 74 mandado por el te­ niente coronel Trench , y por la brigada de infantería portu­ guesa del coronel Champalimaud á las órdenes del coronel Makinnon. El mayor general Leith se movió igualmente ha­ cia su izquierda para apoyar al mayor general Picton , ayu­ dando á destr…</t>
  </si>
  <si>
    <t>stinguie­ ron, fueron todos aquellos que tuvieron la felicidad de estar en los puntos atacados, y son los siguientes : La brigada 9 y 21 al mando del coronel Champalimaud, y después que este Aúé herido, del teniente coronel Sutton ; el regimiento 8 , mandado por el teniente coronel Douglas, la brigada 1: y 16 de línea, y el q…</t>
  </si>
  <si>
    <t>Chap</t>
  </si>
  <si>
    <t>mos estas ventajas al teniente coronel Fletvher y á la oficialidad del real cuerpo de ingenieros , en­ tre los quales debo en particular mencionar ai capitán Chap­ ina n , que tiene coníraidos otros méritos anteriores. ; En mi oficio de 30 de octubre participé á V. E. que el marques de la Romanase habia unido al exército alia…</t>
  </si>
  <si>
    <t>Chariier, Próspero</t>
  </si>
  <si>
    <t>Próspero Chariier</t>
  </si>
  <si>
    <t>El general Cafarelli, prefecto marítimo, ha he­ Di Ignacio Calvo y D. Antonio Caraza: tejientes cho insertar en el diario de nuestra ciudad las no­ á D. Próspero Chariier, D. Julio Riperr y D. An­ ticias siguientes tr. ÍJas de la isla de Francia *&gt;or la gel Braulaincourt.: y subtenientes á los señores Vaembarcacii n Augusto d…</t>
  </si>
  <si>
    <t>Charroa</t>
  </si>
  <si>
    <t>tro gran consejo de la Orden Real da manifestado el mayor calor en U persecución del España, hemos decretado y decretamos lo siguiente: enemigo, y el capitán Charroa se ha apoderado de articulo 1. ,, Nombramos caballero comen­ un obús ea Garica. • dador de ia Orden Real de España al reverendo ,, Las tropas de ios generales La…</t>
  </si>
  <si>
    <t>Chassé</t>
  </si>
  <si>
    <t>ían ro­ caballos de tropa y 150 ululas para la artillería. bar las quadrillas de la Romana. Los prisioneros hechos contestan en que la Roma­ El señor general Chassé, de la división de la na , para mantener ritas tiempo su fatal iofluxo, co­ confederación del Rin, ha desbaratado varías qua­ metía las mas enormes crueldades en …</t>
  </si>
  <si>
    <t>Chaves, Fernando</t>
  </si>
  <si>
    <t>Fernando Chaves</t>
  </si>
  <si>
    <t>s canales para que puedan D. Santiago Agüero, de Baza. sabir por ellos los baques que necesitan repararse. En la prefectura de Jaén. IMPERIO FRANCES. D. Fernando Chaves, subprefecto de Jaén. D. Mariano Villalba, de la Carolina. Roma 4 de abril. D. Miguel García, de Ubeda. Eu Villa-Falumbara se |ban descubierto poco En la pref…</t>
  </si>
  <si>
    <t>Chicho</t>
  </si>
  <si>
    <t>Gaceta de Madrid n.º 311</t>
  </si>
  <si>
    <t>Cubillo de Aragón en tres actos titula­ mismas especies para hacer iguales adquisiciones y da Bernardo del Carpió, y el fin de fiesta titulado gmor. D. Chicho. Actores en la comedia. Señoras Ramos y Macjueda. Señores Ponce , Ortigas, Caprara, Aveci­ Sea pues permitido i todo aquel qne sea paga­ lla, Oros, Gontadar, Casanova ,…</t>
  </si>
  <si>
    <t>1400</t>
  </si>
  <si>
    <t>............. J gua de D. Alvaro Cubillo de Aragón en tres actos ti­ tulada Bernardo del Carpió, y el fin de fiesta titulado 4.0 Por cada dia á los-. D. Chicho. obreros que se hallen[....,.............. 10 10. en los talleres del f En el de la Cruz, á las quatro y media de la tardé, cuerpo........................J se executar…</t>
  </si>
  <si>
    <t>Chiclaoa, Blas</t>
  </si>
  <si>
    <t>Blas Chiclaoa</t>
  </si>
  <si>
    <t>a ya, dignidad de prior de la catedral. Diputación de la villa de Salobreña Por el clero: El mismo D. Andrés de Anaya ; el d cumplimentar d S. M. Dr. D. Blas Chiclaoa, magistral; D. Josef Caste­ Compuesta del único regidor que hai D. Salva­ llanos , canónigo. dor Martin, por ausencia de uno, y ocupación del Nota. La ciudad de…</t>
  </si>
  <si>
    <t>Chlopiski</t>
  </si>
  <si>
    <t>Gaceta de Madrid n.º 256</t>
  </si>
  <si>
    <t>o regio en Se­ el general Laval, quando reuniendo las selectaa villa. compañías de los regimientos 44.* y 2° del Vís­ tula, marchó á su frente con el general Chlopiski, ,,Excmo. Sr. consejero de Estado y comisario y bien pronto consiguió, á pesar de los esfuerzos regio: Lasci ha tenido la temeridad de desembar­ reiterados del…</t>
  </si>
  <si>
    <t>Cho, Pedro Arcisclo</t>
  </si>
  <si>
    <t>Pedro Arcisclo Cho</t>
  </si>
  <si>
    <t>omo magistrados, debían enero de i8io. = Ei ministro de lo Interior mar­ contribuir con celo y eficacia á acelerar esta época ques de Almenara. = Sr. D. Pedro Arcisclo Cho­ dichosa, y que sobre todo velasen sobre el pueblo za * alcalde mayor de esta villa. qne se les confiaba* libre ya de toda servidumbre y feudaüdad. Carta d…</t>
  </si>
  <si>
    <t>Cholopieki</t>
  </si>
  <si>
    <t>a flamenca, cuyo Madrid a r de noviembre. autor habia tomado por modelo la misma medalla.; O.tros culparon á Mr. David por haber representa­ El señor general Cholopieki, encargado por el - do enteramente desandas las personas principales: señor general Suchet de arrojar á ia junta, de Te-, de sus quadros, y con este motivo se…</t>
  </si>
  <si>
    <t>Choya, Andrés</t>
  </si>
  <si>
    <t>Andrés Choya</t>
  </si>
  <si>
    <t>. Carios San R 'man., á esta ciudad , y han continuado su camino para D. Isidro M ere i o. Nantes , tres regimientos de caballería ; á saber: el 7.0, D. Andrés Choya. 9.0 y 20 0 de cazadores. Los c riciales de los dos D. Tomas de Sancha y Prado. regimientos de fusileros de la guarnía imperial que D. Antonio Looez ¡¿alazar. es…</t>
  </si>
  <si>
    <t>Choya, Gregorio</t>
  </si>
  <si>
    <t>Gregorio Choya</t>
  </si>
  <si>
    <t>y tanto los granaderos como los foragidos consu­ guardia cívica del quartel de Avapies, debe decit mieron todas sus municiones. La guerrillas carga­ D. Gregorio Choya. ron varias veces el destacamento , y siempre.fueron En la del miércoles 23 , pág. 601 , donde dicó rechazadas con pérdida. El coronel Hugo tuvo su haber sido n…</t>
  </si>
  <si>
    <t>a Brost, D. Josef María SorroialD. Mariano Triviño,.., D, Alberto Gteúudelt. Quar/o batallón. Para ayudante primero t&gt;. Bernardo de Ara, para segundo D. Gregorio Choya, y para abanderado D. Pablo Noriega. i*. D. Francisco Besa tes............. D. Julián Sane. 3*. »«•........Le....... D. Pedro P.bio Perez Arrieta. D. Gregorio …</t>
  </si>
  <si>
    <t>Choya, Manuel</t>
  </si>
  <si>
    <t>Manuel Choya</t>
  </si>
  <si>
    <t>s de Perales. Vilches, Baños y Guarrotnan. El Excmo. Sr. go­ Ayudante, D Antonio Ríos. bernador general los felicita en nombre de las ie- Abanderado, D. Manuel Choya. yes, por cuyos adalides sus valientes moradores se han constituido. Batallón del quartel del Barquillo. El domingo por la mañana salió S. M. de Cór­ Comandante»…</t>
  </si>
  <si>
    <t>Choza, Pedro Arcisclo</t>
  </si>
  <si>
    <t>Pedro Arcisclo Choza</t>
  </si>
  <si>
    <t>ue y que exhorte á sus vecinos á permanecer en *us * / / i A||,lA ,¡ i^ -_____ t * idSSáS f u S ivauuiuow es vtm* t&gt;4 uuilICSCil ÜUdnQO" se expresan: D. Pedro Arcisclo Choza * que era primer al­ nado * asegurándoles qué todos * sin excepción al­ calde , para la plaza de alcalde mayor. guna * serán respetados; advirtiéndoles q…</t>
  </si>
  <si>
    <t>Christin, Francisco</t>
  </si>
  <si>
    <t>Francisco Christin</t>
  </si>
  <si>
    <t>i®. El señor D. Federico Grellet, 3©. El señor D. Archibaldo Turnbull, 10. El honorable J. H. Frere, 5©. El Excmo. señor D. B. Frere, $®. El se­ ñor D. Francisco Christin, 10. El señor D. Guillermo Branscombe, 1®. El señor D. Alexandro Bryerly, i0. El Excmo. señor D. Henrique VVellesiey, 5^. El señor D. Eduardo Grellet, 500. …</t>
  </si>
  <si>
    <t>Chueca, José</t>
  </si>
  <si>
    <t>José Chueca</t>
  </si>
  <si>
    <t>alarmadas y amenazadas de continuo por nuestras valerosas guerrillas* que, según ellos se explican * infestan ia montaña y recorren las cinco villas. D. José Chueca, vecino de Zaragoza, uno délos españoles mas infames que han servido de instrumento á la opresión ex- ' trangera contra su patria, después de haber perdido el pre…</t>
  </si>
  <si>
    <t>Chuis, Emilio</t>
  </si>
  <si>
    <t>Emilio Chuis</t>
  </si>
  <si>
    <t>arina del tramo de costa de este tercio D. Juan de León, D. Salvador Ximeuez , D. Ra­ naval, y proveer en él lo conveniente para los ar-r fael Arana, D. Emilio Chuis , D. Josef de Lara, mamentos que se juzguen necesarios á su seguridad, D. Fernando Barrientos, D. Juan de Lara, D. Lo­ defensa y protección del comercio. renzo P…</t>
  </si>
  <si>
    <t>Churruca, Cosme</t>
  </si>
  <si>
    <t>Cosme Churruca</t>
  </si>
  <si>
    <t>ra hasta 30 viages executados por cargo de los capitanes dé fragata D. Joaquín Fran­ «diversos navegantes españoles y extrangeros.” i cisco Fidalgo y D. Cosme Churruca , baxo un plan Los conocimientos que adquirieron en estas ex­ extendido por el Sr. D. Josef de Mazarrédo» la que pediciones varios oficiales, aplicados á unas …</t>
  </si>
  <si>
    <t>iquc de bien en dos hojas de inarca mayor; y cuyo precio la Rigada, y varias observaciones de D. Pedro de es de 36 rs. vn. Cárdenas, D. Tomas Ugarre, D. Cosme Churruca, D. Dionisio Galiano, D. Mariano Isashiribil, y hs M. F. de N. de D. Josef Joaquín Ferrer y D. Sebastian Laso de la Vega , pilotos de mucha práctica y' sublime…</t>
  </si>
  <si>
    <t>Ciarós, Don Juan</t>
  </si>
  <si>
    <t>Don Juan Ciarós</t>
  </si>
  <si>
    <t>841</t>
  </si>
  <si>
    <t>ranadero muerto y otro herido, con ¿ mas de la seccione la del enemigo fué considerable.— Con igual fecha de 2 $ de setiembre avisa desde Tortellá el coronel Don Juan Ciarós al general en gefe, que habiendo tenido noticia de que los enemigos trataban de pasar Un convoy desde Figueras á Gerona el 24, dispuso atacarlo entre la …</t>
  </si>
  <si>
    <t>Ciaverías, Juan</t>
  </si>
  <si>
    <t>Juan Ciaverías</t>
  </si>
  <si>
    <t>s, predicador y confesor de la misma Estado. orden: para la de Haetor y Cazar .1 ex francis­ En nuestro palacio de Madrid á 27 de junio cano descalzo D. Juan Ciaverías : para la de Alfade 1810. car al ex-franciscano descalzo D. Pedro M01 rea! y Don Josef Napoleón por la gracia de Dios y Vega, predicador y confesor: oara la de…</t>
  </si>
  <si>
    <t>Cibat, Antonio</t>
  </si>
  <si>
    <t>Antonio Cibat</t>
  </si>
  <si>
    <t>r, la mas fe­ raz ó la mas rica , reducida á pantanos, coyas aguas, Discurso inutilizando en tiempos regulares les tierras en qne Sobre el objeto qne D. Antonio Cibat se propaso se circunscriben, en los lloviosos anegando los cam­ en su memoria titulada Consideraciones genera- pos vecinos, destruyen los sembrados y cosechas, …</t>
  </si>
  <si>
    <t>Cid, Segundo García</t>
  </si>
  <si>
    <t>Segundo García Cid</t>
  </si>
  <si>
    <t>as lunes, miércoles y sábados de cada semana, no siendo festivos. Para secretario del expresado tribunal de represalias se ha servido S. M. nombrar á D. Segundo García Cid, escribano de cámara del supremo Consejo de España é Indias , á quien ios interesados po­ drán dirigir sus recursos. Por no existir en el dia las Juntas su…</t>
  </si>
  <si>
    <t>Cienfuegcs, Francisco</t>
  </si>
  <si>
    <t>Francisco Cienfuegcs</t>
  </si>
  <si>
    <t>. Jg-nació SalazarT, 20 D. Joan. José Elorriaga , Miguel Valerdr, 70. D. Ignacio. Posadas , 12. D. Basilio Gutiérrez, 'io?* D. José María, Ponce, 10. D. Francisco Cienfuegcs, 30. D. José Crivelli, 35, D. Fernán-, do Maynez , 8. D. Juan Ceballos, 20. D: Francisco Oírnos i SO V. Fran­ cisco Xavier Chaves, 10. Varios individuos …</t>
  </si>
  <si>
    <t>Ciera, Francisco Antonio</t>
  </si>
  <si>
    <t>Francisco Antonio Ciera</t>
  </si>
  <si>
    <t>de eclipses del sol tes. (Se continuará.) y satélites; la-corrección de muchos puntoi de la costa de Portugal, según las noticias que remitió el Sr. D. Francisco Antonio Ciera, de la real so­ LIBRO. ciedad portuguesa, que estuvo encargado de su de­ La muerte de Abel, ó el Fratricidio, poema terminación ; la ioogitud de Palma …</t>
  </si>
  <si>
    <t>Cifuente, Pedro</t>
  </si>
  <si>
    <t>Pedro Cifuente</t>
  </si>
  <si>
    <t>o E|oi González...... ..Zt.4 - 1 JO0 Albert e. bi jos,................- y.fi.J. í¿9í-D3G " 29007 2 ¿4 13^. Tuan ‘ Monse r.......► íj? ) 89fih u ^ /t. D. Pedro Cifuente?.,,—... t ! í. 6949 4 í J&gt;. jMaUÍo Castró',"’ ex-BenéduSi^.^o) 449.9.^^ .CI El mgrques Caballero^*.: -*40882 /JL I&gt;. Mlqjró de Gillür,"ídl...: 2H9.99./ .¡ J D.…</t>
  </si>
  <si>
    <t>Ciíuentes, Pedro</t>
  </si>
  <si>
    <t>Pedro Ciíuentes</t>
  </si>
  <si>
    <t>....... 22229 T4 veza deben ¡as tropas deí 3." cuerpo arrojarse siem­ Sr. Marques de Muzquiz........................... 119361 21 pre a! enemigo. Sr. D. Pedro Ciíuentes............................ 43027 19 Infirmado el general en gefe de que se dirigía S?. Duque de C'itadiila............................ ¿8263 17 por Sigíienzi…</t>
  </si>
  <si>
    <t>Cinco, Agus</t>
  </si>
  <si>
    <t>Agus Cinco</t>
  </si>
  <si>
    <t>e Correa, linde con cisco Bendícho, arrendados á t Josef Segovia y barranco de Josef Molina en...................... 909 ’ XOSOO Planos, arrendados A D. Agus­ Cinco marjales de riego , en Za­ • * ; ’ ey tín de Mena, y 3 marjales da mora , linde con Josef Cariego, en ia cuesta de Már­ masco y cuesta de las Animas, quez, linde …</t>
  </si>
  <si>
    <t>Cini, Juan</t>
  </si>
  <si>
    <t>Juan Cini</t>
  </si>
  <si>
    <t>Gazeta del Gobierno n.º 6</t>
  </si>
  <si>
    <t>11678 : divisas de sargento , 32 : alpargates, 600 : caxas de guerra , 52 : herraduras, 2500 : arrobas de clavos, 8. Resumen general, 206.612 piezas. D. Juan Cini, de Mahon , remitió en 21 de diciembre de 1808 á D. Juan Elidió Malvasía , segundo oficial de contaduría en Cartage­ na de Levante , un vale de 300 pesos , de mayo,…</t>
  </si>
  <si>
    <t>Cióse</t>
  </si>
  <si>
    <t>a de los baños de Schimz*Kan, y qne se reuniría baxo las murallas de esta nant, y piensa hacer un viage al Oberland. plaza con el cnerpo que manda el coronel Cióse, Seha poblicado un decreto del consejo menor qne había calido de Hidrabad en número de io® del cantón de Basilea de fecha de 2 y de agosto hombres. acerca de los c…</t>
  </si>
  <si>
    <t>Cir</t>
  </si>
  <si>
    <t>Orden Real ro Bobadilla, capitán de cazadores de infantería de España, hemos decretado y decretamos lo si­ de Ecíja ; D. Francisco Gómez de Barreda; D. Cir­ guiente : ios de Angeville, coronel retirado ; D. Antonio de articulo, i. ,, Nombramos caballeros de la Or­ Vargas Machuca, capitán de fragata; D. Andrés den Real de Espa…</t>
  </si>
  <si>
    <t>de to­ S. Miguel al ex gerónimo D. Pedro Romero: para do género autoriz dos en el gobierno para grangear- la de S. Nicolás ai ex- trinitario descalzo D. Cir­ le el influxo necesario para la tranquilidad de( es­ ios García: para la de 5. Juan de los Reyes ai &lt;.xtado; el aumento progresivo de estos abusos y de trinitario calzad…</t>
  </si>
  <si>
    <t>te del de Amé­ rica, D. Francisco de Barraycua, de el del Príncipe, D. Domingo Luisdel Valle, del de España, D. Mariano de Gsycoechea, del de Africa, D. Cir­ ios de Capetillo y D. José Oñativia, cadetes del provincial de Murcia, y al de igual clase del regimiento de su guardia de infantería Española D. Vicente de la Encina y …</t>
  </si>
  <si>
    <t>Cirard</t>
  </si>
  <si>
    <t>antes y 800 caballos con 6 cañones, ocupa a Llerena y Vi lía garcía : las tropas francesas mas cercanas están en Guadal can al y Caza-lia. Del 28. El general Cirard habia hecho movimiento el dia 20 y llegado basta Bienvenida y Usagre. A consecuencia el general Mennizabal habla mandado hacer algunos movimien­ tos &amp; nuestro exé…</t>
  </si>
  <si>
    <t>Cires, Pasquai</t>
  </si>
  <si>
    <t>Pasquai Cires</t>
  </si>
  <si>
    <t>l regimiento de caballería del Príncipe , IX José Vidaurre, del de caballería de España , D. Saturnino Segura, del de infantería imperial de Toledo y D. Pasquai Cires, del de Aragón; y grado de teniente á D. José Albelda , comandante de una partida de caballería del reyno de Murcia. * El Consejo de Regencia se lia dignado con…</t>
  </si>
  <si>
    <t>Cirios</t>
  </si>
  <si>
    <t>n gefe se ha visto precisado á con­ tos, vino á apostarse en la Roca baxo las óidcnes tener ti ardor de las tropas, que querían. atacar del brig.dier D. Cirios España, para proteger el inmediatamente al exército enemigo, que estaba armamento de .os paisanos que hacían reunirse por acampado al rededor del c.stilio de Alburquef…</t>
  </si>
  <si>
    <t>el juicio que he formado de la composición, detestado ia conducta de D. Pedro, como la detestaba dramática que me he propuesto censurar. En ¿1 he ma­ D. Cirios. Este es el mayor eh gio que se puede hacer á nifestado con franqueza mi modo de pensar, y protesto un actor quan.io Ucea á conseguir que los espectadores que ningún m…</t>
  </si>
  <si>
    <t>mejantes delitos, y obligados i ir i litigar á los tribunales de Roma. „ Pe- ue según las leyes de España promulgadas por el Réi • ro donde el sefior D. Cirios 1, dice Macanaz, y los . Fernando no solo comete delito de traidor y aleve el • reinos y vasallos discurrieron hallar su conveniencia, eclesiástico que conspira contra…</t>
  </si>
  <si>
    <t>acaba de anunctaf bre dtí S. M. el Reí de Suecia , g.f; de las guar la venta de varias máquinas para hilar Jiao. Cree dias de á caballo, y el corone! conde Cirios de qae es ana obligación suya presentar estas máqui­ Loewenhieim, edecán, y gentilhombre del mismo nas inventadas por él múroo, y concurrir por este Soberaao. medio…</t>
  </si>
  <si>
    <t>Gaceta de Madrid n.º 246</t>
  </si>
  <si>
    <t>iera se executó el 21 en el palacio de Ninfem- hecho inmensas especulaciones por medio del des­ burgo á presencia del Reí, de SS. A A. RR. el cuento. príncipe Cirios y las princesas , de los ministros, La variación en el cambio de los fondos públi­ V de los oficiales de la corona. El deán y conde de cos era ayer de considerac…</t>
  </si>
  <si>
    <t>99</t>
  </si>
  <si>
    <t>ración del Rin, me­ nían la comitiva prestaron el juramento de fideli­ diador de la confederación suiza ; y S. M. el Em­ dad y homenage'á S. A. R. el Príncipe Cirios perador de Austria, Rei de Hungría y de Bohe­ Juan. mia, queriendo consolidar el estado de paz feliz­ En seguida se volvió S. M. con toda la comi­ mente restable…</t>
  </si>
  <si>
    <t>Cirios, Adriano</t>
  </si>
  <si>
    <t>Adriano Cirios</t>
  </si>
  <si>
    <t>ricio ’ 1 * 't. . k Ch.ipiíe , D. "Gabriel. Blranger y D,. Juan. Allard 1.a. Comisión dei concejo de Errado., creada por ¿cníent¿&amp;; á O Lili* Le?ag¿, D. Adriano Cirios1 real decreto de 24 de mayo de este año para entenVautbier. tí. Juan Viraváux, D. Celestino Vil- * der én todos los asuntos relativos á indemnizaciones b; :s, …</t>
  </si>
  <si>
    <t>Ciscar, Gabriel</t>
  </si>
  <si>
    <t>Gabriel Ciscar</t>
  </si>
  <si>
    <t>te de Abel, ó el Fratricidio, poema terminación ; la ioogitud de Palma en Mallorca, en prosa: su autor Mr. Gesner, traducido al caste­ comprobada por D. Gabriel Ciscar, que situó tam­ llano por D. Pedro Lejtusne, teniente de caballe­ bién varios puntos de Cerdeña y de otras islas y ría retirado. Un tomo en 8.° Quando se publi…</t>
  </si>
  <si>
    <t>efe deí exército dei centro, al capitán de fragata D. Pedro Agar, director general de las academias de reales guardias Marinas, y al gefe de escuadra D. Gabriel Ciscar, gobernadordé la p'aza de Cartagena, y que estaba nom­ brado secretario dei despacho de Marina. Tendrá io entendido el Consejo de Regencia, y así se hará impri…</t>
  </si>
  <si>
    <t>Cisneros, Francisco</t>
  </si>
  <si>
    <t>Francisco Cisneros</t>
  </si>
  <si>
    <t>­ fondos necesarios para ias reparaciones de los di—. fantería de líqea capitán á D. Nicolás de Torres; qu^s y demas obras públicas. y subtenientes á D. Francisco Cisneros, D. Ci­ priano Seguin, D. Pedro Montagut y D. Parrició TITULO QUINTO. Piera; y finalmente D Josef Lamas y D. Josef art. xii. El cuerpo legislativo de Holan…</t>
  </si>
  <si>
    <t>CjtíIio, Saturnino</t>
  </si>
  <si>
    <t>Saturnino CjtíIio</t>
  </si>
  <si>
    <t>nez pira el de Sao Dn vivo dolor al alejarme de Vos,pues que pierdo Bartolomé de las Abiertas. á un tiempo la satisfacción y tas luces que cada dia . D. Saturnino CjtíIio para el de Arcete. recibía de vuestras conversaciones. D. Si nou C *b Suelves para el de CaSa gordo. „ ii alguna cosa puede suavizar este pesar, es D. Alfon…</t>
  </si>
  <si>
    <t>Cladera, Cristóbal</t>
  </si>
  <si>
    <t>Cristóbal Cladera</t>
  </si>
  <si>
    <t>alana se elevase en tinuara.) aquel siglo á tal grado de gloria y esplendor, quan­ do los Reyes cultivaban su estudio y honraban su profesión. El Sr. D. Cristóbal Cladera dió noticia En la extracción de la real lotería celebrada en sus Investigaciones históricas de una carta náu­ en Madrid en la tarde de este día han salido s…</t>
  </si>
  <si>
    <t>tiguo, sargento mayor retirado; D. Josef El gefe de la tercera división del ministerio de Ignacio RuizCampai, regidor perpetuo, maestran­ lo Interior D. Cristóbal Cladera queda encargado te de Granada; D. Fabio Xaramitlo, secretario mas en Madrid de la secretaría de este ministerio hasta antiguo del ayuntamiento. sueva orden.…</t>
  </si>
  <si>
    <t>Claes</t>
  </si>
  <si>
    <t>Gaceta de Madrid n.º 321</t>
  </si>
  <si>
    <t>Augusto ¿ce. ' dos han elegido á S. A. el príncipe de Ponrecorvo ,, Mediante qne por nuestra accesión al sistema sucesor del trono. . de Suecia. yHl barón Claes de establecido por los desretos imperiales franceses so­ Flemming execúto en seguida con toda solemni­ bre el comercio con la Inglatorra y sus colonias,dad la eutrega…</t>
  </si>
  <si>
    <t>Clara</t>
  </si>
  <si>
    <t>n d la misma clase de ia so­ deseaba, que ¿ra hacer ver que una muchacha criada co­ ciedad ; pero ¡ aué diferencia de tono ! Y ¡ que diferencia mo la Doña Clara, es del primero que se presenta, de lenguaje, digo yo, y que diferencia de caía-teres! aunque sea un D. Claudio, ó un cabo de bandera. Pues ¡qué! ¡Quiere vmd. que tod…</t>
  </si>
  <si>
    <t>Claramunt, Guillelmo</t>
  </si>
  <si>
    <t>Guillelmo Claramunt</t>
  </si>
  <si>
    <t>, D. Mi­ guel Guajardo, D. José Arechaga, D. Antonio López, D. Juan Arango, D. José Herrera, D. Clemente Grima, D. Bautista Vila, D. Casimiro Brodet, D. Guillelmo Claramunt, D. Bernardo Cobian y D. Francisco Juárez ; y subtenencias, á D. Juaii de la Fuente , D. Mtnuel Martinez , D. Pió Moron , D. Francisco Alonso , D. Bernab …</t>
  </si>
  <si>
    <t>Claras, Juan Pérez</t>
  </si>
  <si>
    <t>Juan Pérez Claras</t>
  </si>
  <si>
    <t>noticia del suceso infeliz de Gerona , recibió el serenísimo señor Presidente, con fecha en Cádiz á 14 de diciembre, del comüinnaao de aquella dudad D. Juan Pérez Claras un_oficio, en el qual, expre­ sando en su nombre y en el de su compañero el ca nónigo D. Fruncís-</t>
  </si>
  <si>
    <t>Clarebout, Joaquín</t>
  </si>
  <si>
    <t>Joaquín Clarebout</t>
  </si>
  <si>
    <t>scalda. Marques de C.s: ¡leja. art. 11. El departamento de las bocas del Es­ M-rques de a- Torre*. calda tendrá dos diputados en el cuerpo legislati­ D. Joaquín Clarebout. vo , que harán parte de la segunda ?éríe. —• Merque» de Sones. ART. ni. : El número de los diputados del de­ M&lt;rques de Albeuto*. partamento de los dos Net…</t>
  </si>
  <si>
    <t>Clari</t>
  </si>
  <si>
    <t>Gaceta de Madrid n.º 103</t>
  </si>
  <si>
    <t>euth , comisario general. El conde de Torring- saldrá hoi de allí para hacer noche en Lnneviile. Seefcid , gran maestro de ceremonias , acompañará El conde Clari, gentilhombre de S. M. el Em­ á SS. MM. hasta las fronteras. perador de Austria, ha sido presentado en ComEl mayor gentilhombre de S. M. el Rei de piegne al Emperado…</t>
  </si>
  <si>
    <t>Claros</t>
  </si>
  <si>
    <t>Gaceta de Madrid n.º 16</t>
  </si>
  <si>
    <t>liviar los males inseparables de ,la disuelta muchas juuras particulares del reino dé guerra, ofreciéndoles que , terminada bien ptejoto Valencia. El general Claros, que mandaba '¡‘3) so­ esta, procuraría..¡repararlos todos cop ventajas, y matenes en Oiot, ha sido acusado de traidor des­ trucción pública, á lo menos que merez…</t>
  </si>
  <si>
    <t>Clary, Mario</t>
  </si>
  <si>
    <t>Mario Clary</t>
  </si>
  <si>
    <t>Gaceta de Madrid n.º 20</t>
  </si>
  <si>
    <t>miento núm. i.° de tar é imitar ias piezas maestras que esta nos dexó cazadores á caballo; á D. Nicolás Guye mariscal como en herencia. de campo, y á D. Mario Clary coronel de los ti- En ¡a literatura nada se adelanta sin modelos, Iadores de la guardia reai. y con ellos se descubre el ingenio y se acendra el gusto. Las nacion…</t>
  </si>
  <si>
    <t>Clase</t>
  </si>
  <si>
    <t>Gaceta de Madrid n.º 228</t>
  </si>
  <si>
    <t>ructidor del año se presentaron igoalmeate en la plaza para prestar xn,y del 28 de noviembre de 1809. su juramento.Después de haber pasado revista el mariscal Clase de ciencias físicas y matemáticas. duque de Reggio á todos los cuerpos, arengó á Primer gran premio de primera clase decreta­ las tropas, hadándoles presentes sus…</t>
  </si>
  <si>
    <t>Claudio</t>
  </si>
  <si>
    <t>enero. nuestros reales exérciros. Borda (D. Francisco), visitador general de la real «HAN CANCILLERÍA DE LA ÓRDEN REAL Hacienda. DE ESPAÑA. Boutelou (D. Claudio), director del jardin bo­ tánico. En nuestro palacio de Madrid á 6 de enero Carasa (D. Antonio), capitán del regimiento nú­ de iflio. mero 1de cazadores á caballo. Do…</t>
  </si>
  <si>
    <t>Gaceta de Madrid n.º 48</t>
  </si>
  <si>
    <t>rá siempre la razón por que Éelmpnt en la Huer finita es un carácter Huérfana, aün después de representada muchas veces.-*. .verdaderamente cómico; y D. Claudio en la Mogigat» ;Cree vmd—..? ¡Después del terrible fallo del Sr. J.l no ea mas que. un majadero aforrado en lo mismo, que _Sí señor, después de ese terrible fallo i e…</t>
  </si>
  <si>
    <t>evistado por el ge­ adornar con ellas el santuario de las leyes qae ha neral Hedowilie, senador. proyectada su ¡agento, y sancionado vuestra sa­ ca á D. Claudio...,, pero no negará vmd. que ese méri­ y ai no, compare vmd. los personages de las dos pieza* to, ese arte que vmd. pide brilla sobre manera en el ca­ en cuestión....…</t>
  </si>
  <si>
    <t>ña, ó se desengaña mui á pri­ vmd. al Señorito mimado, la Señorita mal triada, vea sa &amp;c. &amp;c.; pero lo que no puedo perdonarle son sus vmd. á nuestro D. Claudio._; Pero el objeto de nues­ tndeehat: ¡cómo no echó de ver nuestro poeta que aque­ tros poetas no ci corregir esa misma grosería de las ma­ llos versos aconsonantados …</t>
  </si>
  <si>
    <t>md. que pue­ carlos á relucir, para que no haya quien desee imitar­ de haber finura y urbanidad en las comedias, aunque ha­ los. Dicen también que si D. Claudio fuera un petime­ ya rusticidad y grosería en algunos de los caracteres? tre amable y de buen tono, y tan malicioso como vmd. Si somos rústicos y groseros ¡qué culpa t…</t>
  </si>
  <si>
    <t>Gaceta de Madrid n.º 93</t>
  </si>
  <si>
    <t>ía dentro,.se salieron todqs,por los huertosv quedándote soldé D. Claudio y ‘An­ ' IMPERIO FRANCES. tonio del Olmo. Este hizo que Sé retírate tatpWen D Claudio, puesto qaeios babdidosdirígian Prin­ cipalmente contra él su faría¿ El regimiento de la Tour-d’Auvergne, que se A breve rato sintió Olmo; qpe entraban ed dita compéne…</t>
  </si>
  <si>
    <t>(D Juan), soldado de caballería ligera Double (D. Gregorio), soldado de caballería ligera de nuestra guardia real. de nuestra guardia real. Laureut (D. Claudio), granadero, idem. Di-inn ( D Antonio), idem de idem. Lebrón (D. Antonio), cabo de artillería á ca­ Diibois { D. Josef), sargento de tiradores, ídem. ballo, ídem. Du ñ…</t>
  </si>
  <si>
    <t>e (D. Joan Crisóstomo), teniente de arti­ Ruiz ( Miguel), húsar de nuestra guardia real. llería , ídem. Salazar ( i&gt;. Felipe ), tirador, Idem. Louis {D. Claudio) , sargento de tiradores , idem. Saguet (D. Juan), granadero, idem. Marcelet (D. Juan), tirador» ídem. Sánchez (D. Antonio ), sargento primero de tiraMassotte (D. Jua…</t>
  </si>
  <si>
    <t>Claudio, Juan</t>
  </si>
  <si>
    <t>Juan Claudio</t>
  </si>
  <si>
    <t>1345</t>
  </si>
  <si>
    <t>ros de la tos y máquinas empleadas para las maniobras. Orden R-*?! de España á los Señores También harán el exercicio de fuego. De todo es­ Abeille ( D. Juan Claudio ), capitán de artillería to se les instruirá tanto á bordo como en los par­ de nuestra guardia real. ques de artillería. El maestro carpintero les hará Acevedo (…</t>
  </si>
  <si>
    <t>Claudio, Nicolás</t>
  </si>
  <si>
    <t>Nicolás Claudio</t>
  </si>
  <si>
    <t>rsia (D. Luis), tirador de nuestra guardia real. Biller (D. Josef), cabo de granaderos de nuestra Gauthier (D. Juan) , idem. . guardia real. Gamhier (D. Nicolás Claudio), capitán de caba­ Biagniac (D. Guillermo Josef Lafon de) , teniente llería ligera de ídem. . general de nuestros reales exércitos , primer ca- Gayangos (D.Fr…</t>
  </si>
  <si>
    <t>Claudio, Pedro</t>
  </si>
  <si>
    <t>Pedro Claudio</t>
  </si>
  <si>
    <t>ldado idem de idem. gera , idem. Desert ( D. Juan ), capitán de artillería, idem. Latdeiin (D. Miguel), idem de idem. Desmolands (D. Josef). Lamotte (D. Pedro Claudio), sargento primero Dessailli ( D. Manuel), sargento de granaderos de de granaderos, idem. nuestra guardia real. Lancarte (D Juan), comandante militar del dis­ D…</t>
  </si>
  <si>
    <t>Claudios</t>
  </si>
  <si>
    <t>d y grosería de nues­ sino Ja de aquel en que vive. Dicen también que habien­ tras comedias originales modernas___ Y dígame vmd., do en España tantos D. Claudios, deben los poetas sa­ Sr. D. Fino , y : las antiguas : :No sabe vmd. que pue­ carlos á relucir, para que no haya quien desee imitar­ de haber finura y urbanidad en l…</t>
  </si>
  <si>
    <t>Cle</t>
  </si>
  <si>
    <t>es quando ragidos form«brn la partida de Antonio Bueno, y les oponen una loca' resistencia , y quando violan otra de un clérigo de Belalcázár llamado D. Cle­ sus ehemigos las leyes mas sagradas dé la guerra. des literaturas, no ha sido por otro fin sino por animar- " des? ¡Has disputado con los abogad &gt;s y curas de ese lu­ te…</t>
  </si>
  <si>
    <t>Clement</t>
  </si>
  <si>
    <t>Gaceta de Madrid n.º 30</t>
  </si>
  <si>
    <t>es, con las que el código Napoieos Las cartas de Amberes, con fecha del a de ene­ tendrá i«revocablemente fuerza de lei desde el día ro, dicen que el general Clement ha tomado el i.° de enero de 181®. mando de Ftesinga, y qne la isla de Wa'cheren se reunirá á la Francia, y formará uaa fubprefcctura, GRAN BRETAÑA. cuya capital…</t>
  </si>
  <si>
    <t>Clemente, Josef</t>
  </si>
  <si>
    <t>Josef Clemente</t>
  </si>
  <si>
    <t>12 p. Pedro del Rio,,..,.,.................... . 6825 i.i D. Juan de Montaya.,,»,,,»,,.,....^.» 32400 P. Manuel HaedP-””*-".............. *1569] .C\ D. Josef Clemente de.Lujar.». fip*&lt;ii«kp ;, v 67200 D. Antonio Hernández............. a7í# DoñaMaría ManuelaPtavíde Ribera; • 45000 D. Agustín Feitc,........................ 8533…</t>
  </si>
  <si>
    <t>Clerembaoft</t>
  </si>
  <si>
    <t>Pillau y en quando la atacó Baswan-Oglow, y;asi se espera los demas puertos del Báltico. que no hará una resistencia larga y vigorosa. Una El cónsul general Clerembaoft, ef señor Coet- parte deí exército grande se ha establecido en Raslosquet, apoderado del consulado de Elbing, el grad para observar al gran visir, y precisa r…</t>
  </si>
  <si>
    <t>CLgigal, Juan Manuel</t>
  </si>
  <si>
    <t>Juan Manuel CLgigal</t>
  </si>
  <si>
    <t>Gaceta de Madrid n.º 281</t>
  </si>
  <si>
    <t>tifo' términos mas satisfactorios el afecto de los habi­ de Cáliz y del gobierno, conocido baxo el nombre tantes á~D. Juan Manuel CLgigal, á q'üiéii se ofre­ dé regencia ; á'los vireyer y capitanes generales de ció la presidencia de.la junta, y que habiéndola .estas provincias y á sus habitantes, con el objeto rehusado aceptó</t>
  </si>
  <si>
    <t>Clint</t>
  </si>
  <si>
    <t>nor de la Noruega. Los hijos de la antigua que solian pedirles en abundancia. Noruega estaban entonces animados de un mismo El navio Real Eduardo, su capitán Clint, sa­ modo de pensar y de unos mismos sentimientos. lió de Liverpool para la Havana, y se ha visto Nuestros animosos marineros y guerreros, nues­ precisado á ir á l…</t>
  </si>
  <si>
    <t>Clopiski</t>
  </si>
  <si>
    <t>encia 11 de noviembre. En la tarde del 30 de octubre entró repentinamente en Teruel un cuerpo enemigo de 3000 infantes y .500 caballos mandado por el general Clopiski, com­ puesto en gran parte de tropas del exército que observa k Tortosa. Tratóse de retirar algunas piezas de artillería qiue habiaben Teruel por él camino dé V…</t>
  </si>
  <si>
    <t>Closter, Schomboorg</t>
  </si>
  <si>
    <t>Schomboorg Closter</t>
  </si>
  <si>
    <t>gq, y al Reí , de Dinamarca , que habían preferido aidífunto prín­ Tiresde de mayo. cipe de Augusreroburgo las provincias deDalecarSe asegura q ie el conde Schomboorg- Closter- lia y de Iemtia. Los ingleses han tenido siempre la rode ha sido nombrado ministro-plenipotenciario de runión de todas las fuerzas d*. ia Scandioavia …</t>
  </si>
  <si>
    <t>Closterrode, Schuletnburg</t>
  </si>
  <si>
    <t>Schuletnburg Closterrode</t>
  </si>
  <si>
    <t>Gaceta de Madrid n.º 338</t>
  </si>
  <si>
    <t>a por uu lado del recinto de 'la nueva de S. M. I. y R.; y de cuya execucion estoi yo • ciudad. encargado por S. A. el príncipe de Eckmiihl. Vues­ El conde Schuletnburg Closterrode, que fue tra tranquilidad, vuestro comercio, como no sea nombrado embaxador de Saxonia cerca de la corte el prohibido, y las fiestas que acostumbr…</t>
  </si>
  <si>
    <t>Cnavarría, Alfonsa</t>
  </si>
  <si>
    <t>Alfonsa Cnavarría</t>
  </si>
  <si>
    <t>059 reales y 14 tado á maravedís de vellón. Rs. Vra. art. 11. Se entregarán í estos interesados las cédulas hipotecarias correspendieotes, admisibles Doña Alfonsa Cnavarría........................ 140000 solo en compra de bienes nacionales con arreglo Doña Magdalena López Cabré jas...... 60000 i nuestro decreto de 4 de octubr…</t>
  </si>
  <si>
    <t>Cnnroux</t>
  </si>
  <si>
    <t>n no haber enviado á tiempo Jas fuerzas de que te en gefe del exército de Brabante. La división podían disponer en favor del Austria al Adriático del general Cnnroux pasará derrro de pocos dias ó al norte de Alemania, donde hubieran sido mas P°r esta ciudad con dirección a Holanda. útiles, puesto que habrían distraído una par…</t>
  </si>
  <si>
    <t>Co, Félix</t>
  </si>
  <si>
    <t>Félix Co</t>
  </si>
  <si>
    <t>ientes generales do sus reales exércitos , á ios mariscales de campo D. Cárlcs de Gand y D. Antonio Samper: á mariscales de campo , á los brigadieres D. Félix Co^on, D. Antonio García Conde, D. Gaspar de Vigodet, D. Luis Laoy, y D. Francisco Co­ pón s : y á brigadieres, á ios coroneles D. Manuel Armen gol, y marques de Beliis…</t>
  </si>
  <si>
    <t>Co, Francisco</t>
  </si>
  <si>
    <t>Francisco Co</t>
  </si>
  <si>
    <t>de Gand y D. Antonio Samper: á mariscales de campo , á los brigadieres D. Félix Co^on, D. Antonio García Conde, D. Gaspar de Vigodet, D. Luis Laoy, y D. Francisco Co­ pón s : y á brigadieres, á ios coroneles D. Manuel Armen gol, y marques de Beliisca. ______________________________________ * .................................J…</t>
  </si>
  <si>
    <t>Cobian, Bernardo</t>
  </si>
  <si>
    <t>Bernardo Cobian</t>
  </si>
  <si>
    <t>raz ; en el de León , compañía á D. José Mariano Rodríguez ; ayudantía, k D. Vicente Alvarez ; tenen­ cias, á D. José Arechaga , D. Francisco Galan , D. Bernardo Cobian , y D. Francisco San Pedro ; subtenencias á D. Víctor Restrebada, D. Nicolás Marino, D. Miguel Souto, D. Francisco Urdapilleta, D. Hilario Naveyra , y D. Ramó…</t>
  </si>
  <si>
    <t>Cobos, Juan José</t>
  </si>
  <si>
    <t>Juan José Cobos</t>
  </si>
  <si>
    <t>Cnacon , 25. D. Eugenio Perez, 30. D. Marcos Vagues, 130. Varios individuos, ^4 y 4 rs. --- Gnuvizamey. D. Ramón Re villa, 50. Fr. Luis Salgado, 20. D. Juan José Cobos, 10. D. Martin Zubizar, 100. D. Juan Zubizar, 100. D. José Tomas Yañez, 10 Tres individuos, 15. — AÁapimi- D. Francis­ co Labarrieta, 100. D. Santiago Labarrie…</t>
  </si>
  <si>
    <t>Coc</t>
  </si>
  <si>
    <t>Gaceta de Madrid n.º 80</t>
  </si>
  <si>
    <t>ntes de que está adorna­ ría de línea y el otro de infantería ligera, que for­ da la archiduquesa María Luisa la h&lt;¡¿ graagéádo él man la brigada del general Coc.iorn, están aíoj.dos, amor de los pueblos del Austria, y han rix,¡do nues­ por lo que se cree que ao permanecerán mucho tra atención y nuestras miradas. Nuestros pue…</t>
  </si>
  <si>
    <t>Cock</t>
  </si>
  <si>
    <t>ado comisarios para que vayan inmediatamente la proposición, ni qnien la apoyó; me acuerdo de Varsovia á Lcmberg á reclamar las propieda­ bien que el coronel Cock habló allí como un mé­ des, tanto públicas como particulares , que perte­ dico. El conde Sparre y el teniente coronel Holst nezcan al pais nuevamente adquirido y su…</t>
  </si>
  <si>
    <t>Cockburn</t>
  </si>
  <si>
    <t>r las teorías de diversos miembros de Sesión del i.m de febrero. El lord Porcheiter la cámara que tenían opiniones erróneas sobre este propuso que al capitán Cockburn, al geoeral &amp;ir particular. ,,S:n embargo, no creo que los papeles David Dundas y á otros varios oficiales se les man­ y noticias qne se piden sean suficientes …</t>
  </si>
  <si>
    <t>Gazeta de la Regencia de España e Indias n.º 61 (extraordinaria)</t>
  </si>
  <si>
    <t>595</t>
  </si>
  <si>
    <t>sión francesa mandada por un nombrado duque de Aremberg, y compuesta de 1100 hombres, en gran parte caballería, con la artillería correspondiente. El capitán Cockburn adelantó 11 lanchas planas á las órdenes del teniente Westphall, pa-</t>
  </si>
  <si>
    <t>é ingleses han contribuido del modo mas distinguido al feliz éxito de la empresa, ad­ quiriendo nuestros aliados, y señaladamente su comandan­ te él capitán Cockburn, nuevos derechos a la gratitud y reconocimiento de la nación española. S. M., muy satisfecho de la pericia, valor y conocimicntos que ha manifestado el general L…</t>
  </si>
  <si>
    <t>Cockes</t>
  </si>
  <si>
    <t>81$ el capitán Cockes del 1&amp; de dragones ligeros, atacaron y car­ garon ai euenrtigo; de esta refriega salió herido levemente el capitán Kraukenberg. Continué la retirada de esta parte del exéreito por los caminos de Soure y Pombal para L</t>
  </si>
  <si>
    <t>Cocks</t>
  </si>
  <si>
    <t>era vez ; pasó las alturas y entró en el valle del Mondego, obligando á nues­ tra partida de observación, que quedó en dicha ciudad {man­ dada por el capitán Cocks del regimiento de dragones lige­ ros núm. 16, á retirarse sobre la Sierra. En el mismo dia una coluua fuerte pasó las alturas de Alverca ( que forma la iz­ quierda…</t>
  </si>
  <si>
    <t>Codina, Narciso</t>
  </si>
  <si>
    <t>Narciso Codina</t>
  </si>
  <si>
    <t>a Montera, frente á S. Luis. gobernador de la plaza y del castillo de Lérida; D. Josef Baguer, brigadier de ingenieros , segundo TEATROS. comandante; D. Narciso Codina , brigadier de in­ genieros, y comandante de Tortosa ; D. Felipe Pe- En el de los Caños del Peral, á las ocho de la no­ rena , brigadier de infantería; D. Jose…</t>
  </si>
  <si>
    <t>Coehorn</t>
  </si>
  <si>
    <t>. Este ,,Luis Napoleón, Rei de Holanda &amp;c. &amp;e. cuerpo permanecerá aquí hasta nueva orden al man­ ,, Considerando los inconvenientes que se han do del general Coehorn. Hoi entrará otro regimien­ seguido de la institución de mariscales en nuestro to provisional perteneciente á la brigada del referi­ reino ; que de ellas se sigu…</t>
  </si>
  <si>
    <t>Coelfo, María</t>
  </si>
  <si>
    <t>María Coelfo</t>
  </si>
  <si>
    <t>pro­ Otra tierra de 6 fanegas, término pio término de Truxillo........ 3000 36000 de la villa de Cabra, ürrenda- La dehesa de pasto de Casillas da á Doña María Coelfo en... loop 12004 y sus cercas, que llaman los Un olivar al pago de Guijarrosa, Perales y el Aguila, sitas en término de la Rambla y 'Saif- el Berrocal de Truxil…</t>
  </si>
  <si>
    <t>Coghen, Juan Manuel</t>
  </si>
  <si>
    <t>Juan Manuel Coghen</t>
  </si>
  <si>
    <t>avarro , D. José Ocaña, y D. Miguel Larraz. Empleos de alféreces en el regimien­ to de Reales Guardias Españolas , á los cadetes del mismo cuer­ po , D. Juan Manuel Coghen, D. José María de Casasola, D. Ra­ món de Melgarejo, D. José de las Cuevas, D. Ramón de Zuluaga, D. José María de Vergara , D. Francisco Xavier Villarino, …</t>
  </si>
  <si>
    <t>Coimbra</t>
  </si>
  <si>
    <t>Gaceta de Madrid n.º 345</t>
  </si>
  <si>
    <t>53</t>
  </si>
  <si>
    <t>resa mente que id- van­ guardia: deh exército enemigo estaba r/ ay en ■ Ayer corría por' mui cierto , con referencia á Avelans en el camino de Oporto d Coimbra, y .cartas dé. Piimouth , que había llegado á este puer­ que la suya estaba'ya '¡entonces, (y acaso antes) to unía' embarcación procedente de Lisboa con la. en la llan…</t>
  </si>
  <si>
    <t>Coimbra, Manuel</t>
  </si>
  <si>
    <t>Manuel Coimbra</t>
  </si>
  <si>
    <t>uardias Españolas. Por real decreto de 17 de abril se ha servido el Consejo de Regencia conceder honores de oidor de la real audiencia de Guatemala á D. Manuel Coimbra , asesor del real Consulado y fis­ cal de guerra de marina de la Habana. Suscripción á la obra intitulada Juzgados militares de España y sus Indias, por D. Fél…</t>
  </si>
  <si>
    <t>Coinpany, Pcsqual</t>
  </si>
  <si>
    <t>Pcsqual Coinpany</t>
  </si>
  <si>
    <t>; compafi a. en el regimiento de infantería de Jaén a D. Santiago Escario; y en el regimiento de infantería de Irlanda, subtenencia ai sar­ gento 1 Q D. Pcsqual Coinpany. A i nisrxio se ha servido S. M. conferir en el 2.° batallón de in­ fantería da Ciudad-Rodrigo , compañía á D. Enrique Arias, ayu­ dantía á D. José María Lan…</t>
  </si>
  <si>
    <t>Coion, Félix</t>
  </si>
  <si>
    <t>Félix Coion</t>
  </si>
  <si>
    <t>sesor del real Consulado y fis­ cal de guerra de marina de la Habana. Suscripción á la obra intitulada Juzgados militares de España y sus Indias, por D. Félix Coion; 6 tomos en 4.Q : nueva edición á que se suscribe en Valencia en la librería de Mallen , y en esta ciudad en la de Castillo , calle de S. Francisco , pagando anti…</t>
  </si>
  <si>
    <t>Coks</t>
  </si>
  <si>
    <t>dé caballería sin que me siguiese la del eneimgo. — Este había dexado en trente deí bosque Un piquete sostenido por un fuerte-esquadron: yo envié ftl capitán Coks con algunos dragones del tiúm. 16 para que atacase al piquete, y lo hice apoyar por un esquadron de hú­ sares del capitán Ally. Estos oficiales acometieron con el m…</t>
  </si>
  <si>
    <t>Cokti, José</t>
  </si>
  <si>
    <t>José Cokti</t>
  </si>
  <si>
    <t>181 dante Carbajal, al subteniente D. José Cokti y al guarda mayor de Zanona Luis de Castro , por la actividad y zelo con que se han dis­ tinguido.” El Excmo. Sr. conde de Motezuma ha entregado en la te­ sorería de hacienda de Cádiz , por vía de donativo gratuito para las actuales</t>
  </si>
  <si>
    <t>Colachó</t>
  </si>
  <si>
    <t>gicsen á tres puntos. D. Nicolás Riverés (d Colachó) marchó con 40 ca­ ballos á la parte de Oliete, el comandante interino D. Vicente García con 200 de infantería y 20 caballos hácia Esterquel, y los comandantes D. Roque Lafuente, O. Domingo</t>
  </si>
  <si>
    <t>Colbert</t>
  </si>
  <si>
    <t>de colegios de enseñanza y educación, li­ caballería ligera, que forman d cuerpo mandado por mosnero y apasionado de este reino , sig-.in han vis­ el general Colbert. Es ras tropas se acantonarán en­ to los habitantes de ia c.p tai y pueblos de su tre Bcnfetde y Strasburgo. En la actualidad hai aqui tránsito , nos da el cxémp…</t>
  </si>
  <si>
    <t>ó varias -evoluciones con la mayor la han colocado en un lugar tan elevado en nuestro precisión. pensamiento, la amen por ella misma. í.a brigada del general Colbert ha llegado á Dado en nuestro palacio de las Tullerús á 27 nuestro territorio, y ha, pasado el Rin por Seitz, de febrero de 1810. = Firmado = Napqleok.=Pqz dirigi…</t>
  </si>
  <si>
    <t>Colección</t>
  </si>
  <si>
    <t>843</t>
  </si>
  <si>
    <t>servicio agradable á la divinidad , aun quando privasen de ellos á sus propios hijos y pacientes mas cer­ &gt; canos. Este desórden creció tanto, que el Emperador Colección diplomática de torios papeles antiguos y mo­ Valentiniano se vió precisado á promulgar-una lew paca dernos sobre dispensas matrimoniales y otros puestos repr…</t>
  </si>
  <si>
    <t>Colemans</t>
  </si>
  <si>
    <t>3, 52 y 95 , y el regimiento de cazadores portugueses núm. 3, y la obligó á retroceder con inmensa pérdida. — La brigada portuguesa de infantería del brigadier Colemans, que estaba de reserva, se movió para apoyar la derecha de la división de Crauford : ella y un bata­ llón del regimiento portugués núm. 19, mandado por el téf…</t>
  </si>
  <si>
    <t>Coles</t>
  </si>
  <si>
    <t>nta nombrada para tratar de la sucesión á á Sacedas, y desde allí conserva so comunicación la corona ha celebrado ya dos setiooes; pero se ig­ con el general Coles que está en Gerada. [The Sun.] nora todavía el resultado de sus tareas. PROVINCIAS ILIRICÁS. BAVIERA. Trieste &lt;5 de agosto. Munich 10 de agosto. En este puerto ha …</t>
  </si>
  <si>
    <t>n­ desembarco de los ingleses en Quiberon. En 1804 tre Lisboa v Op rro. Acordémonos también de que obtuvo ei mando del exército de Hannóver, sien­ el general Coles estaba con la segunda división en do mariscal del imperio. El año siguiente contri­ Guarda, adonde se encaminaba el general HUI buyó mucho con sus marchas forzadas…</t>
  </si>
  <si>
    <t>Coleti, José</t>
  </si>
  <si>
    <t>José Coleti</t>
  </si>
  <si>
    <t>180</t>
  </si>
  <si>
    <t>or la sierra, y la caballería por el camino. Carbajal distribuyó su gente en tres divisiones , situan­ do una á la izquierda al mando del subteniente D. José Coleti , cu­ briendo el bugeo y garganta llamada de Toriles} otra á Ja derecha baxo las órdenes de Luis de Castro, guarda mayor de Zanona, cub L*ndo el bugeo de la Palom…</t>
  </si>
  <si>
    <t>Collantes, Pedrtf</t>
  </si>
  <si>
    <t>Pedrtf Collantes</t>
  </si>
  <si>
    <t>9Í2 D.Jjan. Pedro Iiurralde, $o. D. José Binito Fernandez i£&gt;. D. José An­ drés Vázquez, io. D. Faustino Fernandez, 30. D. Pedrtf Collantes, 15. D. Juan Bautista Machinena, 30. Los dueñ s de la hacienda de S. Juan Bautista, 20. Varios individuos 35 —— Coy ame. Timoteo Franco, 14. Mariano Morales, 32. Mariano Carabajal, 14. Vari</t>
  </si>
  <si>
    <t>Collier</t>
  </si>
  <si>
    <t>1010</t>
  </si>
  <si>
    <t>v 1010 me un paisano el arribo al pueblo de Lindo del general Collier con 2000 infantes compuestos de los regimientos fiancepara vengar la pérdida del convoy , y desbaratar esta reunión de tropas que Ies obliga á vivir en un continuo sobresalto. EÍ ccrtc namero de mis fuer­ zas y las pocas Ventajas que ofrecen las póslciÓiVes…</t>
  </si>
  <si>
    <t>Collin, Mr</t>
  </si>
  <si>
    <t>Mr Collin</t>
  </si>
  <si>
    <t>á los tas por cuya providencia W 'Consiguió descubrir demas regimientos que se hallan eo esta capital. los asesinos. La sangre del Rei saltó-sobre ei barón Mr- Collin , primer gefe de oficios .de S. M. el de Essen, el qu*£ éh este momento terrible conser- Emperador , le sirvió anteayer unos helados he­ vó-toda la-xaltn'a-que …</t>
  </si>
  <si>
    <t>Collins, Juan</t>
  </si>
  <si>
    <t>Juan Collins</t>
  </si>
  <si>
    <t>Bryerly, i0. El Excmo. señor D. Henrique VVellesiey, 5^. El señor D. Eduardo Grellet, 500. La señora Doña Margagarita Morphy de Shavv , 500. El señor D. Juan Collins, 1®. El señor X). C. Fi.tzgerald, 1®. La señora Doña María Glass, $00. El señor D. Manuel Víale, vecino de Gibraltar , 20. El señor D. Gideon Cranstovvn, ie). La…</t>
  </si>
  <si>
    <t>Colman</t>
  </si>
  <si>
    <t>Dartmouth , de Mr. había estado en las tribunas dorante toda ía sesión, Yorke , de Mr. Perceval, y otras varias. La guarnía se lo habia noticiado. El sargento Colman , comi­ de á caballo marchó al quartel de Berkelci Square; sionado para executar la prisión, fue á la casa de pero quando llegó, el populacho habia ya roto las M…</t>
  </si>
  <si>
    <t>igada 1: y 16 de línea, y el quarfco batallón de cazadores, á las órdenes del general Pack; la brigada 7 y 19 , y cazadores num. 2, á las órdenes del general Colman; los batallones de cazadores núm, 1 y 3 con la división ligera inglesa , y el batallón sexto de la brigada del general Campbell; dos briga­ das de artillería mand…</t>
  </si>
  <si>
    <t>Colmenar, José Antonio</t>
  </si>
  <si>
    <t>José Antonio Colmenar</t>
  </si>
  <si>
    <t>Gazeta del Gobierno n.º 3</t>
  </si>
  <si>
    <t>e se hailan autorizares, por S. M. para levantar tres compf.ñ’.as de etle&gt;i-sticos v religii sos qui hagan la guerra al enemigo, baxo ^las órdrn-s de D. José Antonio Colmenar&lt;- s, pidiendo se les au"xflig"F0‘h'cáBI!rósJ*armá.s'yT-estuafióá';'‘h^acbf2adoTatllBffeüdo</t>
  </si>
  <si>
    <t>Colmenares, Felipe</t>
  </si>
  <si>
    <t>Felipe Colmenares</t>
  </si>
  <si>
    <t>za. D. Jnan Verdes Montenegro. D. Nicolás María Bretnond. Subtenientes. D. Juan Francisco Pastor. D. Tomas Mari. D. Policarpo Saez de Tejada Hermoso. D. Felipe Colmenares. EL marques dei Valle de la Paloma. D. Mariano Mari. D. Estéban Corones Alberola. D. Joaquín Manuel de Villalba. Tenientes. D. Juan Manuel Valenzuela. D. Fr…</t>
  </si>
  <si>
    <t>. .... D. Rafael de las Doblas......... D. Santiago Martínez. 3.*.............. ................................................. D. Felipe la Torre. D. Felipe Colmenares. .............................................................. D. Antonio Flebraa. ..... D. Ramón Fernandez de Quiroga.....................................…</t>
  </si>
  <si>
    <t>Colmenero, Joan</t>
  </si>
  <si>
    <t>Joan Colmenero</t>
  </si>
  <si>
    <t>afael Yarce..... D. Estéban Moreno..... ......... I&gt;. Manuel López. D. Güilísimo González.......... D. Clemente Villalba. D. Francisco Lopes Moya.... D. Joan Colmenero. D. Clemente Mesbiele...........- D. Pedro M*ría Brost, D. Josef María SorroialD. Mariano Triviño,.., D, Alberto Gteúudelt. Quar/o batallón. Para ayudante prim…</t>
  </si>
  <si>
    <t>Colodro, Juan</t>
  </si>
  <si>
    <t>Juan Colodro</t>
  </si>
  <si>
    <t>, ? Otra en Valdelobos, de 2J fan , lindé i 1209 Otra en la senda Peralerá, de 4 fan.* linde otra de D. Juan Colodro..;........ *»33 mediodía y poniente ccn las monjas de Otra en la senda de la peña de Ja Zarza, !-Santa Clara......r........................... 28 cerca de Bañuelos, de 9 fah.'j if-ceL, 616</t>
  </si>
  <si>
    <t>Colomar, Bartolomé</t>
  </si>
  <si>
    <t>Bartolomé Colomar</t>
  </si>
  <si>
    <t>Gaceta de Madrid n.º 79</t>
  </si>
  <si>
    <t>331</t>
  </si>
  <si>
    <t>o eL actos titulada la Gran demencia de-Tito, y la opereta Venirnos.á elogiar ahóra la obra del Swediaur, traduci­ del Criado fingido. &lt; • C ■ da por D. Bartolomé Colomar , quando ya cuenta mu­ En el de la Cruz , á las cineo.de U tardese exe-\ chos años de ancianidad* no selo en LóndreS- y en Pa­ cutara.la función siguiente: …</t>
  </si>
  <si>
    <t>Colomo, Félix</t>
  </si>
  <si>
    <t>Félix Colomo</t>
  </si>
  <si>
    <t>Alexandro Escageda , y. Capellán Fr. José Sastre, 20. Sargentos, cabos y soldados, 406. — S. Elecearto. Capitán D. José Manuel de Ochoa, 50. Teniente D. Félix Colomo , 15. Alférez D. Esteban Sánchez, 12. Cape­ llán D. Tomas del Pino 25. Sargentos, cabos y soldados ,757..— Nor­ te. Capitán D. Juan Francisco Granados, 10. Tenie…</t>
  </si>
  <si>
    <t>Colon, Joré Joaquín</t>
  </si>
  <si>
    <t>Joré Joaquín Colon</t>
  </si>
  <si>
    <t>93 cía , conceder k D. Joré Joaquín Colon , decano del Consejo de España é Indias ., los honores del Consejo de Estado. En atención a los méritos y circunstancias de D. Manuel Quin­ tana , ha venido el Consejo de Regencia en nombrar</t>
  </si>
  <si>
    <t>Colon, José</t>
  </si>
  <si>
    <t>José Colon</t>
  </si>
  <si>
    <t>or el Consejo de Regencia: Xavier de Castaños, presidente.— Yo D. Esteban Varea, secretario del Rey nuestro señor, lo hice escribir por su mandado. — D. José Colon. — D. Sebas­ tian de Torres.— D., Bernardo Riega.—D. José Salcedo. — D. Luis Meíendez Bruna. — Canciller, D. Ramón María de Chaves..— Registrada, D. José Rebollo.—…</t>
  </si>
  <si>
    <t>Compans</t>
  </si>
  <si>
    <t>usta persona. el Rei de Baviera. Se ha señalado el dia 27 de mayo para la en­ WESTFALIA. trega solemne del margraviato de Baireuth á la Ba­ viera. El general Compans pasará de Ratisbona á Cassel 20 de mayo. Baireuth para entregar aquella provincia al conde El general de división Morio, antiguo ministro Rethberg. de Guerra, y …</t>
  </si>
  <si>
    <t>á disposición de Padre de familias, y otro romance iotituladp la junta encargada de esta comisión. Venceslao Fatk y su familia. Mr. Stein divierte El general Compans, conde del imperio, y getodavía á sus lectores con los das Arlequines, ro­ fe del estado mayor del exército de Alemania, ha mance cómico. Madama Spaz tiene comen…</t>
  </si>
  <si>
    <t>ales franseses para vigilar sobre oficiales franceses que están agregados baxo la di­ las operaciones del comercio: de consiguiente nues­ rección del conde Compans al gran qoartel general tros buques no pueden ya.entrar en aquellos puer­ llega á 160. Se asegura que el general Compaos tos mientras esten allí estos huéspedes y …</t>
  </si>
  <si>
    <t>Company, José</t>
  </si>
  <si>
    <t>José Company</t>
  </si>
  <si>
    <t>926 , cienda de España, que tenia á su cargo el secretario del de gracia y jus­ ticia D. N.colas María de Sierra, á D. José Company.; lo tendréis en­ tendido , y dispondréis lo conveniente á su cumplimiento. Pedro de Agar , presidente. — El marques del Cas telar. — J^osé AfariaPuig.zz-YLvi la real Isla de León á 13 de n</t>
  </si>
  <si>
    <t>Compaos</t>
  </si>
  <si>
    <t>rático, cuyo héroe es en el dia sir Francisco Burdctt, y su órgano el diarista Ratisbona 8 de mayo. Cobbet, quiere una reforma completa y radical. El general Compaos recibiría ayer las instruc­ Mr. Car los Yorke ha sido ai fin nombrada pri­ ciones relativas á la entrega de esta ciudad y de su mer lord del almirantazgo en luga…</t>
  </si>
  <si>
    <t>consiguiente nues­ rección del conde Compans al gran qoartel general tros buques no pueden ya.entrar en aquellos puer­ llega á 160. Se asegura que el general Compaos tos mientras esten allí estos huéspedes y visitadores mandará durante el invierno, é interinamente, el importados. Desde Kóngsherg pasarán luego á exército franc…</t>
  </si>
  <si>
    <t>Compuesta, Josef Caste</t>
  </si>
  <si>
    <t>Josef Caste Compuesta</t>
  </si>
  <si>
    <t>catedral. Diputación de la villa de Salobreña Por el clero: El mismo D. Andrés de Anaya ; el d cumplimentar d S. M. Dr. D. Blas Chiclaoa, magistral; D. Josef Caste­ Compuesta del único regidor que hai D. Salva­ llanos , canónigo. dor Martin, por ausencia de uno, y ocupación del Nota. La ciudad de GDadix habia ya manda­ otro. …</t>
  </si>
  <si>
    <t>Con, Alber</t>
  </si>
  <si>
    <t>Alber Con</t>
  </si>
  <si>
    <t>r de fa Hungría, y se compone.de t2 regi­ mientos de infantería , que son: ei del Emperador, Casscl i $ di junio. el dei archiduque Francisco, el dei duque Alber­ Con dificultad se hallará un cuerpo mas brillan­ to, los regimientos de Czartorinski, Alvinzi , Es- te que el-&gt;que compone la guardia cívica de esta terhizi, Stranc…</t>
  </si>
  <si>
    <t>Con, Joaquín</t>
  </si>
  <si>
    <t>Joaquín Con</t>
  </si>
  <si>
    <t>gracia de Dios y ballo subteniente á D. Lorenzo Sagasta : en el 3.0 por la constitución dei estado, REI de las Espa- de la expresada arma teniente á D. Joaquín Con­ ñas y de las Indias. de ; y subtenientes á D. Santiago López, D. Ni­ Consiguiente á lo prevenido en nuestro decreto colás Aparicio y D. Felipe Acuña : cu el 4.0 d…</t>
  </si>
  <si>
    <t>Concepción, María</t>
  </si>
  <si>
    <t>María Concepción</t>
  </si>
  <si>
    <t>iel Louguet.............................. 3600 como apoderado de D. Miguel de D.. Andrés Dávila.................................. 4602 i y •Ericede , Doña María Concepción.................. D. Antonio López................................. 4602 2 y y de Doña Alaría Josef; de Gareta. 22006 4 D. Manuel de la Cerda..............…</t>
  </si>
  <si>
    <t>Concha, Josef</t>
  </si>
  <si>
    <t>Josef Concha</t>
  </si>
  <si>
    <t>a y sainete. En la prefectura de Córdoba. ■En el de los Caños del Peral , á las ocho de la no­ che, se representará por la compañía italiana Ja ópera D. Josef Concha , subprefecto de Córdoba. bufa en dos actos titulada las Cantoras aldeanas, inter­ D. Juan María Sarraille, de Lucena. mediada con el bolero. D. Juan Antonio del…</t>
  </si>
  <si>
    <t>Condado, Josef Castro</t>
  </si>
  <si>
    <t>Josef Castro Condado</t>
  </si>
  <si>
    <t>Gaceta de Madrid n.º 255</t>
  </si>
  <si>
    <t>1134</t>
  </si>
  <si>
    <t>imeros arenques qae han cogido. Con este Hemos decretado y decretamos lo siguiente: motivo S. M. ha dirigido á los comisarios de dicha ARTICULO I. ,, D. Josef Castro Condado que­ pesca ia siguiente carta : da nombrado alcalde mayor de Ciudad Rodrigo. ,,Señores diputados de los armadores.para la rrt. n. Nuestro ministro de la …</t>
  </si>
  <si>
    <t>Conde, Antonio García</t>
  </si>
  <si>
    <t>Antonio García Conde</t>
  </si>
  <si>
    <t>do sus reales exércitos , á ios mariscales de campo D. Cárlcs de Gand y D. Antonio Samper: á mariscales de campo , á los brigadieres D. Félix Co^on, D. Antonio García Conde, D. Gaspar de Vigodet, D. Luis Laoy, y D. Francisco Co­ pón s : y á brigadieres, á ios coroneles D. Manuel Armen gol, y marques de Beliisca. _____________…</t>
  </si>
  <si>
    <t>Conde, García</t>
  </si>
  <si>
    <t>García Conde</t>
  </si>
  <si>
    <t>o De!és y á D. Francisco yo de 1S10 al castillo principal de la misma ciu­ Chamborán; capitanes á D. Hilario Féiix y á Don dad , firmada por el señor general García Conde, Andrés Russi; subteniente á D. Jorge Drígets comandante superior. subteniente del regimiento de Castilla, i.° de in­ La puerta principal del fuerte se entr…</t>
  </si>
  <si>
    <t>Conde, Jaime García</t>
  </si>
  <si>
    <t>Jaime García Conde</t>
  </si>
  <si>
    <t>os reales consejos , vecino de dado. Lérida, con poderes recibidos de los señores 6.a Si hubiese en la guarnición algones oficia­ mariscales de campo D. Jaime García Conde les , sargentos , cabos ó soldados hechos prisionero* y D. Josef González, gobernador de la plaza de guerra en etras^ ocasiones, les será concedida y del c…</t>
  </si>
  <si>
    <t>crita sobre los mejores conocimiento» Entre los oficiales prisioneros de los enemigos de la física, y tan fácil de entender y poner en execute hallan D. Jaime García Conde, mariscal de cam­ cion, que puede servir para el uso de los niños. Tieno po, comandante en gefe de las tropas del Segre y once estampas finas. Véndese en l…</t>
  </si>
  <si>
    <t>Conde, Joaquín</t>
  </si>
  <si>
    <t>Joaquín Conde</t>
  </si>
  <si>
    <t>núo hasta las dos, que se de la catedral de Burgos, vacante por privación abrieron las puertas de la sala del banquete. Este de D. Casimiro Mecdez: á D. Joaquín Conde y estaba dispuesto por mesas de á iz cubiertos, de Velasco, presbítero y ex benedictino, para otra modo que 1500 personal podían ser cérvidas á la ración de la …</t>
  </si>
  <si>
    <t>Conde, Juan</t>
  </si>
  <si>
    <t>Juan Conde</t>
  </si>
  <si>
    <t>e Perj, D. Juan Nioa , D. Juan Vasadre, y D. Pablo Baliñani; ayudantías, á D. Francisco Valdés, y D. Félix Camarasa ; te­ nencias, á D. Manuel Sainz, D. Juan Conde, D. Francisco Carrion, D. Miguel Valbuena, D. Rafael Sánchez Saravia, D. Mi­ guel Guajardo, D. José Arechaga, D. Antonio López, D. Juan Arango, D. José Herrera, D.…</t>
  </si>
  <si>
    <t>Conde, Melchor González</t>
  </si>
  <si>
    <t>Melchor González Conde</t>
  </si>
  <si>
    <t>trevimiento. Se estrecharon muchos á rejonazos ; Quirós ios persiguió hasta las puertas de Ronda sin embargo del socorro .que salió á favorecer­ les. D. Melchor González Conde, con su partida de Casares, practicó i o mismo. Es de notar que esta partida , para alcanzar al enemigo, tuvo que andar 4 leguas de penosísimo camino ,…</t>
  </si>
  <si>
    <t>Conde, Santiago</t>
  </si>
  <si>
    <t>Santiago Conde</t>
  </si>
  <si>
    <t>aplicación que Ja hubieren dado. Madrid 10 de Los reales estudios de S. Isidro...... 1.1 j 16 ;o 12 febrero de 1810. = El consejero de Estado, presi­ D. Santiago Conde........................... . 282756 23 denta de la comis.on de liquidación, = D. Santiago D. Juan de Berrebin...................... . 1200 Romero* L&gt;. Francisc…</t>
  </si>
  <si>
    <t>t), Jacqnier Sc^OQdOiMi«mMiiiinMi*M/ ^ íioo^ 8f El teniente coronel D. Joan Ponce de. D. Santiago Conde...................;.......... 10198 8| 'León........... .......................ioooo D. Josef Antonio Girard.,..19600 Doña- Gerónima Magdonell.....;......... 37 5° i D. Antonio Hernández...</t>
  </si>
  <si>
    <t>Condon, Gregorio</t>
  </si>
  <si>
    <t>Gregorio Condon</t>
  </si>
  <si>
    <t>Gaceta de Madrid n.º 237</t>
  </si>
  <si>
    <t>; los ataron, y maltrataron á al­ gunos de ellos , dándoles golpes con las armas , y Córdoba 8 de agosta. les robaron el dinero que llevaban. Sabedor D. Gregorio Condon, corregidor de Libres los arrieros de la presencia de los ladro­ Rnre, y comandante de aquella guardia cívica , que nes , dieron parte á las justicias de Estr…</t>
  </si>
  <si>
    <t>Cone, Alfonso</t>
  </si>
  <si>
    <t>Alfonso Cone</t>
  </si>
  <si>
    <t>nia fue acompañada roquial de U villa de Olias , en el arzobispado de de repique general de campanas y de salvas de ar­ Toledo, vacante por'muerte de D. Alfonso Cone­ tillería. La. iluminación general. y los repetidos jo , al presbítero D. Lucas Díaz. vivar, que se piró por todas .partes , ¡ manifesta­ Nuestro ministro interi…</t>
  </si>
  <si>
    <t>Confieras, Josef Ambrosio</t>
  </si>
  <si>
    <t>Josef Ambrosio Confieras</t>
  </si>
  <si>
    <t>l de la iglesia parroquial del lugar de„Ár-\ d« 1810. milla, vacante por muerte de D. Antonio Cortés,., Don Joscf Napoleón por la gracia de Dios y í- D. Josef Ambrosio Confieras, ex-regular de por la constitaciou del estado , REI de las Espa­ mercenarios Calzados. ña; y de las Indias. . - ’ , . . Para el de la iglesia parroqu…</t>
  </si>
  <si>
    <t>Conitantina</t>
  </si>
  <si>
    <t>Gaceta de Madrid n.º 339</t>
  </si>
  <si>
    <t>ersos motivos: jamas ie hemos visto tan in­ quieto como ahora. Milán 2g de octubre. La situación de la Inglarerra et ciertamente es­ S. A. I. la gran duquesa Conitantina llegó an­ pantosa. Las funciones del poder ejecutivo estaa teayer á esta ciudad, baxo ei nombre de condesa suspendidas á causa de la cruel enfermedad que de …</t>
  </si>
  <si>
    <t>Consiguiente, Ni</t>
  </si>
  <si>
    <t>Ni Consiguiente</t>
  </si>
  <si>
    <t>nstitución dei estado, REI de las Espa- de la expresada arma teniente á D. Joaquín Con­ ñas y de las Indias. de ; y subtenientes á D. Santiago López, D. Ni­ Consiguiente á lo prevenido en nuestro decreto colás Aparicio y D. Felipe Acuña : cu el 4.0 de la de i.° de mayo de 18&amp;9, hemos decretado 'y de­ misma arma subteniente á …</t>
  </si>
  <si>
    <t>Constanti</t>
  </si>
  <si>
    <t>o á la grandeza de su Quando los donatisras condenados por Ceciíiano, • sede, que á la exaltación de sus derechos.” obispo cartaginés, recurrieron al Emperador Constanti­ Los decretos conciliares mas antiguos, que al pare­ no para que nombrase jueces ultramarinos que conocie­ cer favorecen las apelaciones á Roma, son los del …</t>
  </si>
  <si>
    <t>Constantina</t>
  </si>
  <si>
    <t>ber sido se publicará hasta que se examinen las demas confiscadas las propiedades inglesas, y declarada la partes. guerra á la gran Bretaña.” La gran duquesa Constantina permanece aun El discurso que Mr. Picknei pronunció On mes en Berna, donde se la obsequia con varias funcio­ hace en una solemne comida pública, ha ofendido,…</t>
  </si>
  <si>
    <t>Constantína</t>
  </si>
  <si>
    <t>El combate, del que se ha dado cuenta ayer, la duqaesa de Saxouia-Cobourg, madre de S. A. I. ha desconcertado y desanimado al enemigo de tal la gran duquesa Constantína de Rusia, que viaja manera, que boi ha dexado pasar, sin atreverse i fcaxo el nombre de baronesa de Lauterbourg en incomodarle, un nuevo convoi de 50 vetas. L…</t>
  </si>
  <si>
    <t>Constantino</t>
  </si>
  <si>
    <t>ión de este principado y de todas sus depen­ aqui á luz un príncipe , ts hermana de la esposa dencias , cuyo gobierno pasa á nuestras manos. del grao duque Constantino, y el duqne de Wur— ,, Al publicar este acontecimiento por la pretember.t, su esposo, es tio de S. M. el Empera­ »eote proclama, mandamos que el clero, la nobl…</t>
  </si>
  <si>
    <t>objetó SUECIA. por que se hicia. SS.MNL el Emperador &gt;la Empe­ ratriz reinante «y la Emperatriz madre y SS. A A. II, Estockalm0 x.* de jimia. el grán duque Constantino y la gran duquesa Ana Ayer mañana Uegd á esta capital en posta el asistieron ai baile que dio el embalador en tu casa. mayor de Forselle, y traxo á S. M. la tr…</t>
  </si>
  <si>
    <t>udales que entren fuerzos considerables de Jo interior- del -impeiío. en las’cáxasjde las provincias. Si esre proyecto lle­ Algunos creen que el gran duque Constantino, irá ga á realizarse, no ha¡ duda que producirá grandes á tomár.el" mando general. No obstante esto , en al­ ventajas. . • " gunas cartas de Semiin se anuncia …</t>
  </si>
  <si>
    <t>llana, llena que lo acrediten suficientemente. Pero por lo que se de mil patrañas y absurdos. Pero á pesar de estos de­ •xecutó después en tiempo del Emperador Constantino, fectos, y de que un historiador del siglo x no es una ue hizo una nueva repartición de la España, y se con* guia segura para averiguar y probar los suceso…</t>
  </si>
  <si>
    <t>Constantino'Devai</t>
  </si>
  <si>
    <t>653</t>
  </si>
  <si>
    <t>i.go el h ñor de dará los varios papeles que V. se ha servido pasar m?. — Dios guarde á V. muchos años. Smirna tó de junio de 1810.—Benito Soler.—Sr. D. Constantino'Devai.” r Continúan las cartas de varios suzetos y cuerpos autorizados de Améri­ ca dirigidas á ia junta superior de Cádiz.. VIII. Del obispo de Antequera de Oaxa…</t>
  </si>
  <si>
    <t>Constantinopla, Naá</t>
  </si>
  <si>
    <t>Naá Constantinopla</t>
  </si>
  <si>
    <t>271</t>
  </si>
  <si>
    <t>reo turco que gobierno de los negocios de estado en el Inviertel viene de París, y se dirige con la mayor diligencia cedido por el Austria á S. M. el Emperador Naá Constantinopla. íoi-EON, y en una parte del círculo de Hensrack. A propuesta del señor Hartl de Luchsenstein, Esta comisión ha sido instalada por S. E. C iagente d…</t>
  </si>
  <si>
    <t>Constanttna</t>
  </si>
  <si>
    <t>idola ciu- Serna 14 de junio. ' dad de Ratisbona con motivo de varios acaecimien­ tos desgraciados. S. A. formo por sí mismo el plan S. A. I* la gran duquesa Constanttna de Rusia, de pagar los intereses y la deuda hasta 184$ ; y , á que llegó el 29 de mayo baxo el nombre de con­ pesar de ias calamidades de fa guerra, ha pagad…</t>
  </si>
  <si>
    <t>Contreras, Antonio</t>
  </si>
  <si>
    <t>Antonio Contreras</t>
  </si>
  <si>
    <t>209 Extracto de fas minutas'de la secretaría de Abanderados. Estado. D. Antonio Contreras:Rocat, D. Francisco Sa­ Real alcázar de Sevilla á 6 de febrero de 1810. ña y D. Miguel de Barrí. Don Josef Napoleón por la gracia de Dios y art. iv. Nuestros ministros de lo Interior y por</t>
  </si>
  <si>
    <t>Contreras, Josef</t>
  </si>
  <si>
    <t>Josef Contreras</t>
  </si>
  <si>
    <t>ijar.o. D. Josef Ramón Peñaranda teniente, y D. Juani art. m. En la villa de la Alameda se forma­ Bautista de Herdara subteniente. rá una compañía. • D. Josef Contreras queda nom­ art. xvi. En la villa de Conil se formará ana brado capitán ; D- Romualdo Ramírez teniente , y compañía. A&gt;. Alonso Paez Pachón subteniente. Queda …</t>
  </si>
  <si>
    <t>Contreras, Juan</t>
  </si>
  <si>
    <t>Juan Contreras</t>
  </si>
  <si>
    <t>10. Varios individuos, 104. — Orcasitas. D. Ma­ nuel del Campillo, 20. D. Victor Aguilar, 20O. D. Dionisio de Aguilar, 25. D. Francisco Escobosa, 20. D Juan Contreras, 12. Varios in­ dividuos , 16$. Altar. El teniente coronel D. José Saenz Rico, 24. D. Francisco Ortiz, 30. D. Francisco Robledo, 25. Varios individuos, i.8 y 4 …</t>
  </si>
  <si>
    <t>Coostantina</t>
  </si>
  <si>
    <t>llen actualmente en aquel Serna iS de octubre. cantón, ó ya se introduzcan en él en lo su­ Esta mañana ha salido de aqui para Italia S. A. cesivo. la princesa Coostantina de Rusia, y se asegu­ Todos estos cantones han mandado retirar de ra que para la primavera próxima volverá ¿ esta las fronteras inmediatas á Francia los alm…</t>
  </si>
  <si>
    <t>Copans</t>
  </si>
  <si>
    <t>336</t>
  </si>
  <si>
    <t>, Salvatierra y La parra. -—El 15 pasó Balles­ teros á Aracena, de donde huyeron 400 franceses que habían entrado en el mismo dia.——La caballería del general Copans hizo el 15 un re­ conocimiento sobre Gibraleon y Trigueros. Nuestras descubiertas esta* en continuo movimiento. El 5 del presente mes llegó un correo francés de M…</t>
  </si>
  <si>
    <t>Copeos</t>
  </si>
  <si>
    <t>ntrar el 10 en A roe he , y dirigido parte de su diyifeion sobre Aracena: escribe al. ge ñera!en gefe quemo ha perdido ni un hombre ni un baga ge. El general Copeos ,. con noticia, del ataque proyectadocontra Ballesteros, y del excesivo aumento de fuerzas ene­ migas , se replegó , déxandb guarnecido competentemente y con víve…</t>
  </si>
  <si>
    <t>Copia, Eusebia Bardaxi y Azara</t>
  </si>
  <si>
    <t>Eusebia Bardaxi y Azara Copia</t>
  </si>
  <si>
    <t>V. E. lo eleve á noticia de S. M. Dios guarde á V. E. muchos años. Valencia II de setiembre de 1810. — Exorno. Sr. — Luis de Bassecourt. — Excmo. Sr. D. Eusebia Bardaxi y Azara/' Copia del oficio del mariscal de campo D. José María de Carbajal al general Bassecourt. “ Excmo. Sr. —‘ En la mañana de esté día hé tenido de oficio…</t>
  </si>
  <si>
    <t>Coponí</t>
  </si>
  <si>
    <t>1037</t>
  </si>
  <si>
    <t>o D. Manuel Torrontegui, ha dado par ­ te desde la ría de Iluelva con fecha de 14 cié) corriente de que con arreglo á las in tracciones que le dio el general Coponí, y auxiliado con 250 hombres del regimiento de infantería de Sevilla, se presentó en el desembarcadero de Moguer la maña­ na del 12, y ahuyentados los enemigos po…</t>
  </si>
  <si>
    <t>Copons</t>
  </si>
  <si>
    <t>allaban reducidos á la mi*? seria, sin que los xefes tuviesen arbitrio para remediarlos. Ay amonte 8 de junio. El dia 4 del corriente la división del general Copons fué ata­ cada en Gibraleon por fuerzas muy superiores, que rechazó re­ petidas veces en la glorieta retirada que emprendió y «¿secutó con escarmiento del enemigo …</t>
  </si>
  <si>
    <t>caron cañones, muni­ ciones y otros efectos , y se tomaron varias medidas dirigi­ das todas á perseguir al enemigo, combinando el movimien- to con el general Copons. Con efecto, la división avanzó el dia inmediato hasta Niebla; pero habiéndose sabido que los franceses huían á toda priesa á Sevilla, perdida la esperan­ za de a…</t>
  </si>
  <si>
    <t>acredita el valor é inteligencia del oficial que la mandaba. Posteriormente nuestras guerrillas han hecho otros 19 prisioneros con sus caballos. — El general Copons avanzó de resultas de la expedición de Cádiz que desembarcó el 23 jun­ to á Huelva, y lia hecho extraer gran cantidad de-trigo que tenían los franceses en el conv…</t>
  </si>
  <si>
    <t>erras al mismo tiempo que mandan sembrarlas. Los franceses continuaban el 16 en Moguer, la Luz y Niebla, y tienen bastantes enfermos. La división del general Copons parece que se reunía en los Castillejos. Según noticias de Extremadura, el mariscal Mortier, que habia avanzado dias pasados con un cuerpo de 5 á 6000 hom­ bres, …</t>
  </si>
  <si>
    <t>aran,la penuria de vestaiario y dinero que padece el cuerpo enemigo del general G rard. Ayamonte 2 de diciembre. La vanguardia de la caballe­ ría del general Copons, mandada por D. Pedro Medfano, ha penetrado hasta S. Juan del Puerto, de donde ha sacado SO cargas de trigo, y en seguida ha retrocedido á Cartaya.—Los enemigos c…</t>
  </si>
  <si>
    <t>lla. La guarniciónalo pasa dé 2óQÓ hombres, fatigados con las continuas marchas y correrías. Ayamovte 23 de diciembre. Con motivo de la. retirada dej general Copons, los franceses han recorrido parte del conda­ do de Niebla, cometiendo las violencias y extorsiones que tier nén de cobtumbre.Én Castillejos ha pedido Aremberg 20…</t>
  </si>
  <si>
    <t>Cor, José María</t>
  </si>
  <si>
    <t>José María Cor</t>
  </si>
  <si>
    <t>cienda de Ramos, 54. El jus­ ticia y vecinos de S. Miguel de las Bocas, 33. Varios individuos, 58.— Indee. El cura D. Diego Bruno, 25. El subdelegado D José María Cor­ ral, 50. D. José Trinidad Fábela, 10. D Francisco A-ean, too D. Vi­ cente Sitveira, 20. D. Fernando de la Cimpa y D. Francisco Noriega, 100. Doña Ignacia de Le…</t>
  </si>
  <si>
    <t>Cordemam</t>
  </si>
  <si>
    <t>450</t>
  </si>
  <si>
    <t>ncepción, el qual estaba ocupado con parte de la infantería de la tercera divi­ sión. En esta refriega se distinguieron el capitán Karnchenbtrg, y el alférez Cordemam al frente de un pequeño cuerpo de húsares, cargando al enemigo con mucha bizarría aunque inferiores en numero. También se distinguió el tercer batallón de cazad…</t>
  </si>
  <si>
    <t>Cordero, José Ignacio</t>
  </si>
  <si>
    <t>José Ignacio Cordero</t>
  </si>
  <si>
    <t>nte, 39 y 3 rs. Ramón Hernández, 1 xa.--Valle de S. Bartolomé. Don Estéban Mata, 10. Doña María y Doña Juana Urquidi, 50. D. Juan Ignacio Oliden, 40. D. José Ignacio Cordero, 20. D. Manuel EstaviLlo, 10. D. Francisco Díaz Velarde, 40. D. Joaquín Maynez , 10. Don Agustín Soto, 20. D. José Ramón Luxan, 10. Fr. Juan Cnacon , 25.…</t>
  </si>
  <si>
    <t>Cordero, José María</t>
  </si>
  <si>
    <t>José María Cordero</t>
  </si>
  <si>
    <t>D Juan María Navar­ ro , 50, D. Pedro de Zamalloa, oficial quarto de la contaduría, 30. D- Bartolomé Cerda, capellán , 20. Id. D. Lorenzo Salas, 20. D. José María Cordero, segundo piloto, 50. Id. tercero j D. Vicente Manso, 15. Id. D. Felipe Losada ,15. (\5&gt; continuará.) CADIZ : EX LA IMPRENTA REAL.</t>
  </si>
  <si>
    <t>Cordero, Jqaquiñ</t>
  </si>
  <si>
    <t>Jqaquiñ Cordero</t>
  </si>
  <si>
    <t>t ! í. 6949 4 í J&gt;. jMaUÍo Castró',"’ ex-BenéduSi^.^o) 449.9.^^ .CI El mgrques Caballero^*.: -*40882 /JL I&gt;. Mlqjró de Gillür,"ídl...: 2H9.99./ .¡ J D. Jqaquiñ Cordero y. Vargas^......'.ac.i..:, 208 "' XI D. Fernando Díé^iiéz, id,......*¿í^t...i;. *j j449co..lVi,t j D. Pedro.del Rio.,,,.......... ..iii i.: j 25-557 3*J D, Plá…</t>
  </si>
  <si>
    <t>Cordero, Luis</t>
  </si>
  <si>
    <t>Luis Cordero</t>
  </si>
  <si>
    <t>sconocido de los primeros legisladores romano*:, hasta que Zenon , separán­ D. Julián María P-erez. dolo de ser contrato innominado, (pues ¿e confun­ D. Luis Cordero. dían epo el de veúta y arrendamiento) , y er: fuer-5D. Antonio Ramón Gallegos. zade .la iei zenoniana ie dio nombre especial de D. Josef María Carvia; : entitéu…</t>
  </si>
  <si>
    <t>Cordero, Ventura</t>
  </si>
  <si>
    <t>Ventura Cordero</t>
  </si>
  <si>
    <t>D. Josef Cabredo........ D. Pedro González Scpúlveda. 8.*.......... D. Bartolomé Gómez,. D. Joaqurn Sánchez. 9.a.......... D. Josef Chacón.......... D. Ventura Cordero. 10.a................................................ D. Juan de la Fuente. N.'estío ministro de la Guerra queda encargado de la cxecucion de e'te decreto. — F…</t>
  </si>
  <si>
    <t>Córdoba, Francisco</t>
  </si>
  <si>
    <t>Francisco Córdoba</t>
  </si>
  <si>
    <t>iaga, 20. D Juan Valenzuela, 20. D. Fran­ cisco Valenzuela, 10 D. Francisco García, 20 D. Reyes García, 20. D. Tomas Rico, 10. D. José de Oscosa, 10. D. Francisco Córdoba, 12: D. Vicente H¡aojoso, 10. Varios individuos, 104. — Orcasitas. D. Ma­ nuel del Campillo, 20. D. Victor Aguilar, 20O. D. Dionisio de Aguilar, 25. D. Fran…</t>
  </si>
  <si>
    <t>Córdoba, Luís-de</t>
  </si>
  <si>
    <t>Luís-de Córdoba</t>
  </si>
  <si>
    <t>zos: D. Josef Roucali , D. Pedro García , Don utilidad. Josef M izuelo, D. Josef C:v dios , racioneros: Saben los hombres que piensan que la imperio­ D. Luís-de Córdoba, D. Fe ipe Esc.mero, D. An­ sa Leí de los acaecimientos dispuso hi mas de un drés de Morales , D.' Franci co Muñoz , D. Ber­ siglo qne España fuese amiga y al…</t>
  </si>
  <si>
    <t>Cornet, Miguel</t>
  </si>
  <si>
    <t>Miguel Cornet</t>
  </si>
  <si>
    <t>97 ' 81 D. Josef AntonioGizardi.v.wn'l'A^U?^ ' '40+0° • D. Joaquín AI fon so Mcnyardin...v.... &lt; ■4282'-*!^ D. Joan Estébande Tricio#..#.;..' 8000914 D. Miguel Cornet;,»v.-.;v..v.-.-...'.v:&gt;.t&lt;.'.Kt.JÍ/- J-q jy'í D. Josef Ibón Tillias..it»»...bi.i.M^í.i... - 46000 a D.iD'omingo de ■Lanz».-.v.-...i¡. .v....;Vir.í 1*899* D. Joa…</t>
  </si>
  <si>
    <t>Coronado, Juan Ansoii</t>
  </si>
  <si>
    <t>Juan Ansoii Coronado</t>
  </si>
  <si>
    <t>Valdivia y Fuentes. algunos arrieros dixesen á la guardia cívica que se D. Rafael Ruiz de Peralta. habia empeñado una acción; pero lejos de mostrar­ D. Juan Ansoii Coronado. se sorpreheudidos, rectificaron so orden de rhar- D. Josef Ma ría Vaiverde. iha, y apresuraron el paso para socorrer la caba­ D. J uan de Orejón y Haro. …</t>
  </si>
  <si>
    <t>Corones, Esteban</t>
  </si>
  <si>
    <t>Esteban Corones</t>
  </si>
  <si>
    <t>Ó¿ D. Manuel López de Cerrcdo............... 17122..17 Doña Juana Lopezí................................ &lt;*3*-*5i D. Juan Antonio de Noreña, como ma­ D. Esteban Corones.......................... 992..251 rido de Doña Alaría Jgnacia Remate D. Julián Martínez de Torres............... 3610 y Villegas.............................…</t>
  </si>
  <si>
    <t>Corral, Francisco</t>
  </si>
  <si>
    <t>Francisco Corral</t>
  </si>
  <si>
    <t>tenientes , á los subtenientes D. Francisco Tajuelo, D. Antonio P.mentel , D. Andrés Martinez Pínillcs, D. Joan f ran­ cisco Salido, D. Juan Corral, D. Francisco Corral, D. Pedro An­ drés Gómez, D. Juan Sánchez, D. Jo;é Segovia, D. Marcos Jáuregai, D. Femando Negra, D. Joaquín Antonio Navarro y D. Antonio Ximenez; y á subteni…</t>
  </si>
  <si>
    <t>Corral, Gregorio</t>
  </si>
  <si>
    <t>Gregorio Corral</t>
  </si>
  <si>
    <t>encargado de la execucion de subtenientes á D. Manuel Sánchez, D. Bernardo este decreto. = Firmado = YO EL REI. = Por Valdivia , D. Josef Martínez , D. Gregorio Corral, S. M. su ministro secretario de Estado=Firmadc= D. Juan Escovar, D. Antonio Aguiiar y D. An­ Mariano Luis de Urquijo.” tonio Guzman. En el de Granada, $.° de …</t>
  </si>
  <si>
    <t>Corral, Gregorio García</t>
  </si>
  <si>
    <t>Gregorio García Corral</t>
  </si>
  <si>
    <t>o Barrero, promotor fiscal , 100. I&gt;. Pedro Gómez , Escribano de real hacienda , 100. D. Juan Antonio Serra­ no , 200. D. Juan Felipe Laurnaga , 100. D. Gregorio García Corral, 100. O. .Juan Irigoyén, 100. D. Juan Manuel Revuelta, 200. D. Pedro de la Puente;‘20Q. B. Isidro Zulueta , 200. D. Bartolomé García y García, 100. Don…</t>
  </si>
  <si>
    <t>Corral, Josef</t>
  </si>
  <si>
    <t>Josef Corral</t>
  </si>
  <si>
    <t>gidores m-s antiguos D. Frutos Alvaro á cuya entrada observó que lo* bergantes aposta­ Beniro, D. Marrin de Huici, D. Manuel García ban un centinela. D. Josef Corral se retiró con su de la Prada y D. Tadeo Bravo de Rivero, des­ gente á Sasamon; pero no contento con haber pues­ pués de cumplimentar á S. M. por haber hecho la t…</t>
  </si>
  <si>
    <t>Corral, Juan</t>
  </si>
  <si>
    <t>Juan Corral</t>
  </si>
  <si>
    <t>Esca­ lante ; k tenientes , á los subtenientes D. Francisco Tajuelo, D. Antonio P.mentel , D. Andrés Martinez Pínillcs, D. Joan f ran­ cisco Salido, D. Juan Corral, D. Francisco Corral, D. Pedro An­ drés Gómez, D. Juan Sánchez, D. Jo;é Segovia, D. Marcos Jáuregai, D. Femando Negra, D. Joaquín Antonio Navarro y D. Antonio Xime…</t>
  </si>
  <si>
    <t>Corral, Luis</t>
  </si>
  <si>
    <t>Luis Corral</t>
  </si>
  <si>
    <t>lo, en donde me situé á campo raso. Las tres guerrillas al mando de D. Felipe Viilamii , sargento mayor de Covadonga , de D. Ma­ nuel Benedicto, y de D. Luis Corral , mi ayudante de campo, unidas al coronel D. Ja\ me Butler, sargento mayor de Lena, que también se adelantó con su regimiento , y el de Ferrando \il, rompieren el…</t>
  </si>
  <si>
    <t>Corrales, Francisco</t>
  </si>
  <si>
    <t>Francisco Corrales</t>
  </si>
  <si>
    <t>318</t>
  </si>
  <si>
    <t>ón en la noche y día siguiente , ma­ nifestando mi tropa la mayor confianza y alegría. ■— De nuestra pér­ dida no sé hasta ahora mas que la muerte de D. Francisco Corrales, coronel del provincial del Leen, á pocas .horas después de la acción, ác D. Jo:é Orcmí, ayúdame de dragones de Lusitania, que en uno de los ataques dados …</t>
  </si>
  <si>
    <t>Corrazar, Benito</t>
  </si>
  <si>
    <t>Benito Corrazar</t>
  </si>
  <si>
    <t>L» marquc»a de la Solana........... . 9000 D. Manuel -Bustaniantc.......... ....... 171-4..2 5Í El marques de Bajamar.......................... 20000 D. Benito Corrazar .......... ................. *444 D; Joaquirr Ronuúa............................. 30000 Doña María de las Mercedes Piñuela.. • D.,-Manuel;Sánchez Toscano.—~..…</t>
  </si>
  <si>
    <t>Correro, Antonio</t>
  </si>
  <si>
    <t>Antonio Correro</t>
  </si>
  <si>
    <t>id 27 de diciembre. nombrado teniente de ella. art. xi. En la villa de la Roda se formará Extracto de las minutas de la secretaría de media compañía. D. Antonio Correro, mayor, es­ Estado. tá nombrado teniente de ella. En nocstro palacio de Madrid á 25 de diciem­ art. xa. En la villa de Zaocejo se .formará bre de 1810. . . me…</t>
  </si>
  <si>
    <t>Corres, Francisco</t>
  </si>
  <si>
    <t>Francisco Corres</t>
  </si>
  <si>
    <t>713</t>
  </si>
  <si>
    <t>ada , á D. Mariano del Rio, D. Eugenio lraurgu;, D Jcsé ■ Iglesias Bárantes y D Manuel Morete: á capitanes, á D.' Miguel Ruano, E).-JNicolás. Sedaño, D Francisco Corres, D José Montero, D. Fei;x Arb’izu y Alava 3 D José GEaido , D. Pedro. Hermosilla y D Diego To-"losa. Igualmente se. ha servido promover-en el propio real cuer…</t>
  </si>
  <si>
    <t>Corsbie, Juan</t>
  </si>
  <si>
    <t>Juan Corsbie</t>
  </si>
  <si>
    <t>de los progresos de esta benéfica fun­ dación con la lista de suscriptores núm. i.° , á que seguirán otras. Lista de suscripción: núm. i. — El señor D. Juan Corsbie, rs. vn. i.® El señor D. Guillermo Beeston, i®. El señor D. Juan Thuillier, i®. E.í señor D. Tomas Withington, i®. El señor D. Carlos O’Gorman, i@¡. El sensor D. …</t>
  </si>
  <si>
    <t>Cortés</t>
  </si>
  <si>
    <t>775</t>
  </si>
  <si>
    <t>coronel Lafuente, que sé situó en el punto de los Charcones con el destacamento de infantería y caballe­ ría que tenía a sus órdenes en Ximena-• y el brigadier Cortés con su regimiento de la Reyfta, un fuerte destacamento del de Ronda;y los patriotas del país, amenazando al enemigo por su flanco , le forzarpn á; retirarse pre…</t>
  </si>
  <si>
    <t>Cortés, Antonio</t>
  </si>
  <si>
    <t>Antonio Cortés</t>
  </si>
  <si>
    <t>S. ‘Gerónimo. Ea aoertro palacio de Madrid á t.# de agosto . Para el de la iglesia parroquial del lugar de„Ár-\ d« 1810. milla, vacante por muerte de D. Antonio Cortés,., Don Joscf Napoleón por la gracia de Dios y í- D. Josef Ambrosio Confieras, ex-regular de por la constitaciou del estado , REI de las Espa­ mercenarios Calza…</t>
  </si>
  <si>
    <t>Cortés, Antonio Josef</t>
  </si>
  <si>
    <t>Antonio Josef Cortés</t>
  </si>
  <si>
    <t>ama, alcalde El dia 1 del presente mes los Sres. D. Alexandro mayor de Sanlúcar de Barrameda. Novales, D. Manuel Eslenoz y D. Cirios Bonancini, 3.0 A D. Antonio Josef Cortés, alcalde mayor discípulos de la academia pública de Comercio cjue con la real aprobación se halla establecida en la calle del de Xerez. Caballero de Grac…</t>
  </si>
  <si>
    <t>Cortés, Donato González</t>
  </si>
  <si>
    <t>Donato González Cortés</t>
  </si>
  <si>
    <t>el 15 del corriente el cunípléanos de Napoleón, el comandante de las 'guerrillas del condado de Niebla D. Juan José Barrera, dio orden al subteniente D. Donato González Cortés, y al sargento D. José Rivera de la Rosa, para que pasasen con 34 ginetes y o peones á 1'a.s-inmediaciones de Air, monte , y procurase sorprehender á l…</t>
  </si>
  <si>
    <t>Cortés, José</t>
  </si>
  <si>
    <t>José Cortés</t>
  </si>
  <si>
    <t>itar. Los individuos de la junta son D. José de las Llamosas, D. Martin Tovar Ponte, D. Feliciano Palácip; D. Nicolás de Castro, D. Juan Pablo Ayala, D. José Cortés; D. Hilario Mora, D. Isidro Mendez, D. Francisco Rivas; D. Rafael González, D. Valentín Rivas, D. José Félix Sosa; D. José María Blanco, D. Dionisio Palacios, D. …</t>
  </si>
  <si>
    <t>Cortés, Juan Nepomuceoo</t>
  </si>
  <si>
    <t>Juan Nepomuceoo Cortés</t>
  </si>
  <si>
    <t>Gaceta de Madrid n.º 189</t>
  </si>
  <si>
    <t>i llamamiento que ios que por el presente se ha­ „ Atendiendo á la aptitnd y circunstancias de cen; previniendo que á los que no concurran les parará D. Juan Nepomuceoo Cortés, opositor al beneficio •1 perjuicio que haya lugar. tintes se traen de fuera,.y este coste hace que sobrepuje mero de los molinos harineros y su produc…</t>
  </si>
  <si>
    <t>Cortijo, Antonio</t>
  </si>
  <si>
    <t>Antonio Cortijo</t>
  </si>
  <si>
    <t>io Aguiiar y D. An­ Mariano Luis de Urquijo.” tonio Guzman. En el de Granada, $.° de línea, subtenientes á Don Josef Napoleón por la gracia de Dios y D. Antonio Cortijo, D. Josef Olí ver y D. Juan por la constitución del estado, REI de las Espa­ Ruiz: en el de Málaga, 6“ de línea , teniente á Don das y de las Indias. Juan Ant…</t>
  </si>
  <si>
    <t>Cortinas, Pedro</t>
  </si>
  <si>
    <t>Pedro Cortinas</t>
  </si>
  <si>
    <t>enreyro Montenegro, por la provincia de Santiago: D. Be­ nito Maria Mosquera, por la ciudad de Tuy: D. Bernardo Mártinez, por la provincia de Orense: D. Pedro Cortinas por idern: O. Diego Muñoz Torrero, por ía de Extremadura: D. Manuel Laxan por idem: D. Antonio Darán de Castro , por la de Tuy: D. Agustín Rodríguez Bahamonde …</t>
  </si>
  <si>
    <t>Cosío, Fermín</t>
  </si>
  <si>
    <t>Fermín Cosío</t>
  </si>
  <si>
    <t>® D. Manuel Buedo. ARTICULO, XII. 2.® D. Nicolás Rodríguez. Gitadalaxara. 3.® D. Josef González Varela. * D. Roqne Moyna y Mazarredo, oidor de la 4.0 D. Fermín Cosío.; -c audiencia de Navarra, presiente.&gt;, D. Antonio Cano Mnñoz, fiscal. . ART. Vil. Nuestro ministro do larjusticía queda Jueces. ' ' encargado de la execucion de…</t>
  </si>
  <si>
    <t>Cosmao</t>
  </si>
  <si>
    <t>o de un corsario francés el laúd español oLSanto Cristo del Grao, que iba de Cartage­ na á Cádiz , y el sloop Sheerwatcr ha cogido al místico francés General Cosmao de 4 cañones y 74 hombres. Varias cartas de Malta refieren haber sido conducido allí Luciano Bonaparte como prisionero de guerra. Añaden que salió de-Roma en virt…</t>
  </si>
  <si>
    <t>Costello, Miguel</t>
  </si>
  <si>
    <t>Miguel Costello</t>
  </si>
  <si>
    <t>Federico Grellet por D. Guillermo Beeston, 1600. El señor D. Tomas Knox, 30. El señor D. Juan Stanhope, 3®. El se­ ñor D. Tomas Tucker, 1®. El señor D. Miguel Costello, 1®. El Excmo. señor D-. Estéban Fernandez de León, consejero de estado, 40. La se­ ñora Doña Luisa de Albear, 500. El lord Mac-Duff, 5®. La señora Do­ ña Isab…</t>
  </si>
  <si>
    <t>Cosulh-ela, Juan</t>
  </si>
  <si>
    <t>Juan Cosulh-ela</t>
  </si>
  <si>
    <t>tortiRo■Ténh-'nte coronel dei de Mur­ cia ; y en esta cuerpo compañías á D. Manuel Márquez , D. JoSé Pinto , D. Antonio Guto , IV Antonio Áivarez , y D. Juan Cosulh-ela ; t ív.-ncias á. D. l^edro Carmena , D. Luis Carceller, D. Nicolás de Robles , D. Vicente Castaño , IV José .Zurbanó, D. José Lorite , D. Mamó 1 de la Vega, D…</t>
  </si>
  <si>
    <t>Cotnpans</t>
  </si>
  <si>
    <t>Gaceta de Madrid n.º 215</t>
  </si>
  <si>
    <t>tbrfp ef,tiempo eo que este paisse-’hartia somc- Ayer llegaron í esta ciadad el general de divi­ t|dot-alqgqbÍerno de S. M. Acuérdense todos ios sión conde Cotnpans y el barón de -Jl¿chberg&gt;,'p»* habitantes del estado en que vivían quando se sora hacer lá .entrega y dar á Ja Batiera la soma de metieron 'y rjmeioá.iá'ter súbdi…</t>
  </si>
  <si>
    <t>Cotton, Sir Stapleton</t>
  </si>
  <si>
    <t>Sir Stapleton Cotton</t>
  </si>
  <si>
    <t>Brazal é igualmente en el valle del Mon.dego; y el octavo cuerpo, á las órdenes del general Junot, pa­ só el rio Coa por Puerto de Vide. El teniente general Sir Stapleton Cotton retiró la caballe­ ría británica por CelorIco aL valle del Mondego el dia 16 ; y el enemigo partiendo de Alverca y Guarda en el mismo dia entró en aq…</t>
  </si>
  <si>
    <t>frustrar los designios del enemigo. Me aprovecho de esta ocasión para decir a Vv E. lo mueho que debo á la caballería británica que manda el teniente general Sir Stapleton' Cotton. Desde últimos de julio ella sola ha hecho eb servicio de los puestos avanzados-, no perdiendo nunca de vista á los franceses , y en todas ocasione…</t>
  </si>
  <si>
    <t>Cotton, Stapleton</t>
  </si>
  <si>
    <t>Stapleton Cotton</t>
  </si>
  <si>
    <t>e 29 de agosto desde el quartel general de Alberca, que el 28 por la mañana sas piquetes rechazaron al enemigo que los atacó por dos veces ; y que el general Stapleton Cotton mudó en la tarde del mismo dia sus puestos á la parte de acá de Freixedas: se hicieron algunos prisioneros at-enemigó, y los ingleses tuvieron un oficia…</t>
  </si>
  <si>
    <t>Couche</t>
  </si>
  <si>
    <t>luyó, se coronó ia contraescarpa, y herido gravemente al tiempo de coronar la contra­ se principió la galería de minas. Después de iá to­ escarpa. El teniente coronel Couche, que mandó ma del convento de' S. Francisco se puso una ba­ el cuerpo de ingenieros antes que llegase el coro­ tería de rebote para hacer fuego contra el…</t>
  </si>
  <si>
    <t>Coustantina</t>
  </si>
  <si>
    <t>ourg en incomodarle, un nuevo convoi de 50 vetas. La escompañía de sus dos hijos menores. quadrilla inglesa, reunida en la punta de! Faro, na La gran duquesa Coustantina ha hecho también te ha atrevido á destacar ni un soto buque contra otro viage por. las montañas de Neufchatel, y ha este convoi, y ha entrado como el de ayer…</t>
  </si>
  <si>
    <t>Couto, José Manuel</t>
  </si>
  <si>
    <t>José Manuel Couto</t>
  </si>
  <si>
    <t>lente por idem: D. Máximo Maldonado, suplente por idem: D. José Maria Gutiérrez de Terán , suplente por idem: D. Pedro Tagíe, suplente por Filipinas: D. José Manuel Couto , suplente per idem: D. José Caicedo, suplente por el vireynato de Santa Fe: Marques de S. Felipe y Santiago , suplente por la ida de Cuba: D. Joaquín Santa…</t>
  </si>
  <si>
    <t>Couto, José Maria</t>
  </si>
  <si>
    <t>José Maria Couto</t>
  </si>
  <si>
    <t>Rodríguez Bahamonde por ídem: D. Francisca Calvet y Rivacoba, por la ciudad de Gerona: D, José Salvador López del Pan, por la ciudad de la Co­ ruña : D. José Maria Couto , suplente por Nueva España: D. Francis-</t>
  </si>
  <si>
    <t>Covong</t>
  </si>
  <si>
    <t>e general del Austria. disposiciones siguientes: Al nombrar el conde Feiipe de Cobentzel á su articulo 1. „ Queda suprimida la lotería por sobrioo el conde Covong por su heredero univer­ clases que se ha jugado hasta ahora en Hanróver. sal , ha puesto por condición que no ha de usar de art. 11. », En atención á la uiiiidad qu…</t>
  </si>
  <si>
    <t>Cox</t>
  </si>
  <si>
    <t>destinado á reforzar el El resultado de las contestaciones entre la troc­ exército del conde Kamenski (a). {The Statesptan.) ar) No hai tal cosa: el general Cox no ha sido herido; la Rusia lo está de la Francia. Nos alegramos tener este antes está y ha estado siempre mui bueno. {Monitor.') motivo para hacer esta declaración; …</t>
  </si>
  <si>
    <t>CÓya, Pedro</t>
  </si>
  <si>
    <t>Pedro CÓya</t>
  </si>
  <si>
    <t>tWíiJK*4S» j.;ío cí- T j franciscano D. Nicolás Garrido. ■; "&gt; -r: .La 5ileeia.es ton*-de lat-nacioaesdé Europa» Para la de S. Pedro ales-franciscano D. Pedro CÓya población és niénos^ éonocida.Las guerras •CalVO.1 - ; 4 *• i-.‘ [i:-: ... sangrientas que ha teñido con las poteñciasvecinat Para la de S. Juuval ex-agustino D. J…</t>
  </si>
  <si>
    <t>Cranstoun, Gedeon</t>
  </si>
  <si>
    <t>Gedeon Cranstoun</t>
  </si>
  <si>
    <t>illermo Branscomb , 2000. El Sr. D. Carlos Vaughan , 2000. Ei Sr. D. Alexaúdo Briarly , 1000. El Sr. D. Diego DufF, cónsul dé S. M. B. , 3000. El Sr. D. Gedeon Cranstoun , 2000. El Excmo. Sr. D. Enrique Wellesley , 5000. El Sr. D. Joaquín de Villanueva , 1000. El Sr. D. F. M. H., ve­ cino de Madrid , 750. — Importa el total d…</t>
  </si>
  <si>
    <t>Cranstovvn, Gideon</t>
  </si>
  <si>
    <t>Gideon Cranstovvn</t>
  </si>
  <si>
    <t>r D. Juan Collins, 1®. El señor X). C. Fi.tzgerald, 1®. La señora Doña María Glass, $00. El señor D. Manuel Víale, vecino de Gibraltar , 20. El señor D. Gideon Cranstovvn, ie). La señora Doña Felisa Dómine de Vaughan, 500. Por una apuesta ganada á D. Federico Grellet por D. Guillermo Beeston, 1600. El señor D. Tomas Knox, 30.…</t>
  </si>
  <si>
    <t>Craoford</t>
  </si>
  <si>
    <t>111</t>
  </si>
  <si>
    <t>de Pinhel á las dos de la noche, y parece ,,La división de vanguardia del exército ingles que se iban reuniendo en Celoríco.* mandada por el teniente general Craoford, y com­ ,, La plaza de Almeida estz defendida por quatro puesta de a3 hombres de caballería y 8® de in­ regimientos portugueses: está bien provista de mu­ fante…</t>
  </si>
  <si>
    <t>Crasvford</t>
  </si>
  <si>
    <t>lgi­ al ¿ y en el que se hallanya 243 :»hiniDOT. La da y Ceioríco. Algunos dicen qq.e' es para- íppyat escuela fondada en Gracew por dséftor Wflc- al-general Crasvford; pero padécéh :*rrór Iqst -que zewski está tan bien organizada qde nos promete­ asi piensan, juzgando.de la situación de aquellos mos los mas felices resoltado…</t>
  </si>
  <si>
    <t>Crauford</t>
  </si>
  <si>
    <t>450 “Ehenemigo pasó*el'rio con fuerzas considerables el 4 del corriente, y obligó al brigadier Crauford á retirarse con su guardia avanzada hacia el fuerte de la Concepción, el qual estaba ocupado con parte de la infantería de la tercera divi­ sión. En esta refriega se distinguieron el capitán Karnchenbtrg, y el alférez Corde…</t>
  </si>
  <si>
    <t>Cráuford</t>
  </si>
  <si>
    <t>gaba á 7000 infantes y 3000 caballos, mandado por el general Loison, acometió al amanecer del 24 del pasado á la vanguardia inglesa á las órdenes del general Cráuford $ que se supone ser de 4 á 5000 hombres» Este general se hallaba desde el 21 si­ tuado entre el fuerte de la Concepción y el lugar de Junzá,y conforme á sus ins…</t>
  </si>
  <si>
    <t>s y el general Simón. Al mismo tiempo los cuerpos de Ney y Junot atacaban en tres colimas el centro del exército ingles por el -camino de Coimbra. El general Crauford los dexó subir hasta* la mitad, tlg una altura, donde después de hacer una descarga á quemaropa los acometió á la bayoneta, y los puso eu derrota. ^ * La pérdid…</t>
  </si>
  <si>
    <t>n 3 divisiones de in­ fantería del octavo cuerpo aquella parte de la Sierra ocupa­ da por la división de tropas ligeras á las órdenes del briga­ dier general Crauford , y por la brigada portuguesa á las del general Pack.—Una sola división de infantería enemiga hizo algún progreso en la subida para la cumbre de la Sierra y per…</t>
  </si>
  <si>
    <t>Craufurd</t>
  </si>
  <si>
    <t>una milla de distancia , es de una extensión movimientos de las tropas 1 atante considerable, y está provisto de un caba­ ,, Después de la accioq del general Craufurd llero que domina el campo vecino. Tiene también un cerca de Almeida el 24 del mes anterior, la divi­ .gran foso y un camino cubierto. Casi en medio sión del gen…</t>
  </si>
  <si>
    <t>Crawá</t>
  </si>
  <si>
    <t>prefectos »ns posiciones entre Almeida y Gelorico, no pue­ que se hallaban aquí, han asistido él dia 7 de junio de ser con ei designio.de sosten eral general Crawá la abertura ‘dé estas escuelas, es1 Jas'ífaéihrai ya ford', puesto que en vez de aproximarse al fuerra mas de' 80 estudiantes. -r - v / — c; de.la Concepción se al…</t>
  </si>
  <si>
    <t>Crawford</t>
  </si>
  <si>
    <t>hasta el *6 de agosto por la calabros que han padecido nuestras valientes tro­ noche. pas en la acción que los franceses y ia octava; divi­ sión del- general Crawford han tenido cerca del El príncipe de Essling mandó abrir la trinche­ puente de Almeida , han'sido mui considerables. : ra en la noche del 15 al tó de agosto, ord…</t>
  </si>
  <si>
    <t>e ocurrido alguna cosa m&lt;»s.’* Hoi dia está corroborada esta opinión con ana carta de Lisboa, en CIUDADES ANSEATICAS. que se dice que la división del general Crawford dexó el puente, y se retiró el 24 por la tarde á CarHamburgo jj de agosto. ▼alhal, que está á la orilla del Pinel, y que una gruesa coluna de enemigos cruzó el …</t>
  </si>
  <si>
    <t>Creeft</t>
  </si>
  <si>
    <t>lla de los húsares de S. N arciso de 2o caballos, mandada por el alférez D. Jorge Perayre, para apostarse a la derecha del campamento de Faliinas. El coronel Creeft se situó á la izquierda con el bata­ llón de expatriados, 50 hombres de las compañías de Llora y 19 deí Ampurdan, para sostener las avenidas de Bascara. Así logró…</t>
  </si>
  <si>
    <t>CremadeHs, Alberto</t>
  </si>
  <si>
    <t>Alberto CremadeHs</t>
  </si>
  <si>
    <t>tal ,'baxo las Inmediatas ordene* del ¡ffspector ge­ D. Alberto CremadeHs¡[subteniente , á tenien­ neral. te de la novena compañía. art. ii. Se considerará al-mismo ayodaüte ge­ Séptimo batallón. neral , Ínterin permanezca eñ este encango, la grati­ ficación mensu</t>
  </si>
  <si>
    <t>Crespo, Faustino</t>
  </si>
  <si>
    <t>Faustino Crespo</t>
  </si>
  <si>
    <t>operaciones mal presentadas Moraga, sacristán de la de Santa Ana de Granada. y de teorías fuera de su logar : su geometría care­ Para esta resulta á D. Faustino Crespo, ex­ ce de rigor y exactitud, y tiene capítulos enteros, clérigo m^nor. como el de los planos y el de la medida de los só­ Para la de Santiago de Granada a D. …</t>
  </si>
  <si>
    <t>Crespo, Francisco</t>
  </si>
  <si>
    <t>Francisco Crespo</t>
  </si>
  <si>
    <t>adrid i 19 de mayo Comandante , D. Manuel Alonso. de 1810. Ayudante, D Feliciano Gnizaburuaga. Don Josef Napoleón por la gracia de Dios y Abanderado, D. Francisco Crespo. por L constitución del estado, REÍ de las Españas y de las ludias. Batallón del quartel de S. Francisco. Hemos decretado y decretamos lo que sigue: Comandan…</t>
  </si>
  <si>
    <t>Crespo, Hilario</t>
  </si>
  <si>
    <t>Hilario Crespo</t>
  </si>
  <si>
    <t>y de sacar de él grandes Diez Zapata, teniente D. Miguel María Borrego; ventajas. otro,, D. Jacinto Sobijana, subteniente D. Rafael Hidalgo , otro ,.D. Hilario Crespo. Núm. Extracto de unos pliegos remitidos Primera compañía de fusileras. Capitán Don al secretario de Estado Mr. Canning por Mr. Joaquín Romero, teniente D. Rafa…</t>
  </si>
  <si>
    <t>Crespo, Juan</t>
  </si>
  <si>
    <t>Juan Crespo</t>
  </si>
  <si>
    <t>a Monserrat. D. Ramón Echaetea. D. Gaspar Soiiveres. Subtenientes. D. Juan Ncpomuceno Rosales. D. Josef Vargas. D. Julián Castañou. D. Diego Giraldo. D. Juan Crespo. D. Andrés Almarza. D. Antonio Reyelo. D. JnrefTubó. D. Joaquín Pacheco. D. Pedro Josef Mayora. D. Esteban Bains. D. Modesto faLcios. Tenientes. D. Juan Paredes. …</t>
  </si>
  <si>
    <t>temS CompaAdfc -_________ dyUitm.___________ ' . Tenante». , «abtenlentes. „ D. Juan Crespo.................... D. Francisco Izquierdo. ............... .................................. D. Jo.quin Piao^rjonF. D. Modesto Palacios..'...... . D. Francisco Mauricio^ * D. Vicente Ferr</t>
  </si>
  <si>
    <t>Crespo, Manuel Martin</t>
  </si>
  <si>
    <t>Manuel Martin Crespo</t>
  </si>
  <si>
    <t>ta pequeña inmediata i la principa]: el. que E 1 mayor parte de bronce, 200$ libras de pólvo­ quiera entrar en ella acudirá i tratar de su ajuste con D. Manuel Martin Crespo, tio y testamentario de la ra, 1.200$ cartuchos , y una cantidad considera­ ble de balas y provisiones de artillería. referida Doña Petronila Antonia Hid…</t>
  </si>
  <si>
    <t>Creus, Jayme</t>
  </si>
  <si>
    <t>Jayme Creus</t>
  </si>
  <si>
    <t>Cataluña: D. José Vega y Sentmerrat,por la ciudad de Cerveia:_D. Félix Aytés, por Cataluña : Don Pvamon Urges por idem: D. Salvador Viñaís por idem: D. Jayme Creus por idem : D. Ramón de Lledós por idem: D.~ José An­ tonio Castellarnau por ídem: D. Antonio María de Parga, por la pro­ vincia de Santiago : D. Francisco Pardo po…</t>
  </si>
  <si>
    <t>Criad, Francisco Perez</t>
  </si>
  <si>
    <t>Francisco Perez Criad</t>
  </si>
  <si>
    <t>D.iPedroJ oaquin-de Cifuente»Á'.v.v.~.v- * 5 2c-o1 vier de laGroix&lt;..........w.l;.'jÁÍ 16941 l’-i 26f DoñsP'Jos'efá de-Toro¡.¿.......... 1 í 563/'28^ D. Francisco Perez Criad®.»»'..;;!..;... 9004$ 16 &gt;- D. Dámasóde4aTorre.......... -‘46t't'y-'Jitíi D. Francisco Sánchez Navarro 154000'; DtJjúa'ttf Peña 1 ver.-.v...............…</t>
  </si>
  <si>
    <t>Criado, Francesco</t>
  </si>
  <si>
    <t>Francesco Criado</t>
  </si>
  <si>
    <t>....................... I7:4 ““-&gt;ia D Francisco Mugan................................ 945 D. Josef Sánchez..................................... '2 49 D. Francesco Criado..... ......................... 2200 El marques de Bajamar.............. ........... 8212 2 ÍT D. josef La C. ont-.................................. 98447 10 …</t>
  </si>
  <si>
    <t>Criado, Francisco</t>
  </si>
  <si>
    <t>Francisco Criado</t>
  </si>
  <si>
    <t>3 ataque bridante á bavonet i calad*, uue exeenrr- D. Lucas de Carranza, hermanos........ 5*091 22 ron.el regimiento 113.° y los volteadores del Vís­ D. Francisco Criado.................................. 3C7°5 tula. El general París y el coronel Dupeiroux , á Dendoat, hermanos.................................... 51=33 ri pesa…</t>
  </si>
  <si>
    <t>Criado, Francisco de Paula</t>
  </si>
  <si>
    <t>Francisco de Paula Criado</t>
  </si>
  <si>
    <t>vacanre por falleci­ han hallado sobre la playa. miento de D. Manuel Marin, al presbítero ex-r«-» Un oficial de gradaacion, que se encontró con guiar D. Francisco de Paula Criado.' la cabeza separada de su cuerpo cerca de las bate­ Para el tercer curato de la parroquia de la vi--' rías, se presume sea el comandante del fuerte…</t>
  </si>
  <si>
    <t>Crianza</t>
  </si>
  <si>
    <t>Gaceta de Madrid n.º 27</t>
  </si>
  <si>
    <t>s enfermos, si gusta, y allí le posa Doña Prudencia, y sus hijos D. Silencio, Doña darán razón de todo, que los porteros nunca sabemos las Modestia j Doña Crianza estaban pensionados por cosas de las casas tan biso cqmo seria justo que las su­ •1 gobierno para recibir á vario» sugeto* de la corle,</t>
  </si>
  <si>
    <t>Cris</t>
  </si>
  <si>
    <t>de D. Juan Raíz Cabello, á D. Mariano Para el de la iglesia parroquial dei Jogar.de Sicilia , cura de Albuñol. Domingo Perez, vacante por reonacia de D Cris-; Para el de la iglesia parroquial de santa Ana tóbal López Ortigosa, á D. Joan Godoi, ex-re-, de la misma, vacante por muerte de D. Juan Jo- guiar del orden de francisco…</t>
  </si>
  <si>
    <t>Crisóstomo, Joan</t>
  </si>
  <si>
    <t>Joan Crisóstomo</t>
  </si>
  <si>
    <t>ao Bautista) , cabo de caballería li­ Roujon (D. Pedro), capitán de tiradores, idem. gera , ídem. Rubio ( D. Manuel} » arcediano de .Huesca. Louerte (D. Joan Crisóstomo), teniente de arti­ Ruiz ( Miguel), húsar de nuestra guardia real. llería , ídem. Salazar ( i&gt;. Felipe ), tirador, Idem. Louis {D. Claudio) , sargento de tira…</t>
  </si>
  <si>
    <t>Cristiano</t>
  </si>
  <si>
    <t>az y demas bienes que puede disfru­ tar el género humano. Las cartas de Stock Amo de 12 del corriente hablan de una di­ putación de la dieta sueca al príncipe Cristiano de-Augustemburgo , nombrado por ella hereditario, pidiéndole que declare si pien­ sa casarse k fin de proporcionar la continuación de la sucesión real en el t…</t>
  </si>
  <si>
    <t>781</t>
  </si>
  <si>
    <t>Negocios ex qne los hacen dignos de sú incorporación ai impe­ trangeros de Wurtemberg, de parte de sn Sobe­ rio francés. rano ; Lieja • de junio. Al príncipe Cristiano, hermano del gran duque de Hesse, de parte de S. A. R., En la noche del 31 de mayo al i.° de junio Y al barón de Andian , de parte del grao du­ pasó por aqui. …</t>
  </si>
  <si>
    <t>Gaceta de Madrid n.º 187</t>
  </si>
  <si>
    <t>a por Carlscrona , donde se hallaba elt 3 enteramen­ eligió heredero del reino en 18 de julio 4^1 año te bueno al parecer.” ' '• ^ &gt;-í. . anterior al príncipe Cristiano, él qtíal fue en se­ guida adoptado por hijo por el nuevo Rei. Erre GRAN DUCADO DE VARSÓVIA. Príncipe estaba, dorado de; excelentes qualidades, 4üé hacían ama…</t>
  </si>
  <si>
    <t>la antigua riva­ lidad c entre ambas paciones. El pueblo eri g^páral está por Gustavo como todos los desafectos á la Francia ; porque la elección del príncipe Cristiano., que no em ele la sangre real de Suecia, pasa por obra de Napoieon, quien dicen la solicitó ofreciendo que se agregaria baxo ciertas condiciones la No­ ruega…</t>
  </si>
  <si>
    <t>Cristiano-Augusto</t>
  </si>
  <si>
    <t>nsntes de un país extrangero. Se prohíbe á las princesas suecas el casarse con particulares suecos. En caso de que falte descendencia mas­ culina del príncipe Cristiano-Augusto, los Estados se reservan el derecho de elegir una nueva dinastía. Uno de nuestros periódicos recuerda la declaración que hizo el emperador de Rusia al…</t>
  </si>
  <si>
    <t>Cristiern</t>
  </si>
  <si>
    <t>Gaceta de Madrid n.º 112</t>
  </si>
  <si>
    <t>467</t>
  </si>
  <si>
    <t>varse á efecto. Antes había también para cada re­ Se asegura qne no tardará en marchar á Italia gimiento un coronel y un general, lo qoe ocasiona­ la princesa Cristiern , que hasta ahora ha estado ba dispatas y continuas competencias entre ellos. desterrada en Aliona. En adelante el coronel Será el único ge fe del regi­ En vi…</t>
  </si>
  <si>
    <t>Cristóbal</t>
  </si>
  <si>
    <t>s mismos lastimosos efectos han continuado de Solis, y el ínclito Hernando Colon , hijo del hasta nuestros dias, y el bien deja humanidad y almirante D. Cristóbal, cuyo mapa y padrón ge- el decoro de la nación clamaban por su remedio, peral , hecho en junta de pilotos y cosmógrafos, que solo podía esperarse de uu establecimie…</t>
  </si>
  <si>
    <t>entimientos dirigían sos súplicas af Dios de 'Subtenientes: D. Joan Cava) ,* D. Pedro Mn- lol Ejércitos por la éalud dé;'nuestro ^Soberano , y radas; D. Cristóbal, Lorenzo» D'Iñigo Fonseca, * por la paz y pronto.sosiego dé todo el reído: J ‘ I&gt;. Fernando Díaz , p. MÍguel Gabezas Barcia. ■&lt; El ilustre cabildo catedral, con tod…</t>
  </si>
  <si>
    <t>a que vienen de la orilla derecha del Rio, como dad de arcipreste de la catedral de Granada. también varios destacamentos numerosos de tropas Avilés (D. Cristóbal de). de Saxonia, de Reus 8cc,, que vienen de Magun­ Barajas (D. Josef López). cia , y seguirán á la división de tropas confedera­ Barquero (D, Joaquín Hidalgo-). da…</t>
  </si>
  <si>
    <t>.............................. 20272 17 D. Si non del Villar.............................. 19210 ~ *&gt; La test .menra ía del conde de Arboré. 38*17 22 D. Cristóbal de los........ y Vivero...... 18048 24 D. T-.jrtO Hs.éh&gt;n de 1 ricio.................. 1!925 M Doña Francisca Sanche/, del Vahe... t T 6 ,3 28 lil duque de Campo de…</t>
  </si>
  <si>
    <t>Crivelli, José</t>
  </si>
  <si>
    <t>José Crivelli</t>
  </si>
  <si>
    <t>an. José Elorriaga , Miguel Valerdr, 70. D. Ignacio. Posadas , 12. D. Basilio Gutiérrez, 'io?* D. José María, Ponce, 10. D. Francisco Cienfuegcs, 30. D. José Crivelli, 35, D. Fernán-, do Maynez , 8. D. Juan Ceballos, 20. D: Francisco Oírnos i SO V. Fran­ cisco Xavier Chaves, 10. Varios individuos 169-y 3- ts-, — yuta HéV Jüqt…</t>
  </si>
  <si>
    <t>Croisei</t>
  </si>
  <si>
    <t>, como ls potar y las de la osa ma­ do de vino y de otriS mercancías. yor, jamas tocan al horizonte. El cÍjcbIo máximo E: corsario el Lobo marino, su capitán Croisei, de la esfera celeste perpendicular al exe se llama ha apresado la galeaza Atlante de 107 toneladas, eqttador. Los meaoies que las estrellas describen su capitán…</t>
  </si>
  <si>
    <t>Cruchaga, Gregorio</t>
  </si>
  <si>
    <t>Gregorio Cruchaga</t>
  </si>
  <si>
    <t>. — Lo que comunico á V. E. psra que á mi nombre y de los demas comandantes de este corso que se hallaron en la acción mandando las colunas, y fueron D. Gregorio Cruchaga, Don Lucas Gorriz y D. Ignacio Echabeguren, se sirva dirigirlo á la suprema Junta de Gobierno* Dios guarde á V. E. muchos años. Campo de honor 29 de julio d…</t>
  </si>
  <si>
    <t>Cruz, Fernando</t>
  </si>
  <si>
    <t>Fernando Cruz</t>
  </si>
  <si>
    <t>café, sea en grano, sea en líquido, están obligados talina, procedente de Lisboa, y mandada por el á dar una declaración exacta de las cantidades que capitán Fernando Cruz, que había apresado poco posean , y se Ies conceden tres meses, que princi­ antes , y que dexó ir libre por 200 pesos que dio piarán elide mayo, para desha…</t>
  </si>
  <si>
    <t>Cruz, Francisco Santa</t>
  </si>
  <si>
    <t>Francisco Santa Cruz</t>
  </si>
  <si>
    <t>al REI ouestro Señor. D. Francisco Sánchez , fiel del puente. D. Antonio de Torres , interventor idem. Jos infrascritos empleados en las oficinas dt D. Francisco Santa Cruz, fiel de la puerta rentas reales de esta capital, que actualmente Nueva. existimos en ella desempeñando nuestros res­ D. Francisco Roldan, interventor íde…</t>
  </si>
  <si>
    <t>Cruz, Joaquín Santa</t>
  </si>
  <si>
    <t>Joaquín Santa Cruz</t>
  </si>
  <si>
    <t>uel Couto , suplente per idem: D. José Caicedo, suplente por el vireynato de Santa Fe: Marques de S. Felipe y Santiago , suplente por la ida de Cuba: D. Joaquín Santa Cruz, suplente por idem: Marques de Puñoenrostro , suplente por Santa Fe: D. José Mexia, suplente por idem: D. Dionisio Inca Yupangui, suplente por el vireynato…</t>
  </si>
  <si>
    <t>Cruz, José de Santa</t>
  </si>
  <si>
    <t>José de Santa Cruz</t>
  </si>
  <si>
    <t>el bata­ llón de tiradores voluntarios de Cádiz. También se ha servido promover en el real cuerpo de Ingeniero&gt;, á coronales, los tenientes coroneles D. José de Santa Cruz, y D. Jo é Falo; á tenientes coroneles, los sargentos ma­ yores de brigada D. Francisco Serrallac , D. José Veiarde, y D. Joaquín Grandona ; á sargentos ma…</t>
  </si>
  <si>
    <t>Cruz, Juan de Santa</t>
  </si>
  <si>
    <t>Juan de Santa Cruz</t>
  </si>
  <si>
    <t>e Palestrina, Terrarios, Sezze, Piper- Para una canonpíi de la misma, vacante por ^no y Ostia Velletri á la diócesi de Anagni. La de fallecimiento de D. Juan de Santa Cruz, á Don ^Sotrt.y Nepi á iá de Civita-Castellana Orre. La de Francisco de Armenia y Borona. 'Viterbo y Toscanella á la de Mooitfiascone Cor­ Parar una ración…</t>
  </si>
  <si>
    <t>Cruz, Ramón de Ja</t>
  </si>
  <si>
    <t>Ramón de Ja Cruz</t>
  </si>
  <si>
    <t>ola Ja comedia en cin­ I5o3 cadáveres apestados y tendidos en el campo co actos titulada el mejor Alcalde el Reí, y el fin do sin enterrar. fiesta de D. Ramón de Ja Cruz titulado el Hablador. La segunda época, que se extiende desde el Actores en la comedia. Señoras García, Torres y Ca­ nacimiento de Jesucristo hasta i&gt;oo de l…</t>
  </si>
  <si>
    <t>Cruz, Ramón do Ja</t>
  </si>
  <si>
    <t>Ramón do Ja Cruz</t>
  </si>
  <si>
    <t>sus dis­ ción del drama trágico nuevo en tres actos titulado la cursos y en sus acciones, ó en otros términos el que Novicia , y el fin de fiesta de D. Ramón do Ja Cruz manifiesta tener mejor lógica y mejor moral; y como titulado la Ca?a de tócame Roque. estas dos prendas son las únicas á que ai cabo le reduce En el de los Ca…</t>
  </si>
  <si>
    <t>Csneros, Teodoro</t>
  </si>
  <si>
    <t>Teodoro Csneros</t>
  </si>
  <si>
    <t>Trinidad Fábela, 10. D Francisco A-ean, too D. Vi­ cente Sitveira, 20. D. Fernando de la Cimpa y D. Francisco Noriega, 100. Doña Ignacia de León, 20. D. Teodoro Csneros, 18 D. Martin Barron, 2$. D. Cirios Rubio, 12. D. José Simón Birraza, 8 D. Atanasio Urbina, 10. D. Camilo Peynado, 10. D Juan José Salcedo , 6. D. Faustino Pe…</t>
  </si>
  <si>
    <t>Cu, Antonio López</t>
  </si>
  <si>
    <t>Antonio López Cu</t>
  </si>
  <si>
    <t>ex­ las causas y de los efectos entre sí, ni los progre­ franciscano descalzo. sos de las costumbres y del espíritu público; y Para la de Abrucena 4 D. Antonio López Cu- aun en este último punto el autor no está libre de riel, ex-franciscano, lector, guardián y examina­ ciertas preocupaciones poco razonables, aunque dor sinod…</t>
  </si>
  <si>
    <t>Cu, Epifanio Rafael</t>
  </si>
  <si>
    <t>Epifanio Rafael Cu</t>
  </si>
  <si>
    <t>....... 43811 26 D. Juan Alanuel de UzafCguiv......1595 3 D.a María Ignacia de Romaté y Villegas. 96900 La marquesa de Branchiforte.v...i..;L 35063 8 D. Epifanio Rafael Cu riel Pérez....... 180000 Doña Josefa Vázquez de Silva.'....;.... 24380 1 i D. Ignacio Agudo y Andrade, como 5,2 8 * 3 -, 1 17.f marido de Doña NicolasaReng…</t>
  </si>
  <si>
    <t>Cuellar, Josef María</t>
  </si>
  <si>
    <t>Josef María Cuellar</t>
  </si>
  <si>
    <t>0 *V *V — *— 3.0 A D. Josef María Cuellar, alcalde máyot del tribunal criminal de Málaga , ID. Josef Atade Montslla. nasio del Castillo, alcalde mayor de La- Guardias 4.°- A D. Josef del Alamo, abogado del colegio para la alcaldía</t>
  </si>
  <si>
    <t>Cues</t>
  </si>
  <si>
    <t>Gaceta de Madrid n.º 84</t>
  </si>
  <si>
    <t>35</t>
  </si>
  <si>
    <t>estado mucha habi­ tor, lord Wellington debería haberse batido en lidad en esta acción; pero pienso que esta habili­ retirada en el momento en que el general Cues­ dad , manifestada únicamente en el dia de una ba­ ta rehusase cooperar, con él como se habia concer­ talla , no basta para que 1a cámara decrete en favor tado al p…</t>
  </si>
  <si>
    <t>Cuesta</t>
  </si>
  <si>
    <t>r el pasage del Es claro que su fin era dirigirse hacia Madrid; y discurso en que el lord canciller ha dado á enten­ quando efectuó su reunión con el general Cuesta der que haí aqnl muchas personas que jozgande la se encontró siu municiones, sin víveres, sin forraconducta del lord Wellington solamente por mo­ ges y sin transp…</t>
  </si>
  <si>
    <t>407</t>
  </si>
  <si>
    <t>de aquel digno general, tuvo que renunciar á la empresa de per­ seguir á Soult el 18 de mayo para marchar al mediodía y reunirse con el exércifco del general Cuesta; y en esta ocasión volvió de nuevo á manifestarse la inadvertencia de los minis­ tros. Olvidaron las calamidades y miseria que había padecido el exército de Moore…</t>
  </si>
  <si>
    <t>Cueto, Bernardo París</t>
  </si>
  <si>
    <t>Bernardo París Cueto</t>
  </si>
  <si>
    <t>.. D. Josef Paspan Bracho. ......................................................................................................... ................ D. Bernardo París Cueto. .................................................................. D. Manuel Bello...................... D. Juan Bautista La borde. j. »................…</t>
  </si>
  <si>
    <t>Cundin, Joaquín</t>
  </si>
  <si>
    <t>Joaquín Cundin</t>
  </si>
  <si>
    <t>navio. D. Domingo Mesa , 30. D. Manuel Vi lia vicencío, 120. D. Félix Gastartlbide, 60. Id. de fragata, D. Martin Temoson , 50. — Cuerpo de pilotos. D. Joaquín Cundin , 70. D. José de la Peña, 70. D. Domingo Ugalde, 200. D. Juan de Heredia, 140. D. Juan Triana, 15. D. Fernando Sánchez, alterez de fragata graduado, con­ tramae…</t>
  </si>
  <si>
    <t>Cunegonda</t>
  </si>
  <si>
    <t>n se halla campreheadida en esta cesión la' Ino. 1 ■ abadía de les benedictinos llamada Tiniec. Acaba «le salir de aquí el elector dcTxéveris( oon la'princesa Cunegonda su hermana, y &lt;1 a .elec­ SAXONIA. tora viuda de Dos-Puentes , para ir á Neoborgo, 1' * Érese e 14 de mayo. donde SSv AÁ. pico san detenerse unos^dias. • .1 S…</t>
  </si>
  <si>
    <t>Curo</t>
  </si>
  <si>
    <t>Tarragona , ignorándose su dirección y objeto , pues ha sido su marcha repentina. Valencia 17 de agosto. El parlamentario Iranres que ce presento al general Curo el 3 de este mes, es el coronel Pil­ que, de paehado p r el conde de Suohet en solicitud del cange del general de división Franceschi, prisionero de guerra en España…</t>
  </si>
  <si>
    <t>Czallich</t>
  </si>
  <si>
    <t>ficientemente provistos de trigo, al menos no ex- nuestro país, y rectificar los mapas antiguos. El ' endientamos ya los horrores que trae consigo la coronel Czallich es el director de estos trabajos en £ scasez, y por otra parte el ver tan inmediata la Cosecha disipa nuestros temores sobre este parti­ la orilla izquierda del…</t>
  </si>
  <si>
    <t>Czartoriska, Isabel</t>
  </si>
  <si>
    <t>Isabel Czartoriska</t>
  </si>
  <si>
    <t>ipulaciones de la esquadrilla litar de Thorn , y el coronel polaco Dziewanowí- de Trieste y de Venecia no pasarán por aquí, sino ki hdit enviado a ia princesa Isabel Czartoriska una que atravesarán el Austria para volver á su país. teja de la casa donde nació el 19 de febrero de 1472 el inmortal astrónomo Nicolás Copérnico, y…</t>
  </si>
  <si>
    <t>Gaceta de Madrid n.º 226</t>
  </si>
  <si>
    <t>226</t>
  </si>
  <si>
    <t>Nutrí. 226. ion GAZETA DE MADRID DEL MARTES 14 DE AGOSTO DE 1810. I' DINAMARCA. ciudad pertenece á la princesa Isabel Czartoriska, condesa de Fleming. Las ciudades de Cracovia y ' Copenhague 30 de junio.' dc Terespot disfrutarán de las mismas franqnicias ‘ S. M. pasará revista «n Ja semana próxima á respecto ai comerc</t>
  </si>
  <si>
    <t>Czerní-Jorge</t>
  </si>
  <si>
    <t>Gaceta de Madrid n.º 266</t>
  </si>
  <si>
    <t>a poner á las tropas á cubierto de mui adelantada , y se acabará para el dia de San las bombas. Miguel. Las piedras grandes de esta demolición se­ El general en gefe Czerní-Jorge se ocopa en rán llevadas por el Elba á Turgau, y empleadas recorrer la llanura que hai á lo largo del Morawa. en las obras de esta ciudad , la qual …</t>
  </si>
  <si>
    <t>D, Agustín</t>
  </si>
  <si>
    <t>Agustín D</t>
  </si>
  <si>
    <t>sca Sanche/, del Vahe... t T 6 ,3 28 lil duque de Campo de A.'ange, co­ D. jacinto de !&gt;. Quintana.................. 3481 1 *7 mo h-redero-de su lujo D. Agustín D. Antonio Melendro............................ 66523 de Ne'rete..-................... 43T2^ D. Frutos Alvaro Benito..... ................ 188 V3 37 D. J oscf Labarte…</t>
  </si>
  <si>
    <t>D, Alaría Jgnacia Remate</t>
  </si>
  <si>
    <t>Alaría Jgnacia Remate D</t>
  </si>
  <si>
    <t>ana Lopezí................................ &lt;*3*-*5i D. Juan Antonio de Noreña, como ma­ D. Esteban Corones.......................... 992..251 rido de Doña Alaría Jgnacia Remate D. Julián Martínez de Torres............... 3610 y Villegas............................................ 15300 D. Ramón de Landa.......................…</t>
  </si>
  <si>
    <t>D, An</t>
  </si>
  <si>
    <t>An D</t>
  </si>
  <si>
    <t>......... . - 536$.. 10 ^ D. Pedro Cellini y compañía................. 30000 . ' D. Manuel de Ramos de Zafra..... tope.. 2 D. Miguel Sancho Larrea y .D. An­ D. Francisco García de Rozas........... . : 8438..II drés de Aransai,.......................... 120000 D. Andrés de Sam,al—«............ 4463-20 u D. Pedro Schropp-......…</t>
  </si>
  <si>
    <t>D, Antonio Uribarri</t>
  </si>
  <si>
    <t>Antonio Uribarri D</t>
  </si>
  <si>
    <t>o Paez.... D. Gabriel Leoneli. D. Josef González Oyuela.... D. Francisco Peirou y Goazalez. D. Mariano García de la Cruz. D. Autonio María Rodríguez. D. Antonio Uribarri D. Tomas Arenillas..;... D.' Josef Manuel López baña­ bas. D. Ramón Ríbes........... D. Antonio Tomas Dicgues. D. Francisco B mi^;„. D. Juan Antonio Medina. …</t>
  </si>
  <si>
    <t>D, Blas Ca</t>
  </si>
  <si>
    <t>Blas Ca D</t>
  </si>
  <si>
    <t>ormadas. : D. Ignacio Granados para subteniente de la Nombramos para comandante de este batallón tercera compañía. a D. Luis Negrooj .para ayudante á D. Blas Ca­ D. Luis de Muro para sobteaiente de la.qaarballero , y para abanderado á í). Agustín Man­ ta compañía. zano. art. xiv. En el batallón de milicia cívica de Para capit…</t>
  </si>
  <si>
    <t>D, Cayetano Mutis</t>
  </si>
  <si>
    <t>Cayetano Mutis D</t>
  </si>
  <si>
    <t>stro y» Ortega, 50. D Felipe Lopez&gt; Negrece; y^suhijo, * 500. D. Pedro del. Campo y Montes, 50. D. Juan! José Zimbrana,5CO.D. Antonio Izurrieta, $oox D. Cayetano Mutis-9 15* D/ jcséGuerrero 15Á D. Juan Manuel de Asunzalo, 15. D. Amonio Gúrruchategiii ,35; D¡ MánueL Gutiérrez 35. D, Antonio Landa 50. D&lt; Francisco Pascual Rolda…</t>
  </si>
  <si>
    <t>D, Diego de Anay</t>
  </si>
  <si>
    <t>Diego de Anay D</t>
  </si>
  <si>
    <t>to xm. bro t¡.° de su historia de iW ciudad-s é iglesias catedra­ Aun antes de esta ¿poca es bien sabido que el Reí les de España, «.piando trata de. D. Diego de Anay* D. Henrique m se resistió fuertemente i aprobar el nom­ Maldonado, obispo de Salamanca, cu cuyo archivo se bramiento que el mismo Bcnedicl* había hecha de su</t>
  </si>
  <si>
    <t>D, Doña Isabel y el Rei</t>
  </si>
  <si>
    <t>Doña Isabel y el Rei D</t>
  </si>
  <si>
    <t>ios dieron queja los reinos y vasallos, y lo han xc- la partida sobre este particular, y las pragmáticas pro­ apetido cada instante." mulgadas por la Reina Doña Isabel y el Rei D. Car­ Por estas consideraciones el sefior Macanaz propaso los 1; y que si aun no pareciesen bastantes estos reme­ al consejo que absolutamrnte se ce…</t>
  </si>
  <si>
    <t>D, Fcrinin Carnerero Vela</t>
  </si>
  <si>
    <t>Fcrinin Carnerero Vela D</t>
  </si>
  <si>
    <t>garai. D. Manuel de Cañas. I&gt;. J uan Picdrahica. Subtenientes. D. Ramón Rada. D. Antonio Robillar. D. Ramón Nocedal. . D. Eduardo Santiago Palomares. D. Fcrinin Carnerero Vela* D. Claudio Botelú. D. Tuan Valdivieso. D. J osef Navarro. Tenientes. D. Josef Ortiz Herboso. D. Andrés Saez. D. Gabriel de Alearáz. D. Santiago Sedaño…</t>
  </si>
  <si>
    <t>D, Felipe Ra</t>
  </si>
  <si>
    <t>Felipe Ra D</t>
  </si>
  <si>
    <t>74* *7’ D- Jdsef García Abeíla. .&gt;.^*^ ^‘162042 6 D. Patricio Joyes é hijos, D. Frutos D. Manuel del.Burgo..............., -26155 23de Alvaro Benito,,D. Felipe Ra- ± D. Salvador ^lussiútc-.* ^r-.,:, ..24074 bara, D. Pedro Cellini y compa- •í D.'Baltasar Delgado»,...........470 &gt; ñí:i, y Wcreruise hermanos......... .'. 645107 …</t>
  </si>
  <si>
    <t>D, Fran</t>
  </si>
  <si>
    <t>Fran D</t>
  </si>
  <si>
    <t>e presentaron á S. M. lo* señores D. •Francisco de Paula Coca Cejalbo, D. Josef curas párrocos siguientes : López Saiazar, D. Joaquín Laines y Lora , D. Fran­ D. Juan Rafael Panlagua, de S. Miguel ; Don cisco Melchor de Prbgo, D. Juan Miguel Eche­ Francisco Morales, del Sagrario de la catedral; verría y D. Pedro Miguel Manzan…</t>
  </si>
  <si>
    <t>D, Francisco Calapizy</t>
  </si>
  <si>
    <t>Francisco Calapizy D</t>
  </si>
  <si>
    <t>770 día, se mn l í abrir la puerta de la sala capitular, y á presen­ cia de los escribanos públicos D. Francisco Calapizy D. To­ mas Hidalgo, y de muchas personas de todos sexos, puestos en pié los señores alcaldes ordinarios y regidores, de que se compuso el cabildo, les recibí juramento que hicieron por el Señ</t>
  </si>
  <si>
    <t>D, Francisco Mabiliy</t>
  </si>
  <si>
    <t>Francisco Mabiliy D</t>
  </si>
  <si>
    <t>ea , teniente á Don das y de las Indias. Juan Antonio Perello , y subtenientes á D. Francis­ „ Nombramos para el arzobispado de Toledo á co del Arca, D. Francisco Mabiliy D. Rafael Ver­ D. Francisco de la Cuerda, obispo de Málaga; y dugo: en el de Córdoba , 7.° de línea, subtenientes para este obispado que dexa vacante á D. M…</t>
  </si>
  <si>
    <t>D, Francisco Mauricio</t>
  </si>
  <si>
    <t>Francisco Mauricio D</t>
  </si>
  <si>
    <t>.................... D. Francisco Izquierdo. ............... .................................. D. Jo.quin Piao^rjonF. D. Modesto Palacios..'...... . D. Francisco Mauricio^ * D. Vicente Ferrer y Fous.... D. Mariano Fabre. D.Blas Bczares........ .............. Di josef García pchábüra. Octave Batallón. .. ¡ Para ayudante prime…</t>
  </si>
  <si>
    <t>D, Francisco Saenx de Tejada</t>
  </si>
  <si>
    <t>Francisco Saenx de Tejada D</t>
  </si>
  <si>
    <t>369 touio Rocha, D. Feliciano Bastante, D. Joan Ma- aMádáajbrigadíer D. Secñndino Salamanca. 11er, D. Francisco Saenx de Tejada» D. Josef de • í: 'Poé piró 3écV^"dé-(J ijel ¿órríéoí'e; sé Ká dig­ Lana, D, .Manad Mardto. nado S. M. rióóabrar oapitan dé' infakiteríá dé línea art. vi. Nuestros ministros de lo Interior y á</t>
  </si>
  <si>
    <t>D, Frutos</t>
  </si>
  <si>
    <t>Frutos D</t>
  </si>
  <si>
    <t>Carmen Herran...^.. . u 207 ai. D. Santiago Antonio de Uvizar-....... 14974* *7’ D- Jdsef García Abeíla. .&gt;.^*^ ^‘162042 6 D. Patricio Joyes é hijos, D. Frutos D. Manuel del.Burgo..............., -26155 23de Alvaro Benito,,D. Felipe Ra- ± D. Salvador ^lussiútc-.* ^r-.,:, ..24074 bara, D. Pedro Cellini y compa- •í D.'Baltasar …</t>
  </si>
  <si>
    <t>D, Ignacio de Roxas</t>
  </si>
  <si>
    <t>Ignacio de Roxas D</t>
  </si>
  <si>
    <t>ón se expresan. Hemos decretado y decretamos lo que sigue : articulo 1. Se formará on esquadrou -deno­ Capitanes. minado guardia de honor de Sevilla. D. Ignacio de Roxas» D. Mannel Cepeda» Don art. 11. Este esquadron constará de dos com­ Miguel de Zafra , D. Juan María Saavedra,, Don pañías, y cada compañía tendrá un capitán …</t>
  </si>
  <si>
    <t>D, Ignacio Por Villafranca</t>
  </si>
  <si>
    <t>Ignacio Por Villafranca D</t>
  </si>
  <si>
    <t>iguel Fertiandez Ignacio Arzamendi, canónigo , por el clero; Don dé Molina, alcalde mayor, teniente de fragata. Josef Felipe Alaminos, por el pueblo; D. Ignacio Por Villafranca D. Bartolomé Castro y Luque, María de Ortega, oñcial retirado, por la milicia; corregidor; D."Gabriel de Vida y Herrera , algua­ ,D. Beitran Lasserre,…</t>
  </si>
  <si>
    <t>D, Joan Josef de Torre</t>
  </si>
  <si>
    <t>Joan Josef de Torre D</t>
  </si>
  <si>
    <t>de Aranda Sal. zar, D. Agustín de Uíibe, -D. Pedro Dalbérg con una quantiosa dotación sobre el prin­ de Torres Chica. cipado de Ratisbrna. Tenientes. D. Joan Josef de Torre*» D. Josef Se asegura que la Baviera cederá al reino de Canillo, D. Agustín de Torres, D. Pedro Carri­ Italia el Tirol meridional, y al reino de Wurtem- l…</t>
  </si>
  <si>
    <t>D, Josef Bar</t>
  </si>
  <si>
    <t>Josef Bar D</t>
  </si>
  <si>
    <t>nda, expuesta de de capitán de la quadrilla. Sin embargo de que di­ D. Miguel de Galves , por la municipalidad. cho pueblo es de bastante población , D. Josef Bar­ D. Francisco Escalante, maestrante de la real riuso y. sus quatro cempañeros se determinaron á de Ronda , y regidor perpetuo de dicha ciudad, entrar en él sin repa…</t>
  </si>
  <si>
    <t>D, Josef Díaz</t>
  </si>
  <si>
    <t>Josef Díaz D</t>
  </si>
  <si>
    <t>.......................... 36821.-31 El real Hospicio de esta corte, y en su D. Martin de Terrazas........ ............... . 69623 nombre su tesorero D. Josef Díaz D. Mateo Gil de Sola............................ 1000 de Ribera...... ...................................... 455S°”*5Í Las poblaciones de Sierra-Morena, por E&gt;. Ma…</t>
  </si>
  <si>
    <t>D, Josef Ecbeoique</t>
  </si>
  <si>
    <t>Josef Ecbeoique D</t>
  </si>
  <si>
    <t>tes............. D. Julián Sane. 3*. »«•........Le....... D. Pedro P.bio Perez Arrieta. D. Gregorio García. B D. Manuel Gaviria.................. 3 a D. Josef Ecbeoique* 4- D. Diego de Castro, D. Pedro Hiera; 5" D. Ramón Pando.... D Higinio Z.zo de Lares D. Josef María Abades. 6.*. D. Ramón Guizabnruaga. 7* D. Francisco María…</t>
  </si>
  <si>
    <t>D, Jqan Manuel Mon</t>
  </si>
  <si>
    <t>Jqan Manuel Mon D</t>
  </si>
  <si>
    <t>rta compañía á D. An­ se aumentará ana compañía á mas de la ya for­ tonio González Álés; para teniente á D. Josef Cal­ mada. vo, y para subteniente á D. Jqan Manuel Mon- D. Pedro de Herdara está nombrado capitán; tijar.o. D. Josef Ramón Peñaranda teniente, y D. Juani art. m. En la villa de la Alameda se forma­ Bautista de Her…</t>
  </si>
  <si>
    <t>D, Jqaqúm XI</t>
  </si>
  <si>
    <t>Jqaqúm XI D</t>
  </si>
  <si>
    <t>de Otaeeui.......... ............ tí-I D&gt; Ff^ncisco Lopgz Jíuñez.V....J..rj.;.I' 34564 ■•iül Dt Diego jGil Fernández..'.'.'...//..,..,,,*0335 ,37 &lt;; D. Jqaqúm XI D? Mártir} de Leones..................... , . . 23P41C14Ci D. Mapsós Peifotenj¡..¿ó.i...¿í¿gI xin^46c-r^l D. Andrés Roniéro Váidas...........rr;¡ i . 6585 ¿V-J'í í?-…</t>
  </si>
  <si>
    <t>D, Juan</t>
  </si>
  <si>
    <t>Juan D</t>
  </si>
  <si>
    <t>Doña Ma­ D. Francisco Riofrio. ría Teresa Casabona Carak, difuntos, baxo del testa­ :;T'D. Josef García. mento otorgado ante el escribano del número D. Juan D. Antonio Martin. Antonio de Urraza'en' el propio dia, en el que institu­ . IXrManuel Manso. yó por sus tínicos y universales herederos á sus dos her­ manos D. Pablo y D…</t>
  </si>
  <si>
    <t>D, Juan Ezterripa</t>
  </si>
  <si>
    <t>Juan Ezterripa D</t>
  </si>
  <si>
    <t>taqnio Villaseftor....... D. Manuel Gamarra. D. Pedro Sao Micbel............. D. Juliao Gajlcedo. D. Pedro Díaz López............ D. Antonio Gamarra. D. Juan Ezterripa D. Atexandro Leal Ib-trra.... D. Isidoro Pugeo. D. Manuel Gomes Alvaoeita. Tercer batallón. Pata ayudante primero él conde de Cancelada» para segundo D. Juan M…</t>
  </si>
  <si>
    <t>D, Juan Monsaiveya</t>
  </si>
  <si>
    <t>Juan Monsaiveya D</t>
  </si>
  <si>
    <t>a Mauri; por mayor á mer batallón de este regimiento al teuiente coronel D. Fernando de Rodas; por ayudantes de batailon retirado D. Joaquín Temor. á D. Juan Monsaiveya D. Josef Lachambre ; ayu­ art. 111 Nuestro ministro de Guerra queda dantes a D. Domingo Rigal y D. Antonio de Zea, encargado de la exccucion de este decreto. …</t>
  </si>
  <si>
    <t>D, Juan Por Montemayor</t>
  </si>
  <si>
    <t>Juan Por Montemayor D</t>
  </si>
  <si>
    <t>o Estrada Navarrete, al­ D. Josef Martínez Sánchez, alcalde primero; Don guacil mayor, y D. Bernardo Laborda. Francisco Xavier Grai, alcalde segundo; D. Juan Por Montemayor D. J uan Nepomuceno Bligni, Tomas de Coza, alguacil mayor; et bachiller Don alcaide del castillo, y D, Josef Espinosa de ios Blas de Avila, prior, cura pá…</t>
  </si>
  <si>
    <t>D, Juan Subtenientes</t>
  </si>
  <si>
    <t>Juan Subtenientes D</t>
  </si>
  <si>
    <t>. Jbsef Capitán , D. P’áiciíal *¥or&amp;jon.'- 3n ‘í Tp*M«atq,r^)/Min»¿V. Te-jevía. Y, iYW' mó Bosqne,tj-Jv\ &gt; 0? ^ Vj, ,s y5:Vji,_...... , Subteniente , D. Juan Subtenientes»' D. Modesto Cabello y D. NicaL 1 í T d^i -í - XCasfiUo. C , , * f 71 í| t; S Jas de i¿-CiáM«,A *f‘:A 1: :r :;f : Compañía de ~Má}¿ídá-konda de d loo.hdñibt…</t>
  </si>
  <si>
    <t>D, LiisOH</t>
  </si>
  <si>
    <t>LiisOH D</t>
  </si>
  <si>
    <t>iaga...;rÍv.Wrw.ViJ ‘ "'qcüV'-zí*; La testamentiría-del coiidiíf'd&lt;í'Atb&lt;»i-: - ‘ • »• D. D&amp;maso de*la-Torr«,......- i65ót;8:-20l re por su apoderado D. LiisOH- ¡ D.iPedroJ oaquin-de Cifuente»Á'.v.v.~.v- * 5 2c-o1 vier de laGroix&lt;..........w.l;.'jÁÍ 16941 l’-i 26f DoñsP'Jos'efá de-Toro¡.¿.......... 1 í 563/'28^ D. Francisco P…</t>
  </si>
  <si>
    <t>D, Lñcqs Zuloaga</t>
  </si>
  <si>
    <t>Lñcqs Zuloaga D</t>
  </si>
  <si>
    <t>■794a; D» Tomas Vázquez Cevallos....... 2509 D. fFraqcisco XavierdeAmestoilléeaasae :;74oo v17 1 D,Sebastian deOtaegui......:.;.......... 33011 t6 a D. Lñcqs Zuloaga «**»»*••«•*■ D. Joan Manuel de Bedoya.............. 6096 13. Rafael de Elviu.......... 5'4r, *7 D. Migoel Vicente de Orbaneja........ 3331 É í B. Santiago Garrid…</t>
  </si>
  <si>
    <t>D, Lorenzo Adelantado</t>
  </si>
  <si>
    <t>Lorenzo Adelantado D</t>
  </si>
  <si>
    <t>D. Vicente Cabañas , D. Manuel Laget, D. Miguel Navarro, D. Antonio Aznar , y D. Laureano Sauz; y subtenencias, ? X). Bruno Soaso, D. Antonio Llamas, D. Lorenzo Adelantado D. Juan Sotelo , D. Gregorio Aívarez Carbalio , D. Ramón Min guillen , y D. José Piñeyro. Asimismo ha concedido grado de capitan de infantería , á. D. Manu…</t>
  </si>
  <si>
    <t>D, Lorenzo de Palacio</t>
  </si>
  <si>
    <t>Lorenzo de Palacio D</t>
  </si>
  <si>
    <t>Luis de Urquijo................. 4602 ó D. J usef Ignacio de Mendia , por su D. jo'-ef Gr oolci...................... ............. 99860 9 apoderado D. Lorenzo de Palacio D. Manuel Sánchez Toscano............... 244S99 í y Gorbea............................................... 185661 12 12 D ña Alaria Eugenia de Zubiaga, por …</t>
  </si>
  <si>
    <t>D, Luis</t>
  </si>
  <si>
    <t>Luis D</t>
  </si>
  <si>
    <t>onen de los indivi­ peto que tiene esta capital á su benéfico Monarca. duos de la primera nobleza de éi; y á su cabeza se hallan de comandante el Sr. D Luis D.ívila Ponce Cardaba 18 de marzo. de León, director de la real sociedad patriótica ;de su ayudante el Sr. D. Rafael Sequera y Carvajal, Programa de la fiesta de S. M. ca…</t>
  </si>
  <si>
    <t>D, Ma</t>
  </si>
  <si>
    <t>Ma D</t>
  </si>
  <si>
    <t>dicho camino y Las fincas que en el lugar de con'viña de María Martínez de Campo Real pertenecieron á Herrera, viuda, y tierra de las capellanías de Doña Ma­ D. Domingo Aguado, la que ría Martínez Viliaseñor y de tiene 36 aranzadas.................. 2618.. 6 31418.. 4 Francisco Martínez Orea...... 2088 25056 La dehesa titulad…</t>
  </si>
  <si>
    <t>D, Manuel Antonio Fernandez Ce</t>
  </si>
  <si>
    <t>Manuel Antonio Fernandez Ce D</t>
  </si>
  <si>
    <t>496*0 Doña Leonor de Torres y Arrieta..... i9tg ,íJrí D. Juan Martin León de Urda , id.... '44°00: ' D. Ildefonso Simón , ex-bcnedictino. -■ : 44660¡ D. Manuel Antonio Fernandez* Ce- '■&amp; D^jFdipe Rodríguez,iid............,.í.ii -■ 44oai&gt;-f!Areceda, id*. 44®®®’* ■ *■ D.-Bia's Antonio Rabadan ,ex-catm¿- "• ■ ’ &lt;;&gt;* D. Antonio C…</t>
  </si>
  <si>
    <t>D, Manuel Díaz</t>
  </si>
  <si>
    <t>Manuel Díaz D</t>
  </si>
  <si>
    <t>anco de Cea , D. Miguel de Morales , D. Manuel festado dignos sucesores de los célebres G biliari. Mariano de Marros , D. Francisco de Paula Barbero, D. Manuel Díaz» D. Andrés Portielmelo, Don París 9 de enero de 1810. Bartolomé Velez, D. Antonio Guerra y D. An­ tonio Ximenez, y los diputados del comurt Don La primera divisió…</t>
  </si>
  <si>
    <t>D, María Manuela</t>
  </si>
  <si>
    <t>María Manuela D</t>
  </si>
  <si>
    <t>769 4 La re^aqademU. españala-~..... . ryófi^f"2f * IX Jósef Sancfrez, por sí, y como B. E^réban de la..Tflrreú^.*».‘.L.4*....... ! 2 2000’ maridó de Doña María Manuela D. Sebaatiao de PiñucIa.y Aiqüso..... i caíHo 28! Diir y Ribera...........;...... .... 13500 .uOto! 11 (St continu.mí.) ,7 ENLA.1MPRKNTAREAL.</t>
  </si>
  <si>
    <t>D, María Ri</t>
  </si>
  <si>
    <t>María Ri D</t>
  </si>
  <si>
    <t>J&amp;tfibcFHda—■ . 2833-27 D., Juan-Ditgonce........................ . 16740 í DC Franclíco Antonio Pringas........... . ~ ; -1920 D.. Pedtó Franco por Doña María Ri­ D. NicoU^ Josef Mascan,..... ............. . . 1318.,to ta Pe d rosa...............................— 56-19..20 - D. Domingo Gareía; Fernandez........... • 9289-20 …</t>
  </si>
  <si>
    <t>D, María Teresa de Zapiairt</t>
  </si>
  <si>
    <t>María Teresa de Zapiairt D</t>
  </si>
  <si>
    <t>../.. 4707. Doña Dionisia de Urrochi.. ■21600 D. Josef Joaquin, Doña María--Jé- - - : L D. Angel de Urruchi............................. •234OO sus y Doña María Teresa de Zapiairt " ■ ■ ' • D. Isidro.Agustín de Herrera........ . 26820 y Larregarro.;.......... .......... 92*58 28^ D. Josef Dionisio de Aguiiar............. 'y 1…</t>
  </si>
  <si>
    <t>D, Pedro Casabona y Doña Ma</t>
  </si>
  <si>
    <t>Pedro Casabona y Doña Ma D</t>
  </si>
  <si>
    <t>asado. Estéban Casabona, vecino y del comercio de Ja misma, natural de la villa de Olot-, en el principado de Cata­ Tenientes. luña, hijo legítimo de D. Pedro Casabona y Doña Ma­ D. Francisco Riofrio. ría Teresa Casabona Carak, difuntos, baxo del testa­ :;T'D. Josef García. mento otorgado ante el escribano del número D. Juan …</t>
  </si>
  <si>
    <t>D, Pedro Ser</t>
  </si>
  <si>
    <t>Pedro Ser D</t>
  </si>
  <si>
    <t>se expresan. . Idem del de la Magdalena el conde de VillaD. Josef Moreno Auton, en la prefectura de Pineda. Córdoba. - El REI se ha servido nombrar á D. Pedro Ser­ D. Josef Ignacio de Altana, en la de Granada. rano, caballero de la orden real de España, y se­ D. Manuel de Mier, en la de Jaén. gundo comandante de la guardia de…</t>
  </si>
  <si>
    <t>D, Ramón de Po</t>
  </si>
  <si>
    <t>Ramón de Po D</t>
  </si>
  <si>
    <t>n ele Etulain................... 22o;o Di.ña María Maed*!•.*«»'* López Ca­ D. Antonio Mriui i-o..... ....................... 37100 bré!. s, mu :er de D. Ramón de Po­ D. Cipriano Layat..... ............................ 37424 sada y Soto;............................... 6498 La casa de Aguirrc é h-joj.................... 10187 1…</t>
  </si>
  <si>
    <t>D, Salvador Palomeque</t>
  </si>
  <si>
    <t>Salvador Palomeque D</t>
  </si>
  <si>
    <t>edro Hiera; 5" D. Ramón Pando.... D Higinio Z.zo de Lares D. Josef María Abades. 6.*. D. Ramón Guizabnruaga. 7* D. Francisco María Carneo y Maasb. 9* D. Salvador Palomeque D. Juan Clavel* Quinta batallan. Para ayudante primero él balón de Horit , para segundo D. Agostía Tavira, y para abanderad* D. Juan López Sarceada. i“....…</t>
  </si>
  <si>
    <t>D, Santiago</t>
  </si>
  <si>
    <t>Santiago D</t>
  </si>
  <si>
    <t>12 febrero de 1810. = El consejero de Estado, presi­ D. Santiago Conde........................... . 282756 23 denta de la comis.on de liquidación, = D. Santiago D. Juan de Berrebin...................... . 1200 Romero* L&gt;. Francisco Galo Carrasco........... 50969 Doña María del Pilar González...... 8005 16 La colegiata de S. I…</t>
  </si>
  <si>
    <t>D, Sebastian del Conde Va</t>
  </si>
  <si>
    <t>Sebastian del Conde Va D</t>
  </si>
  <si>
    <t>uel Calvo. 4: .......... D. Matías Cesáreo.................. D. Vicente de la Torre......... JX Francisco Bian. í D. Juan Xaramiilo.................. D. Sebastian del Conde Va­ D. Luis Losada y Calvo. lle jo. 6.*.......... D. Ramón García Ximenez.......................................................... D. Josef Vive*. 7.* ..…</t>
  </si>
  <si>
    <t>D, Teodori</t>
  </si>
  <si>
    <t>Teodori D</t>
  </si>
  <si>
    <t>derado D. josef Julián Diaz. 421941..31 La casa de Zelveguer y compañía D. Antonia María Ladei............. ........ 23007.. 22 medio de su apoderado D. Teodori- D. J uan Josef deMatuic, en nombre co Kraux............................................ *5°S4~33 de D. Juan y D. Manuel Matute Doña Juana López, viuda de D. Ni­ Arro…</t>
  </si>
  <si>
    <t>D, Vicente</t>
  </si>
  <si>
    <t>Vicente D</t>
  </si>
  <si>
    <t>r á los ingleses, y dtfender la navegación buenas observac:ones D. Marcos Gamboa desdu de la costa. E! REI condescendió con todas sus 1715 á 1725 , y D. Vicente D z en 1770, esta­ súplicas ; y en su consecuencia han sido nombrado* bleciendo también el punto de Vcracrua, y dedu­ d-.pi-t.idos"los s.ñores D. Joaquín Mariano Rosa…</t>
  </si>
  <si>
    <t>D, Vicente Morelli</t>
  </si>
  <si>
    <t>Vicente Morelli D</t>
  </si>
  <si>
    <t>bcu» para segundo D. Pedro María de Zubiaga» 7 para abanderado D. Severo Guercta. TcDlefltts. Subtenicatsa. Compañías. espiraos». ______ —ro————■ »'■ D. Vicente Morelli D. Fermín Marquioa, D. Próspero Morrola. x *...... «a*« D. Benigno Brian..... D. Gregorio Gamboa, i........ D. M.rtin Azcué...... D. Pedro Simón Puerta. D. An…</t>
  </si>
  <si>
    <t>da Salcedo, Andrés</t>
  </si>
  <si>
    <t>Andrés da Salcedo</t>
  </si>
  <si>
    <t>estad., que l^ida á oriente con Otro en Valdelascuevas, de 33 olives, linde dicho mayorazgo de Geía........................... 101 2222 al norte con D. Andrés da Salcedo........... 39.. 17 869 Otra junto a la antecedente, al lado del mon­ Otfo encima del barranco de la Chorra, de te Encinar, de 2 fan., un celan, y 3 23 olivos…</t>
  </si>
  <si>
    <t>da Vil, Fernan</t>
  </si>
  <si>
    <t>Fernan da Vil</t>
  </si>
  <si>
    <t>sde el 8 de julio de 1808 en que se supo en esta capital la renuncia del señor D. Carlos IV, y la elevacion al trono de su legítimo y jurado heredero D. Fernan­ da Vil, rey 11a este virtuoso y desgraciado monarca en los co­ razones de todos los fieles habitantes de esta provincia. El 23 del mismo se recibió la noticia de las …</t>
  </si>
  <si>
    <t>Da-Gerando</t>
  </si>
  <si>
    <t>onocidas en é., y clases de ciudadanos que no se admiten para el mui apreciables por su rareza y por su utilidad. servicio de la guardia uacional. El barón Da-Gerando, miembro de la consulta extraordinaria, y encargado de la administración interior, ha conseguido que le envíen del jardín bo­ GRAN DUCADO DE BADEN. tánico de Pa…</t>
  </si>
  <si>
    <t>Daban, Manuel</t>
  </si>
  <si>
    <t>Manuel Daban</t>
  </si>
  <si>
    <t>169</t>
  </si>
  <si>
    <t>dias dos partes que D. Fernando Quirós dió á D. José Serrano Valdenebro , comandante en xefe de la Serranía, con fechas de 22 y 23 de abril : otro de D. Manuel Daban, gobernador de Tarifa , y una proclama del comandante del destacamento ingles en aque­ lla ciudad, que á la letra dicen así: Parte l.°. — „Excmo. Sr. : Ayer tard…</t>
  </si>
  <si>
    <t>Dabaos, Fraocisco Lcftbre</t>
  </si>
  <si>
    <t>Fraocisco Lcftbre Dabaos</t>
  </si>
  <si>
    <t>.............. D. Gabriel Fe rnaodez de Ol­ mos. lo.*. D. Josef Joaquio Várela. Séptimo batallón. Para avadante primero D, Pedro Ferrar, para segundo D. Fraocisco Lcftbre Dabaos, y para abande­ rado D. Tomas Molina. i. '............................................................... D. Francisco Barsauti............. D. Gabri…</t>
  </si>
  <si>
    <t>Dacosta, Francisco</t>
  </si>
  <si>
    <t>Francisco Dacosta</t>
  </si>
  <si>
    <t>Morí troya ■; y Whireneircias á D. Litis Ramos , D. Ma­ nuel Saez , ID. Francisco Hidalgo , D. Redro Oniz , D. Manueil Hidalgo , D. Joaquín Hidalgo, D. Francisco Dacosta , D. Fer­ nando Barbolla, IV José CansLo, D. Fernando Teruel, D. José A-mat, IV A*gu¡»tin Amat, D. Pedro Aívarez, y D. Víctor Alvarez. Por él Excmo. Sr. D. F…</t>
  </si>
  <si>
    <t>Dad</t>
  </si>
  <si>
    <t>Gazeta de la Regencia de España e Indias n.º 69</t>
  </si>
  <si>
    <t>poder ‘soberano que 1 cuñete ios votos de toda la nación; las autorida­ des de 3¿caos-A/ros coasí 1er3ron suficiente unir sus ideas á las de agüella autor Dad, emu.úLron, sus encargos, y reconocieron en ella cierta especie fie suprioridad,-con el objeto de que en - circunstancias" tan críticas no fui tasen el enlace y depende…</t>
  </si>
  <si>
    <t>Dalbérg, Pedro</t>
  </si>
  <si>
    <t>Pedro Dalbérg</t>
  </si>
  <si>
    <t>is, y sobrino de Coelio, D. Rafael de Quesada, D. Fernando de S. A. R. nuestro Soberano, el título de duque de Aranda Sal. zar, D. Agustín de Uíibe, -D. Pedro Dalbérg con una quantiosa dotación sobre el prin­ de Torres Chica. cipado de Ratisbrna. Tenientes. D. Joan Josef de Torre*» D. Josef Se asegura que la Baviera cederá al…</t>
  </si>
  <si>
    <t>Dalman, Francisco</t>
  </si>
  <si>
    <t>Francisco Dalman</t>
  </si>
  <si>
    <t>excelentísimo señor general en gefe, qoe los Granada 22 de setiembre. recibió con las demostraciones de ua verdadero amante del país y de las letras. D. Francisco Dalman , profesor de matemáti­ cas, y á quien debe esta ciudad los tales quales Madrid 6 de octubre. conocimientos que tiene de las ciencias exactas , dio en este d…</t>
  </si>
  <si>
    <t>Dalmont</t>
  </si>
  <si>
    <t>alvo. ESPAÑA. A VISO. Córdoba 14 de junio. Se cita y emplaza á D. Juan Bourlet, ausente, á quien representaba D.“ Juana G;:sicne Foulon, su 11111' El capitán Dalmont, del regimiento Jí*» co­ ger, difunta, conocida pur madama Bourlet , que tuvo mandante de Alcaudete , habiendo tenido noticia el tienda de comercio de modas en l…</t>
  </si>
  <si>
    <t>Damas, Maéhleu</t>
  </si>
  <si>
    <t>Maéhleu Damas</t>
  </si>
  <si>
    <t>yárafu-dió un baile toagriíficoén laBpIsá, át qué fcibu levantada'! sus expensa* én Bohemia. qaal iti¡i|MM S. M. laReíturcicuntc ,y S.‘ Ar R'. ^* &lt;Eb general Maéhleu Damas, que se 'haHábd' Japráceiijbideia; ^ - ■ ’ J • »' aqátpara atregtárX»o nuestra gobierno el modo fiiseawal en gefe'Stichtelenlu Hégadó aquí dc execiitar y d…</t>
  </si>
  <si>
    <t>Dámasóde</t>
  </si>
  <si>
    <t>er de laGroix&lt;..........w.l;.'jÁÍ 16941 l’-i 26f DoñsP'Jos'efá de-Toro¡.¿.......... 1 í 563/'28^ D. Francisco Perez Criad®.»»'..;;!..;... 9004$ 16 &gt;- D. Dámasóde4aTorre.......... -‘46t't'y-'Jitíi D. Francisco Sánchez Navarro 154000'; DtJjúa'ttf Peña 1 ver.-.v.......................... '120Ó 1 Doña Paulina GilTerreros......;,7…</t>
  </si>
  <si>
    <t>Damonceau</t>
  </si>
  <si>
    <t>OS DECENALES. en la plaza del palacio para prestar el juramento de fidelidad á S. M. el Emperador. Extracto del informe presentado por la comisión El general Damonceau con todos los oficiales creada por S. Ai- el Emperador Napoleón para de su estado mayor; el almirante Dewinreracom­ la adjudicación de tos premios decenales in…</t>
  </si>
  <si>
    <t>Daniel</t>
  </si>
  <si>
    <t>oo ( D. Pedro), granadero, ídem. guardia lea i. Baudri ( D. Fiacre), sargento de tirador**, ídem. Fúurnitr (D. Francisco), granadero, idem. Baznier ( D. Daniel) , .capitán de caballería ligera, Fuente Obrares (marques de), alguacil mayor de ídem. ' la audiencia de Aragón/ Beanx ( D. Pedro), eapitao de granaderos, ídem. Gámbar…</t>
  </si>
  <si>
    <t>Danser</t>
  </si>
  <si>
    <t>les Sutton y Araujo Bacellar , y de la arti­ llería portuguesa mandada por el mayor Arentschiid. Merece igualmente particular memoria la conducta del capitán Danser del regimiento 88. — El mayor general Leith recomienda la buena conducta del regimiento real, del primer batallón del regimiento 9, y del segundo batallón del 38 …</t>
  </si>
  <si>
    <t>Danthonard</t>
  </si>
  <si>
    <t>. La fundón se principió poruña canción, y des­ Mtlan 3 de mayo. pués se siguió un gran baile hasta mui cerca del amanecer. Ayer salió para Botzen el general Danthonard, Hoi ha llegado S. M. el Rei de Holanda , y se ^ comisionad 1 para determinar la línea de demarca­ dice que mañana marcharán SS. MM. i Bois-leción entre el re…</t>
  </si>
  <si>
    <t>Daodeya, Joaquín</t>
  </si>
  <si>
    <t>Joaquín Daodeya</t>
  </si>
  <si>
    <t>Gazeta de la Regencia de España e Indias n.º 67 (suplemento)</t>
  </si>
  <si>
    <t>672</t>
  </si>
  <si>
    <t>quando se les presente Una ganancia permitida. Según la insinuación de Y. E. á las casas de comercio mas acreditadas de esta ciudad, quales son la de D. Joaquín Daodeya, D. Juan Fcrcada, D. Juan Manuel García de T.xada, Dofia Francisca Ribera de Martínez, y la viuda é hijo de Damas, solici­ tando me facilitasen el todo ó part…</t>
  </si>
  <si>
    <t>Daraur, Francisco Lefebre</t>
  </si>
  <si>
    <t>Francisco Lefebre Daraur</t>
  </si>
  <si>
    <t>de Villalba. Tenientes. D. Juan Manuel Valenzuela. D. Francisco Flores. D. Josef Antonio Rivas. D. Ramón Fernandez. D. Manuel Duro. D. Manuel Andrés. D. Francisco Lefebre Daraur. D. Juan de S. Juan. D. Josef Aleson. D. Matías López de Para. Batallón del quartel de Afligidos. D. Fernando Ruiz Mazo. Capitanes. D. Isidro de Mata…</t>
  </si>
  <si>
    <t>Darmanac</t>
  </si>
  <si>
    <t>, y se “poJido el enemigo saber su marcha. Fruto de esta han vuelto á su casa. operación fue llevarse de la misma explanada de En la Mancha el señor general Darmanac con Badajoz el rebaño de resé» de Ja guarnición, com­ sus disposiciones ha librado los quantiosos rebaños puesto de foo bueyes; también se cogieron acó de merino…</t>
  </si>
  <si>
    <t>Darricault</t>
  </si>
  <si>
    <t>iputaciones de las principales ciudades del ficios que resultan de la tranquilidad y el buen or­ reino de Granada, que forman una comitiva da den. El general Darricault, gobernador de esta pla­ mas de 300 personas, están en camino , y no tar­ za , ha tomado las mas acerradas providencias para darán en ofrecer á S. M. los sent…</t>
  </si>
  <si>
    <t>Dartmouth</t>
  </si>
  <si>
    <t>ya sabia Mr. Burdett la resolu­ y en un instante rompió todas sus ventanas; lo ción de la cámara , porque un hermano suyo, que mismo hizo con las del conde Dartmouth , de Mr. había estado en las tribunas dorante toda ía sesión, Yorke , de Mr. Perceval, y otras varias. La guarnía se lo habia noticiado. El sargento Colman , com…</t>
  </si>
  <si>
    <t>Dat, Jaime</t>
  </si>
  <si>
    <t>Jaime Dat</t>
  </si>
  <si>
    <t>Sánchez Navarro............. 1353 a5 f tes y las tropas.” Doña Xaviera de Ochoa................... 22021 Quintana, Pando y compañía.......... 100000 D. Jaime Dat..................................... 50000 La comisión de liquidación de la deuda del es­ En so consecuencia los referidos acreedores del tado , en cumplimiento Je s…</t>
  </si>
  <si>
    <t>Datnanoir</t>
  </si>
  <si>
    <t>1200</t>
  </si>
  <si>
    <t>busistencia. Los extrangeros pueden emigrar en el gía se prendió en la colgadura de una ventana. término de seis meses, con la condición de avisar £1 conde Datnanoir, gentilhombre del Empe­ con tiempo de su intención al gobierno, y de pa­ rador , y muchos oficiales que se hallaban cerca gar antes sus deudas. Los cristianos gr…</t>
  </si>
  <si>
    <t>Dauchi</t>
  </si>
  <si>
    <t>ar á esta ciudad nn soldado dél ricas , que va á Laibach , adonde ha marchado ha­ regimiento de la Patria, que desertó de Cádiz, y ce algunos dias el conde Dauchi, intendente ge­ dice que la libra de carne estaba á 26 reales: que neral. se carecía de hortaliza, de carbón, leña y aceiten Anteayer fae presentada á S. E. el seño…</t>
  </si>
  <si>
    <t>pasado por aquí varia* colanas de Francfort * 28 de abrí/. marinos rusos, que vuelven á su patria. Todos los-comandantes de las plazas, intenden­ El-conde Dauchi , intendente general de la» tes , comisarios de guerra y demas empleado^fran­ provincias ‘¡iíricai , ha vuelto ya aqui de su viage ceses en Alemania han recibido ord…</t>
  </si>
  <si>
    <t>Daultanne</t>
  </si>
  <si>
    <t>nue­ vo destino sino por un caso de absoluta necesidad. El gene­ ral Lorge recibe órdenes para reunir un cuerpo de tropas para marchar al enemigo. El general Daultanne da las órde­ nes al intento, quedando á mi cuidado el avisaros mañana su verdadero punto de reunión. — Haréis conducir de Tarancon k Villarejo de Salvanés todo…</t>
  </si>
  <si>
    <t>Daureia, José Joaquín</t>
  </si>
  <si>
    <t>José Joaquín Daureia</t>
  </si>
  <si>
    <t>. Jacinto Inozal ; tenencias, á D. Eustaquio Cevaílos , D. José Ramírez, D. Joaquín Moreno, D. Juan Morales, D. José Benitez, D, José Va­ ra del Rey, D. José Joaquín Daureia, y D. José Tirso Carvajal; y subtenencias , á D. Juan Miguel Balanza , D. Antonio Diaz Pintado , D. Tomas Leal, D. Francisco Ortiz , D. José Mazon, D. An…</t>
  </si>
  <si>
    <t>Dávalos, Pedro</t>
  </si>
  <si>
    <t>Pedro Dávalos</t>
  </si>
  <si>
    <t>s, y la justa ignominia que ha de acompañar k su* nombren para siempre. cadiz 7 ds junio. El Consejo de Regencia se ha servido promover á brigadier &amp; D. Pedro Dávalos, coronel del regimiento de infantería imperial de Toledo ; y ha concedido subtenencias en el de Murcia al sar­ gento primero D. Francisco GArcía y al cadete D. …</t>
  </si>
  <si>
    <t>David</t>
  </si>
  <si>
    <t>erán organizadas S. M. ha venido en nombrar en el regimiento" por nuestro director general de aduanas. La línea de tiradores de su guardia teniente á D. David' de lasque existen -.n ia frontera de Francia se con Banner , y subteniente á D. Luis María Vierre. En servará h.-sta i ° de enero de i8ti , desde cuyo el regimiento 4.…</t>
  </si>
  <si>
    <t>David, María Andrea Moreno</t>
  </si>
  <si>
    <t>María Andrea Moreno David</t>
  </si>
  <si>
    <t>724 Los señores Dendoat hermanos......... 36911 17 D. Santiago y .D. Simón déla Gallarde. 2cc:cn D. Luis de Goyeneche y Muzquiz... *9*3 2 ñ Doña María Andrea Moreno David... 36000 D. Frutos de Alvaro Benitos.......... 6148 26 D. Manuel Sánchez Toscano:............ 7200 Los señores: Albert é hijos. -»47:*7 Doña Josefa. Lorenza…</t>
  </si>
  <si>
    <t>Daviia</t>
  </si>
  <si>
    <t>s conquistadores, abatida antes por un La ciudad estará iluminada. gobierno apático é injusto? Gonzalo de Córdoba, Córdoba y nítárzo t8 de 1810. = E! gobernador Daviia, Ponce de León, Eohorques , Pulgar: particular. = Firmados El barón de S. rol. ¡quintos recuerdos gloriosos para la nación espa­ ñola asneados á estos nombres!…</t>
  </si>
  <si>
    <t>Dáviía, José María</t>
  </si>
  <si>
    <t>José María Dáviía</t>
  </si>
  <si>
    <t>r provincial Dr. D. Franc:sco Marcos Santaelía: fiel executor Dr. D. Joaquín de Torres Duran: Licenciado D. Juan An­ tonio Mexía, D. Vicente Becerra, D. José María Dáviía, y el caba­ llero síndico procurador general D. Francisco Sauri: no concurrió el se­ ñor alcalde ordinario de primer voto por hallarse ausente de es:a ciuda…</t>
  </si>
  <si>
    <t>Dávila, Casimiro Gregory</t>
  </si>
  <si>
    <t>Casimiro Gregory Dávila</t>
  </si>
  <si>
    <t>le por disposición de la junta 160 hombres del nuevo batallón de voluntarios de Guadalaxara al mando del capitán D. Hipólito Angula, granaderos al de D. Casimiro Gregory Dávila, y 30 caballos recien montados al de D. José Botizas. Con estas tropas em­ bistieron junto á Trillo á los enemigos que los esperaban em­ boscados , y …</t>
  </si>
  <si>
    <t>Dávila, Lorenzo Jósef</t>
  </si>
  <si>
    <t>Lorenzo Jósef Dávila</t>
  </si>
  <si>
    <t>he. partido, á que se retinan al ‘redédbr déltfoíio de Teniente , D. Éosebto Erranz. " su verdadero monarca , á qué manifitsten' ál uni­ Subtcnieote, D. Lorenzo Jósef Dávila." ^ verso entero que no tiene 'súbditos’nías leales y fieles que «us ciudadanos déLóndres, rii qué ésten Compañía dé Fuencárr'áTdi ¡f -róo flai-Ar, mas p…</t>
  </si>
  <si>
    <t>Davoust</t>
  </si>
  <si>
    <t>Francia un mas cada dia , y que adquirirá el grado de exten­ gran tren de arti’leiía francesa. sión necesario para la prosperidad de esta ciudad* El mariscal Davoust , principe de Ecktnühl, Han llegado á este puerto muchus buques; y es­ estaba el dia 5 en Pasten i el cuerpo de exército peramos aun otro gran número de ellos pr…</t>
  </si>
  <si>
    <t>DcLborde</t>
  </si>
  <si>
    <t>caso en que debería pasar 1» c*»r grande agu It de la legión de Honor &amp;c. ron., á ninstrr» mui amado hi| &gt; adoptivo el prínci­ •Comendador. Et señor conde DcLborde, de la pe Enyei'io N.poeort. Al inis no prín-ipe Eugenio legiou de Huoor-Scc. c ultrimos p&lt;*r nuestro decrero del 20 Je diciem­ bre de 18-7 ei título de Príncipe d…</t>
  </si>
  <si>
    <t>Dcsolles</t>
  </si>
  <si>
    <t>, y las ha repartido gratis entre los habi­ Córdoba 8 de junio. tantes de esta ciudad. Hace pocos dias salió de est3 capital el excelen­ tísimo señor general Dcsolles, gobernador general IMPERIO FRANCES. de esta provincia, llevan lose tras sí los corazones y los votos de estos pueblos, que lo amaban como Lieja 8 de junio. á u…</t>
  </si>
  <si>
    <t>Dctsolles</t>
  </si>
  <si>
    <t>ia timidez y la malignidad de los asuntos militares y civiles. Eu la mañana Se complacían cu exigerat, han sido vencidos sin de hoi ha sabido que el general Dctsolles entró pérdida con la rapidez del relámpago. Ann no se ayer con su cuerpo en Linares, cuyos vecinos no saben todos los pormenores de estas operaciones: se solame…</t>
  </si>
  <si>
    <t>de A, Blas</t>
  </si>
  <si>
    <t>Blas de A</t>
  </si>
  <si>
    <t>o á Sevilla en la cantidad de 200 arrobas lo ménos cada viage , sin cesar hasta nueva providencia: cuyas remesas se harán á disposición del limo. Sr. D. Blas de A ranza, prefecto y comisario regio, y lo mismo de aguardiente y vinagre hasta completar la mitad del número de arrobar que cada uno de los cosecheros tengan* siendo …</t>
  </si>
  <si>
    <t>de A, Francisco</t>
  </si>
  <si>
    <t>Francisco de A</t>
  </si>
  <si>
    <t>l tesoro público el suplemento neccsa- " X pará otra rácfóh dé la misma iglesia'; vacan­ “xio para ¡óoirpletar esta cantidad. ■ • J te por ascenso de D. Francisco de A rmenta y Bái;- v. En el término de 1$ dias, contados desde ronj i cínongía de; la misma, á D. Fernando X¡“tanpublicación del presente decreto, quedarán di- men…</t>
  </si>
  <si>
    <t>de Aaersberg, Guillélmo</t>
  </si>
  <si>
    <t>Guillélmo de Aaersberg</t>
  </si>
  <si>
    <t>e hagan contra esta disposición. ' art. ni. Todos nuestros ministros, y con Laiback rjf de junio. peciaüdad el de H tcienda , quedan encargados dé El príncipe Guillélmo de Aaersberg, duque la execucion del presente decreto. = Firmados YO de Gmtschea, ha tenido para obsequiar al señor EL RñI.=Por S. M. sn ministro secretario d…</t>
  </si>
  <si>
    <t>de Abadía, Don Francisco Xavier</t>
  </si>
  <si>
    <t>Don Francisco Xavier de Abadía</t>
  </si>
  <si>
    <t>riotismo ; debiendo igualmente publicarse su inocencia poniéndosele en libertad , para emplearle en el destino que sea del real agrado. Que contra el brigadier Don Francisco Xavier de Abadía no resulta la menor especie que excite la mas leve duda sobre su con­ ducta militar y opiniones ; que es buen oficial y buen servidor de…</t>
  </si>
  <si>
    <t>de Acha, Ramón</t>
  </si>
  <si>
    <t>Ramón de Acha</t>
  </si>
  <si>
    <t>o de lo resuelto por S. M. y Casa de su hermano D. Marías, las de D. francis­ providencias tomadas por el Excmo. Sr. min stro co Paula de Lurribarna, D. Ramón de Acha, de Hacienda conde de Cabarrus ; en este día i su D. Ag í tin de Igartua , D. Matías O mina &gt; y D m pr.seucia y la del Ex.mu. Sr D. Sihastim de Pi­ Vicente de E…</t>
  </si>
  <si>
    <t>de Acha, Tomás Domingo</t>
  </si>
  <si>
    <t>Tomás Domingo de Acha</t>
  </si>
  <si>
    <t>240 El obispo de Oaxaca, 59. El conde de la Cortina, a lemas de 40, como oficial del regimiento del comercio de esta capital, 60. D. Tomás Domingo de Acha, 60. Los oficiales dei regimiento de dragones provinciales de Nueva Galicia, 7678. La provincia de re­ ligiosos agustinos de esta capital,&gt;9. El convento de religiosas de J…</t>
  </si>
  <si>
    <t>de Achirica, Juan Bautista</t>
  </si>
  <si>
    <t>Juan Bautista de Achirica</t>
  </si>
  <si>
    <t>Gaceta de Madrid n.º 39</t>
  </si>
  <si>
    <t>Selma 17 años quando, baxo ¡a tutela de la acade­ Caminando á este intento, asaltaron la casa de mia de las beilas artes , logró por maestros á Bayen D. Juan Bautista de Achirica, le robaron 600 rs. y Carmona. Aquel le comunicó, sus excelentes y en dinero, y un par de hebillas de plata, maltra­ correccas máximas, y este resra…</t>
  </si>
  <si>
    <t>de Áchútegui, Antonio Nicoi-s</t>
  </si>
  <si>
    <t>Antonio Nicoi-s de Áchútegui</t>
  </si>
  <si>
    <t>corooei Dupui» comandante de ia comitiva» una D. Pedro CeHioi y compañía................ 23 ¿347..a6 corona de plata de ramos de ciprés con las hojas D. Antonio Nicoi-s de Áchútegui por de oroen memoria del mariscal. El coronel ia acep­ su apoderado D. Josef del Castillo tó» y la colocó con las decoraciones del duque sor y So…</t>
  </si>
  <si>
    <t>de Acosta, Josef María</t>
  </si>
  <si>
    <t>Josef María de Acosta</t>
  </si>
  <si>
    <t>iez, subteniente, á teniente de articulo i. »,Con arreglo á nuestro decreto de la tercera compañía. 19 de abril último se formarán en los pueblos qué D. Josef María de Acosta , subteniente, á te­ á continuación 'Se expresan las compañías de milicia niente de la séptima compañía. cívica'que se detallan. art iv. Nuestros minist…</t>
  </si>
  <si>
    <t>de Acuña, Ramón</t>
  </si>
  <si>
    <t>Ramón de Acuña</t>
  </si>
  <si>
    <t>Bonefoi, pasarán incontinenti al castillo. Sebastian Natal:: coronel de caballería con sueldo En Lérida á 14 de mayo de 1810. = Firma­ de reformado á D. Ramón de Acuña, conserván­ do: rsJVsefBagüer.ssValée = Pedro Félix. = Saint- dole su graduación de brigadier: capitán de inge­ Cir Ñugues. = Aprobado por el general coman­ ni…</t>
  </si>
  <si>
    <t>de Adanero, Juan</t>
  </si>
  <si>
    <t>Juan de Adanero</t>
  </si>
  <si>
    <t>Claudio Botelú. D. Tuan Valdivieso. D. J osef Navarro. Tenientes. D. Josef Ortiz Herboso. D. Andrés Saez. D. Gabriel de Alearáz. D. Santiago Sedaño. D. Juan de Adanero. D. Francisco Cabañas. D. Juan de la Peña Melendez. D. Pedro Sedaño. D. Joaquín Sojo. D. Antonio de Uribarri. Nuestros ministros de lo Interior y de la Guer­ D…</t>
  </si>
  <si>
    <t>de Agniiar, María Josefa</t>
  </si>
  <si>
    <t>María Josefa de Agniiar</t>
  </si>
  <si>
    <t>27..12 tiempo en esta capital; pero la-Reina su esposa sal­ Doña Isabel Cortés de Taranco........ 36666.. 16 drá , según dicen, en breve pifa Munich. Doña María Josefa de Agniiar........ 36666..16 - El príncipe de Schwartzenbérg, embaxador de D. Juan Quintano, por su padre Austria en París, da esta noche un giran baile, al D.…</t>
  </si>
  <si>
    <t>de Agreda, Diego</t>
  </si>
  <si>
    <t>Diego de Agreda</t>
  </si>
  <si>
    <t>. Ma­ riano Oiero, quien asimismo ofreció otros 10®,para los años 1809 y 1810. La oficialidad del regimiento urbano elel comerciorde Mé-s xico , 25©. D. Diego de Agreda , 12©. ELobispó'del nuevo reyncr de León, I 1 ®. El santo oficio de la Inquisición y 11 ©; La^uni ver­ sidad , 10©, y anuales, 1®. El ayuntámiénto. de Puébla,…</t>
  </si>
  <si>
    <t>de Agreda, Estéban</t>
  </si>
  <si>
    <t>Estéban de Agreda</t>
  </si>
  <si>
    <t>. 1127 1 D. josef Rodríguez................................ 3812 Doña Francisca Xaviera Yoldi............ 3905 30 El abad y cabildo del real sitio de D. Estéban de Agreda........................... 2 i 39 S. Ildefonso......................................... IOCOOO D. Leandro Sar.dobal............................ 18579 1 D. A…</t>
  </si>
  <si>
    <t>de Agreda, Esteban</t>
  </si>
  <si>
    <t>Esteban de Agreda</t>
  </si>
  <si>
    <t>..... ........ ■ I &gt; i390.il 2 T Dovat, hermanos .y compañía........................ 9*^94 31 D. Vicente Silvestre........ .......... ....... 9494-rt D. Esteban de Agreda.....*..................... 2377—’*4‘ ‘ Dv Benito de la Mala Linares........ D. Manuel de Agreda....... ....... •. 9' D. Mariano Blanca,*....................…</t>
  </si>
  <si>
    <t>de Agreda, Manuel</t>
  </si>
  <si>
    <t>Manuel de Agreda</t>
  </si>
  <si>
    <t>Vicente Silvestre........ .......... ....... 9494-rt D. Esteban de Agreda.....*..................... 2377—’*4‘ ‘ Dv Benito de la Mala Linares........ D. Manuel de Agreda....... ....... •. 9' D. Mariano Blanca,*.......................... -. • S857-.*9 D. Tomas Qasanova.,............................... 71,37.. 1 • D. Juan Gabri…</t>
  </si>
  <si>
    <t>de Agüera, Antonio</t>
  </si>
  <si>
    <t>Antonio de Agüera</t>
  </si>
  <si>
    <t>sileros al teniente coronel D, Oíaguer Desvalí?; segunda tenencia de granaderos, á D. Manuel'Francisco C avalery; y segunda tenencia de Cazadores , á D. Antonio de Agüera; segunda ayundantía mayor, á D. Luis Fernando Mon ; segundas tenencias de fusileros, á. D. José de Lemus, D. José Vaádés y Casasola, D. Tadeo Miranda y Mon,…</t>
  </si>
  <si>
    <t>de Aguí, Manuel</t>
  </si>
  <si>
    <t>Manuel de Aguí</t>
  </si>
  <si>
    <t>Tenientes. art. v. Los individuos de esta guardia se cos­ D. Vicente Villavicencio, D. Josef María Gar­ tearán su vestuario, caballo y montura. cía , D. Manuel de Aguí lar y Cueto, D. Fernan­ art. vr. Nuestro ministro de Guerra queda do Pío Arenzana, D. Manuel Romero y Rei­ encargado de la execucion del presente decr.to. es n…</t>
  </si>
  <si>
    <t>de Agui, Pablo</t>
  </si>
  <si>
    <t>Pablo de Agui</t>
  </si>
  <si>
    <t>os se veia retra­ Los diputados de Porcuna eran D. Pedro Pine­ tada la satisfacción de gozar de la presencia del Mo­ da , regente de la jurisdicción; D. Pablo de Agui­ narca , prenda segura de lá paz que va á suceder á lera, D. Francisco Agustín de la Copa y D. Ecr- nuestros porfiados disturbios. nardino Solis , tn nombre del…</t>
  </si>
  <si>
    <t>de Aguiar, Josef Ramón</t>
  </si>
  <si>
    <t>Josef Ramón de Aguiar</t>
  </si>
  <si>
    <t>jo. D. Vicente Marañen. D. Agustín de la Canal. D. Domingo Villamil. D. Agustín del Mazo. D. Isidro Gutiérrez. Tenientes. D. Manuel González del Rio. D. Josef Ramón de Aguiar. D. Domingo Prieto. “•••i D. Pedro Soler. D. Fermín Lumbreras. Batallón del quartel de Maravillas. D. Josef Osteret. D. Manuel Zavala Espetillo. Capitan…</t>
  </si>
  <si>
    <t>de Aguiíar, Félix</t>
  </si>
  <si>
    <t>Félix de Aguiíar</t>
  </si>
  <si>
    <t>200 dada á Pedro Díaz......... . Otra, calle de San Pedro, en 3*9 2552 Otra,.en la de bernardo Raíz, la que vive Pedro Borrego..... 242 1936 que vive D. Félix de Aguiíar. 660 S28*. Otra, calle de San Francisco, Otra, calle del Salto del caba­ arrendada á las hijas d¿l di­ llo*. arrendada á D. Manuel funto Antonio Ximenez.....…</t>
  </si>
  <si>
    <t>de Aguiiar, Josef Dionisio</t>
  </si>
  <si>
    <t>Josef Dionisio de Aguiiar</t>
  </si>
  <si>
    <t>..... •234OO sus y Doña María Teresa de Zapiairt " ■ ■ ' • D. Isidro.Agustín de Herrera........ . 26820 y Larregarro.;.......... .......... 92*58 28^ D. Josef Dionisio de Aguiiar............. 'y 1120 Doña Ana de la Camera....... 60*006 *Doña Teresa Zeférina Ramones......... 60060 DA MimTeresaMomorode-la Concha. 1719131 D. Dom…</t>
  </si>
  <si>
    <t>de Aguilar, Dionisio</t>
  </si>
  <si>
    <t>Dionisio de Aguilar</t>
  </si>
  <si>
    <t>sa, 10. D. Francisco Córdoba, 12: D. Vicente H¡aojoso, 10. Varios individuos, 104. — Orcasitas. D. Ma­ nuel del Campillo, 20. D. Victor Aguilar, 20O. D. Dionisio de Aguilar, 25. D. Francisco Escobosa, 20. D Juan Contreras, 12. Varios in­ dividuos , 16$. Altar. El teniente coronel D. José Saenz Rico, 24. D. Francisco Ortiz, 30…</t>
  </si>
  <si>
    <t>de Águirre, Félix</t>
  </si>
  <si>
    <t>Félix de Águirre</t>
  </si>
  <si>
    <t>D. Melchor de Aja­ ría, 100. B. Juan José de Iraeta , 100. D. Antonio Zúñiga, 100. D. Mar­ tin Sánchez Serrano, 100. D. Juan Antonio Fernandez, 200. D. Félix de Águirre, 400. D. Pedro del Paso Troncoso, 100. D. Prudencio Gutiérrez, 100. D. Pedro Francisco de Anza , 100. D. Juan de Dios Troncoso, 100. D. Alexandro Troncoso. , …</t>
  </si>
  <si>
    <t>de Aguirre, Juan Ramón</t>
  </si>
  <si>
    <t>Juan Ramón de Aguirre</t>
  </si>
  <si>
    <t>á la colación de S. Juan Bilbao ¡t&gt; de enero. de Bedia , y cercando la casa-habitación del pres­ El tribunal criminal extraordinario de Vizca­ bítero D. Juan Ramón de Aguirre el día 17 del ya presenta delineados lielmenre en este quadro los mismo mes, derribaron á viva fuerza una de sus excesos v conducta criminal de Josef de…</t>
  </si>
  <si>
    <t>de Aguirre, Vicente</t>
  </si>
  <si>
    <t>Vicente de Aguirre</t>
  </si>
  <si>
    <t>Gaceta de Madrid n.º 205 (suplemento)</t>
  </si>
  <si>
    <t>n y 2 5 estadales.............................. 17..17 385 14 estadales, que linda á la sierra con Otra én el Rencajar, de 7 (anegas, 2 ce­ tierra de D. Vicente de Aguirre........... 38..17 847 lemines y 12 estadales.............................. 07.-17 605 Otra en el Visillo, que antes fue dos, d« Otra en la Hijosa y Chiviti…</t>
  </si>
  <si>
    <t>de Aídana, Antonio Vázquez</t>
  </si>
  <si>
    <t>Antonio Vázquez de Aídana</t>
  </si>
  <si>
    <t>per la isla de Santo Domingo: D. Agustín Arguelles, suplente por el principado de Asturias: Don Rafael Manglano, suplente por la provincia de Toledo: D. Antonio Vázquez de Aídana , suplente por la de Toro : D. Manuel de Aróstegui, suplente per la de Alava: D. Francisco Gutiérrez de la Huerta, suplen­ te por la de .Burgos: D. …</t>
  </si>
  <si>
    <t>de Aiderman, Felipa</t>
  </si>
  <si>
    <t>Felipa de Aiderman</t>
  </si>
  <si>
    <t>............................... 2166 D. Mariano Bernuces............................. 899 17 D. Diego Basañez.......................... ....... 14079 Doña Felipa de Aiderman, condesa Doña María Barbachano...................... 23465 viuda de Sanafé................................... 16200 D. Joaquin de Mezcorta...............…</t>
  </si>
  <si>
    <t>de Aja, Melchor</t>
  </si>
  <si>
    <t>Melchor de Aja</t>
  </si>
  <si>
    <t>entín . Revilla, 200. Viuda de Torre y compañía , 100. D. Valentín de Huerta , 100. D. Mar­ tin Oiazagasti, .100. D. .Lian Francisco de Abarca , 100. D. Melchor de Aja­ ría, 100. B. Juan José de Iraeta , 100. D. Antonio Zúñiga, 100. D. Mar­ tin Sánchez Serrano, 100. D. Juan Antonio Fernandez, 200. D. Félix de Águirre, 400. D.…</t>
  </si>
  <si>
    <t>de Al, José Cevaliosvecino</t>
  </si>
  <si>
    <t>José Cevaliosvecino de Al</t>
  </si>
  <si>
    <t>de Castañedo había tres talegos ccn dinerocomo unos 6o® reales en pesos fuertes y plata menuda, expresando que tenia en esta cantidad la mayor parte D. José Cevaliosvecino de Al­ magro, su hermano político; que en otro baúl del conde de Gimonde como 18 cubiertos de plata ; en otro de un familiar dé Castañedo 2 ta­ legos j uno…</t>
  </si>
  <si>
    <t>de Alanis, Luis</t>
  </si>
  <si>
    <t>Luis de Alanis</t>
  </si>
  <si>
    <t>visiones á teda’prisa para abastece/ los almacenes D. Francisco del Castillo, regidor. . ¿Te reserva. A Burdeos han llegado muchos bata­ D. Luis de Alanis, regidor. llones de fusileros de la guardia imperial. r Jurados. ESPAÑA. D. Juan de Vera, ............... D. Cristóbal Camacho. Sevilla j de febrero. D/Juan Guisado. 1 En l…</t>
  </si>
  <si>
    <t>de Alanza, Blas</t>
  </si>
  <si>
    <t>Blas de Alanza</t>
  </si>
  <si>
    <t>men la l&lt;&gt;r de la Por ampiLcio, = J general de división, ayu­ O oen Real de España á nuestro consejero de Es­ dante mayor general , = Daultanmb. tado D. Blas de Alanza. . art. ir. Nuestro gran canci 1er y gran tesore­ Madrid 14 de febrero. ro de la Orden quedan encargados de la execocinn del presente decreto. = Firmados: YO E…</t>
  </si>
  <si>
    <t>de Alava, Ignacio María</t>
  </si>
  <si>
    <t>Ignacio María de Alava</t>
  </si>
  <si>
    <t>gata D, Juan Ibargoitia, el piloto D. Francisco apéndice: t.° un extracto de la derrota que hizo Sánchez Crespo, y Air. Dagelet, astrónomo em­ el Sr. D. Ignacio María de Alava en 1803 con la barcado en la expedición del conde de Lapeirouse. e5qüadra de su mando por los estrechos de Gaspar Es curiosa ademas la descripción que …</t>
  </si>
  <si>
    <t>de Alba, Estiban Blanco</t>
  </si>
  <si>
    <t>Estiban Blanco de Alba</t>
  </si>
  <si>
    <t>. .. ¡ Para ayudante primero D. Manuel Eligió, para legando D. Josef Díaz Avilés, y para abanderado D. Felipe Gallarza. ' D. Joan Francisco Pallasar. D. Estiban Blanco de Alba. ........ ............... ........................ p. Rufino Ballestea. ................................................. D. Luis María Z.Vala. D. Fcrm…</t>
  </si>
  <si>
    <t>de Albear, Luisa</t>
  </si>
  <si>
    <t>Luisa de Albear</t>
  </si>
  <si>
    <t>El se­ ñor D. Tomas Tucker, 1®. El señor D. Miguel Costello, 1®. El Excmo. señor D-. Estéban Fernandez de León, consejero de estado, 40. La se­ ñora Doña Luisa de Albear, 500. El lord Mac-Duff, 5®. La señora Do­ ña Isabel Grellet, 500. El señor D Guillermo Svveetland, vecino de Gibraltar, 2®. El señor D. Roberto Mitchell, 1®.…</t>
  </si>
  <si>
    <t>de Alcalá, Agustín Martínez</t>
  </si>
  <si>
    <t>Agustín Martínez de Alcalá</t>
  </si>
  <si>
    <t>ador de rentas pro­ D. Antonio de Villoslada, oficial primero. vinciales. D. Francisco de la Oliva , ídem a. D. Rafael Díaz de Casso, abogado fiscal. D. Agustín Martínez de Alcalá, idem 3. D. Sebastian de Vargas , agente de renta*. D. Casimiro de la Paz Acosta, agregado coa D. Francisco Molina, escribano de millones. sueldo. …</t>
  </si>
  <si>
    <t>de Alcaraz, Francisco López</t>
  </si>
  <si>
    <t>Francisco López de Alcaraz</t>
  </si>
  <si>
    <t>de las Barreras!....»...,;-.. 34475..17 Doña Josefa Marsilla de Teruel,........ . • 92049.- 9 Que 5 una suma importan seis millones veinte milsesenta D. Francisco López de Alcaraz............ • 4202-25 y dos reales y veinte y cinco inara vedis y medio de vellón. D. Josef Antonio de Escoval................ 9205-16 * ar2. ir. S…</t>
  </si>
  <si>
    <t>de Alcosta, Josef María Henriquez y Don Ambrosio</t>
  </si>
  <si>
    <t>Josef María Henriquez y Don Ambrosio de Alcosta</t>
  </si>
  <si>
    <t>donde dice Abanderado, D Pedro Tñvira, debe decir Abanderado , D. AgustínTavira. -.-i En el regimiento de Córdoba núm. 7.“ de in­ fantería de línea , D. Josef María Henriquez y Don Ambrosio de Alcosta á tenientes. AVISOS. En las compañías de cazadores de montaña de Todas las personas que diesen memoriales á , Xucena, D. Pedro…</t>
  </si>
  <si>
    <t>de Aldama, Juan Antonio</t>
  </si>
  <si>
    <t>Juan Antonio de Aldama</t>
  </si>
  <si>
    <t>dor decano de Sevi­ tera, á D. Eufemiano Es tremerá. lla , presidente. r.° Juez á D. Juan Eugenio Calzadilla, oidor AVISO. del mismo tribunal. 2. a A D. Juan Antonio de Aldama, alcalde El dia 1 del presente mes los Sres. D. Alexandro mayor de Sanlúcar de Barrameda. Novales, D. Manuel Eslenoz y D. Cirios Bonancini, 3.0 A D. An…</t>
  </si>
  <si>
    <t>de Aldecoa, Agustín</t>
  </si>
  <si>
    <t>Agustín de Aldecoa</t>
  </si>
  <si>
    <t>Gazeta de la Regencia de España e Indias n.º 94</t>
  </si>
  <si>
    <t>602</t>
  </si>
  <si>
    <t>dexan su sueldo d favor de la real hacienda duran­ te la actual guerra, y de él dos pagas de su respectivo g ce para es­ te donativo. Fragata Flora. D. Agustín de Aldecoa , alférez de fraga­ ta , 30.—Depo'sito. D. José Obregon , capitán de fragata, 200 —Te­ nientes de navio. D. Domingo Navarro, no. D. Juan Lacre, 110 D Ma­ nu…</t>
  </si>
  <si>
    <t>de Alearáz, Gabriel</t>
  </si>
  <si>
    <t>Gabriel de Alearáz</t>
  </si>
  <si>
    <t>go Palomares. D. Fcrinin Carnerero Vela* D. Claudio Botelú. D. Tuan Valdivieso. D. J osef Navarro. Tenientes. D. Josef Ortiz Herboso. D. Andrés Saez. D. Gabriel de Alearáz. D. Santiago Sedaño. D. Juan de Adanero. D. Francisco Cabañas. D. Juan de la Peña Melendez. D. Pedro Sedaño. D. Joaquín Sojo. D. Antonio de Uribarri. Nuest…</t>
  </si>
  <si>
    <t>de Almognera, Júán</t>
  </si>
  <si>
    <t>Júán de Almognera</t>
  </si>
  <si>
    <t>an de Aparicio y Pálatíos*..».1;1 • n 73-'' 8f D: Tdáñ de Oliver;;;.;... ......... . 265 7 7/ R Cristóbal ^ludreosi.......... ............ &gt;2^t4&lt;;i7; D. Júán de Almognera-...... 39,I96 D. BenitqAlvarez.................w-1.»-—. ‘39$*!.‘ D.-SiAibo Ramos...;............................ 14589 Bpnt. Mtsucls 2*7o2 D^Jian- Bautista …</t>
  </si>
  <si>
    <t>de Altámirano, Juan Muñoz</t>
  </si>
  <si>
    <t>Juan Muñoz de Altámirano</t>
  </si>
  <si>
    <t>e su división á las órdenes' cié D. Francisco Smrra, capitán dei regimiento de caballería del Rey, y de ia compañía de la Corona, alas de su teniente D. Juan Muñoz de Altámirano , cuyos individuos se han portado to ios con valor y distinción. Ademas de los cuerpos expresados , recomien­ da March al cabo ség ¡ni &gt; dei regimien…</t>
  </si>
  <si>
    <t>de Amadeo, Joaquín</t>
  </si>
  <si>
    <t>Joaquín de Amadeo</t>
  </si>
  <si>
    <t>496</t>
  </si>
  <si>
    <t>dor comándame general brigadier de los reales exércitos D. Fernando Miyares, á saber: dicho señor gobernador; el capitán D. Juan Francisco Pe­ reza y D. Joaquín de Amadeo, alcaldes ordinarios; el capitán de mili­ cias D. Felipe Quintana, D. Francisco Miguel Roldan, D. Diego de Meló, D. José Antonio de Almarza y D. José Ignaci…</t>
  </si>
  <si>
    <t>de Amandarro, Manuel</t>
  </si>
  <si>
    <t>Manuel de Amandarro</t>
  </si>
  <si>
    <t>................... 9769.. 8$ D. Antonio Hernández, como testa­ D. Francisco García de Rozas......... 5415 mentario de Doña Juana Macarti.... 2964-27 D. Manuel de Amandarro..... . 61099.. 8§ D. Antonio Torres................................. 5319 D. Manuel López Cerrcdo................... . 36641. .17 D. Abdres de Saucal.....…</t>
  </si>
  <si>
    <t>de Amezúa, Tomas</t>
  </si>
  <si>
    <t>Tomas de Amezúa</t>
  </si>
  <si>
    <t>y 1 real. D. Juan José Yandiola, 10-- -Real del Oro. El subdelegado D. Tomas Diaz de Matos, 10. D. Gaspar Pereyra, 35. D. Jasé Francisco Rebota, 10. D. Tomas de Amezúa, 10. D. Juan de-Isasi, 12. D. Francisco Rubín de Celis, 12. D. Francisco Redondo, 10. D. Ignacio CeFerino Perez, 12. D. José Saracho y otros individuos de la h…</t>
  </si>
  <si>
    <t>de Ana, Andrés</t>
  </si>
  <si>
    <t>Andrés de Ana</t>
  </si>
  <si>
    <t>urador del común; D. Jo- dad de maestre-escuela; el Dr. D. Manuel Centc•ef ViJlanueva , abogado; D. Francisco Tarrago, ro, magistral. abogado; el Dr. D. Andrés de Ana ya, dignidad de prior de la catedral. Diputación de la villa de Salobreña Por el clero: El mismo D. Andrés de Anaya ; el d cumplimentar d S. M. Dr. D. Blas Chic…</t>
  </si>
  <si>
    <t>de Anaya, Andrés</t>
  </si>
  <si>
    <t>Andrés de Anaya</t>
  </si>
  <si>
    <t>ago, ro, magistral. abogado; el Dr. D. Andrés de Ana ya, dignidad de prior de la catedral. Diputación de la villa de Salobreña Por el clero: El mismo D. Andrés de Anaya ; el d cumplimentar d S. M. Dr. D. Blas Chiclaoa, magistral; D. Josef Caste­ Compuesta del único regidor que hai D. Salva­ llanos , canónigo. dor Martin, por …</t>
  </si>
  <si>
    <t>de Anaya, Fc-lix</t>
  </si>
  <si>
    <t>Fc-lix de Anaya</t>
  </si>
  <si>
    <t>z , D. José Mazon, D. Andrés Serrano,D. José Gutiérrez Genico, D.Pablo Carcía Bermejo, I&gt;. Juan Bautista Padilla, D. Antonio López, D. Pió Sotolongo, D. Fc-lix de Anaya , y D. Francisco Truxiilo. Da las muchas pruebas que tenemos del horror á los males que nos ha acarreado el privado D. Manuel Godoy , y de lo omi­ nosa que se…</t>
  </si>
  <si>
    <t>de Andalucía, Francis</t>
  </si>
  <si>
    <t>Francis de Andalucía</t>
  </si>
  <si>
    <t>siguiente: ^ Laodicea,co-administrador del arzobispado, arce- articulo i. -|Los comisario* regios y prefecto* diana-titular de Sevilla, y canónigo; á D. Francis­ de Andalucía 'activarán por todos medios las ven­ co Vicente Veregas, arcediano de Niebla, y canó­ tas en pública subasta de los bienes nacionales si­ nigo j á D. Fr…</t>
  </si>
  <si>
    <t>de Andra, José Antonio</t>
  </si>
  <si>
    <t>José Antonio de Andra</t>
  </si>
  <si>
    <t>fanzón-, 100 ; y tía cedido sus sueldos durante la guerra. D. José González'Castañeda,- 159. D. Agustín González San abría, vecino de Queretaro, 100. D. José Antonio de Andra.de, capitán de dragones de España , una paga, que son 100. Ei Licenciado D. Basilio Arrillíga , 100. D; Manuel García del Duque, capitán de dragones pro…</t>
  </si>
  <si>
    <t>de Anduaga, Vicente</t>
  </si>
  <si>
    <t>Vicente de Anduaga</t>
  </si>
  <si>
    <t>sef del Corral...................... ....... 42720 D. Rafael Riesco...!............................ 84000 Extracto de las minutas de la secretaría de D. Vicente de Anduaga, como ma­ Estado. rido de Doña Gervasia García de En nuestro palacio de Madrid i 25 de junio Montenegro....... ............................... 70000 de 181…</t>
  </si>
  <si>
    <t>de Andújar, Juan</t>
  </si>
  <si>
    <t>Juan de Andújar</t>
  </si>
  <si>
    <t>D. Eugenio de la Peña, D. Luis Guarnerio y J&gt;. Sebastian Enche. IMPERIO FRANCES. art. m. Nombramos secretario de esta junta París a de noviembre. ,á D. Juan de Andújar. art. iv. Nuestro ministro de lo Interior que­ Se ha publicado el decreto siguiente de S. M. el da encargado de la execucion dej presente decreto. = Emperador …</t>
  </si>
  <si>
    <t>de Anguila, Gregorio</t>
  </si>
  <si>
    <t>Gregorio de Anguila</t>
  </si>
  <si>
    <t>............... J41 *7 D. Juan Turar:......................................... j 4;. , _ D. Juüan M.rtin;z................ ................ 63 t 2j¿- D. Gregorio de Anguila........................ 37*4 25í D. b'.-our.tciis (til................................... dcéi 8f D. Andrés Abrisquieta , cuno apode­ Doña Mi .ue!a de la …</t>
  </si>
  <si>
    <t>de Anguita, Gregorio</t>
  </si>
  <si>
    <t>Gregorio de Anguita</t>
  </si>
  <si>
    <t>ándano.................................. 180 17 La condesa viuda de Sanafé................. 136846 D. Tomas García Serrano................... 9566 *7 D. Gregorio de Anguita...................... 11503 28 D. Santiago Santos................................. 090 81 D. Jaime Casanova................................. 6249 20 D. Ma…</t>
  </si>
  <si>
    <t>de Angulo, Manuel</t>
  </si>
  <si>
    <t>Manuel de Angulo</t>
  </si>
  <si>
    <t>or y curador D. A gel de Sata. 14166 r9 19 D- joset de Angulo............................... I 3 2 2'S 7 D . Santiago Manuel Garrido.............. 25 D. Manuel de Angulo........................... I 2608 7 D. Antonio Bardon.................................. 30816 14 D ña Ana de Angulo............................. 13 238 7 La …</t>
  </si>
  <si>
    <t>de Añino, Bartolomé</t>
  </si>
  <si>
    <t>Bartolomé de Añino</t>
  </si>
  <si>
    <t>e Segovía que ua destacamento da Interior * tropas españolas al servicio de S. M. católica» man­ Hemos decretado y decretamos lo siguiente : dado por D. Bartolomé de Añino» oficial dél regi­ articulo i. ,, Las nuevas poblaciones de Sier­ miento de Irlanda, y que escoltaba un convoi de ra-Morena y de la Andalucía, en qué se co…</t>
  </si>
  <si>
    <t>de Anza, Pedro Francisco</t>
  </si>
  <si>
    <t>Pedro Francisco de Anza</t>
  </si>
  <si>
    <t>ar­ tin Sánchez Serrano, 100. D. Juan Antonio Fernandez, 200. D. Félix de Águirre, 400. D. Pedro del Paso Troncoso, 100. D. Prudencio Gutiérrez, 100. D. Pedro Francisco de Anza , 100. D. Juan de Dios Troncoso, 100. D. Alexandro Troncoso. , 100. D. Martin Urdapilleta, £0. I). José de la Lanza , 100. Señores Llano y Regato, 100…</t>
  </si>
  <si>
    <t>de Ar, Domingo</t>
  </si>
  <si>
    <t>Domingo de Ar</t>
  </si>
  <si>
    <t>rso, que manifestó con sus vivas y con sus lágri­ mas el interes y ternura que le inspiraba semejante escena. A breve rato de haberse concluido esta, D. Domingo de Ar-" ce , ministro jubilado de 4a real chanciHería de Granada, uno de los concurrentes, escribió al general un papel, en que des­ pués de hablarle de los afectos d…</t>
  </si>
  <si>
    <t>658</t>
  </si>
  <si>
    <t>pañía ; en el qual entre las voces de regocijo, y al sonido de las trompetas se brindó por el rey , por la pa­ tria, por el Consejo de Regencia y por D. Domingo de Ar­ ce. — Hoy hemos presenciado otro espectáculo no menos in­ teresante por otro aspecto. El soldado Ventura Herreros, con­ vencido de deserción y robo , había sid…</t>
  </si>
  <si>
    <t>de Ara, Juan</t>
  </si>
  <si>
    <t>Juan de Ara</t>
  </si>
  <si>
    <t>o , y varios de sus feligreses , 37*1 pesos y 5 rs. Va­ rios vecinos de los pueblos y haciendas de ia jurisdicción de Acapulco, lili y 2 rs. y medio. D. Juan de Ara zaga , 100. El teniente retirado D. Juan Ncpomuceno Flores , 88. El Dr. D. Pedro Puglia, 50. D. José. Antonio Carbajal , tesorero interino de Veracruz , su esposa…</t>
  </si>
  <si>
    <t>de Aragón, Alvaro Cubillo</t>
  </si>
  <si>
    <t>Alvaro Cubillo de Aragón</t>
  </si>
  <si>
    <t>familia, ó pagar á quatro jornaleros , al presentará por la compañía española la comedia antigua paso que hoi dia se necesitan diez tantos de las de D. Alvaro Cubillo de Aragón en tres actos titula­ mismas especies para hacer iguales adquisiciones y da Bernardo del Carpió, y el fin de fiesta titulado gmor. D. Chicho. Actores …</t>
  </si>
  <si>
    <t>las siete de la noche, se re­ *7- presentará por la compañía española la comedia anti­ por ella disfrute algún { sobresueldo................ J gua de D. Alvaro Cubillo de Aragón en tres actos ti­ tulada Bernardo del Carpió, y el fin de fiesta titulado 4.0 Por cada dia á los-. D. Chicho. obreros que se hallen[....,............…</t>
  </si>
  <si>
    <t>de Aragón, Benito</t>
  </si>
  <si>
    <t>Benito de Aragón</t>
  </si>
  <si>
    <t>o, de contradanzas particulares. para otra ración de la propia iglesia de Toledo , va­ A las t a en puuto se retiraron SS. MM., á cante por muerte de D. Benito de Aragón: ¿ Don quienes todos los concurrentes acompañaron hasta Lino de Zaroa, cura de Náxera, para una ración el coche. El baile continúo hasta las dos, que se de l…</t>
  </si>
  <si>
    <t>de Aragón, Juan</t>
  </si>
  <si>
    <t>Juan de Aragón</t>
  </si>
  <si>
    <t>bieran moderar un poco mismos habii; otes de Barcelona, quando habiéu- el lamaísmo de los individuos en las combinaciones dose sublevado coima el Rei D. Juan de Aragón, políticas. El Austria , haciendo esta guerra , preten­ su Soberano , sostuvieron con tanto tesón et sitio día manrener en España á aquella misma casa de de .4…</t>
  </si>
  <si>
    <t>o -; - la Fiera, término~de~Truxillo. Il6l4 I393^8 del Maquedano alto, término Otra llamada Suerte del pie de de Lucena.......... .........‘rió 132,0 D. Juan de Aragón, tértpino Otra dé 6 celemines en dicho ^ . de Truxillo.............................. l2oó 1440b partido....... .................. 54 684- Otra dehesa llamada C…</t>
  </si>
  <si>
    <t>de Arama, Blas</t>
  </si>
  <si>
    <t>Blas de Arama</t>
  </si>
  <si>
    <t>285</t>
  </si>
  <si>
    <t>o favor quiera V. _E. dispensarle. — Villa de Algodonales á 24 ¿le abril de J 8 10. — Juan Ximenez de la Barrera. — Bartolomé Sánchez Troya (l).” (1) D. Blas de Arama, prefecto de Sevilla por losfranceses, y uno de los mllañeros mas fervorosos que emplea el gcburno intruso , pu­ blicó en la gazeta de Sevilla de 10 de vn yo , …</t>
  </si>
  <si>
    <t>de Aranza, Blas</t>
  </si>
  <si>
    <t>Blas de Aranza</t>
  </si>
  <si>
    <t>elevado em­ Sevilla 2 de, marzo. pleo , para atenderlos en quanto yo purda , y reco­ mendarlos á S M. ; y finalmente , que las intencio­ El limo. Sr. D. Blas de Aranza, consejero de nes y sentimientos paternales de nuestro católico Estado, 6 intendente general de esta provincia, con Monarca son tales, que no habrá un pueblo q…</t>
  </si>
  <si>
    <t>Gaceta de Madrid n.º 92</t>
  </si>
  <si>
    <t>alones del reducto un Sevilla 2 o de marzo. baile público para las personas de distinción. El 5 se efectuará el matrimonio, cod cuyo mo­ El limo. Sr. D. Blas de Aranza, comisario re­ tivo h.ibrá corte y gala. gio é intendente general de esta provincia , con te­ El 6 habrá baile serio en el salón principal del cha de 6 del cor…</t>
  </si>
  <si>
    <t>os de flo­ la sequedad del clima , les ofrezcan medios para tes y yerbas olorosas. exportar sus preciosos frutos, y recibir los extra­ ' El limo, Sr. D. Blas de Aranza, comisionado ños. Asique,el Iímo.Sr. D. Joaquín María Sotelo, reglo en esta provincia, dió un espléndido banque­ consejero de Estado,y comisionado regio en San…</t>
  </si>
  <si>
    <t>468</t>
  </si>
  <si>
    <t>^n á Enzwei- ESPAÑA.- ' híngen para ofrecer alli un desayuno á SS. MM. II. y RR. : ' - • Sevilla 6* de abril. PROVINCIAS ILIRICAS. El comisario regio D. Blas de Aranza al públi­ Trieste i § de marzo co de Sevilla. " ,,Quando las capitales.de-Andalucía , Córdoba, El general de artillería Ouyril ha vuelto á esta Granada y Jaén;…</t>
  </si>
  <si>
    <t>421</t>
  </si>
  <si>
    <t>es decretos de S. M. para su exacto cumplimiento, y que no aleguen ignorancia en tiem­ po alguno. — También cumplirán vms. la orden del limo. Se­ ñor D. Blas de Aranza, comisario regio y prefecto de Sevi­ lla , en que se manda que si alguno por descuido ú omisión cuioable dexase de recoger sus sementeras, lo hagan vms. sacand…</t>
  </si>
  <si>
    <t>del exircentinelas fueron penetradas, y el enemigóse acer­ cito del mediodía en España al Excmo. Sr. có á los campamentos; pero no bien tuvo noticia D. Blas de Aranza , comisario regio en Se­ el general Laval, quando reuniendo las selectaa villa. compañías de los regimientos 44.* y 2° del Vís­ tula, marchó á su frente con el …</t>
  </si>
  <si>
    <t>operaciones. — Dios guarde á V. E. muchos años. Málaga 23 de mayo de 1810. — Excmo. Sr. zz Pedro de Obregon. ~ .Excmo. Sr. D. José de Mázarredo.” De D. Blas de Aranza al ministro de hacienda. “Prefectura de Sevilla. — Sevilla 8 de agosto de 1810. —El prefecto al Excmo. señor ministro de hacienda. — Excmo. Sr. — En este día se…</t>
  </si>
  <si>
    <t>de Aranza, Btas</t>
  </si>
  <si>
    <t>Btas de Aranza</t>
  </si>
  <si>
    <t>ondiente juramento , y proceder á su El Excmo. Sr. comisario regio y prefecto de iustalacion , para cuyo efecto serán citados. Sevilla esta provincia D. Btas de Aranza ,• considerando la* 23 dé junio dé 1810. = Firmados Blas de Aranza.” muchas y graves obligaciones á que tiene que aten­ Estas disposiciones tienen so recomenda…</t>
  </si>
  <si>
    <t>de Araujo, Josef</t>
  </si>
  <si>
    <t>Josef de Araujo</t>
  </si>
  <si>
    <t>ntes, io.° de línea , á D. Andrés de Ro­ Ambéres 13 de mayo. bledo Odriscols, D. Josef Martin y Barreiro y S. M. ha salido esta mañana de Flesinga, y D. Josef de Araujo: capitán de infantería de línea desembarcará junto al fuerte Federico-Henrique á á D. Manuel de Campos y Rosal: comandante de quatro leguas de aquí. El genera…</t>
  </si>
  <si>
    <t>de Arce, Joaquin Pérez</t>
  </si>
  <si>
    <t>Joaquin Pérez de Arce</t>
  </si>
  <si>
    <t>ancisco Ascorve , 50. D. Juan Lucas Oíavarricta , 400. D. Roque Martínez, 50. D. José Antonio de Cevallos , 100. D..Juan Francis­ co de Senties, 100. D. Joaquin Pérez de Arce, 100. D. Julián de Cortabuena, 100. D. José Alvarez, 100. D. Pedro Miguel de Echevarría ,.200. El Sr. Bri­ gadier D. Manuel Mascaré , 100. D: Juan Su ar…</t>
  </si>
  <si>
    <t>de Arce, José Antonio</t>
  </si>
  <si>
    <t>José Antonio de Arce</t>
  </si>
  <si>
    <t>nuel García, 20. Capellán Fr. Francisco Es­ cobar, 40. Sargentos, cabos y soldados, 1194. — Tercera Volante. jCapitan D. Antonio Vargas, 60. Teniente D. José Antonio de Arce, 15% Alférez D. Pablo Rongel, 8. Id. D. Francisco Minjarez, 15. Capellán Fr. Manuel’ Acevedo, 10. Sargentos, cabos y soldados 373 y6'rs. (Se continuara'.…</t>
  </si>
  <si>
    <t>de Arce, José Mariano</t>
  </si>
  <si>
    <t>José Mariano de Arce</t>
  </si>
  <si>
    <t>, y renta al año 200. D. José I-I»rrera y del Campo, asentista de medi­ cinas del hospital de Perote , 100, El -contador ie la dirección de alcabalas D José Mariano de Arce, 100. D. Ildefonso Aivarez dei Cbsmío, vecino del Valle de Santiago , 100. D. Ignacio Valle, escribnno de S. M, , 100. D. José Nicolás Sa gado, cobrador d…</t>
  </si>
  <si>
    <t>de Arce, Ramón Josef</t>
  </si>
  <si>
    <t>Ramón Josef de Arce</t>
  </si>
  <si>
    <t>a ve­ vica r bazo el pie y reglas determinadas por nues­ nido en nombrar su limosnero mayor al Excmo. tro decreto de &lt;S de'febrero de este año. • Sr. D. Ramón Josef de Arce, patriarca de las In­ ART. II. Nombrarnos para capitán y coman­ dias , y arzobispo de Zaragoza. dante de esta compañía á D.Juan María de Cár- Igualmente h…</t>
  </si>
  <si>
    <t>de Arce, Simón</t>
  </si>
  <si>
    <t>Simón de Arce</t>
  </si>
  <si>
    <t>presbítero. Julián Ramón Navarro, á D. Vicente del Rio de Para el de Trijueque, vacante por muerte de la Vega, cura de Alocen. D. Martin Aguilera, á D. Simón de Arce, clérigo Para el de Val hermoso deTajuña, vacante por de prima. muerte de D. Francisco Martinez Gil, á D. Josef Para el de Fontanar, vacante por muerte de Celedo…</t>
  </si>
  <si>
    <t>de Arce, Tomas</t>
  </si>
  <si>
    <t>Tomas de Arce</t>
  </si>
  <si>
    <t>280 Una quarta parte de casa en la ca­ con casa de Francisco García.. 1,8 3376 lle Alaminos, que linda con Otra en la calle de S. Máteos, que casa de D. Tomas de Arce........ linda con casa de D. Juan de J2., 8 626.. 28 Raya............................................... 13* 1584 TORREXIMESO, Otra en la calle de Fuente Risas,…</t>
  </si>
  <si>
    <t>de Arcos, Ildefonso</t>
  </si>
  <si>
    <t>Ildefonso de Arcos</t>
  </si>
  <si>
    <t>sacristías de las iglesias de nuestro Para la de Sta. María Magdalena de Granada real patronato ; y vista la propuesta de ex-regola- al ex-capuchino D. Ildefonso de Arcos , ex-guarres que para servir las vacantes en el arzobispado de dian y definidor. Granada nos hace nuestro comisario regio de di­ Para la de S. Matías de la …</t>
  </si>
  <si>
    <t>de Arcos, Jcwef López</t>
  </si>
  <si>
    <t>Jcwef López de Arcos</t>
  </si>
  <si>
    <t>. .. 6300 Hemos decretado y decretamos lo siguiente: D. Miguel de Corres......... ............. . 140000 articulo i. ,,Se declaran acreedores del Es­ D. Jcwef López de Arcos................. 120000 tado á D. Mariano Antonio Marcos, ex- reli­ Rs. Mr*. gioso francisco................................. 44000 D. Francisco Moreno, …</t>
  </si>
  <si>
    <t>de Arcos, Josef López</t>
  </si>
  <si>
    <t>Josef López de Arcos</t>
  </si>
  <si>
    <t>Francisca Navarro......... 1083 El mismo Azofra................... ................. 127642' 6 El conde de Biarhaben........................ 1895 8f D. Josef López de Arcos..................... 171057 18 D. Juan Bautista de Ibarra................. 216 6 D. Antonio Escudero............................ 115038 8 D. Josef Cándano…</t>
  </si>
  <si>
    <t>de Areizaga, Juan Carlos</t>
  </si>
  <si>
    <t>Juan Carlos de Areizaga</t>
  </si>
  <si>
    <t>Gazeta del Gobierno n.º 1</t>
  </si>
  <si>
    <t>erezca su superior atención, Dios guarde á V. Enmuchos años. — Mestanza 22 de diciembre de 1809. — Excmo. Sr. — Francisco Copom y Navia. — Excmo, Sr. D. Juan Carlos de Areizaga.” Por el ministerio de hacienda se ha comunicado á quienes cor­ responde la real orden siguiente, con fecha de 28 de diciembre.— “Habiendo manifestado…</t>
  </si>
  <si>
    <t>de Arejula, Juan José</t>
  </si>
  <si>
    <t>Juan José de Arejula</t>
  </si>
  <si>
    <t>López Diestro , IOOj D. José Sañudo López, 50. TJ. José Gutiérrez Zamora , lOO. D. Francisco Antonio López , 25. Dr. T). Fran­ cisco Hernández , 25. D. Juan José de Arejula,25.1). Gerónimo José Malagairba , 25. Sarrat y Marciria compañía, 100. D. Salvador Carrau , 25. D, Gabriel Gómez , 100. i&gt;.-Manuel Antonio de Tsasi , 200.…</t>
  </si>
  <si>
    <t>de Arellano, Carlos</t>
  </si>
  <si>
    <t>Carlos de Arellano</t>
  </si>
  <si>
    <t>1091</t>
  </si>
  <si>
    <t>ntra todas las tonadillas hechas y por hacer; coa che, se executará por la compañía española la co­ que váyase lo uno por lo otro. • media antigua de D. Carlos de Arellano, en tres actos, Estos miserables intermedios han sido casi siempre titulada el Socorro de los mantos, y la opereta de Quien escritos por plumas mercenarias…</t>
  </si>
  <si>
    <t>nar y recibir á los enfermos che, se representará por la compañía española la co­ que llegasen. No parece necesario cargar los esta- media antigua de D. Carlos de Arellano en tres actos bl ¿cimientos con las plazas de médicos de entradas, titulada el Socorro de lo» mantos, y la opereta de Quien porque too absolutamente inmiie…</t>
  </si>
  <si>
    <t>de Arespacochaga, Joaquin</t>
  </si>
  <si>
    <t>Joaquin de Arespacochaga</t>
  </si>
  <si>
    <t>ibunal del consulado de Cádiz se ha mandado citar y emplazar á qualquiera que se considere con derecho en el con­ curso de acreedores á los bienes de D. Joaquin de Arespacochaga, para que en el término perentorio de un año, contado desde 6 de octubre de 1809 , acuda á formalizarlo con sus documen­ tos; y el que no lo haga suf…</t>
  </si>
  <si>
    <t>de Arespacochaga, Joaquín</t>
  </si>
  <si>
    <t>Joaquín de Arespacochaga</t>
  </si>
  <si>
    <t>849</t>
  </si>
  <si>
    <t>r el crimno de P*l&lt;nxés: con •lo restante de la infantería mandada por el teniente coronel Gamiz, con des ordenanzas de húsares españoles,.el eapstan D. Joaquín de Arespacochaga, mayor general de la diviaion, y el capitaii D. Marcos Iglesias, que en toda la acción han dado las mayores pruebas de valor, entré en la villa tocan…</t>
  </si>
  <si>
    <t>de Arespaoo, Joaquín</t>
  </si>
  <si>
    <t>Joaquín de Arespaoo</t>
  </si>
  <si>
    <t>, y ge­ nerosidad en la victoria, ha acred taño de nuevo la fama que tiene de ser uno de 1 s &lt; fieiale»s mas dist’nguh os del exérciio, Eos capitales D. Joaquín de Arespaoo»-ha^a , y D Mar</t>
  </si>
  <si>
    <t>de Argote, Simón</t>
  </si>
  <si>
    <t>Simón de Argote</t>
  </si>
  <si>
    <t>era qne los pueblos se en­ pondencia científica con el secretario de la comisión teren de los reales decretos que se hayan promul-; regia de mi cargo D. Simón de Argote, individuo gado; pnes ademas de que esta deberá de ser la de la junta que he nombrado al efecto, y ademas regla sucesiva de su conducta* Verán en ellos el del…</t>
  </si>
  <si>
    <t>de Arias, Cristóbal</t>
  </si>
  <si>
    <t>Cristóbal de Arias</t>
  </si>
  <si>
    <t>; - . Para jel ínedio beneftcio de la misma , .vacante cantepof fallecimiento de vD. Juan dé Roxas, á por promocioo^de- D. Guillermo Moreno- 4 ..otro D. Cristóbal de Arias*, presbítero, teniente de’ de la propia parroquia, í D. Antonio Menendez, cara de Ja misma. presbítero, ex-regular., , : - : Para .el dé la villa de Monda …</t>
  </si>
  <si>
    <t>de Ariza, Rafael Martínez</t>
  </si>
  <si>
    <t>Rafael Martínez de Ariza</t>
  </si>
  <si>
    <t>Antonio Ruiz.de Castilla............. . ^SS-^Si Los señores D- Pedro Baille y compañía. 42 59 D. Pantaleón Zavala.............................. 1088 D. Rafael Martínez de Ariza............ 18014.,16 D. Julián Diaz Moreno...................... ~ 180.. 17 D. Josef Julián Diaz........................ 245 D.* Pedro Fernandez Tavi…</t>
  </si>
  <si>
    <t>de Arjona, Juan</t>
  </si>
  <si>
    <t>Juan de Arjona</t>
  </si>
  <si>
    <t>el tercer ba­ tallón del de infantería de Avila ; grados de teniente coronel á los capi­ tanes D. Cayetano Puente , de caballería de Ciudad-Rodrigo , D. Juan de Arjona , dei de infantería de Toledo, D. Benito Peili, del batallón de voluntarios catalanes , D. Bernardo Márquez, dei escuadrón de ja cruzada de Aiburquerque y D. E…</t>
  </si>
  <si>
    <t>de Aro, José María</t>
  </si>
  <si>
    <t>José María de Aro</t>
  </si>
  <si>
    <t>D. Mariano Francisco Vázquez. — Tomas Ruiz—Lic. José Dazay Artazo. Die­ go Vicente de Lisa - Manuel María Sánchez y Toraez — Nicolás José Rugerio. — D. José María de Aro. - Francisco de Torres Torija.” Respuesta que después de haber leido en la sala capitular del palacio de la muy Roble, insigne y siempre leal ciudad de Tlasc…</t>
  </si>
  <si>
    <t>de Aróstegui, Manuel</t>
  </si>
  <si>
    <t>Manuel de Aróstegui</t>
  </si>
  <si>
    <t>nte por el principado de Asturias: Don Rafael Manglano, suplente por la provincia de Toledo: D. Antonio Vázquez de Aídana , suplente por la de Toro : D. Manuel de Aróstegui, suplente per la de Alava: D. Francisco Gutiérrez de la Huerta, suplen­ te por la de .Burgos: D. Juan Gallego, sapiente por la de Zamora : D. José Valcarc…</t>
  </si>
  <si>
    <t>de Arpuente, Tomas P</t>
  </si>
  <si>
    <t>Tomas P de Arpuente</t>
  </si>
  <si>
    <t>Gaceta de Madrid n.º 262</t>
  </si>
  <si>
    <t>puente, que ademas del las cortes se arreglen las cosas, ’zs Firmado’s= Lo*mando de la sección, le han dado á Pepe el del renzo Cisneros y Toledo. A D. Tomas P» de Arpuente y las baterías, de modo qne todo el dia cibct: Alicante." está en un continno movimiento» mientras otros ce están rascando la panza. ,,Este exército se va…</t>
  </si>
  <si>
    <t>de ArqueJlada, Ventura</t>
  </si>
  <si>
    <t>Ventura de ArqueJlada</t>
  </si>
  <si>
    <t>..í.vv* ^0.3^04 III 1), Jacinto Colmenero..........; 4696^ 44^* Doña Ajelítena Perez, :»*Ü*l-7Xaí|£ 2 1 r i D. Feliciano de Guizaburuaga,..,2089.14c/ D. Ventura de ArqueJlada..^... '• » ^607 ' 19I D. Benito CantalinóV............... «./ 6470 :2*.3; D. MiglMfde Land.í..,,,,.,...... . .. ' ^s^xSo ; 1 D. Martin 5 2oqxi Doña Auío…</t>
  </si>
  <si>
    <t>de Arriaga, Camila</t>
  </si>
  <si>
    <t>Camila de Arriaga</t>
  </si>
  <si>
    <t>Barbachano...................... 23465 viuda de Sanafé................................... 16200 D. Joaquin de Mezcorta...................... 84293 17 Doña Camila de Arriaga..................... . 10800 D. Simón Gutiérrez.............................. 5 297 8f Doña Juana de Muga y Acha............. 6300 D. Gregorio Rivacoba...…</t>
  </si>
  <si>
    <t>de Arriaga, Cirios</t>
  </si>
  <si>
    <t>Cirios de Arriaga</t>
  </si>
  <si>
    <t>bres, 25 y 4 rs. D. Leonardo Flores, 20, D. Pedro Rábago 24 y 4 rs. D. Juan Femando Ceballos, 40. D. José Antonio Lorina, 50. D. Manuel Orendain, 25c D. Cirios de Arriaga, 100. Don Francisco Antonio de la Presa , 50. -- Chibuagua. Ei ministro tesorero D. Francisco Truxiílo, 100. D. Isidro Madero, oficial primero de la resorer…</t>
  </si>
  <si>
    <t>de Arros, Manuel Pe</t>
  </si>
  <si>
    <t>Manuel Pe de Arros</t>
  </si>
  <si>
    <t>a compañía , y que se pueda veri­ Real de España al coronel D. Francisco D to.i, ficar su reemplazo: l-s justicias remitirán doticías D- Josef Alter, D. Manuel Pe de Arros, D. Juan de unos y otros á los intendentes. de Areco, coronel, D. Vicente Herris , teniente co­ art. xix. Nuestros ministros de lo Interior ronel graduado …</t>
  </si>
  <si>
    <t>de Arsú, Tomas</t>
  </si>
  <si>
    <t>Tomas de Arsú</t>
  </si>
  <si>
    <t>.................. 42 0 2 2 5 D. Joset de Goya.................................... 2731 4 D&lt; ña joaquina Larrea............................ 4202. - V D. Tomas de Arsú.................................... 7 1 1 27 1122 D Mariano Luis de Urquijo................. 4602 ó D. J usef Ignacio de Mendia , por su D. jo'-ef Gr oolci.....…</t>
  </si>
  <si>
    <t>de Astorga, Manuel Martínez y Ximenez del</t>
  </si>
  <si>
    <t>Manuel Martínez y Ximenez del de Astorga</t>
  </si>
  <si>
    <t>is­ Por decreto del mismo dia quedan nombrados co Mateo Agniriano y Gómez del de Calahorra, y oficiales cu los regimientos de infantería de línea y á D. Manuel Martínez y Ximenez del de Astorga, ligera que se expresan á continuación los individuos que obtienen, por haberse ausentado de sus dióce­ que fueron de 1a misma compañ…</t>
  </si>
  <si>
    <t>de Au-tria, Josef</t>
  </si>
  <si>
    <t>Josef de Au-tria</t>
  </si>
  <si>
    <t>tenido la reputación nador honorario, y los jurados D. Manuel de la de que disfruta. La sencillez de las decoraciones y Torre , D. Rafael de Entrena, D. Josef de Au-tria, la riqueza de los trages son superiores á todo elo­ D. Josef Martínez de Castejon , D. Francisco Ruiz gio. Los pintores del teatro imperial se han mani­ Bla…</t>
  </si>
  <si>
    <t>de Augustemboorg, Cristiano</t>
  </si>
  <si>
    <t>Cristiano de Augustemboorg</t>
  </si>
  <si>
    <t>uque de Suder— quadron del 5.0 de caballería. manía tenia S. M. misma, á S. A. nuestro prínci­ Ayer se acabó el arco de triunfo construido pe real el príncipe Cristiano de Augustemboorg. fuera de las puertas de la ciudad en honor del exército polaco, y el 18 harán su entrada en Varsovia Jas tropas victoriosas. DINAMARCA. Se v…</t>
  </si>
  <si>
    <t>de Augustenburgó, Cristiano</t>
  </si>
  <si>
    <t>Cristiano de Augustenburgó</t>
  </si>
  <si>
    <t>junio. — El réy Gustavo de Snipcia, qué vive retirado. en Suiza, ha rehusado aceptar la pensión, que le concedían los estados del expresado reyno* El príncipe Cristiano de Augustenburgó nombrado por los mismos estados heredero de la co ona , há muerto.de repente en la mañana cfel 29 de mayo. Estaba pasando revista á un cuerpo…</t>
  </si>
  <si>
    <t>de AUSTRIA, Blas García</t>
  </si>
  <si>
    <t>Blas García de AUSTRIA</t>
  </si>
  <si>
    <t>quitectu­ Firmado = Ax-exandro. =£i conde de Román t- ra militar D. Andrés de Mendoza, subteniente de row, canciller.” zapadores. De las demas clases D. Blas García de AUSTRIA. Quesada, D. Bernardino Argore , D. Mariano Gambeta, D. Juan Martínez Ttrroba, D. Juan de Lemberg 19 de agosto. la Calle, guardia de honor, D Josef Vil…</t>
  </si>
  <si>
    <t>de Aversberg, Cirios</t>
  </si>
  <si>
    <t>Cirios de Aversberg</t>
  </si>
  <si>
    <t>á Suecia con su exército, separándose En la hacienda de Nassaberg, en Bohemia , per­ de la alianza con la Inglaterra, que no podía de- teneciente al príncipe Cirios de Aversberg , se han xar de traer funestas consecuencias para la nación. fabricado 70 libras de azúcar de arce tan bneno El regimiento de la Reina se va á embarc…</t>
  </si>
  <si>
    <t>de Avila, Josef Antonio</t>
  </si>
  <si>
    <t>Josef Antonio de Avila</t>
  </si>
  <si>
    <t>con el enemigo. correo del 27 de julio próximo pasado D. Andrés Moratt, vecino de esta corte, y á cuyo favor estaban en­ IMPERIO FRANCES. dosadas, á D. Josef Antonio de Avila, vecino dr- Ja ciudad de Granada, se da este aviso á fin de que la Ambires 14 de julio. persona en ctlyo poder pararen, las entregue ó remita al citado …</t>
  </si>
  <si>
    <t>de Avila, Roque</t>
  </si>
  <si>
    <t>Roque de Avila</t>
  </si>
  <si>
    <t>...... J13.1 liyC 15. Martin ¿Estenoz,,.,,*,..................... 33333 8 Doña Paulina Gil de Terreros ..... 195 a L B. fPedro Fstcnpr-..?, ¡ 26400 • D. Roque de Avila...,......................... 4200 : ? Doña Mirra Carmen. Alxarez......*6400 D. Vicente García Bravo................ 2030 , I D. Estéban de Ja.Torfe...a*.....11…</t>
  </si>
  <si>
    <t>de Aya, Josef</t>
  </si>
  <si>
    <t>Josef de Aya</t>
  </si>
  <si>
    <t>te de Policía que se presentó quando iban ra v vacante por privación de D. Serafín Valeneue- ú principiar el robo, no obstante que les acreditó la: á D. Josef de Aya la, presbítero, ex-capuchi­ serlo. no , y cura ecónomo que fue de S. Bartolomé de Por último,despreciaron altamente las amones­ lal~Abiertas , para una capellaní…</t>
  </si>
  <si>
    <t>de Aytrdi, Juan Antonio</t>
  </si>
  <si>
    <t>Juan Antonio de Aytrdi</t>
  </si>
  <si>
    <t>a perturbar la tranquilidad acompañó con Ochóal» pasó al valle de Gordeiuela, de ios pueblos pisó las márgenes de esta provincia Sorprcr. elidieron á D. Juan Antonio de Aytrdi eu baxo las órdenes del cura izarra, se reun.ó á ellos su misma casa t le formaron causa de propia autori­ Ochoa y y sucedió.tdole en el mando, mu tipü…</t>
  </si>
  <si>
    <t>de Azanca, Miguel Josef</t>
  </si>
  <si>
    <t>Miguel Josef de Azanca</t>
  </si>
  <si>
    <t>ués de haber S. M. dado la vuelta alrede­ á las leyes, presidiendo este acto á nombre de S. M. dor de la ciudad pasó el Guadaiqnivir; recorrió el Sr. D. Miguel Josef de Azanca, su comisaria los arrabales situados ¿obre la orilla derecha del regir,; ¡o han prestado por diputaciones todas las rio, recibiendo en todas partes ígn…</t>
  </si>
  <si>
    <t>de Azofra, Andrés Saez</t>
  </si>
  <si>
    <t>Andrés Saez de Azofra</t>
  </si>
  <si>
    <t>Palacio y Gorbea....... 3842I 31 D. Manuel Zavala................................. 13 5 3 2í Doña Tomasa Guerra............................ 20010 32 D. Andrés Saez de Azofra.................. 13718 Doña Pascuala de Trotiaga................. 4762 6 D. Antonio Fernandez........................ 180 17 D. Andrés Saez de Azofra...…</t>
  </si>
  <si>
    <t>de Azurin, María Manuela Ortiz</t>
  </si>
  <si>
    <t>María Manuela Ortiz de Azurin</t>
  </si>
  <si>
    <t>a Francisca de Ocaña.........i...... 5825)27 Doña Claudia Antuñano............... 13.56- 41 Doña Ignacia Ferriol........................... . 1084 14 Doña María Manuela Ortiz de Azurin. 5168 26 D. Estéban de la Torre............... . • 4837" D. Lorenzo de Palacio y Gorbea ....J i20000 El cabildo de curas y beneficiados 1 . , …</t>
  </si>
  <si>
    <t>de B, Antonio</t>
  </si>
  <si>
    <t>Antonio de B</t>
  </si>
  <si>
    <t>ierda del dosel, eutr.ndo por el cisco de Zichipríncipe ZinzendoifF; príncipe Pa­ lado de Braunau, había una gran mesa cubierta con blo Esterluzi * y conde Antonio de B.ibiani. un paño de terciopelo para que firmasen los pleni­ Otro coche'deró-caballos, en el qual iba el se— potenciarios. For eL lado de Altheim un se pusie­ f…</t>
  </si>
  <si>
    <t>de Ba, Amalia</t>
  </si>
  <si>
    <t>Amalia de Ba</t>
  </si>
  <si>
    <t>n La ciu- Stuttgardt i.° de mayo. dad de Salizbürgo. También se asegura que el príncipe real será nombrado gobernador de los es­ Anteayer S. A. R. la princesa Amalia de Ba­ tados bivaros situados al otro lado-del Inn. dén llegó al palacio de Bruchsal con su comitiva. Esta princesa viene en .derechura de Petersborgo, Augs burg…</t>
  </si>
  <si>
    <t>de Badén, Amalia</t>
  </si>
  <si>
    <t>Amalia de Badén</t>
  </si>
  <si>
    <t>591</t>
  </si>
  <si>
    <t>ca DINAMARCA. de nuestra corte en lugar del conde de Srakelberg, .que pasa á Viena con el mismo carácter. Copenhague ij de abril de i8ro. S. A. S. la princesa Amalia de Badén ha llega­ Qaatro barcas cañoneras mandadas por el sub­ do aqui de Petersburgo. Quando salió de esta úl­ teniente Skibsted se han apoderado de una embar­…</t>
  </si>
  <si>
    <t>de Badén, Amelia</t>
  </si>
  <si>
    <t>Amelia de Badén</t>
  </si>
  <si>
    <t>eriburgo. tos» aunque no dexan ya de tener bastante edad. Del i y. B AVIERA. El general raso Bekensou« que~aSttmpañó £ Augsburge 13 de mayo. S. A. la princesa Amelia de Badén desde Petersburgo á Brnchsal» llegó aqui antes de ayer. S. A. SS. AA.RR. el elector de Tr¿ veril, la prin­ irá á Munich á pasar algunos días con su augu…</t>
  </si>
  <si>
    <t>,.sín embargo, nos es dificultoso creer que tenga bastante valor y ge'erosi.iad para Dttag¿ - realizarlos. Ahorrará, dice éi, 6oo© libras esterli­ La princesa Amelia ¡de Badén: llegó iqui antes nas; pero Mr. Huskisson ha demostrado ya que de ayer de Carlsrube,y piensa pasar algún tiempo para salvar la IigJaterra es prteiso re…</t>
  </si>
  <si>
    <t>de Badeo, Amalia</t>
  </si>
  <si>
    <t>Amalia de Badeo</t>
  </si>
  <si>
    <t>io. RUSIA. se ha dignado admitir coa la bondad que le es ca­ racterística. Petersburgo g de marzo. Eo ios dias cu que se han celebrado las fiesta* Ia princesa Amalia de Badeo , hermana de S. M* por el matrimonio ha sido extraordinario el luxo la Emperatriz reinante, saldrá de aqui de nn día á que se ha notado en esta capital.…</t>
  </si>
  <si>
    <t>de Bahamonde, Francisco</t>
  </si>
  <si>
    <t>Francisco de Bahamonde</t>
  </si>
  <si>
    <t>225</t>
  </si>
  <si>
    <t>l nuncio de S. S. en estos reynoi) ; á D. Francisco Xavier Cienfuegos Javellanes; á D. Juan Bautista Morales; &amp; D. Francisco Patricio de Berguiza*; á D. Francisco de Bahamonde ; á D. José García de Prado; y i</t>
  </si>
  <si>
    <t>de Baños, Justo Maitines</t>
  </si>
  <si>
    <t>Justo Maitines de Baños</t>
  </si>
  <si>
    <t>un acto titulada Horacios y Curiacios, y el gran ra el mismo destino en Málaga, por ascenso de baile titulado la Feria de Becario, ó las Mugercs ven­ D. Justo Maitines de Baños á juez del tribual cri­ gadas, executado por Fernanda y Alexo Lebrunier y de­ minal extraordinario de la misma ciudad de Mala­ mas bailarines. ga , á …</t>
  </si>
  <si>
    <t>de Baños, Justo Martínez</t>
  </si>
  <si>
    <t>Justo Martínez de Baños</t>
  </si>
  <si>
    <t>ano La-Fnente, alcalde en el ra, teniente de asistente cd Utrera: para la alcal­ mismo tribunal. día mayor de Xerez de la Frontera, vacante por 3.0 A D. Justo Martínez de Baños, alcalde ascenso de D. Antonio Josef Cortés á juez del tri­ mayor de Málaga. bunal criminal de la misma ciudad, á D. Rodrigo 4.0 A D. Salvador Vidal, …</t>
  </si>
  <si>
    <t>de Barce, Francisco de Sales Rodríguez</t>
  </si>
  <si>
    <t>Francisco de Sales Rodríguez de Barce</t>
  </si>
  <si>
    <t>nte por el señorío de Vizcaya: D. Evaristo Perez de Castro , suplente por la provincia de Valladolid: D. Domingo Dtieñasp suplente por la de Granada: D. Francisco de Sales Rodríguez de Barce­ na .suplente por la de Sevilla: D. Francisco Escudero , suplente por la de Navarra : D. Francisco González, suplente por la de Jaén: D.…</t>
  </si>
  <si>
    <t>de Bardaxí, Eusebio</t>
  </si>
  <si>
    <t>Eusebio de Bardaxí</t>
  </si>
  <si>
    <t>28 i guarde á V. E’ muchos años.— Campo de Gibraltar 4 de mayo de 1810.— Exorno. Sr. — Adrián Jácome. — Exorno. Sr. D. Eusebio de Bardaxí.” „Excmo. Sr. : A las 10 del dia 22 del que rige recibimos ofi­ cio del comandante de Puerto-Serrano, en el que nos comuni­ caba que la villa de Montellano se hallaba invadida por el enemi­</t>
  </si>
  <si>
    <t>de Barraycua, Francisco</t>
  </si>
  <si>
    <t>Francisco de Barraycua</t>
  </si>
  <si>
    <t>en­ to de infantería imperial de Toledo, D. Manuel de Castilla, alférez de dragones de Aimansa, D. Mariano Miguel Polo, subteniente del de Amé­ rica, D. Francisco de Barraycua, de el del Príncipe, D. Domingo Luisdel Valle, del de España, D. Mariano de Gsycoechea, del de Africa, D. Cir­ ios de Capetillo y D. José Oñativia, cad…</t>
  </si>
  <si>
    <t>de Barreda, Francisco Gómez</t>
  </si>
  <si>
    <t>Francisco Gómez de Barreda</t>
  </si>
  <si>
    <t>Oido nuestro gran consejo de ia Orden Real ro Bobadilla, capitán de cazadores de infantería de España, hemos decretado y decretamos lo si­ de Ecíja ; D. Francisco Gómez de Barreda; D. Cir­ guiente : ios de Angeville, coronel retirado ; D. Antonio de articulo, i. ,, Nombramos caballeros de la Or­ Vargas Machuca, capitán de fra…</t>
  </si>
  <si>
    <t>de Barrí, Miguel</t>
  </si>
  <si>
    <t>Miguel de Barrí</t>
  </si>
  <si>
    <t>as minutas'de la secretaría de Abanderados. Estado. D. Antonio Contreras:Rocat, D. Francisco Sa­ Real alcázar de Sevilla á 6 de febrero de 1810. ña y D. Miguel de Barrí. Don Josef Napoleón por la gracia de Dios y art. iv. Nuestros ministros de lo Interior y por la constitncton del estado, REI d&lt;t las Espa-» de la Guerra qneda…</t>
  </si>
  <si>
    <t>de Basabru, Lorenzo</t>
  </si>
  <si>
    <t>Lorenzo de Basabru</t>
  </si>
  <si>
    <t>ro Señor ha llegado hoi i medio ciudad , compuesta de los señores D. Manuel Bedia á esta ciudad , donde ha sido recibido con las cerril , corregidor; D. Lorenzo de Basabru , D. Ra­ 'demostraciones mas vivas de regocijo por sus habí fael de Tena , regidores: D Josef Entrene, D. Jo— tantes. Se han presentado á S. M. diputacione…</t>
  </si>
  <si>
    <t>bernador general, y re de rutero aqnella na y Castril, caballero de la citada órden de Cir­ magnificencia digna del rango que ocupaba entre ios iii ; D. Lorenzo de Basabru , teniente coronel las capiialesde la Italia. La abertura del teatro im­ retirado, caballero del hábito de Calatrava; Don perial en la noche del 26 ha reco…</t>
  </si>
  <si>
    <t>de Bassecourt, Luis Alexandro</t>
  </si>
  <si>
    <t>Luis Alexandro de Bassecourt</t>
  </si>
  <si>
    <t>strucciones.— Dios guarde á V. E. muchos años. Quartel general'de Bubieloa.de Mera Í0 de se­ tiembre de 1810. — José María de Garbajal. — Excmo.. Sr* D. Luis Alexandro de Bassecourt. — Dicho general’en confi­ dencial de la misma fecha añade la confirmación de la. muer­ te del coronel Pilque, y que casi todos los oficiales per…</t>
  </si>
  <si>
    <t>de Beamurguia, Juan</t>
  </si>
  <si>
    <t>Juan de Beamurguia</t>
  </si>
  <si>
    <t>. Luis de S. Clemente, D. Manuel SAazar y D. Amonio Aguilar ; segunda ayudantía mayor á I). Francisco de Sales Moa.; segunda tenencia de granaderos á D. Juan de Beamurguia; id. de cazadores á D. Luis Centurio i; id de fusileros á D. Jayme Ruiz y Abreu, D. Ig­ nacio Medina y Huet, D. Antonio Aguilera y J). Mariano López ; em­ …</t>
  </si>
  <si>
    <t>de Bebian, Ana</t>
  </si>
  <si>
    <t>Ana de Bebian</t>
  </si>
  <si>
    <t>linda con el barranquilio que te, de 4 fin.-, 6 celem. y 11 estad., lin­ forman las tierras de Manuel Tejera y de á Kvante y mediodia con tierras dé Doña Ana de Bebian...,.......................... 8 *76 D. Santiago Bcbi.in y del Indiano..........- id ¿20 Otra tierra al camino de Madrid, de 6 fa­ Otra en el mismo sitio de k A…</t>
  </si>
  <si>
    <t>de Beingochea, Fernando</t>
  </si>
  <si>
    <t>Fernando de Beingochea</t>
  </si>
  <si>
    <t>itos.................................... 48319.. 2 4 D. Güilísimo Peíroner........... ............... .13079.. 10 ' D. Ramón de Posada, como marido / D. Fernando de Beingochea.................. 4542..14 de Doña María López Cabrejas, por D. Bernardo Rodríguez...................... 49210 acciones y réditos......................…</t>
  </si>
  <si>
    <t>de Beingoechea, Fernando</t>
  </si>
  <si>
    <t>Fernando de Beingoechea</t>
  </si>
  <si>
    <t>de Bajamar.......................... 51877 16 Doña Antonia Alvarez de Faria......... II202 25 D. E ustbio Sai z Manteca.................... 11010 17 D. Fernando de Beingoechea............... 10479 17 Doña Juana Elexaga.............................. 12003 «f D. Eiías Pascual Ronda..... .................. 8700 D. Fulgencio de l…</t>
  </si>
  <si>
    <t>de Benavides, Luis</t>
  </si>
  <si>
    <t>Luis de Benavides</t>
  </si>
  <si>
    <t>cio empréstitos fáciles y seguros, dando „ Pur esta razón se ha aumentado la deuda pú* APENDICE A LA QAZBTA DB MADXIB. cuentra escondido en su casa a D. Luis de Benavides, caballero de Toledo, de quien ya tenia zelosas sospe­ Viernes 25 de mayo de l8lo« chas. Sin embargo , finge creer la disculpa de EH Luis, y mientras se pre…</t>
  </si>
  <si>
    <t>de Benavides, Tomas</t>
  </si>
  <si>
    <t>Tomas de Benavides</t>
  </si>
  <si>
    <t>ablo Sebastian, y D. Francisco Huarte; á tenientes , los subtenientes D. Francis­ co Ramírez , D. Ramón Mateo, D. Valentín Ampudia , D. José Ampudia, D. Tomas de Benavides , D. Manuel Albo, D. Miguel ligarte , y D. Antonio Montenegro. CADIZ : EN LA IMPRENTA REAL.</t>
  </si>
  <si>
    <t>de Berenguer, Benito</t>
  </si>
  <si>
    <t>Benito de Berenguer</t>
  </si>
  <si>
    <t>s. Asimismo se ha dignado conferir los empleos de coronel y teniente coronel del primer regimiento de infantería de Guadix á t&gt;. José de Ansoategui y D. Benito de Berenguer; la comandancia de los terceros batallones de los de Guadalaxara y primero de Burgos á D José de Villaceballos y D. Anselmo Plaza; la del batallón de infa…</t>
  </si>
  <si>
    <t>de Berguiza, Francisco Patricio</t>
  </si>
  <si>
    <t>Francisco Patricio de Berguiza</t>
  </si>
  <si>
    <t>avina , arcediano de C armón a ( actual nuncio de S. S. en estos reynoi) ; á D. Francisco Xavier Cienfuegos Javellanes; á D. Juan Bautista Morales; &amp; D. Francisco Patricio de Berguiza*; á D. Francisco de Bahamonde ; á D. José García de Prado; y i</t>
  </si>
  <si>
    <t>de Bése, Francisco</t>
  </si>
  <si>
    <t>Francisco de Bése</t>
  </si>
  <si>
    <t>813</t>
  </si>
  <si>
    <t>Italia la parre del Molina Gailard, subteniente del regimiento ce ca­ Ttrol meridional cedida por la Bavicra. El día 10 zadores á caballo núm. 3.*: á D. Francisco de Bése tomará posesión de esfe país, que formará nn jar y Sánchez , abanderado del regimiento de Gra­ departamento , y qne se denominará departamento nada , j.°de …</t>
  </si>
  <si>
    <t>de Blirgos, Francisco</t>
  </si>
  <si>
    <t>Francisco de Blirgos</t>
  </si>
  <si>
    <t>, de 5 fan., linde á oriente con Sres. Racioneros... 60 1320 ‘ 1/3-celem. y 29 estad., linde á medio­ Otra en dichos Espártales de 4 tan. y 2 día con D. Francisco de Blirgos......... 129 3838 celem., linde á mediodía con monjas Oira de 14 fan., 6 celem. y 6 estad, en de Pastrana........................................... 3080…</t>
  </si>
  <si>
    <t>de Bm, Gaspar</t>
  </si>
  <si>
    <t>Gaspar de Bm</t>
  </si>
  <si>
    <t>0, é hicieron 19 prisio­ neros. Ha habido acciones 'particulares de valor , que serán premiadas según su mérito ¿ pero entre ellas se ha notado la de D. Gaspar de Bm</t>
  </si>
  <si>
    <t>de Bolibar, Julián</t>
  </si>
  <si>
    <t>Julián de Bolibar</t>
  </si>
  <si>
    <t>Gazeta del Gobierno n.º 3 (suplemento)</t>
  </si>
  <si>
    <t>Augereau , du­ que de Castiglione. — Yo, brigadier de los reales excrcitos , encargado de los poderes del gobernador interino de la plaza de Gerona, D. Julián de Bolibar , y de la Junta militar , certifico ; que la capitulación antece­ dente es conforme á la original , firmada con la fecha que expresa__ Blas de Furnás. —El ge…</t>
  </si>
  <si>
    <t>de Bono, Josef</t>
  </si>
  <si>
    <t>Josef de Bono</t>
  </si>
  <si>
    <t>....... *.............. 16425 D. Bonifacio de Porras..................... 122968 aóí D. Gaspar Soliveres...»..................................59$6 17 D. Josef de Bono.............................,,1 6190 4 D. Ramón Gil.Gallo,.......*........... 3610 D Baltasar Fernandez...,,,....,. 3315 i Doña Nicasia de Cañas...... .........…</t>
  </si>
  <si>
    <t>de Borbon, Francisco Xavier</t>
  </si>
  <si>
    <t>Francisco Xavier de Borbon</t>
  </si>
  <si>
    <t>a del tabaco, 1509. El asesor general D. Miguel ba ­ chiller y su esposa, 10. Ei oi ior D. G-.iiiiermo de Aguirre, 10. El fiscal de la real hacienda, D. Francisco Xavier de Borbon, 10. El oidor D. Círiaco Gómez Carvajal, 10. Ei conde de Medina y Tor­ res, 10. La congregación del oratorio de S. Felipe Neri, 10. D. Ignacio Garc…</t>
  </si>
  <si>
    <t>de Borunda, Angel García</t>
  </si>
  <si>
    <t>Angel García de Borunda</t>
  </si>
  <si>
    <t>nte coronel, D. Joaquín Ezcario, D. Agustín Salazar , D. Luis Cepeda , D. Pedro Eguiá y D. José Revesr, al ayudan-' te D. Nicolás Sanz, y al teniente D. Angel García de Borunda. Prospecto del Diario de Cortes que se ha de publicar laxo de la sobe­ rana5 autoridad é inspección del congreso nacional, y deberá salir por aho­ ra …</t>
  </si>
  <si>
    <t>de Bouiigni, Dionisio</t>
  </si>
  <si>
    <t>Dionisio de Bouiigni</t>
  </si>
  <si>
    <t>418</t>
  </si>
  <si>
    <t>leo de comandante del primer batallón aí brigadier D. Fernando de Poulle : compañía de granaderos á D. Francisco cí* Ehautregard: ídem de cazadores á D. Dionisio de Bouiigni: idetn de fusileros á D. Román de Landaburu; primera ayundantía mayor á D. Augusto Barón de Roisin; primeras tenencias ¿ Don Antonia óispert’y D. -Franci…</t>
  </si>
  <si>
    <t>de Boussereau, Diego Guillen</t>
  </si>
  <si>
    <t>Diego Guillen de Boussereau</t>
  </si>
  <si>
    <t>Mon­ tero y Idem 'de cazadores; a D. José de Reart, ídem de fusileros á Don l uis Viladomar , D. Pedro Rocabruna y Ardena, D. Cárlos González Eíanos, D. Diego Guillen de Boussereau, D. Joaquín Ruiz y Abreu y D. Alberto Felipe de Ealdrich : empleo de alférez de granaderos á Don Esteban Pagcs de Bañüls: ídem de fusileros á D. B…</t>
  </si>
  <si>
    <t>de Bregentx, Schneider</t>
  </si>
  <si>
    <t>Schneider de Bregentx</t>
  </si>
  <si>
    <t>Durante este moyim|ento de nuestro exército, Stuttgardt j rdeiociMbre. ' ■ ’Hi .-¡ - 4as tíjbpas francesas se-‘han dirigido á Pi.iel, y han El famoso doctor Schneider &gt; de Bregentx ,ha ocupado sns inmediaciones hasta Fraxeidas. vendido todíHsshaciendaí qeí'ft**** tu el Va* r Xaas qae ceei'ibfttmrj» hotlcíarTe rezelan ma­ rarl…</t>
  </si>
  <si>
    <t>de Brir, Francisco Antonio</t>
  </si>
  <si>
    <t>Francisco Antonio de Brir</t>
  </si>
  <si>
    <t>.......... .......................... a 0000 derado D- Juan l eran........ .............. 11103-28 Dovat, hermanos y compañía............... *93ái-3* D. Francisco Antonio de Brir.gas......... 1500 D. Pedro Cellini y compañía.............— 44000 . Juan Josef de Matute...................... 42415..11 D. Miguel Sancho Larrea....…</t>
  </si>
  <si>
    <t>de Buenos-Aires, Juan Josef</t>
  </si>
  <si>
    <t>Juan Josef de Buenos-Aires</t>
  </si>
  <si>
    <t>cursos á la Plata. la gloriosa empresa de hacer feliz á este pais. = Manifiesto de la junta provisional de la capital Firmado = Corneiio de Saavedra.^D. Juan Josef de Buenos-Aires. jCasteili. = Manuel Belgrano.cc Miguel de Ascae— naga. = Dr. Manuel A ber|i. = Domingo Mateu.cs ,,La suerte de la guerra ha dado mayor fuer­ Juan …</t>
  </si>
  <si>
    <t>de Bustamante, Juan José Ruiz</t>
  </si>
  <si>
    <t>Juan José Ruiz de Bustamante</t>
  </si>
  <si>
    <t>Peimbert, ensayador, 2 D. Antonio Cabrera, administrador de rentas, 50. D. Fran­ cisco Prieto, interventor, 10. D. Francisco Xavier Losa , vista , 10 D. Juan José Ruiz de Bustamante, subdelegado, 250. Alcalde del primer voto D. Francisco del Valle. 12. Id. de segundo D. Pedro Vaíois, 50. Don Fanón de Ochoa, 65. D. Salvador Po…</t>
  </si>
  <si>
    <t>de Ca'rran, Lúcas</t>
  </si>
  <si>
    <t>Lúcas de Ca'rran</t>
  </si>
  <si>
    <t>s........................ ........................... 44000 D;rCipriáno Layát.'^,.*.;.'..'a....;! 8*71 íó D. Justo Ortes,. de carmelitas cal- ■ . &gt; ' D. Lúcas de Ca'rran.......w,.;¡ 3676^16 1 izados....;..',............ . 4400O * D. Francisco Rodríguez de Huerta... 8^3 'r7&gt;: D. Claudio González, de la misma Doña-Doróteá Mácdo…</t>
  </si>
  <si>
    <t>de Cáceres, Ignacio</t>
  </si>
  <si>
    <t>Ignacio de Cáceres</t>
  </si>
  <si>
    <t>Arezpacochaga. seos y las Tullerías , y seguirán hasta la casa de la D. Diego Guerrero y CiJoo. villa. Para este dia se dice que se están concluyen­ D. Ignacio de Cáceres. do seis carrozas , cuyas caxas serán todas de cris­ Secretarios. tal. En el mismo día se distribuirán al pueb'o en D. Ventura Ruiz Huídobro. los campos Elí…</t>
  </si>
  <si>
    <t>de Cáceres, Ramón</t>
  </si>
  <si>
    <t>Ramón de Cáceres</t>
  </si>
  <si>
    <t>­ encargado de la execucion del presente decr.to. es na , D. Vicente Gregorio Moreno, D. Pedro An­ Firmado= YO EL REI. = Por S. M. su ministro dino , D. Ramón de Cáceres, D. Mannel de Si­ secretario de Estado Mariano Luis de Urquijo.” les , D. Josef Saenz de Ramírez , D. Diego de la Extracto de las minutas de la secretaría de…</t>
  </si>
  <si>
    <t>de Cadano, Josef</t>
  </si>
  <si>
    <t>Josef de Cadano</t>
  </si>
  <si>
    <t>.. 21600 D. Ildefonso Polo, id........................... 44000 D. Juan Manuel de Usategui.............. 10543 17 D. Marcos Ponce de León , ex agoni­ D. Josef de Cadano............................... 4000 zante............ ......................... ................ 44000 D. Lúeas Romero........................ 20000 D. Josef …</t>
  </si>
  <si>
    <t>de Cádiz, Juan Gómez</t>
  </si>
  <si>
    <t>Juan Gómez de Cádiz</t>
  </si>
  <si>
    <t>Gazeta de la Regencia de España e Indias n.º 32</t>
  </si>
  <si>
    <t>cuerpo de guardias de Corps ha promovido S. M. á exénto k D. Francisco Fernandez Verano ; á brigadier á D. Juan Rodríguez de Llano : á subrigadier á D. Juan Gómez de Cádiz; y k cadetes á D. Manuel Nóvales y D. Ramón Rodrigo. CADIZ: EN LA IMPRENTA REAL.</t>
  </si>
  <si>
    <t>de Calera, José Gregorio</t>
  </si>
  <si>
    <t>José Gregorio de Calera</t>
  </si>
  <si>
    <t>ia, vecino de Teapa, 100. El cura de Azoyú y sus feligreses, 325. D. Juan Antonio Aguilera , su esposa é hija , 1500. 1). Miguel de Arizmendi , 1000. D. José Gregorio de Calera , 100. D. Bartolomé Caballero , 25. D. Santiago Sastre, 50 pesos y otros tantos cada ano. D. José María Fernandez del Cam­ po , cura de Huastuco , y v…</t>
  </si>
  <si>
    <t>de Calera, Pedro Para el</t>
  </si>
  <si>
    <t>Pedro Para el de Calera</t>
  </si>
  <si>
    <t>ima. ' D. Juafi Ximenez Madueño, á D. Mateo Razóla, Para el de Caudilla, vacante por ascenso de cora de Torija. D. Saturnino Carrillo al de Algete, á D. Pedro Para el de Calera, vacante por muerte de Don Amonio Areta , clérigo de prima. Francisco Valdivieso, á D. Antonio Martinez Ve- Para el de Armuña de Tajuña, vacante por l…</t>
  </si>
  <si>
    <t>de Calomarde, Tadeo Francisco</t>
  </si>
  <si>
    <t>Tadeo Francisco de Calomarde</t>
  </si>
  <si>
    <t>pacho ordinario, y en la que esta nueva junta continuará dia­ riamente sus sesiones á las 10 de la maña­ na , nombraron por su secretario al de S. M. D. Tadeo Francisco de Calomarde , oficial mayor de Ja secretaría ¡dejest^doy del des/</t>
  </si>
  <si>
    <t>690</t>
  </si>
  <si>
    <t>despacho ordinario, y en la que esta nueva junta continuará diariamente sus sesio­ nes alas 10 de la mañana, nombraron por su secretario al de S. M. D. Tadeo Francisco de Calomarde, oficial mayor de la secretaría de estado y del despacho universal de gracia y jus­ ticia : y acordaron que sin pérdida de tiempo se publique tor …</t>
  </si>
  <si>
    <t>de Cam, Luis Sabates y</t>
  </si>
  <si>
    <t>Luis Sabates y de Cam</t>
  </si>
  <si>
    <t>ha concedido empleos de alf reces en el regimien­ to de Reales Guardias españolas á D Manuel Vázquez, tenien­ te del de infantería i.° de ¿-.aboya; á D. Luis Sabates y de Cam­ po, subteniente del de Granada, á D. Antonio del Valle y Casti­ llo, subteniente del de Irlanda; á D. José Joaquín de la Mata, ayu­ dante del l.° de in…</t>
  </si>
  <si>
    <t>de Campos, Joan</t>
  </si>
  <si>
    <t>Joan de Campos</t>
  </si>
  <si>
    <t>roquia de S. Juan de villa de Gomares , vacante por muerto do D. Fran-; la propia ciudiidVva'canté pór- muerte de E&gt;. Fran­ ciscó-Santos Aguila* '} á:D. Joan de Campos , cura cisco de Verges, al presbítero.O. GailleimopUo- ecónoúioüdéOlías.-"-'' rcno, teniente de cara de lamisma parroquia. ~. •• Para el beneficio 'de la parro…</t>
  </si>
  <si>
    <t>de Campos, Juan</t>
  </si>
  <si>
    <t>Juan de Campos</t>
  </si>
  <si>
    <t>el lance de atacarnos á la ba­ huela» vacante por promoción de D. Pedro Muñoz yoneta; pero en esta especie de combate tan fuer-* al de Casabermeja, á D. Juan de Campos, pres­ tes somos nosotros cómó ellos.” {The Star.) bítero. Nuestro ministro ¡uterino de Negocios ecle­ ESPAÑA. siásticos queda encargado del cumplimiento de es…</t>
  </si>
  <si>
    <t>de Cañas, Manuel</t>
  </si>
  <si>
    <t>Manuel de Cañas</t>
  </si>
  <si>
    <t>stín Gamell. D. Tomas Perez. D. Bernardo Barril. D. Francisco Berdejo. D. Camilo Gamboa. D. Esteban Gómez. D. Pascual Santander. D. Mateo Norzagarai. D. Manuel de Cañas. I&gt;. J uan Picdrahica. Subtenientes. D. Ramón Rada. D. Antonio Robillar. D. Ramón Nocedal. . D. Eduardo Santiago Palomares. D. Fcrinin Carnerero Vela* D. Clau…</t>
  </si>
  <si>
    <t>de Cañas, Nicasia</t>
  </si>
  <si>
    <t>Nicasia de Cañas</t>
  </si>
  <si>
    <t>..59$6 17 D. Josef de Bono.............................,,1 6190 4 D. Ramón Gil.Gallo,.......*........... 3610 D Baltasar Fernandez...,,,....,. 3315 i Doña Nicasia de Cañas...... ................. 5234 *7’ P-. Josef Masart D. Juau Pablo.Malnero,...... ............... 7S8i D. Gonzalo Du*.&lt;Je RibjWa.-..-a^*;.vv 22500 1 D. Juan R…</t>
  </si>
  <si>
    <t>D ña Ana de Angulo............................. 13 238 7 La casa de Rivas Peña y compañía... 9C.05 16 Los señores Dendoat hermanos.......... 5 202 3» Doña Nicasia de Cañas.......................... 11603 28 D. Apo'inar de Iguana............... ........ I 2CO D. Ma nuil María Ibañez....................... 10603 28 Doña Sinfori…</t>
  </si>
  <si>
    <t>de Cancmisma, María Josefa</t>
  </si>
  <si>
    <t>María Josefa de Cancmisma</t>
  </si>
  <si>
    <t>.....................1600 19200 tido de Alcalá, pertenecieron D¿ igá 2o3 cepas, con una ca­ á las capellanías que fundó sa y unos herrenes, que en la Doña María Josefa de Cancmisma villa del Prado perte­ nia , y á la de Juan Gutiérrez, necieron á los ex-dominicos y rentan al año.......... ............ j8ii 3173» de Avila.....…</t>
  </si>
  <si>
    <t>de Cárdenas, Francisco</t>
  </si>
  <si>
    <t>Francisco de Cárdenas</t>
  </si>
  <si>
    <t>lá, idem 3. D. Sebastian de Vargas , agente de renta*. D. Casimiro de la Paz Acosta, agregado coa D. Francisco Molina, escribano de millones. sueldo. D. Francisco de Cárdenas, idem de alcabala*. D. Josef María Moñiz, ídem. D. Alexo de Navas , ídem. Tesorería principal. D. Francisco Domínguez, ídem. D. Josef Bfitran . ídem. D.…</t>
  </si>
  <si>
    <t>e fu­ sileros a D. Angel García , y subtenencia á D. Fernando Pmango ; y en el de Voluntarios de la Patria , co?npañías á D. Pedro Al­ cántara Rute , D. Francisco de Cárdenas , D. Antonio Labrandero , y D. Francisco Federic ; ayudantes, á D. Diego Zapata y D. J¡ a i Diestre; tenencias, á D. Fernando de Prado, D. Manuel Sa­ la…</t>
  </si>
  <si>
    <t>de Cárdenas, Manuel</t>
  </si>
  <si>
    <t>Manuel de Cárdenas</t>
  </si>
  <si>
    <t>do , REI de las Espa— del prefecto. ñas y de las Indias Comandante del batallón del quartel del Sal­ Hemos decretado y decretamos lo siguiente? vador D. Manuel de Cárdenas. articulo i. ,, Quedan nombrados secretarios Jdem del de S. Vicente D. Joan María Saavedra. generales de prefectura los sugetos que á continua­ Idem del de…</t>
  </si>
  <si>
    <t>de Carranza, Lucas</t>
  </si>
  <si>
    <t>Lucas de Carranza</t>
  </si>
  <si>
    <t>s de 253 hombres, por medio de un Boulade y Casad35517 avan t.............................. 13766 33 ataque bridante á bavonet i calad*, uue exeenrr- D. Lucas de Carranza, hermanos........ 5*091 22 ron.el regimiento 113.° y los volteadores del Vís­ D. Francisco Criado.................................. 3C7°5 tula. El general P…</t>
  </si>
  <si>
    <t>.............. 992 D. Josef Bonar........................................ 722 Madrid 2 de marz*. D. Francisco de las Barreras............ 149970..25! D. Lucas de Carranza...................... 170805.. 17 . AVISO. • D. Pedro del Rio. ....................... 14660.. 2 El dia f del corrienre, á las xa en panto de la El hospital…</t>
  </si>
  <si>
    <t>de Carvalho, Antonio Manuel</t>
  </si>
  <si>
    <t>Antonio Manuel de Carvalho</t>
  </si>
  <si>
    <t>ándose como eí 4 de agosto en la Puebla : tanto este como el mayor Paulino fueron levemente heridos por los lanceros. El comandante de la vanguardia, coronel Antonio Manuel de Carvalho y llenó todas mis esperanzas. Mi pérdida fue muy pequeña, y me consta que hay soldado que se quedó con 80 piezas de de¿po-</t>
  </si>
  <si>
    <t>de Cas, Carlos</t>
  </si>
  <si>
    <t>Carlos de Cas</t>
  </si>
  <si>
    <t>dido el decreto siguiente: Barreiro: subteniente del regimiento de Murcia Extracto de las minutas de la secretaría de núm. 2.0 de infantería ligera á D. Carlos de' Cas­ Estado. tillo: subteniente de caballería de línea a D J &gt;aEn nuestro palacio de Madrid á 28 de mayo quin Peíino; y teniente de infantería de línea á Don de 18…</t>
  </si>
  <si>
    <t>de Cas, Francisco</t>
  </si>
  <si>
    <t>Francisco de Cas</t>
  </si>
  <si>
    <t>65</t>
  </si>
  <si>
    <t>o ter­ ra de riego en el término de: mino, pago de Cambes....... 1404 16848?: Ambrps,, que se hallap arren­ Once marjales de tierra de riego, dados'á D. Francisco de Cas­ en el referido término y pa­ ’i' - . tro en....................................... 24J6 *947*. gode Alcalay........ ......... . 1056 12673 Cincuenta y cinco…</t>
  </si>
  <si>
    <t>de CasáimHio, Al Papa</t>
  </si>
  <si>
    <t>Al Papa de CasáimHio</t>
  </si>
  <si>
    <t>soldados le­ el de la Bohemia al conde Carlos de Kollowrath- gionarios que guardan las costas. Los súbtenientet Krakowski; el de la Hungría at feid- mariscal Al- Papa de CasáimHio , y'Francia deP.dinura han vinci; el de Ja Gallitzia al príncipe de Reoss- contribuido particularmcpte, por su denuedo y Píatien; $X"áe ja Transíiv…</t>
  </si>
  <si>
    <t>de Casara, Angel Pusqual</t>
  </si>
  <si>
    <t>Angel Pusqual de Casara</t>
  </si>
  <si>
    <t>12 0.0 Juan Miguel Aznar, 345. D. Angel Pusqual de Casara! , tenien­ te de milicias provinciales de Toíuca, y subdelegado del partido de Temoscaitepea, 200., D. Ignacio de la Piedra, y D. José Ar­ món a , vecinos de Tepecuaquilco , 500. El intende</t>
  </si>
  <si>
    <t>de Casas, Josef</t>
  </si>
  <si>
    <t>Josef de Casas</t>
  </si>
  <si>
    <t>órdoba 27 de enero de 1810. — Firmado. D. Josef Madrid y Oviedo, idem 2. D. M.nuel Diez de Casto, idem 4. Asimismo la villa de Pedro Abad, de 300 ve­ D. Josef de Casas, agregado coa sueldo. cinos , á seis leguas de esta ciudad , ha enviado una D. Ramón Perez, portero. diputación compuesta del cura párroco D. Francis­ co Ortiz…</t>
  </si>
  <si>
    <t>de Casasola, José María</t>
  </si>
  <si>
    <t>José María de Casasola</t>
  </si>
  <si>
    <t>y D. Miguel Larraz. Empleos de alféreces en el regimien­ to de Reales Guardias Españolas , á los cadetes del mismo cuer­ po , D. Juan Manuel Coghen, D. José María de Casasola, D. Ra­ món de Melgarejo, D. José de las Cuevas, D. Ramón de Zuluaga, D. José María de Vergara , D. Francisco Xavier Villarino, D. Juan de Vargas, D. Be…</t>
  </si>
  <si>
    <t>de CasaViélla, Simón</t>
  </si>
  <si>
    <t>Simón de CasaViélla</t>
  </si>
  <si>
    <t>i.».............. 17576 .16 D.Manqel Barcena..... i4»59 &gt;71 D. Jdsef La Crouts;;;.;.....20216 B. Felipe Blanco.».............................. jj22a- D. Simón de CasaViélla.'.......... ....... . 119^0 , , D. Jojian de Aparicio y Pálatíos*..».1;1 • n 73-'' 8f D: Tdáñ de Oliver;;;.;... ......... . 265 7 7/ R Cristóbal ^ludreosi…</t>
  </si>
  <si>
    <t>de Casso, Pedro Díaz</t>
  </si>
  <si>
    <t>Pedro Díaz de Casso</t>
  </si>
  <si>
    <t>idem de alcabala*. D. Josef María Moñiz, ídem. D. Alexo de Navas , ídem. Tesorería principal. D. Francisco Domínguez, ídem. D. Josef Bfitran . ídem. D. Pedro Díaz de Casso, tesorero principal. D. Miguel de la Oliva, meritorio sin sueldo. D. Vicente Díaz de Casso, oficial. D. Juan de la Portería, caxero. Contaduría de propios.…</t>
  </si>
  <si>
    <t>de Casso, Rafael Díaz</t>
  </si>
  <si>
    <t>Rafael Díaz de Casso</t>
  </si>
  <si>
    <t>carnicerías. D. Antonio de Ellatt, visitador de rentas pro­ D. Antonio de Villoslada, oficial primero. vinciales. D. Francisco de la Oliva , ídem a. D. Rafael Díaz de Casso, abogado fiscal. D. Agustín Martínez de Alcalá, idem 3. D. Sebastian de Vargas , agente de renta*. D. Casimiro de la Paz Acosta, agregado coa D. Francisco…</t>
  </si>
  <si>
    <t>de Casso, Vicente Díaz</t>
  </si>
  <si>
    <t>Vicente Díaz de Casso</t>
  </si>
  <si>
    <t>ipal. D. Francisco Domínguez, ídem. D. Josef Bfitran . ídem. D. Pedro Díaz de Casso, tesorero principal. D. Miguel de la Oliva, meritorio sin sueldo. D. Vicente Díaz de Casso, oficial. D. Juan de la Portería, caxero. Contaduría de propios. D. Francisco González, portero. D. A rtronio Díaz Balcongo, oficial primero. Córdoba 27…</t>
  </si>
  <si>
    <t>de Castejon, Josef Martínez</t>
  </si>
  <si>
    <t>Josef Martínez de Castejon</t>
  </si>
  <si>
    <t>e disfruta. La sencillez de las decoraciones y Torre , D. Rafael de Entrena, D. Josef de Au-tria, la riqueza de los trages son superiores á todo elo­ D. Josef Martínez de Castejon , D. Francisco Ruiz gio. Los pintores del teatro imperial se han mani­ Blanco de Cea , D. Miguel de Morales , D. Manuel festado dignos sucesores de…</t>
  </si>
  <si>
    <t>de Castilla, Antonio</t>
  </si>
  <si>
    <t>Antonio de Castilla</t>
  </si>
  <si>
    <t>D. Atexo:Mariria.,....VJ.......'.;í.;,6t2fy D.a María Juana Hurtadode Mendoza. 43 81 x 26' D. Juan Soto.......... 550 Deña María de Loreto Hurtado de D. Antonio de Castilla.5054 Mendoza..................................‘......... 43811 26 D. Juan Alanuel de UzafCguiv......1595 3 D.a María Ignacia de Romaté y Villegas. 96900 L…</t>
  </si>
  <si>
    <t>de Castilla, Juan</t>
  </si>
  <si>
    <t>Juan de Castilla</t>
  </si>
  <si>
    <t>60</t>
  </si>
  <si>
    <t>1400 pares están ya concluidos y próximos k remitirse. CADIZ 28 DE DICIEMBRE. El teniente de artillería de marina y segundo ayudante del mismo cuerpo D. Juan de Castilla, hallándose el l.° de fe­ brero de este año en Santa Olalla, fué comisionado por sus gefes con un subteniente , 50 artilleros y 60 escopeteros á descu­ brir …</t>
  </si>
  <si>
    <t>de Castilla, Manuel</t>
  </si>
  <si>
    <t>Manuel de Castilla</t>
  </si>
  <si>
    <t>534 rczl cuerpo de Ingenieros á D. José Gardillo , subteniente del regimien­ to de infantería imperial de Toledo, D. Manuel de Castilla, alférez de dragones de Aimansa, D. Mariano Miguel Polo, subteniente del de Amé­ rica, D. Francisco de Barraycua, de el del Príncipe, D. Domingo Luisdel Valle, del de España, D. Mariano de</t>
  </si>
  <si>
    <t>de Castro, Adrián García</t>
  </si>
  <si>
    <t>Adrián García de Castro</t>
  </si>
  <si>
    <t>al de España á jo* señor** E2KJDÍ! de empleo de la renta. Nevares; D. Luis Adell, capitán de caballería; art. iv. Nuestros ministros de lo Interior y D. Adrián García de Castro, capitán de navio , y de Hacienda quedan encargados , cada uno en la director del real colegio de náutica de S. Telmo; parte que le toca, de la execuc…</t>
  </si>
  <si>
    <t>de Castro, Ana María</t>
  </si>
  <si>
    <t>Ana María de Castro</t>
  </si>
  <si>
    <t>erdadera por la constitución del estado, REI de ias Aspa­ propiedad de los bienes que'dexó la difunta marque­ bas y de las Indias. sa viuda de Ovicco Doña Ana María de Castro, se cita, „ Habiendo cesado las circunstancias que mo­ llama y emplaza á todas las personasJ, de qualquier c! ise tivaron nuestro decreto de 13 de setie…</t>
  </si>
  <si>
    <t>de Castro, Antonio Darán</t>
  </si>
  <si>
    <t>Antonio Darán de Castro</t>
  </si>
  <si>
    <t>Bernardo Mártinez, por la provincia de Orense: D. Pedro Cortinas por idern: O. Diego Muñoz Torrero, por ía de Extremadura: D. Manuel Laxan por idem: D. Antonio Darán de Castro , por la de Tuy: D. Agustín Rodríguez Bahamonde por ídem: D. Francisca Calvet y Rivacoba, por la ciudad de Gerona: D, José Salvador López del Pan, por …</t>
  </si>
  <si>
    <t>de Castro, Evaristo Perez</t>
  </si>
  <si>
    <t>Evaristo Perez de Castro</t>
  </si>
  <si>
    <t>o extraordinario y ministro plenipotenciario cerca del príncipe regente de Portu­ gal , con residencia en Lisboa. Sucede en este importante destino á D. Evaristo Perez de Castro, oficial mayor de la primera secre­ tarla de estado, quien ce orden superior se restituye á servir su plaza, y á continuar en ella los méritos contra…</t>
  </si>
  <si>
    <t>394</t>
  </si>
  <si>
    <t>l Castillo y Carroz, enviado extraordinario, y minis­ tro plenipotenciario de S. M. C. ; y el mismo di a obtuvo au­ diencia de despedida su antecesor D. Evaristo Perez de Castro.</t>
  </si>
  <si>
    <t>ónimo Ruiz, Suplente por la de Segovia: D. Francisco de la Serna, suplente por la de Avila: D. Fran­ cisco Eguía, jupíente por el señorío de Vizcaya: D. Evaristo Perez de Castro , suplente por la provincia de Valladolid: D. Domingo Dtieñasp suplente por la de Granada: D. Francisco de Sales Rodríguez de Barce­ na .suplente por…</t>
  </si>
  <si>
    <t>endo procedido las Cortes generales y extraordinarias a' la reno­ vación de su presidente, vice-presidente, y el mas antiguo de sus dos se­ cretarios D. Evaristo Perez de Castro, han sido elegidos para presidente el Sr. D. José Morales Gallego, diputado en Cortes por la junta su­ perior de Sevilla i para vice-presidente el Sr…</t>
  </si>
  <si>
    <t>de Castro, Francisco</t>
  </si>
  <si>
    <t>Francisco de Castro</t>
  </si>
  <si>
    <t>de esta ciudad y de febrero de 181 o. su partido; D. Pedro León Rodríguez; D. Josef Gran cancillería de la Orden Real de España. Osorio de los Ríos; D. Francisco de Castro , ca­ Don Josef Napoleón por Ja gracia de Dios y pitán de ñafio ; D. Josef de la Concha , capitán re­ por la constitución del estado» REI de las España* ti…</t>
  </si>
  <si>
    <t>de Castro, Francisco Fernandez</t>
  </si>
  <si>
    <t>Francisco Fernandez de Castro</t>
  </si>
  <si>
    <t>franceses solo son invencibles quando encuentran en los españoles , ó una perfidia conocida, ó una co­ bardía indigna de esté nombre.” O . NOTA. Este D. Francisco Fernandez de Castro es el primoge-* nito del marques de Barrio -lucio, casa antiquísima de Burgos , que habiendo merecido de la suprema Junta de gobierno de España …</t>
  </si>
  <si>
    <t>de Castro, Ignacia</t>
  </si>
  <si>
    <t>Ignacia de Castro</t>
  </si>
  <si>
    <t>ido de Atadrid baxo las órdenes dei general Doña Xaviera de Osma............................ 45025 10 conde Milhaud , marchó hácia su extremo derecho Doña Ignacia de Castro........................... 22770 ara entrar en comunicación con ci. El general Mil- Doña Francisca Rodríguez Palomeque. 3 1 «,00 aud se dirigió sobre Cuen…</t>
  </si>
  <si>
    <t>de Castro, Joan</t>
  </si>
  <si>
    <t>Joan de Castro</t>
  </si>
  <si>
    <t>Pa’ra la de Laroles al ex-franciscano observante do la tranquilidad en la provincia. D. Ramón Zurita. Para la de Benalúá al ex-franciscano observante D. Joan de Castro. " S. M. ha expedido el decreto siguiente: Para la de Isnalloz al ex- franciscano observan­ Extracto de las minutas de la secretaría de te D. Diego Martin. • E…</t>
  </si>
  <si>
    <t>de Castro, Juan</t>
  </si>
  <si>
    <t>Juan de Castro</t>
  </si>
  <si>
    <t>, que te ha fizado Irizarri, m ¡estrescuela; D. Ju.n R monde Ubi- en los puestos públicos. llos , arcediano de Pevtroches ; D. Ba tasar Yusta, prior; D. Juan de Castro, chantre ; D Josef Ubi- PROCLAMA DE S. M. Iio» , tesorera; D. Francisco Argnte ; D. Francisco Don Josef Napoleón por la gracia de Dios y de Barcia ; D. Ped o S…</t>
  </si>
  <si>
    <t>de Castro, Juan Antonio</t>
  </si>
  <si>
    <t>Juan Antonio de Castro</t>
  </si>
  <si>
    <t>Ottá deíla Pieve, de Perugia y de Spoleto. Córdoba , vacante por muerte de D. Antonio Ve­ i tli. Las diócesis suprimidas se reunirán de este nero, á D. Juan Antonio de Castro. «»odo; las de Palestrina, Terrarios, Sezze, Piper- Para una canonpíi de la misma, vacante por ^no y Ostia Velletri á la diócesi de Anagni. La de fallec…</t>
  </si>
  <si>
    <t>de Castro, Juan Bautista</t>
  </si>
  <si>
    <t>Juan Bautista de Castro</t>
  </si>
  <si>
    <t>561</t>
  </si>
  <si>
    <t>nuestras partidas en todos los puntos de la península son muchas, y á Jas veces contienen noticias singulares y curio­ sas. En una carta escrita por D. Juan Bautista de Castro, co^ mandante general de Córdoba, al ministro O-Farrill, se leen los estados del regimiento'‘primero de infantería de línea, y primero de cazadores á c…</t>
  </si>
  <si>
    <t>de Castro, Juan Luis</t>
  </si>
  <si>
    <t>Juan Luis de Castro</t>
  </si>
  <si>
    <t>Gaceta de Madrid n.º 90</t>
  </si>
  <si>
    <t>el REI. S. M. les di- teniente coronel; y capitán del regimiento mím. 1.® xo ,,que los testimonios de fidelidad y los parabie­ de infantería ligera á D. Juan Luis de Castro. nes qne habían venido á ofrecerle le eran mui gra­ tos; pero que esperaba del patriotismo de loses- Madrid 50 de marzo. pañoles otro homenage mas útil; e…</t>
  </si>
  <si>
    <t>de Castro, Miguel</t>
  </si>
  <si>
    <t>Miguel de Castro</t>
  </si>
  <si>
    <t>s de la secretaría de Batallón del quartel de Avapies. Estado Capitán, D. Pedro María Iribarren. En nuestro palacio de Madrid á 19 de mayo Teniente , D. Miguel de Castro. de i 81 o. Subteniente, D. Manuel Gabiria. Don Josef Napoleón por la gracia de Dios y por la constitución del estado, REI de las Espa- Batallón del quartel …</t>
  </si>
  <si>
    <t>de Castro, Nicolás</t>
  </si>
  <si>
    <t>Nicolás de Castro</t>
  </si>
  <si>
    <t>de policía, y nombraron un * gobernador militar. Los individuos de la junta son D. José de las Llamosas, D. Martin Tovar Ponte, D. Feliciano Palácip; D. Nicolás de Castro, D. Juan Pablo Ayala, D. José Cortés; D. Hilario Mora, D. Isidro Mendez, D. Francisco Rivas; D. Rafael González, D. Valentín Rivas, D. José Félix Sosa; D. J…</t>
  </si>
  <si>
    <t>de Castro, Rodrigo</t>
  </si>
  <si>
    <t>Rodrigo de Castro</t>
  </si>
  <si>
    <t>Gaceta de Madrid n.º 128</t>
  </si>
  <si>
    <t>parte de sus qúantiosas rentas. prácticas,,' y en la restitución del decoro debido al Ciertamente que los debates que en el pontificado santuario. de D. Rodrigo de Castro se suscitaron en esta ciudad sobre si convendría erigir beneficios cura­ Madrid y de mayo. dos , hacen poco honor á ¡a ilustración y desinte-r El director d…</t>
  </si>
  <si>
    <t>de Cavia, Manuel</t>
  </si>
  <si>
    <t>Manuel de Cavia</t>
  </si>
  <si>
    <t>ánchez, alterez de fragata graduado, con­ tramaestre de- construcción, 25. D. Gaspar Botets, primer cirujano , 4c. D. Lúeas Obbes, asesor, 3$ y 4 rs. D. Manuel de Cavia, $5 y 4 rs. - —</t>
  </si>
  <si>
    <t>de Ccbrian, Gabriel Rodríguez</t>
  </si>
  <si>
    <t>Gabriel Rodríguez de Ccbrian</t>
  </si>
  <si>
    <t>.-............ .............. 64500 5 D. Juan Manuel García Rubia............ 18042 14 14 Doña Josefa Piedra.................................. 691 24 D. Gabriel Rodríguez de Ccbrian...... 1Ó860 IÓ860 13 Q D. Andrés García deRoxas................. 1470 D. Francisco de Gordon Rozas y D. Lucio de la Peña................. .......…</t>
  </si>
  <si>
    <t>de Cea, José</t>
  </si>
  <si>
    <t>José de Cea</t>
  </si>
  <si>
    <t>. José Valcarcel, suplente por la de Salamanca: D, José Zorraquin, • suplente por la de Madrid: D. Manuel García Herreros , suplente por la de Soria: D. José de Cea, suplente por la de Córdoba: D. Juan Clímaco Quintano , suplente por la de Palencia: Q. Gerónimo Ruiz, Suplente por la de Segovia: D. Francisco de la Serna, suple…</t>
  </si>
  <si>
    <t>de Celis, Francisco</t>
  </si>
  <si>
    <t>Francisco de Celis</t>
  </si>
  <si>
    <t>I vuestra constancia y lealtad serán ad­ miradas de los amigos, y envidiadas de los mismos enemigos. _______________ * ........... Oferta patriótica. D. Francisco de Celis , dueño del café del Correo en Cádiz, deseoso de coadyuvar en algún modo á la jus­ ta causa que defendemos, admite en dicha su casa hasta el núme­ ro de 30…</t>
  </si>
  <si>
    <t>de Celis, Francisco Rubín</t>
  </si>
  <si>
    <t>Francisco Rubín de Celis</t>
  </si>
  <si>
    <t>el Oro. El subdelegado D. Tomas Diaz de Matos, 10. D. Gaspar Pereyra, 35. D. Jasé Francisco Rebota, 10. D. Tomas de Amezúa, 10. D. Juan de-Isasi, 12. D. Francisco Rubín de Celis, 12. D. Francisco Redondo, 10. D. Ignacio CeFerino Perez, 12. D. José Saracho y otros individuos de la hacienda de Ramos, 54. El jus­ ticia y vecinos…</t>
  </si>
  <si>
    <t>de Cerrcdo, Manuel López</t>
  </si>
  <si>
    <t>Manuel López de Cerrcdo</t>
  </si>
  <si>
    <t>............. D. Amonio di Castilla.......................... 1500 40514.. 7 78913.. 3 5333r.. 7 D, Esteban de la Torre........................ 22000 D. Manuel López de Cerrcdo............... 27609-28 D. Basilio Fernandez.............................. 170.-25! D. Guillelmo Peironet....................... 20628.. 7 D. Benito d…</t>
  </si>
  <si>
    <t>de Céspedes, Manuel Mana</t>
  </si>
  <si>
    <t>Manuel Mana de Céspedes</t>
  </si>
  <si>
    <t>íaz Ribera , todos tres alcal­ Re -1 de Madrid , que comunique de ia plazuela de des del crimen en dicha co-n i!¿ rio S. Esteban á la de la Paz. Y' á D. Manuel Mana de Céspedes, fiscal del art. ii. Nuestro ministro de lo Interior que­ crimen en el ftiimio tribunal, para la piaaa de fis­ da encargado de 11 execucion dei nre-ic…</t>
  </si>
  <si>
    <t>de Cevalíos, Isabel María</t>
  </si>
  <si>
    <t>Isabel María de Cevalíos</t>
  </si>
  <si>
    <t>5 Jnes de todas clases; mas de 300 cañones, y 3go2J D. Julián López de Mena................ 1263 17 libras de pólvora Un cuerpo de 63 españoles , en­ Doña Isabel María de Cevalíos........ 41 51 17 viados por el duque del Parque para socorrer á D. Santiago Gavirati......................... 8754 8f Sevilla, habiendo sido preven…</t>
  </si>
  <si>
    <t>de Cevallos, Antonio</t>
  </si>
  <si>
    <t>Antonio de Cevallos</t>
  </si>
  <si>
    <t>o, 10. D. Manuel Anguiz, 50. D. Joan Manuel de Ortiz, 300. D. Antonio Aunada, 150. D. Toribio de Mateo y Ramos, 300. D. Manuel Cayetano Espinosa, 150 D. Antonio de Cevallos, 200. D. Manuel Campoy, 10. D. Jasé Ignacio Ruiz, 10. D. José Urquides, 10. D. Ignacio Campoy, 20. D. Pedro Quirós, 10. D. Bernardo Zarala, 15. D Manuel V…</t>
  </si>
  <si>
    <t>de Cevallos, José Antonio</t>
  </si>
  <si>
    <t>José Antonio de Cevallos</t>
  </si>
  <si>
    <t>00. El Escribano D. Manuel Vidal , 100. D. Rafael de Ibarra , 100. D. Francisco Ascorve , 50. D. Juan Lucas Oíavarricta , 400. D. Roque Martínez, 50. D. José Antonio de Cevallos , 100. D..Juan Francis­ co de Senties, 100. D. Joaquin Pérez de Arce, 100. D. Julián de Cortabuena, 100. D. José Alvarez, 100. D. Pedro Miguel de Ech…</t>
  </si>
  <si>
    <t>de Chaves, Ramón María</t>
  </si>
  <si>
    <t>Ramón María de Chaves</t>
  </si>
  <si>
    <t>ce escribir por su mandado. — D. José Colon. — D. Sebas­ tian de Torres.— D., Bernardo Riega.—D. José Salcedo. — D. Luis Meíendez Bruna. — Canciller, D. Ramón María de Chaves..— Registrada, D. José Rebollo.— Es copia.de su ori­ ginal.— Esteban Varea* El Consejo de Regencia de los reynos de España é Indias, sorprehendidO' con …</t>
  </si>
  <si>
    <t>de Checa, Cándido</t>
  </si>
  <si>
    <t>Cándido de Checa</t>
  </si>
  <si>
    <t>man­ dias , y arzobispo de Zaragoza. dante de esta compañía á D.Juan María de Cár- Igualmente ha nombrada consejeros de Estado denas; para teniente á D. Cándido de Checa, y á D. Joaquín Solís y al conde de Cartr jal, y ha para subteniente á D. Francisco de Paula Gon­ promovido á teniente general al mariscal de campo zález. D.…</t>
  </si>
  <si>
    <t>de Checa, Jos-Y</t>
  </si>
  <si>
    <t>Jos-Y de Checa</t>
  </si>
  <si>
    <t>thes por el — Marques de I car. are. ni del acta de las constituciones del 24 de D Gerónimo Moreno. abril de 18,10, formarán un depa&gt;t*mento parti­ ' D Jos-Y de Checa. cular con la denominación de departamento de las Merques de la Grar-ja. bocas del Escalda. Marques de C.s: ¡leja. art. 11. El departamento de las bocas del Es­…</t>
  </si>
  <si>
    <t>de Choya, Andrés Alfonso</t>
  </si>
  <si>
    <t>Andrés Alfonso de Choya</t>
  </si>
  <si>
    <t>........................ 2 i 39 S. Ildefonso......................................... IOCOOO D. Leandro Sar.dobal............................ 18579 1 D. Andrés Alfonso de Choya............. 2 2000 D. Pedro Flores Quevedo................... 39 í 9 1 D. Pedro Irigoen y Almansa............. 67200 D. Frutos de Alvaro Benito......…</t>
  </si>
  <si>
    <t>de Ciarán, Manuel</t>
  </si>
  <si>
    <t>Manuel de Ciarán</t>
  </si>
  <si>
    <t>á evacnar el territorio de que se trataba, El comandante de León tomó de ¿cuerdo con de manera que-foe necesario echar mano de la fuer­ el intendente D. Manuel de Ciarán las medidas ne­ za , y e/ 6 de mayo se atacó á la fortaleza turca de cesarias para la defensa de la cmdad, c.so qce los Izahich. Los bosniacos fueron dispers…</t>
  </si>
  <si>
    <t>de Ciscar, Gabriel</t>
  </si>
  <si>
    <t>Gabriel de Ciscar</t>
  </si>
  <si>
    <t>fin , abriendo juiciosa­ hemisferios, en la expedición del mando del Señor mente este nuevo rumbo al comercio de Filipinas Malaspina, calculadas por D. Gabriel de Ciscar: para sus expediciones: á vista de bahía Botánica se 4.0 noticia de lo acaecido en la campaña de la cor­ observé ün eclipse de sol, y entraron ambas cor­ bet…</t>
  </si>
  <si>
    <t>de Cisneros, Baltasar Hidalgo</t>
  </si>
  <si>
    <t>Baltasar Hidalgo de Cisneros</t>
  </si>
  <si>
    <t>Gazeta de la Regencia de España e Indias n.º 63 (extraordinaria)</t>
  </si>
  <si>
    <t>608</t>
  </si>
  <si>
    <t>. En estas circunstancias un acaecimiento extra­ ordinario de la capital aumentó la confusión con el dolor. El pueblo de Buenos-Ayres depone al virey D. Baltasar Hidalgo de Cisneros, establece una junta provisoria para mandar la provincia á nombre del rey y con sujeción al gobierno cen­ tral de España, y pasa exhorto á esta c…</t>
  </si>
  <si>
    <t>682</t>
  </si>
  <si>
    <t>mas que reconocían la soberanía de nuestro au­ gusto monarca el Sr. D. Fernando vii. Acercándonos mas á la cuestión del dia , vemos que el Excmo. Sr: D. Baltasar Hidalgo de Cisneros recibió gazetas en que se comunicaba el Consejo de Regencia erigido en Cádiz. S. E. no dudaría de su ver­ dad, pues las dio al público por medio …</t>
  </si>
  <si>
    <t>de CLee, Fernando</t>
  </si>
  <si>
    <t>Fernando de CLee</t>
  </si>
  <si>
    <t>lián Josef Gancedo...................... 1107 16 Daña ínc Ortiz de Zirate................. 783 37 D josef líaren............................. 2346 17 D. Fernando de CLee....... ................. 34 Í4 D. Manuel Agüeros, como marido de D. Pedro Antonio de Echfvar-ía...... 62:7 Sf Doá M iría Nicola a Agüeros....... 3268 17 D. P…</t>
  </si>
  <si>
    <t>de Clemente, Fermín</t>
  </si>
  <si>
    <t>Fermín de Clemente</t>
  </si>
  <si>
    <t>D. Francisco Escudero , suplente por la de Navarra : D. Francisco González, suplente por la de Jaén: D. Esteban Palacios, suplente por la de Caracas: D. Fermín de Clemente, suplen­ te por Caracas: y D. Francisco Fernandez Golfín, diputado por Ex­ tremadura. Salieron todos á las 9 y media en punto de esta mañana formados con e…</t>
  </si>
  <si>
    <t>de Cobentzel, Feiipe</t>
  </si>
  <si>
    <t>Feiipe de Cobentzel</t>
  </si>
  <si>
    <t>de Lichteustein en Un decreto del 23 de setiembre contiene las el destino de comandante general del Austria. disposiciones siguientes: Al nombrar el conde Feiipe de Cobentzel á su articulo 1. „ Queda suprimida la lotería por sobrioo el conde Covong por su heredero univer­ clases que se ha jugado hasta ahora en Hanróver. sal ,…</t>
  </si>
  <si>
    <t>de Coca, Andrés</t>
  </si>
  <si>
    <t>Andrés de Coca</t>
  </si>
  <si>
    <t>as D. Martin Saravia. ca hacer las evoluciones militares. Regidores. París 7 de junio. Marqués de Lorcro. Se acaba de publicar un senado-consulto or­ D. Andrés de Coca. gánico , cuyas disposiciciones son las siguientes : „ Marques de Rivas. articulo 1. ,,Las islas de Walcherer», Sud- ^ D. Franchco Cavaleri. Bevdand , Nord-Bev…</t>
  </si>
  <si>
    <t>de Con, Juan</t>
  </si>
  <si>
    <t>Juan de Con</t>
  </si>
  <si>
    <t>o y sensible. halla instruido el público por la relación impresa en ,, Esta última fue una prenda tan característica 1802 : las del teniente de navio D. Juan de Con­ de la Francia, como de la España, en paz y eu cha, que recorrió toda la cosr3 desde el rio de la guerra en los tiempos pasados: el cíelo bará que Plata hasta pue…</t>
  </si>
  <si>
    <t>de Contreras, Pedro</t>
  </si>
  <si>
    <t>Pedro de Contreras</t>
  </si>
  <si>
    <t>llón á los El Emperador Napoleón ha conferido al señor - que á continuación se expresan. barón de Dalberg, antiguo embaxador de S. A. R. ^ Capitanes. D. Pedro de Contreras, £). Diego el gran duque de Badén en Paris, y sobrino de Coelio, D. Rafael de Quesada, D. Fernando de S. A. R. nuestro Soberano, el título de duque de Aran…</t>
  </si>
  <si>
    <t>de Cór, Antonio</t>
  </si>
  <si>
    <t>Antonio de Cór</t>
  </si>
  <si>
    <t>En fin , él catíttno&gt;:puede gloriarse la nación.--Las dos expedicio­ » minante perdido , y por decirlo asi, engolfado en nes hechas al Magallanes por D. Antonio de Cór- «la vasta soledad de estos desiertos páramos , es -doba , al paso que resolvieron el problema de no «menester que recurra al cielo si quiere saber sn 'Conveni…</t>
  </si>
  <si>
    <t>de Corcuera, Pedro Hurtado</t>
  </si>
  <si>
    <t>Pedro Hurtado de Corcuera</t>
  </si>
  <si>
    <t>Joaquín Ruiz Huidobro, 100. El teniente de navio D. Miguel Iriarte, no. El sub­ inspector del arsenal D. Nicolás Meñaca, 110. El teniente de fragata D. Pedro Hurtado de Corcuera, 160. El teniente de navio D. Domingo Allende, 50. El teniente de fragata D. José Roldan, 80. Id. D. Manuel Borras, 40. Id. D. Benito Lago, 35. El al…</t>
  </si>
  <si>
    <t>de Córdoba, Angela</t>
  </si>
  <si>
    <t>Angela de Córdoba</t>
  </si>
  <si>
    <t>Gaceta de Madrid n.º 59 (suplemento)</t>
  </si>
  <si>
    <t>to Fernandez: otro de dos fanegas, donde dicen la Tablilla, linde tierras de Antonio López; y otro de una fanega al camino de Madrid, linde tierra de Doña Angela de Córdoba.............................. aya 5 544 Total de casas y tierras................... 384746 4.619472 De forma que el producto de estas casas y tierras asci…</t>
  </si>
  <si>
    <t>-iTS Otra ile 4 fan., camino de Ulescas, que lin­ Otra camino de Pinto, de 4 fán., linde con da a mediodia con mayorazgo de Córdoba. 109 2398 otra de Doña Angela de Córdoba, con Otra término del Rasillo, incorporada en la que está incorporada...... ........................ - 72-i7 159» otra de la capellanía de Gaspar Venero, …</t>
  </si>
  <si>
    <t>de Córdoba, Rosalía</t>
  </si>
  <si>
    <t>Rosalía de Córdoba</t>
  </si>
  <si>
    <t>500. D. Fermin Ramón Barrera, 500. D. Fran­ cisco Buch y. Truxillo, 400. D. Juan Palau, 1000. D. Esteban Fernan­ dez de León, 1000. D. P. M. V., 100. Doña Rosalía de Córdoba, 20. D. Benito de Labra, 40. D. Lázaro Elejalde, 1000. D Lorenzo Rodrí­ guez Sánchez, 1000. Costello, hermanos, iooo. D. Manuel Ortiz de Muga y su muger …</t>
  </si>
  <si>
    <t>de Corres, Miguel</t>
  </si>
  <si>
    <t>Miguel de Corres</t>
  </si>
  <si>
    <t>4 Doñaj jauría del Rosario, Reinoso., • 1624 1 fx D. Ternas Recio.......... ............i5.....;.?79^']2S^ D.Sixto. Espinosa..»........;.,: .1 901 8® D. Miguel de Corres......................4.-; . .5400^,«. ÍX:J uá n¡ Ma u ti........... ■ D,. . Patricjo Sainz............. .1637 ¡¡,^7 l4; dirección de trabajos -hidrográ- r * …</t>
  </si>
  <si>
    <t>ido á nuestro conse­ JD. Manuel Pescador Calderón, y jo de Estado, Doña María Manuela Gómez....... .. 6300 Hemos decretado y decretamos lo siguiente: D. Miguel de Corres......... ............. . 140000 articulo i. ,,Se declaran acreedores del Es­ D. Jcwef López de Arcos................. 120000 tado á D. Mariano Antonio Marcos…</t>
  </si>
  <si>
    <t>de Cortabuena, Julián</t>
  </si>
  <si>
    <t>Julián de Cortabuena</t>
  </si>
  <si>
    <t>ucas Oíavarricta , 400. D. Roque Martínez, 50. D. José Antonio de Cevallos , 100. D..Juan Francis­ co de Senties, 100. D. Joaquin Pérez de Arce, 100. D. Julián de Cortabuena, 100. D. José Alvarez, 100. D. Pedro Miguel de Echevarría ,.200. El Sr. Bri­ gadier D. Manuel Mascaré , 100. D: Juan Su are z , 25. D. Manuel de Luna, 25…</t>
  </si>
  <si>
    <t>de Costa, Cristóbal</t>
  </si>
  <si>
    <t>Cristóbal de Costa</t>
  </si>
  <si>
    <t>s montañas, ai mismo tiempo que ocupaba á Cibreira. El general Hill me da parte de que el primer regimiento de caballería portuguesa manda­ do por el coronel Cristóbal de Costa embistió á una partida de caballería francesa, persiguiéndola hasta las inmediaciones de Penamacor , matándole 12 hombres , y haciéndole 18 pri­ sione…</t>
  </si>
  <si>
    <t>de Coz, Martin</t>
  </si>
  <si>
    <t>Martin de Coz</t>
  </si>
  <si>
    <t>200. D. José Mariano Al mansa , 200. D. Juan Tomas de Migueleña, 200. I). Miguel José de íriarte , 200. D. Angel Gonzá­ lez, 400. I). Juan Lobo 200. D. Martin de Coz , 100. D. Pedro Garay , 200. 1). Manuel Bertimati, 200. D. Pedro de Sierra Diaz, 100. D. Juan Bautista Garaycochea , 100. D. Tomas Barbadillo , 200. D. Mateo Bat…</t>
  </si>
  <si>
    <t>de Creft, Carlos</t>
  </si>
  <si>
    <t>Carlos de Creft</t>
  </si>
  <si>
    <t>874</t>
  </si>
  <si>
    <t>que pudieron es­ capar hacia Gerona, quedaron todos muertos ó prisioneros. Nosotros tuvimos un húsar y un caballo heridos; Elogia Claros al teniente D. Carlos de Creft y al alférez D. Jorge Percira.— Con fecha de 18 de setiembre comunicó desde Faíset el barón de Laharre que el teniente coronel D. Mariano Villa le daba parte e…</t>
  </si>
  <si>
    <t>de Cucalón, Ramón</t>
  </si>
  <si>
    <t>Ramón de Cucalón</t>
  </si>
  <si>
    <t>tenien­ tes D. Domingo Antonio Loriga, graduado de capitán , al teniente de artilleros á caballo , graduado de capitán D. Joaquín de Montene­ gro , á D. Ramón de Cucalón , y á D. Cristóbal de Reyna graduado de capitán : á tenientes á los subtenientes D. Manuel Espejo , á Don Vicente González Yebra , graduado de capitán , *y a…</t>
  </si>
  <si>
    <t>de Cuviller, Henin</t>
  </si>
  <si>
    <t>Henin de Cuviller</t>
  </si>
  <si>
    <t>costa del -Báltico hasta las fiontcras de la tras tropas mandadas por el general Minucci. El Pumerania sueca. Aunque los franceses han eva­ ayudante-comandante Henin de Cuviller , coman­ cuado'la Pomerauia&gt; £Í«i embargo las costas de es­ dante de armas de aquélla plaza , hizo la entrega ta provincia estarán guarnecidas por tr…</t>
  </si>
  <si>
    <t>de D, Antonio Leiral y Doña María</t>
  </si>
  <si>
    <t>Antonio Leiral y Doña María de D</t>
  </si>
  <si>
    <t>D. Pedro Flores Quevedo................... 39 í 9 1 D. Pedro Irigoen y Almansa............. 67200 D. Frutos de Alvaro Benito................. 99102 2 D. Antonio Leiral y Doña María de D. Andrés Requena................................ i49&gt;8 los Dolores de Belandia su muger. 46907 2 D. Antonio Arboré............................…</t>
  </si>
  <si>
    <t>de D, Francisco</t>
  </si>
  <si>
    <t>Francisco de D</t>
  </si>
  <si>
    <t>................................. 177000 Doña Francisca de Paula García, có1 El conde de Montarco, por 2 id.......... *5592--,45 mo tutora de su hijo D. Francisco de • D. Juan Andrés de Lumbida, por ac­ Andrés García.............. ...... ............... 2037- a ciones y réditos.................................... 48319.. 2 4 …</t>
  </si>
  <si>
    <t>de D, Francisco IXiImau y</t>
  </si>
  <si>
    <t>Francisco IXiImau y de D</t>
  </si>
  <si>
    <t>or convencimiento de la beneficencia del REI*, quez, del magistral de la catedral D. Pablo Andeino menos importa qne por medio de reflexiones- ro, dé D. Francisco IXiImau y de D. Josef Viei* no menos sabias y juiciosas se ¡nstruyaa de las ven* ma. Este medio sencillo servirá eficazmente á que tajas de la constitución; y la tr…</t>
  </si>
  <si>
    <t>de D, Juan Esiéban</t>
  </si>
  <si>
    <t>Juan Esiéban de D</t>
  </si>
  <si>
    <t>o Grao Osorbia, ex-carmeli­ Doña María Polonia de Nanclares... 275 2 1 ta descalzo............................................ 44000 Los herederos de D. Juan Esiéban de D. Juan Bautista Vallejo, ex-bene­ la Presa................................................ 731 3 dictino.................................................... …</t>
  </si>
  <si>
    <t>de D, Juan Ramón de Aguirre y</t>
  </si>
  <si>
    <t>Juan Ramón de Aguirre y de D</t>
  </si>
  <si>
    <t>ntander á mediados del año próximo pasado, de Arratia ; asistió á los robos de D. Marcos de á tiempo que le conducían para Francia, huyó cer­ Gordia, D. Juan Ramón de Aguirre y de D. Ge­ ca de esta villa; se entregó desde luego al desor­ rónimo de Campos, y al saqueo de las cinco casas den , sometiéndose á Ja disposición de u…</t>
  </si>
  <si>
    <t>de D, Miguel</t>
  </si>
  <si>
    <t>Miguel de D</t>
  </si>
  <si>
    <t>egui....... ..................... 20020 D. Manuel Sánchez Toscaño, pór sí y ! D. Gabriel Louguet.............................. 3600 como apoderado de D. Miguel de D.. Andrés Dávila.................................. 4602 i y •Ericede , Doña María Concepción.................. D. Antonio López................................. 46…</t>
  </si>
  <si>
    <t>de D, Pa</t>
  </si>
  <si>
    <t>Pa de D</t>
  </si>
  <si>
    <t>Palacio, habilitado. Para el de Faentes de los Oteros , vacante por Para el de Llanabes, vacante por promoción muerte de D. Tomas Fernandez Monge , á D. Pa ­ de D. Josef del Palacio al de S Pedro de los Ote­ blo Rodríguez Cármenes, presbítero, cura de V¡- ros, á D. Fó ix Ramírez, tonsurado. llacalbiel. Para el di V “ga Cernej…</t>
  </si>
  <si>
    <t>de DALMACIA, DUQUE</t>
  </si>
  <si>
    <t>DUQUE de DALMACIA</t>
  </si>
  <si>
    <t>42</t>
  </si>
  <si>
    <t>on el segundo cuerpo del exércúo baxo las órdenes del príncipe de Esiing, para maniobrar sobre Aícántara, y por la derecha del Tajo. II. DEL MISMO AL MARISCAL DUQUE DE DALMACIA. Dieppe 27 de mayo de 1810.....S. M. me encarga también le diga que extraña ese armamento de todos los pueblos de España y no puede con - ’ehender com…</t>
  </si>
  <si>
    <t>de Deus, Roque</t>
  </si>
  <si>
    <t>Roque de Deus</t>
  </si>
  <si>
    <t>798</t>
  </si>
  <si>
    <t>o de Hi­ guera, 4 Santiago Escudero, 4. José Serrilias, 4. Antonio Chapel, 4. Jayme Ríos, 4. Juan Vicedo, 4. Dependientes de la provisión de víveres. D. Roque de Deus, maes­ tre, 27. Infantería de Marina. Saturio Estéban, sargento segundo, 14. Fran­ cisco Saez, cabo segundo, 9. ídem primero¿ Juan José Sola, 8. Maria­ no Casas…</t>
  </si>
  <si>
    <t>de Diego, Gregorio Simón</t>
  </si>
  <si>
    <t>Gregorio Simón de Diego</t>
  </si>
  <si>
    <t>Mariano de San Juan. D. Dámaso Machuca. D. Mariano Lfanderal. D. Pascual Carsi. D. Víctor Moreno. D J uan de ios Heros. D Vicente Per^ti. Tenientes. D. Gregorio Simón de Diego. D. Ramón Vartureu. D Macuel Alevio. D. Diego Castro. D. Juan Lecanda. • D. Josef Casalc. D. Plácido Ffexalde. D. Ramón Pando. D. Cj i*o Garc.a. D. Tom…</t>
  </si>
  <si>
    <t>de Don, Ramón Lázaro</t>
  </si>
  <si>
    <t>Ramón Lázaro de Don</t>
  </si>
  <si>
    <t>, D. Do­ mingo García Quintana, por la de Lugo: D. Andrés Morales de los Ríos, por la ciudad de Cádiz: D. Antonio Llaneras, por la isla de Mallorca: D. Ramón Lázaro de Don , por Cataluña: D. Alonso Maria de la Vera y Pantoja , por la ciudad de Mérida: D. Antonio Capmani, por Cata­ luña : D. Juan María Herrera, por Extremadura…</t>
  </si>
  <si>
    <t>de E-trada, Juan</t>
  </si>
  <si>
    <t>Juan de E-trada</t>
  </si>
  <si>
    <t>Torres y Xrmenez: para por la constitución del estado, REI de las Espa­ la de 1 &lt;s Ventas de Huelmas ai ex-agustino des­ rtas y de las Indias. calzo D. Juan de E-trada: para la primera de ia Hemos decretado y decretamos lo siguiente: JC5Í esia mayor de Loxa ai ex mínimo D.- Francisco artículo 1. ,, Los tesoreros de las provin…</t>
  </si>
  <si>
    <t>de Ea, Ramón</t>
  </si>
  <si>
    <t>Ramón de Ea</t>
  </si>
  <si>
    <t>cortados y sin co­ articulo 1. ,, Nombramos para la sacristía de municación con el ejército del lord Wellington. Santa María de la villa de Caniles á D. Ramón de ■ Ea atención r esto parecj inevitable y próxima la Sola, ex-dominico, prior y examinador sinodal. pérdida de Oporto. Los habitantes y negociantes Para la de S. Pedr…</t>
  </si>
  <si>
    <t>de Eceta, José</t>
  </si>
  <si>
    <t>José de Eceta</t>
  </si>
  <si>
    <t>uos del expresado real cuerpo ; y empleos de alféreces de fusileros en el mismo á D. Joaquín Montufar, ayudante del regimiento provincial de Xerez, y D. José de Eceta, teniente del de infantería de Málaga. . En atención á las circunstancias de D. Joaquín Bayona y La peña, caballero pago del rey nuestro señor D. Fernando vii ,…</t>
  </si>
  <si>
    <t>de Eche, María Concepción</t>
  </si>
  <si>
    <t>María Concepción de Eche</t>
  </si>
  <si>
    <t>....... 17882 16 „Iíl dia 3 de este me« ha debido el quarto Cuer­ D. Antonio Oñativia......................... 1623 5 28 po ocupar á Málaga y Guadix. Doña María Concepción de Eche­ „ El regimiento de suizos de Reding, fuerza varría............................................ 92830 22 de 1500 hombres muí lucidos y disciplinado…</t>
  </si>
  <si>
    <t>de Echevarría, Pedro Miguel</t>
  </si>
  <si>
    <t>Pedro Miguel de Echevarría</t>
  </si>
  <si>
    <t>sé Antonio de Cevallos , 100. D..Juan Francis­ co de Senties, 100. D. Joaquin Pérez de Arce, 100. D. Julián de Cortabuena, 100. D. José Alvarez, 100. D. Pedro Miguel de Echevarría ,.200. El Sr. Bri­ gadier D. Manuel Mascaré , 100. D: Juan Su are z , 25. D. Manuel de Luna, 25. 1). Ramón de Echavarría, 50. Compañía de Julia y m…</t>
  </si>
  <si>
    <t>de Echevarría, Pedro Ramón</t>
  </si>
  <si>
    <t>Pedro Ramón de Echevarría</t>
  </si>
  <si>
    <t>exército del centro cañones, te de la comisión, 7o* limos. Sres, D. Josef Ignacio díoero, fusiles, caballos, monturas, municiones,y Joven de Salas 7 D. Pedro Ramón de Echevarría, 'todo género de pertrechos de guerra (ti). tu tal consejeros de Estado, y los Sres. D. Di maso de estado para no abandonar esta junta superior el go…</t>
  </si>
  <si>
    <t>de Echeverría, Pedro Ramón</t>
  </si>
  <si>
    <t>Pedro Ramón de Echeverría</t>
  </si>
  <si>
    <t>as. ,, En el núrn. 64 de este periódico sejo; y los limos. Sres. D. Josef Ignacio Joven d« indicamos que la insurrección de Alemania se ase­ Salas, y D Pedro Ramón de Echeverría, del mis­ guraba con alguna probabilidad. En el dia pode­ mo con cjo de Estado.__ El señor Corregidor sa­ mos con satisfacción corroborar aquel anunc…</t>
  </si>
  <si>
    <t>perder de vista las costas de su nati­ ñuela é limos. Sres. D. Josef Ignacio Joven d¿ Sa­ vo suelo. Es verdad que mientras los principios ele­ las y D. Pedro Ramón de Echeverría, consejeros mentales de la náutica estuvieron ignorados ó ceñi­ de Estado, y los Sres. D. Dámaso de la Torre, dos á tan estrechos límites, padecían i…</t>
  </si>
  <si>
    <t>de Echfvar-ía, Pedro Antonio</t>
  </si>
  <si>
    <t>Pedro Antonio de Echfvar-ía</t>
  </si>
  <si>
    <t>..... 783 37 D josef líaren............................. 2346 17 D. Fernando de CLee....... ................. 34 Í4 D. Manuel Agüeros, como marido de D. Pedro Antonio de Echfvar-ía...... 62:7 Sf Doá M iría Nicola a Agüeros....... 3268 17 D. Placido Ortiz de E&gt; exa: te............ 4'- 202 17 D. Josef Perez- Aguilera...........…</t>
  </si>
  <si>
    <t>de Eg, Francisco</t>
  </si>
  <si>
    <t>Francisco de Eg</t>
  </si>
  <si>
    <t>as, dexandó abier­ ta serle una. — Dios guárde á V. E. muchos anos,-—Gibrá lar 13 de marzo de 1810. — Excmo. Señor. A el i ni Jaco me. — Excmo. Señor D. Francisco de Eg 11. ' „á_,xem -17 s enor. El brigadier D. Francisco zalez uac liace presente en el día de áyer desde los</t>
  </si>
  <si>
    <t>de Egida, Francisco</t>
  </si>
  <si>
    <t>Francisco de Egida</t>
  </si>
  <si>
    <t>S. M. — Dios guarde á. V. E. muchos años. Quartel ge­ neral de Badajoz 13 de mayo de 1810. — Excmo. Señor. — E? mar­ ques de la Romana. —Excmo. Señor D. Francisco de Egida.5* wExcmo. Señor: Habiéndome avisado el coronel D. Pablo Morillo que los enemigos se aproximaban á atacar el'punto 'que cubre, dis­ puse enviar íi su socor…</t>
  </si>
  <si>
    <t>de Eguía, Fiancisco</t>
  </si>
  <si>
    <t>Fiancisco de Eguía</t>
  </si>
  <si>
    <t>de Castaños, presidente. — Francisco de Suave dra.—Antonio de Escaño.—Miguel de Lardizabal y Zfnbe. En la real isla de León á 8 de mayo de 1810. — A D. Fiancisco de Eguía.’* La junta superior del reyno de León ha dirigido al Consejo de Regencia de España é Indias la carta que sigue. S ñ &gt;r : La junta superior del reyno de Leó…</t>
  </si>
  <si>
    <t>de Eguía, Francisco</t>
  </si>
  <si>
    <t>Francisco de Eguía</t>
  </si>
  <si>
    <t>les quantos auxilios tienen pedi­ dos. — Dios guarde á V. E. muchos años. &gt;— Gibraltar 13 de marzo de 1810. — Excmo. Sr.—Adrián Jácome. —« Excmo. Sr. D. Francisco de Eguía.” CADIZ: EN LA IMPRENTA REAL.</t>
  </si>
  <si>
    <t>de Eguia, Francisco</t>
  </si>
  <si>
    <t>Francisco de Eguia</t>
  </si>
  <si>
    <t>Gazeta de la Regencia de España e Indias n.º 11</t>
  </si>
  <si>
    <t>nifestaba V. E. el nombramiento que habla hectio el Consejo de Regencia para desempeñar la Secretaría de Espado y del Despacho de la Gaerru en el Sr. D. Francisco de Eguia, y la de Marina en el Sr. D. Ga­ briel Ciscar, el reconocí cnient &gt; de la Regencia hecho por el Su­ premo Consejo de España é Indias , por ei Exhcito , por…</t>
  </si>
  <si>
    <t>de Eguía, Joaquín</t>
  </si>
  <si>
    <t>Joaquín de Eguía</t>
  </si>
  <si>
    <t>ncias de les terceros batallones de los regi­ mientos de infantería de Ordenes militares , y de Leales de Fernan­ do VII á D. José María Carrillo , y D. Joaquín de Eguía : grado de coronel de infantería , en conformidad del real decreto de 9 de marzo del año próximo pasado , al teniente coronel D. José de ViIlalba ; y agregac…</t>
  </si>
  <si>
    <t>de Eguiarrcta, Joaquin</t>
  </si>
  <si>
    <t>Joaquin de Eguiarrcta</t>
  </si>
  <si>
    <t>23 107.. 2 2 D. Félix Martínez de Tejada................ 15000 D. Basilio Ramón Fernandez.............. 11903-28 los directores de la compañía de Po­ D. Joaquin de Eguiarrcta, por su apo­ zuelo......................... .......................... a 0000 derado D- Juan l eran........ .............. 11103-28 Dovat, hermanos y co…</t>
  </si>
  <si>
    <t>de Eguiarreta, Joaquín</t>
  </si>
  <si>
    <t>Joaquín de Eguiarreta</t>
  </si>
  <si>
    <t>............................ a/ipSS"1® D. Domingo Torrecilla.......................... 27525.-22 D. Andrés Hume, por id- id................ 95Ó42-*23 D. Joaquín de Eguiarreta, patrono y D. Juan Hume, por id. Id............ . 32ii4-.a6 poseedor de la memoria que fundó D. Frutos Alvaro Benito, por rs. vn... 150000 Doña Paula Ma…</t>
  </si>
  <si>
    <t>de Egura, Francisco</t>
  </si>
  <si>
    <t>Francisco de Egura</t>
  </si>
  <si>
    <t>. Fer­ nando Barbolla, IV José CansLo, D. Fernando Teruel, D. José A-mat, IV A*gu¡»tin Amat, D. Pedro Aívarez, y D. Víctor Alvarez. Por él Excmo. Sr. D. Francisco de Egura, Secretario de Esta­ do y del Despacho -un i versal de la guerra-, s*e ha circ ulado á ios generales eurefe dé los exércitos de operaciones, capitanes ge­ …</t>
  </si>
  <si>
    <t>de EH, José Joaquín</t>
  </si>
  <si>
    <t>José Joaquín de EH</t>
  </si>
  <si>
    <t>Palacio Ro­ mán .i, 200. Los empleados de la administración , contaduría y al­ macenes de reales azogues, 210. Lt&gt; Tercera de Santo Do­ mingo , 200. D. José Joaquín de EH/akle, ademas de servir gratis ríe capitán, 200. La Orden Tercera d^ S. Francisco, 200. Eí ba­ chiller D. Francisco Barros , vecino de Sib o, ofrece por diez…</t>
  </si>
  <si>
    <t>de EHacurriaga, Manuel</t>
  </si>
  <si>
    <t>Manuel de EHacurriaga</t>
  </si>
  <si>
    <t>1*899* D. Joaquín Antoniode- Sojo.i..186000 , D. Félix Perez...................-.v.mP.UV • i 996' -J*D. Manad de Lució Gutiérrez.»».,;:.. *w 1800ÓO &lt; D. Manuel de EHacurriaga...;rÍv.Wrw.ViJ ‘ "'qcüV'-zí*; La testamentiría-del coiidiíf'd&lt;í'Atb&lt;»i-: - ‘ • »• D. D&amp;maso de*la-Torr«,......- i65ót;8:-20l re por su apoderado D. Liis…</t>
  </si>
  <si>
    <t>de Eiejalde, Plácido Ortiz</t>
  </si>
  <si>
    <t>Plácido Ortiz de Eiejalde</t>
  </si>
  <si>
    <t>us servicios ¿ hacer mas pomposas las ceremonias fú­ D. Frutos de Alvaro Benito por.......... 13560 nebres executadas en los dias que bao estado aqui D. Plácido Ortiz de Eiejalde,-........ 1774a..25 los ^cadáveres de escos dos ilustres guerreros. La D. Vicente García Bravo...................... 1 JOO misma guardia ha tenido e…</t>
  </si>
  <si>
    <t>de Eiizalde, Julián</t>
  </si>
  <si>
    <t>Julián de Eiizalde</t>
  </si>
  <si>
    <t>contra nuestro gobierno, aunque no se para una canongía de la colegiata de Xerez de ia fiaya seguido el efecto, y el impedir ó disuadir á Frontera: á D. Julián de Eiizalde, medio-racio­ las municipalidades la jasta defensa contra las lla­ nero de la santa iglesia metropolitana de Granada, madas guerrillas ó quadrillas de band…</t>
  </si>
  <si>
    <t>de Einsiedel, Jorge</t>
  </si>
  <si>
    <t>Jorge de Einsiedel</t>
  </si>
  <si>
    <t>. también un cordon de tropas en los paises fronte­ De un día á otro llegará aquí de Petersburgo rizos á aquel imperio, á fin de hacer que nuestro el conde Jorge de Einsiedel, nombrado embaxador territorio sea respetado, y para-no exponer á los de nuestra corte en París. El señor Helwig , que ha 6Úbditos austríacos á invasion…</t>
  </si>
  <si>
    <t>de Elexaga, Luis</t>
  </si>
  <si>
    <t>Luis de Elexaga</t>
  </si>
  <si>
    <t>García de Rozas............ 56000 D. Josef Lidon....................................... 45 1 8f D. Fernando del Campo....................... 51957 22 D. Luis de Elexaga................................. 3700 81 D. Joaquin Peral................................... 73220 D. Josef Mallada.................................... 1444 D…</t>
  </si>
  <si>
    <t>de Elizalde, Fermín</t>
  </si>
  <si>
    <t>Fermín de Elizalde</t>
  </si>
  <si>
    <t>e de Salvatier­ ra, 640. D. Juan S. Román , 100 D. Agustín Butler, 2000 D José Alvareda é hijos, 306* D: Juan Manuel S. Román, 100, D. M. D. D., 320. D. Fermín de Elizalde, 3000. D. Tomas de la Cuesta, 500. Don Alexandro de la Parra, 500. D. Fermin Ramón Barrera, 500. D. Fran­ cisco Buch y. Truxillo, 400. D. Juan Palau, 1000.…</t>
  </si>
  <si>
    <t>de Ellatt, Antonio</t>
  </si>
  <si>
    <t>Antonio de Ellatt</t>
  </si>
  <si>
    <t>D. Nadal Barbona , fiel de ganado vivo, inte­ rino; este individuo se lia presentado hoi. Contaduría principal. D, Josef López, fiel de carnicerías. D. Antonio de Ellatt, visitador de rentas pro­ D. Antonio de Villoslada, oficial primero. vinciales. D. Francisco de la Oliva , ídem a. D. Rafael Díaz de Casso, abogado fiscal. D…</t>
  </si>
  <si>
    <t>de Elorduy, José</t>
  </si>
  <si>
    <t>José de Elorduy</t>
  </si>
  <si>
    <t>tenemda coronela del regimiento de dragones l.° de Lusitamaá D. Nico ás del Campo, comandante del tercer esquadron del propio cuerpo ; esta resulta i D. José de Elorduy, capitán dei de cabañería del Príncipe ; com­ pañía ai ayudante D. Pedro Viilare»! ; ayudantía á D. Vicenta Blanco, y esta resulta al capitán graduado D. José…</t>
  </si>
  <si>
    <t>de En, Gervasia García</t>
  </si>
  <si>
    <t>Gervasia García de En</t>
  </si>
  <si>
    <t>20 D. Rafael Riesco...!............................ 84000 Extracto de las minutas de la secretaría de D. Vicente de Anduaga, como ma­ Estado. rido de Doña Gervasia García de En nuestro palacio de Madrid i 25 de junio Montenegro....... ............................... 70000 de 1810. D. Manuel Martínez...........................…</t>
  </si>
  <si>
    <t>de En, Inés</t>
  </si>
  <si>
    <t>Inés de En</t>
  </si>
  <si>
    <t>Gaceta de Madrid n.º 86</t>
  </si>
  <si>
    <t>rde, sé ‘ re­ baras ka ke k¡ ko ku. presentará por la compañía española la comedia én tire* Num. 2 ° Egemplo. actos titulada Reinar después de morir, Doña Inés de En egemplo ' a ve vmd. que está escrito con g, j Castro, y la opereta' del Engañador engañado. nOs ba quitado la .r ; pero en cambio nos ha aumentado, En el dé JajC…</t>
  </si>
  <si>
    <t>de En, Juan de la</t>
  </si>
  <si>
    <t>Juan de la de En</t>
  </si>
  <si>
    <t>debo ser «u juez severísimo, y descubrir las nuli­ D. Silvestre Gutierre* á subteniente de la mis­ dades de su doctrina. ma compañía en la vacante de D. Juan dé la De­ En primer lugar en ninguna parte se halla tic» hesa. testimonio histórico de peso, el qual pruebe que D. Juan David Gordon á teniente de la segun­ Talés recono…</t>
  </si>
  <si>
    <t>de Entrena, Rafael</t>
  </si>
  <si>
    <t>Rafael de Entrena</t>
  </si>
  <si>
    <t>l tenor Nozzari ha sostenido la reputación nador honorario, y los jurados D. Manuel de la de que disfruta. La sencillez de las decoraciones y Torre , D. Rafael de Entrena, D. Josef de Au-tria, la riqueza de los trages son superiores á todo elo­ D. Josef Martínez de Castejon , D. Francisco Ruiz gio. Los pintores del teatro imp…</t>
  </si>
  <si>
    <t>de Erenas, José</t>
  </si>
  <si>
    <t>José de Erenas</t>
  </si>
  <si>
    <t>985</t>
  </si>
  <si>
    <t>cutó con presteza, llegando tan á tiempo, que quando una división enemiga se dirigía hacia las salinas, mandé al sargen­ to mayor de dicho regimiento D. José de Erenas enviase 200 hombres para cortarles su dirección : y lo hicieron con tal va­ lentía , que obligaron á los enemigos á retroceder y tomar una altura donde se colo…</t>
  </si>
  <si>
    <t>de Eróles, Barón</t>
  </si>
  <si>
    <t>Barón de Eróles</t>
  </si>
  <si>
    <t>844</t>
  </si>
  <si>
    <t>e dirigí á Esparraguera con la caballería y voluntarios de Aragón. ^— El dia 8, practiqué un reconocimiento en el Bruch y Casamasanas, y le señalé al brigadier Barón de Eróles la posición que debia ocupar, dispuse varias cortaduras y le de*xé igualmente mis instrucciones: y también comuniqué las •que debian observar las divis…</t>
  </si>
  <si>
    <t>de Es, Juan</t>
  </si>
  <si>
    <t>Juan de Es</t>
  </si>
  <si>
    <t>perial en España, go­ guel Espronceda: subteniente en el regimiento.de bernador general de Aragón = conde Sucket. Jaén, 8.° de infantería de línea, á D. Juan de Es­ pinar: subteniente en el regimiento núm. 3.°de ca­ Zaragoza sj de mayo. zadores á caballo á D. Miguel Ibañez: capitán de Queriendo el Excmo. Sr. gobernador genera…</t>
  </si>
  <si>
    <t>de Escoval, Josef Antonio</t>
  </si>
  <si>
    <t>Josef Antonio de Escoval</t>
  </si>
  <si>
    <t>............................. ' -5805 Doña Josefa Vázquez Silva...;.............. 1444 D. Manuel de Moya.............................. 14856..3» ‘ ' D. Josef Antonio de Escoval.......-..... • 1083 D. Benito de', la Mata-Linares..,„u...... . ■- 30000* D. Manuel Rodríguez............................ 180..17 D.' Juan Bauiista Co…</t>
  </si>
  <si>
    <t>de Escpy, Josef Martínez</t>
  </si>
  <si>
    <t>Josef Martínez de Escpy</t>
  </si>
  <si>
    <t>sticos , hayan acredita­ cicmer.o de la .referida iglesia patriarcalpara una do una buena y pacífica conducta , sana moral , y ráeíqn de la m¡!¡u?a á D. Josef Martínez de Escpy que no abandonaron sus conventos, ni se han mez­ váV* cura de la parroquia de S. Lorenzo; y para clado en las .turbulencias pasadas, ¡dos'medias racio…</t>
  </si>
  <si>
    <t>de ESPAÑA, Secundino</t>
  </si>
  <si>
    <t>Secundino de ESPAÑA</t>
  </si>
  <si>
    <t>Gaceta de Madrid n.º 52</t>
  </si>
  <si>
    <t>ades de Xerez , Mediña-Sidonia nocido en el .departamento de Giéaó va. y S. Locar de Barrameda, presidida esta última por su gobernador el brigadier. D. Secundino de ESPAÑA. Salamanca. Asimismo se han presentado á S. M. "Valíadalid 5 defebrero. otros varios oficiales y el brigadier D. Diego de Orbaneja, antiguo coronel del re…</t>
  </si>
  <si>
    <t>de Espina, Esteban</t>
  </si>
  <si>
    <t>Esteban de Espina</t>
  </si>
  <si>
    <t>............. . 36641. .17 D. Abdres de Saucal.......... .................. 6988.. 17 D. Juan Bertevin...................... ...... ...... 15613.. 8J D. Esteban de Espina, por su apode­ El real Hospicio de Madrid, por snano rado D. Pedro Antonio Senosiain.... 233000 de su tesorero D. Josef- Díaz de Los reales Hospicios de est…</t>
  </si>
  <si>
    <t>de Espinosa, Josef</t>
  </si>
  <si>
    <t>Josef de Espinosa</t>
  </si>
  <si>
    <t>del año de i8ot. Indicóse allí sio Alcalá Galiano para levantar la carta geográfica con mucha elegancia y precisión su origen y sas de España; y como D. Josef de Espinosa, que ha progresos] sus utilidades para el comercio y la coordinado estas memorias, omitiese por pura mo­ marina española} ios trabajos que ya tenia dados á …</t>
  </si>
  <si>
    <t>roso é ilustrado, y precio 10 rs. en pasta , y 8 en rústica. que se confiaba á uno de los sabios mas dígaos que ha tenido la nación. En 1792 yen 1800 D. Josef de Espinosa, y TRATEOS. en 1795 D. Dionisio Galiano, presentaron también En el del Príncipe, á las siete de la noche, se re­ presentará la comedia original española en …</t>
  </si>
  <si>
    <t>memoria de un gran númegracias; presentaron al ministerio en el año de 1787 ' ro de lugares en que se ha observado astronómica­ í&gt;. Dionisio Galiano, D. Josef de Espinosa, D Jo- mente la latitud y longitud; y que por la exacti­ s.f María Lanz y D. Aíexandro Bclmonte un pro­ tud y métodos con que se han fixado estos elemen­ ye…</t>
  </si>
  <si>
    <t>de Estenoz, María-Ana Ramírez</t>
  </si>
  <si>
    <t>María-Ana Ramírez de Estenoz</t>
  </si>
  <si>
    <t>oñá Gqrónima Aguiiar.....'.UVA.¡i 11240. D. Antonio Ronvillard..................... 1708: i8! D.'Pedro Madrid.................ñe/../.......1 2cS t 8; Doña María-Ana Ramírez de Estenoz. 22JOO D. Francisco Tiburcio de Iturríba'rWá. 2 1 60 D.a María Teresa Montero de la Concha. 7503-14 D. Cayetano Luis Maeso...l.9000 Boulade y C…</t>
  </si>
  <si>
    <t>de Esterhazi, Nicolás</t>
  </si>
  <si>
    <t>Nicolás de Esterhazi</t>
  </si>
  <si>
    <t>rdará» la custodia de las costas. En estos dos puertos se según dicen, en volver 4 esta capital. tiene gran cuidado de impedir la introducción frauEL príncipe Nicolás de Esterhazi, teniente feld­ dulenra de roda especie de mercancías; y los co­ mariscal , y capitán de la guardia noble húngara, mandantes de las tropas, junto c…</t>
  </si>
  <si>
    <t>de Esterhazi, Pablo</t>
  </si>
  <si>
    <t>Pablo de Esterhazi</t>
  </si>
  <si>
    <t>menaza á Rudschuck, Bas- continuó el bombardeo , nos presumimos que in­ grad, Prowodi y Warna.” tentaron llamar nuestro exército por aquella parte El príncipe Pablo de Esterhazi , nombrado por para hacer con el suyo algún movimiento hacia S. M. 1. embaxador extraordinario, y ministro ple­ otro punto. Ciudad- Rodrigo está ente…</t>
  </si>
  <si>
    <t>de Exea, Fulgencio</t>
  </si>
  <si>
    <t>Fulgencio de Exea</t>
  </si>
  <si>
    <t>rras, 40. Id. D. Benito Lago, 35. El alférez de fragata I). Mateo Mozo, 25. Id. D. Lorenzo Sotomayor, 2$. Id. D. Eugenio Loño, 25^ Oficiales mayores. D. Fulgencio de Exea, oficial quinto, conta­ dor, 25. El segundo cirujano D. Juan Gutiérrez Moreno, 30. El cape­ llán D. Gabriel Liobregat, 20. Id. D. Manuel Fontcla, 20. El ter…</t>
  </si>
  <si>
    <t>de Ezterripa, Fermín</t>
  </si>
  <si>
    <t>Fermín de Ezterripa</t>
  </si>
  <si>
    <t>re, D. Antonio Ló­ pez Pardo, 54. Joaquín Azpeytia, dispensero, 11. Francisco García, to­ nelero, 15. Fragata Flora. El comandante, capitán de navio, D. Fermín de Ezterripa , ^co. El capitán de fragata D. Jacinto Romarate, 100. El te­ niente de navio D. Francisco Tooves, 55. Fd teniente ele fragata D. Ma­ nuel de Clemente, 40…</t>
  </si>
  <si>
    <t>de Faez, Bernab S María</t>
  </si>
  <si>
    <t>Bernab S María de Faez</t>
  </si>
  <si>
    <t>amunt, D. Bernardo Cobian y D. Francisco Juárez ; y subtenencias, á D. Juaii de la Fuente , D. Mtnuel Martinez , D. Pió Moron , D. Francisco Alonso , D. Bernab S María de Faez , D. Angel Salazar y Aldao, D. José Pereyra, D. Blas Peinador, D. Antonio Rubín, D. Ra­ món Momeo , D. José Benito Perez , D. Faustino Diez , D. To­ ma…</t>
  </si>
  <si>
    <t>de Faria, Antonia Alvarez</t>
  </si>
  <si>
    <t>Antonia Alvarez de Faria</t>
  </si>
  <si>
    <t>executará en la plazuela de la Vida la Sra. Marquesa de Branciforte........... 146666.. 16 quema de los vales reales y cédulas procedentes de &gt; Sra. Doña Antonia Alvarez de Faria. 480000 la venta de bienes nacionales en subasta y fuera de Doña María Aguilera de Herían, ella , conforme á lo resuelto por S. M. en real de-; admi…</t>
  </si>
  <si>
    <t>Azpiroz,..,........................... 17500 D. Santiago Manuel Garrido............... IO945 El marques de Bajamar.......................... 51877 16 Doña Antonia Alvarez de Faria......... II202 25 D. E ustbio Sai z Manteca.................... 11010 17 D. Fernando de Beingoechea............... 10479 17 Doña Juana Elexaga.....…</t>
  </si>
  <si>
    <t>de Félix, Vitoria</t>
  </si>
  <si>
    <t>Vitoria de Félix</t>
  </si>
  <si>
    <t>ran número y poca extensión de ios estados cuya historia se escribe, que casi todos han caído AVISO. en él olvido mas profundo; aquellos nombres bár­ Doña Vitoria de Félix, oculista con real privile­ baros y sin fama ; la rapidez de las revoluciones; gio, continúa en la curación de las enfermedades de los tantos sucesos que p…</t>
  </si>
  <si>
    <t>de Feria, Francisco Sánchez</t>
  </si>
  <si>
    <t>Francisco Sánchez de Feria</t>
  </si>
  <si>
    <t>­ tos y fortificaciones de la plaza. rez Blanco de Luna a para otra media-ración de la Se dice que mañana saldrán SS. MM. á las 7 de propia iglesia á D. Francisco Sánchez de Feria , pres­ la,mañana. En todos los pueblos por donde han pa­ bítero ex-regular: para una ración de la catedral sado SS. M.\l. desde Ambéres hasta esta…</t>
  </si>
  <si>
    <t>de Feria, Mcrle</t>
  </si>
  <si>
    <t>Mcrle de Feria</t>
  </si>
  <si>
    <t>de observación. q§je habia cuerpo del exército, ha dado cuenta de que el dia f impuesto á los buques procedenres de la Romanía del corriente salió el general Mcrle de Feria y de por l*s voces que habían corrido de que estos ba­ la Parra con la división y la brigada de dragones ques venían cargados de algodones, para cuya in­ …</t>
  </si>
  <si>
    <t>de Fersen, Alexandro</t>
  </si>
  <si>
    <t>Alexandro de Fersen</t>
  </si>
  <si>
    <t>47</t>
  </si>
  <si>
    <t>a del cadáver del príncipe heredero á esta capital se conmovió el pueblo sin que antes se hubiese notado indicio alguno de su descontento é ideas. El conde Alexandro de Fersen que presidia el acompa­ ñamiento en calidad de gran mariscal de la corona, fue insultado, y le fue preciso baxar del coche en que iba, y esconder­ se e…</t>
  </si>
  <si>
    <t>de Fersen, Axél</t>
  </si>
  <si>
    <t>Axél de Fersen</t>
  </si>
  <si>
    <t>ón es bastante fuerte para efeteoer al enemi­ canciller de la universidad dé Upsalen lugar dei go. Es de presumir que los rusos, cansados con difunto conde Axél de Fersen. una campaña qué no, les ba dexado un instante de El gran qnartel general francés de Alemanla .se reposo , tomarán qaanlo antes quarteles de invier­ compone…</t>
  </si>
  <si>
    <t>de Fersen, Fabian</t>
  </si>
  <si>
    <t>Fabian de Fersen</t>
  </si>
  <si>
    <t>regó inmediatamente. La con­ desa Piper y Mr. Rossi /primer médico del principe difunto, fueron arrestados y conducidos á la fortaleza de Waxholm: el conde Fabian de Fersen hizo dimisión del empleó de sumiller de corps , y con esto pareció que se tranquilizaba algnn tanto el pueblo. Sin embargo por la noche insultó la casa de…</t>
  </si>
  <si>
    <t>de Figuercta, Cristóbal</t>
  </si>
  <si>
    <t>Cristóbal de Figuercta</t>
  </si>
  <si>
    <t>co Angulo, maestrante de Sevilla, re­ beneficencia, estos habitantes, en extremo sensi­ gidor. bles á unos-afectos tan paternales, 00 hallan expre­ -’D. Cristóbal de Figuercta, maestrante de Ron­ siones suficientes para manifestar su sincero recono­ da , regidor. cimiento. D. Alonso Pareja, teniente de navio retirado, Sevilla…</t>
  </si>
  <si>
    <t>de Flo, Ana</t>
  </si>
  <si>
    <t>Ana de Flo</t>
  </si>
  <si>
    <t>ve Francisco Romero......... 3* 9 2f¡2j la que vive Alonso de Eeoo... 63 Otra, calle de Media barba, ar­ Otra, calle de Caleros, arren­ 5®4 rendada á Doña Ana de Flo­ dada á María de Lara.......... 363 res............................................. 2904 374 2992 Otra, caite Horno de las Lozas, i Otra, calle Mirez, que tiene…</t>
  </si>
  <si>
    <t>de Flores, Josef</t>
  </si>
  <si>
    <t>Josef de Flores</t>
  </si>
  <si>
    <t>a­ qae han asistido los señores'ministros, el cuerpo ría González, comisionado y escribano público, diplomático, muchos consejeros de Estado, los se­ D. Josef de Flores,’Francisco Lain , Agustín Or­ ñores generales y gefes civiles y militares. Duran­ tega, Juan Iglesias,'cabo de carabineros^ dispersó te la comida ha habido un…</t>
  </si>
  <si>
    <t>de Fontainebleao, Palacio</t>
  </si>
  <si>
    <t>Palacio de Fontainebleao</t>
  </si>
  <si>
    <t>ha publicado el decreto siguiente de S. M. el da encargado de la execucion dej presente decreto. = Emperador : .Firmado = YO EL REI. == Por S. M., el ministro Palacio de Fontainebleao 8 de noviembre de secretario de Estado = Firmado =c Mariano Luis de 1810. Urquijo." . , , Napoleón por la gracia de Dios y de las cons­ titucio…</t>
  </si>
  <si>
    <t>de Fontanar, Josef Para el</t>
  </si>
  <si>
    <t>Josef Para el de Fontanar</t>
  </si>
  <si>
    <t>Alocen. D. Martin Aguilera, á D. Simón de Arce, clérigo Para el de Val hermoso deTajuña, vacante por de prima. muerte de D. Francisco Martinez Gil, á D. Josef Para el de Fontanar, vacante por muerte de Celedonio de Cea , cura de FuencemUlan. D. Diego Félix Pioilla , á D. Josef Ruiz, clérigo Para el de R o macones, vacante por…</t>
  </si>
  <si>
    <t>de Foronda, Valentín</t>
  </si>
  <si>
    <t>Valentín de Foronda</t>
  </si>
  <si>
    <t>blasón eterno del nombre es­ pañol. fGaveta de Valencia). Sevilla 10 de enero. En atención á los distinguidos servicios y .acreditado patriotismo de D. Valentín de Foronda, cónsul gene­ ral y encargado de negocios que ha sido en los Estados-Unidos de América, se ha servido el rey nuestro señor , y en su real nombre la suprema…</t>
  </si>
  <si>
    <t>de FRANCFORT, GRAN DUCADO</t>
  </si>
  <si>
    <t>GRAN DUCADO de FRANCFORT</t>
  </si>
  <si>
    <t>gendarmas á caballo xador cerca de la corte de Petersburgo. han prestado el juramento de fidelidad delante de la bandera que les ha regalado S. M. El general GRAN DUCADO DE FRANCFORT. Thielmann estuvo presente 2 esta ceremonia. Se está organizando en cada jpucblo del reino Francfort 11 de rrt.i)o. una guardia nacional como la…</t>
  </si>
  <si>
    <t>de FRANCFORT, Metter GRAN DUCADO</t>
  </si>
  <si>
    <t>Metter GRAN DUCADO de FRANCFORT</t>
  </si>
  <si>
    <t>Grumm, caballerizo de S. M. el Em­ la ciudad hasta el palacio. perador de Austria , ha pasado por aqui, y va á París con pliegos de su corte para el conde Metter- GRAN DUCADO DE FRANCFORT. nich. No es fácil que conozcan nuestra ciudad los Francfort jo de junio. extrangeros que.no la han visto de cinco años í El gobierno austr…</t>
  </si>
  <si>
    <t>de Frtííos, Antonio</t>
  </si>
  <si>
    <t>Antonio de Frtííos</t>
  </si>
  <si>
    <t>atías..Pgrefc .v-,.,^.^ Cipitan, D. Isidro Totrar. _ Tertléfltey-D. Diego Lope? Aguado*' ’ Téhiéute y Di Manuel Lopéz'GotilIá. - ■* * a. Subteniente, D. Antonio de Frtííos/' k, Subteniente-, D..M &lt;nuel F^guorpa. , - . .-.:r:'‘ ■-.... '■ , eiO?J-.ííT Compañía' dePar aeueUesde' d 50 plazas* Compañía de Vtllamantilla de d ¡O pla…</t>
  </si>
  <si>
    <t>de Frutos, Juan</t>
  </si>
  <si>
    <t>Juan de Frutos</t>
  </si>
  <si>
    <t>ascienDoña Josefa Villamandos. N.° 440797 493605.. 2 de 300 pesos de mayo, 180381 x de 150 de setiembre. Doña Alfonsa Minchel. 307903 1 de ídem ídem. D. Juan de Frutos. 174822 1 de ídem idem. D. Antonio Pablo de Udaeta. 159302 162634 162635 162687 ............................................... 4 de idem ídem. D. Juan Manuel …</t>
  </si>
  <si>
    <t>de Fuenlabnida, José</t>
  </si>
  <si>
    <t>José de Fuenlabnida</t>
  </si>
  <si>
    <t>: g r ncia de España é indias, se ha servid.-» confe­ rir compañía en t i regimiento de reak-s guardias Esp/ñolas al primer teniente dtl mismo cuerpo D. José de Fuenlabnida ; y la comandancia del batallón de tiradores de C&amp;diz al coronel E. Juan de Veíasco. S. M. ha promovido á coroneles de los regimientes pro­ vinciales de L…</t>
  </si>
  <si>
    <t>de Furnás, Blas</t>
  </si>
  <si>
    <t>Blas de Furnás</t>
  </si>
  <si>
    <t>, habien­ do silo presentada aL Excmo. Sr. general en xefe de 1 txérc-ito- francés, queda aprobada. Eomells t o de diciembre de 1809. Blas de Furnás. D. Blas de Furnás, brigadier dé les reales exárcitos, certifico : que la copia antecedente de la capitulación iiec.ta en 'jetona , y notas adicio­ nales', es en todo su. conteni…</t>
  </si>
  <si>
    <t>de G, Miguel</t>
  </si>
  <si>
    <t>Miguel de G</t>
  </si>
  <si>
    <t>..... • 6í’0-:í La tftjtáínentaría"de D. Juan Josef B. Pedrp Flores, Quevedo---- ...i....... ,Rohltsi........M**»....».......»............... 6909 ir D. Miguel &gt;de G,amboaw...... IX Jáíéf Rives.;;...;:;;..;...................... 3000 1 , D. Pedro.del R\o.........----------- -xíxjC^I''' $' £fc¡ Pédroí Rubio....v..;........... …</t>
  </si>
  <si>
    <t>de Gaet, Julián</t>
  </si>
  <si>
    <t>Julián de Gaet</t>
  </si>
  <si>
    <t>que niegan Para la de Cartama al ex-franciscaoo observan*en sus discursos ? te D. Toma* Pérez., Para la de Rio Gordo al ex- carmelita descalzo SUIZA. D. Julián de Gaet».„ Lattsans x.° desetiembre. Para la de Colmenar á D. Francisco Repjso, ex-trinitario calzado. ? Nuestro consejo académico trata de. elegir un Para la de Aíhia…</t>
  </si>
  <si>
    <t>de Galves, Miguel</t>
  </si>
  <si>
    <t>Miguel de Galves</t>
  </si>
  <si>
    <t>e Villasandino, de donde es natural uno de los dos bergantes, y que hacia La de Renda, expuesta de de capitán de la quadrilla. Sin embargo de que di­ D. Miguel de Galves , por la municipalidad. cho pueblo es de bastante población , D. Josef Bar­ D. Francisco Escalante, maestrante de la real riuso y. sus quatro cempañeros se d…</t>
  </si>
  <si>
    <t>de Gamboa, JiVnh Josef</t>
  </si>
  <si>
    <t>JiVnh Josef de Gamboa</t>
  </si>
  <si>
    <t>................ .; - 992 D". Simón de Torres............................... , , -^*8?í9Í 70L Di.s;Ai«ilfcp Contreras »•*«*• *4 •'••v»**** 5x442" 171 D. JiVnh” Josef de Gamboa....34934tI 83- E^. h^vgtselcde 1.amía........* 45 ta 17; Dona Bárbara Somier..........tbc. Ll279-í|i7l El coñderde Montaren..... ................. : 99…</t>
  </si>
  <si>
    <t>de Gaona, Juan Manuel</t>
  </si>
  <si>
    <t>Juan Manuel de Gaona</t>
  </si>
  <si>
    <t>rutos. 174822 1 de ídem idem. D. Antonio Pablo de Udaeta. 159302 162634 162635 162687 ............................................... 4 de idem ídem. D. Juan Manuel de Gaona. 80918 91918 102281 106609 113622 120644 ............. 87088 95229 106501 106938 113625 ............................... 16 de 30o pesos de enero. 88844 1…</t>
  </si>
  <si>
    <t>Gaceta de Madrid n.º 264</t>
  </si>
  <si>
    <t>soluble en el agua: para usarlo se hu­ art. 11. Nombramos regidores de la munici­ medecerá un poco, y después se frotará con él la palidad de ella á D. Juan Manuel de Gaona , i parte, sea qual fuere, manos, lanceta ó utensilio D. Juan Dot, á D. Julián Viejo, á D. Gregorio que haya tocado persona ó parte infestada, á cuya Garc…</t>
  </si>
  <si>
    <t>de Garibai, Paula María</t>
  </si>
  <si>
    <t>Paula María de Garibai</t>
  </si>
  <si>
    <t>Eguiarreta, patrono y D. Juan Hume, por id. Id............ . 32ii4-.a6 poseedor de la memoria que fundó D. Frutos Alvaro Benito, por rs. vn... 150000 Doña Paula María de Garibai......... ; 2922..13 .. D. Manuel Francisco de Aguiguerre é ■ ’ D. Juan Teran, como marido de Do- ~hijos.-;....-....... ..............................…</t>
  </si>
  <si>
    <t>de Gatniz, Antonio</t>
  </si>
  <si>
    <t>Antonio de Gatniz</t>
  </si>
  <si>
    <t>9 31 D. P^olo Arrib'ss 7b, . D. Juats Antonio de„í.tHíU, 2) D. Manuel de Urbíria 8.9j¿4T 1). Francisco Ruiz Savslí...;.».-.. ;.&amp;ii -ib ¿yíj'ié . . .1 D. Antonio de Gatniz............... .......... y; 379.^3&gt;;f.3C Doña-C-talina del, Ner.e»i,aw.,„:, ...í.vv* ^0.3^04 III 1), Jacinto Colmenero..........; 4696^ 44^* Doña Ajelítena…</t>
  </si>
  <si>
    <t>de Génova, Juan Alvcrez</t>
  </si>
  <si>
    <t>Juan Alvcrez de Génova</t>
  </si>
  <si>
    <t>d S de agosto. ta qge el enemigo desparezca enteramente de nues­ S. M. ha venido en nombrar mariscal de cam­ tras aguas. po de sus reales exércitos á D. Juan Alvcrez de Génova 4 de julio. Faria; comandante de batallón de infantería de lí­ El domingo último llegó á esta ciudad S. Em.' nea á D. Miguel de Soto; comandante de bat…</t>
  </si>
  <si>
    <t>de Georget, Bartolomé</t>
  </si>
  <si>
    <t>Bartolomé de Georget</t>
  </si>
  <si>
    <t>que no se tomen de grado. La publicación de la gloriosa expedición de Palamós de mediados de setiembre , no dio lugar á la del parte del briga­ dier D. Bartolomé de Georget que se recibió por el mismo tiempo, y contiene en sustancia lo siguiente.— En la tarde de 4 de setiembre sabedor el expresado brigadier de que el enemigo …</t>
  </si>
  <si>
    <t>de Go, Joaquín</t>
  </si>
  <si>
    <t>Joaquín de Go</t>
  </si>
  <si>
    <t>ado de la gran cancillería asistente D. Joaquín Solis; á D. Simón Reunía» en ausencia del señor duque del Campo de Alanregente de la real audiencia ; D. Joaquín de Go- ge , =el conde de Montarco, miembro del grao con­ yeneta, procurador mayor de la ciudad ; al pro­ sejo de la Orden." visor eclesiástico D. Joaquín de Torres; a…</t>
  </si>
  <si>
    <t>de Goiria, Juan Bautista</t>
  </si>
  <si>
    <t>Juan Bautista de Goiria</t>
  </si>
  <si>
    <t>s de la comisio e liquidación r¡ hermanos por........................................ 138264 H de la deu4a del estado; lo expuesto por nuestro mi- mi D. Juan Bautista de Goiria.................. 3429 *7 nistro de Hacienda. y oido á nuestro consejo Estaco, :jo de Estaoo, Los testamentarios de D. Josef Tomas II emos decretado y…</t>
  </si>
  <si>
    <t>de Gordia, Marcos</t>
  </si>
  <si>
    <t>Marcos de Gordia</t>
  </si>
  <si>
    <t>tados &gt; y qut bao dcci- y otros armados en la ante-igfesía de Icmtu, y dido,acerca de ¿1.” con repetidas amenazar, de muerte quitaron al pres­ bítero D. Marcos de Gordia quanto dinero tenia. ESPAÑA. Se dirigieron desde allí á la colación de S. Juan Bilbao ¡t&gt; de enero. de Bedia , y cercando la casa-habitación del pres­ El tri…</t>
  </si>
  <si>
    <t>de Gordoa, Diego López</t>
  </si>
  <si>
    <t>Diego López de Gordoa</t>
  </si>
  <si>
    <t>D. Afaarticulo i. ,,Nombramos caballeros de la Or­ nasio Puyal y Peveda , auxiliar de Madrid; y para den Real de España á los señores el de Zamora á D. Diego López de Gordoa , canó­ Don Josef Antonio Barandalla, alcalde mayor nigo doctoral de la catedral de Córdoba. de Parla , y D. Antonio Weber, capitán de la guar­ Nuestro m…</t>
  </si>
  <si>
    <t>de Gorostiza, José Ramón</t>
  </si>
  <si>
    <t>José Ramón de Gorostiza</t>
  </si>
  <si>
    <t>25. Sarrat y Marciria compañía, 100. D. Salvador Carrau , 25. D, Gabriel Gómez , 100. i&gt;.-Manuel Antonio de Tsasi , 200. D. Manuel Gil y Cosío, 100. D. José Ramón de Gorostiza , 100. D. Ignacio Albiní , 25. D. Alberto Herrero, 100. D. Domingo Q'utierrez , 100. D. Miguel Cabalen , 100. D. Cayetano Cana­ leta , 50. D. Gerónimo …</t>
  </si>
  <si>
    <t>de Goya, Joset</t>
  </si>
  <si>
    <t>Joset de Goya</t>
  </si>
  <si>
    <t>guana............... ........ I 2CO D. Ma nuil María Ibañez....................... 10603 28 Doña Sinforiana Alvarez....................... 42 0 2 2 5 D. Joset de Goya.................................... 2731 4 D&lt; ña joaquina Larrea............................ 4202. - V D. Tomas de Arsú.................................... 7 1 …</t>
  </si>
  <si>
    <t>de Goyoneta, Joaquín</t>
  </si>
  <si>
    <t>Joaquín de Goyoneta</t>
  </si>
  <si>
    <t>e ha pasado revista á un cuerpo de 3© hombres en el paseo de la mari­ Corregidor nombrado for S. M. ca. El gentío inmenso que ha acudido á ver la re­ D. Joaquín de Goyoneta. vista ha venido admirado de la gallarda presen­ Procurador mayor. cia , y de la habilidad y destreza de estas tropas D. Martin Saravia. ca hacer las evol…</t>
  </si>
  <si>
    <t>de Gsycoechea, Mariano</t>
  </si>
  <si>
    <t>Mariano de Gsycoechea</t>
  </si>
  <si>
    <t>imansa, D. Mariano Miguel Polo, subteniente del de Amé­ rica, D. Francisco de Barraycua, de el del Príncipe, D. Domingo Luisdel Valle, del de España, D. Mariano de Gsycoechea, del de Africa, D. Cir­ ios de Capetillo y D. José Oñativia, cadetes del provincial de Murcia, y al de igual clase del regimiento de su guardia de infan…</t>
  </si>
  <si>
    <t>de Guevara, Mateo Velez</t>
  </si>
  <si>
    <t>Mateo Velez de Guevara</t>
  </si>
  <si>
    <t>sé Roure después de haberse acuchillado los dos un buen es­ pacio. Badajoz 17 de junio. La insurrección de la Mancha ha«e mayores progresos cada día. D. Mateo Velez de Guevara, y D. Fernando Cañizares, vocales de la junta de Almagro, han alarmado el campo de Calatrava, y tenido varios cho­ ques con los enemigos. Han salvado d…</t>
  </si>
  <si>
    <t>de Guisasola, Juan</t>
  </si>
  <si>
    <t>Juan de Guisasola</t>
  </si>
  <si>
    <t>. D. Pedro del Puerto Vicario ,.100, D. Clemente de Sta. Cruíz, 100. í&gt;. Benito Barin , 50. D. Vicente María de la Portilla 50. Don Juan Lagrava, 50. D. Juan de Guisasola, 100. D, Rafael Ixheniquc , 25. D. An­ gel Antonio Villar, 25. D. Mateo Lorenzo Murfi. 200. D. José Ramón de Sa-</t>
  </si>
  <si>
    <t>de Guizaburuaga, Feliciano</t>
  </si>
  <si>
    <t>Feliciano de Guizaburuaga</t>
  </si>
  <si>
    <t>;f.3C Doña-C-talina del, Ner.e»i,aw.,„:, ...í.vv* ^0.3^04 III 1), Jacinto Colmenero..........; 4696^ 44^* Doña Ajelítena Perez, :»*Ü*l-7Xaí|£ 2 1 r i D. Feliciano de Guizaburuaga,..,2089.14c/ D. Ventura de ArqueJlada..^... '• » ^607 ' 19I D. Benito CantalinóV............... «./ 6470 :2*.3; D. MiglMfde Land.í..,,,,.,...... . .…</t>
  </si>
  <si>
    <t>de Guizaburuaga, Francisca</t>
  </si>
  <si>
    <t>Francisca de Guizaburuaga</t>
  </si>
  <si>
    <t>. Maouet de Lázaro........................ 2197 í 29 D. Pedro Prado' y Baeza.....¡ g02 17* D, Joaquín; Calvóme.,......... .«.'.i....... 23736' ¡ 28 i Doña Francisca de Guizaburuaga^'.i^': 1985 17Doña Alfonsa GHavarri............. . 21095 .30: D. Lauteano de Jado............ ..... wv... 1805 • ' D. Fernando Perez Rico;..»-..:.…</t>
  </si>
  <si>
    <t>de H, Gonzalo</t>
  </si>
  <si>
    <t>Gonzalo de H</t>
  </si>
  <si>
    <t>primer juez. terior. hemos decretado y decretamos lo que sigue: 2.u A D. Juan Agustín Ab«rjctc¿r.i. articulo T. ,,Se abrirá inmediatamente una 3.0 A D. Gonzalo de H. r.dio calle detrás del antiguo convento de S. Felipe el 4.0 A D. Jo-ef Díaz Ribera , todos tres alcal­ Re -1 de Madrid , que comunique de ia plazuela de des del …</t>
  </si>
  <si>
    <t>de Ha, Diego</t>
  </si>
  <si>
    <t>Diego de Ha</t>
  </si>
  <si>
    <t>Miguel Gar la de Pisa , lectora! ; D. Ma­ y de las Indias. nuel de Espejo; D. Gragoyio Merlo, magistral; Españoles: D- Manuel Arj na, penitenciario ; D. Diego de Ha llegado el momento en que debeis oir la • Gorma, doctoral ; D. Francisco Armenia , emó- verdad; os la debo: me lisonjeo de que será con nizos: D. Josef Roucali , …</t>
  </si>
  <si>
    <t>de Hago, Josef Leopoldo</t>
  </si>
  <si>
    <t>Josef Leopoldo de Hago</t>
  </si>
  <si>
    <t>Gaceta de Madrid n.º 290</t>
  </si>
  <si>
    <t>1807</t>
  </si>
  <si>
    <t>cipe Gabrieli ha sido nombrado direc­ Esta empresa fue acertadamente confiada al ma­ tor, y adjuntos el príncipe de Sta. Cruz y Save- riscal de campo D. Josef Leopoldo de Hago , quien nio Benucci. en 21 de junio se posesionó de Briliuega , sin que El consejo de administración se reun;ó por el enemigo haya podido desalojarlo p…</t>
  </si>
  <si>
    <t>de Haró, Alfonso Nuñez</t>
  </si>
  <si>
    <t>Alfonso Nuñez de Haró</t>
  </si>
  <si>
    <t>Pantoja , por la ciudad de Mérida: D. Antonio Capmani, por Cata­ luña : D. Juan María Herrera, por Extremadura : D. Manuel María Mar­ tínez por ídem: D. Alfonso Nuñez de Haró, por la provincia de Cuen­ ca: D. Pedro Antoniode Aguirre, por la junta superior de Cádiz * Don Joaquín Tenreyro Montenegro, por la provincia de Santiag…</t>
  </si>
  <si>
    <t>de Haro, Tomas López</t>
  </si>
  <si>
    <t>Tomas López de Haro</t>
  </si>
  <si>
    <t>poleón por la gracia de Dios y guera y Lara y D. Josef del Biyena. por la constitución del esrado, REI .de las Empañas Subtenientes. y de las Indias. D. Tomas López de Haro, D. Francisco Mar­ Hemos decretado y decretamos lo que sigue: tínez de Morel, D. Antonio Garai , D. Diego Sua- articulo i. ,, Está nombrado comandante del…</t>
  </si>
  <si>
    <t>de Haroquias, Manuel de Resa</t>
  </si>
  <si>
    <t>Manuel de Resa de Haroquias</t>
  </si>
  <si>
    <t>ndo grandes preparativos en la línea á D. Alvaro Maldonado, y subteniente con iglesia metropolitana de S. Lorenzo para las exS- el sueldo de retiro á D. Manuel de Resa de Haroquias del.duque de Monttbeílo. El señor Massuco pronunciará la oración fúnebre en presencia de to­ das las autoridades civiles y militares. AVISO. Nante…</t>
  </si>
  <si>
    <t>de Hemos, Félix Floreuce</t>
  </si>
  <si>
    <t>Félix Floreuce de Hemos</t>
  </si>
  <si>
    <t>la escena nacional: visto el in­ á D. Vicente Nuñez; y capitán de la qnarta com­ forme de nuestro mínjstro de lo Interior , pañía del mismo cuerpo á D. Félix Floreuce de Hemos decretado y decretamos lo que sigue: Sasous. * . envilece! jQué cómicos están enterrados en España al clara y sonora, memoria, expresión, sensibilidad,…</t>
  </si>
  <si>
    <t>de Hene, Juan</t>
  </si>
  <si>
    <t>Juan de Hene</t>
  </si>
  <si>
    <t>á bien lo eleve á 8. M. — „Dios guar­ de á V. E. muchos años. Sentmanat 21 de enero de 1810.— Excmo. Sr. — El marques de Campo Verde. — Exento. Sr. — D. Juan de Hene3trosa.” “Entre tanto que se reciben los pormenores de estas acciones gloriosas y se remiten á V. E. , me adelanto a participar a V. E. el triunfo que han consegu…</t>
  </si>
  <si>
    <t>de Henestrosa, Juan</t>
  </si>
  <si>
    <t>Juan de Henestrosa</t>
  </si>
  <si>
    <t>110</t>
  </si>
  <si>
    <t>la orilla de Chanza , los traxeron á Mértola. NOTICIAS DE ESPAÑA. Parte que da el General en xefe interino de los exordios de Ca­ taluña y de Aragón, D. Juan de Henestrosa, al ministro de la guerra de las ventajas conseguidas por las tropas espa­ ñolas en las cercanías de Barcelona á jines de enero último, y que por hab¿r lle…</t>
  </si>
  <si>
    <t>de Heredia, José</t>
  </si>
  <si>
    <t>José de Heredia</t>
  </si>
  <si>
    <t>pedir tí real decreto siguiente: .¡ ; í'\ s, » fe Em consideración á ‘ lo^ distinguidos servicios! y conocimientos' mi­ litares del teniente general} D. José de Heredia, capitán general electo de la , isla de Cuba y de las dos Floridas; ha venido el Consejo r_de Regencia de España é Indias en el real nombre del rey nuestro se…</t>
  </si>
  <si>
    <t>necesario á su cumplimiento.— Joaquín Blakg , Presidente. — Pedro Agar. —J^é AL-ría Pti’.g- • — En la Real Isla de León á 13 de diciembre de 1810.— A D. José de Heredia.” Habiendo procedido las Cortes generales'y extraordinarias día reno­ vación de su presidente y vic2-presidente, han sido elegidos para presi­ dente el Sr. D/…</t>
  </si>
  <si>
    <t>de Heredia, Juan</t>
  </si>
  <si>
    <t>Juan de Heredia</t>
  </si>
  <si>
    <t>astartlbide, 60. Id. de fragata, D. Martin Temoson , 50. — Cuerpo de pilotos. D. Joaquín Cundin , 70. D. José de la Peña, 70. D. Domingo Ugalde, 200. D. Juan de Heredia, 140. D. Juan Triana, 15. D. Fernando Sánchez, alterez de fragata graduado, con­ tramaestre de- construcción, 25. D. Gaspar Botets, primer cirujano , 4c. D. L…</t>
  </si>
  <si>
    <t>de Heredia, Tomas</t>
  </si>
  <si>
    <t>Tomas de Heredia</t>
  </si>
  <si>
    <t>la comandancia del 2 ° batallón al brigadier conde de Clovard ; compañía á D. Salvador Ptyri ; y empleos de alféreces á D. Ramón de Oro zoo y Zayas, D. Tomas de Heredia , D. Félix Gi man , D. Ramón de Parada, D. .Agustín María Salvador y Vidal, D. Manuel María Rodríguez Rubio, D. Fernando Juan de Zurita y D. Luis María Monter…</t>
  </si>
  <si>
    <t>de Herían, María Aguilera</t>
  </si>
  <si>
    <t>María Aguilera de Herían</t>
  </si>
  <si>
    <t>6 quema de los vales reales y cédulas procedentes de &gt; Sra. Doña Antonia Alvarez de Faria. 480000 la venta de bienes nacionales en subasta y fuera de Doña María Aguilera de Herían, ella , conforme á lo resuelto por S. M. en real de-; administrador* de-los bienes de so «retó de 6 de enero próximo pasado; procediendo hijo‘D.1 J…</t>
  </si>
  <si>
    <t>de Hermida, Benito Ramón</t>
  </si>
  <si>
    <t>Benito Ramón de Hermida</t>
  </si>
  <si>
    <t>PDF p. 11</t>
  </si>
  <si>
    <t>es preceder por sí al examen de todos los poderes ; quiere, y se lia servido mandar , qué examinados y aprobados que sean por S. M. los respectivos á D. Benito Ramón de Hermida, procurador por el revno de Galicia; el marques de Villafranca por el de Murcia; D Fe­ lipe Amat por el principado de Cataluña; D. Antonio Olive­ ros …</t>
  </si>
  <si>
    <t>de Herrera, Euscbio</t>
  </si>
  <si>
    <t>Euscbio de Herrera</t>
  </si>
  <si>
    <t>Gaceta de Madrid n.º 60</t>
  </si>
  <si>
    <t>e la expedición de Copenhague. Las noti­ Hemos decretado y decretamos lo que sigue: cias que tenia el, ministerio sobre el estado de la articulo I. „ D. Euscbio de Herrera, maris­ isla de Walcheren eran equivocadas, pues creían cal de campo de nuestros exércitos, queda nombra­ que no habla allí de guarnición mas que a® hom­ d…</t>
  </si>
  <si>
    <t>de Herrera, Ignacio</t>
  </si>
  <si>
    <t>Ignacio de Herrera</t>
  </si>
  <si>
    <t>798 Nepomuceno Rodríguez Lago.— José de Acevedo y Gómez. — Geróni­ mo de Mendoza y .Galaviz — Juan Manuel Torrijos. — D Ignacio de Herrera. — j-oaquin Camacbo.—Excmo. Sr. gobernador, presidente .de la junta provincial de Cádiz.” Continúa la lista de los donativos hechos por les individuos del apos­ tadero de marina de Montevid</t>
  </si>
  <si>
    <t>de Herrera, Vicente Nepomuceno</t>
  </si>
  <si>
    <t>Vicente Nepomuceno de Herrera</t>
  </si>
  <si>
    <t>viduos 48 y 6 rs. Los vecinos de S. Miguel de Crrrogordo, 17 y 5. --Cosiguiriacht. D. José Ignacio Villegas, á mas de lo ontribaido como minero, 50. D. Vicente Nepomuceno de Herrera, 10. Varios pobres, 95. — Guanacevi. El subdelegado D. Pedro Carrete, 25. El cura D. Igna­ cio Colon, 15. El teniente cura Fr. Juan Bórica, 10 D.…</t>
  </si>
  <si>
    <t>de Hervas, Gaspar Guerrero</t>
  </si>
  <si>
    <t>Gaspar Guerrero de Hervas</t>
  </si>
  <si>
    <t>a, taron en el teatro , que con tan plausible motivo D. Luis Mana de Menda , D. Joaquín M ñd&lt; nado estaba iluminado, valias piezas dei mejor gusto: y D. Gaspar Guerrero de Hervas , individuos do por la tarde hubo una función de volatices en la su ayuntamiento. El señor magistral dirigió a S. M. plaza de los toros; y á la hora…</t>
  </si>
  <si>
    <t>de Hervás, Josef Martínez</t>
  </si>
  <si>
    <t>Josef Martínez de Hervás</t>
  </si>
  <si>
    <t>es. Real de España. Todos los habitantes de qualDel alcázar de Sevilla á ide febrero de 1810. quier clase ó condición que seaa , se dirigirán á S. E. D. Josef Martínez de Hervás, marques de Al­ en las casas de su habitación en caso de queja por menara , caballero del santo sepulcro de Jernsalen, iasulto ú otro agravio que rec…</t>
  </si>
  <si>
    <t>de Hervís, Manuel Perez</t>
  </si>
  <si>
    <t>Manuel Perez de Hervís</t>
  </si>
  <si>
    <t>ado Marrano Luis de Urquijo.” del esquadron de la guardia de Honor, que debe formarse en esta capital con arreglo á nuestro de­ creto de este dia , á D. Manuel Perez de Hervís, LIBRO. y para portaestandarte á D. Matías Bayo. Tratado de la reducción de todas las monedas fran­ art. 11. Asimismo nombramos para capitanes cesas de…</t>
  </si>
  <si>
    <t>de Hesse, Federico</t>
  </si>
  <si>
    <t>Federico de Hesse</t>
  </si>
  <si>
    <t>ento de fidelidad y resolución, que se les ha dirigido. obediencia.1’ DINAMARCA. REINO DE ÑAPOLES. Copenhague jo de diciembre. Ñapóles 7 de enero. El príncipe Federico de Hesse regresará de la Las tropas de S. M. han ocupado las islas de' Noruega con beneplácito del Rei, y volverá á esta Penza y de Ventolina, y se han vuelto …</t>
  </si>
  <si>
    <t>stablecido de una capital á fiados, y ha salido del reino de Noruega para su otra un cambio recíproco de riquezas botánicas, huevo destino , S. A. el príncipe Federico de Hesse, que será ventajoso á los progresos de la ciencia. vice-goberoador y general, ha tomado á su cargo en virtud de orden nuestra, y en calidad de gene­ B…</t>
  </si>
  <si>
    <t>389</t>
  </si>
  <si>
    <t>de na ataque apoplético. hallen aquí á tiempo para las. funciones. DINAMARCA. ALEMANIA. Copenhague so de febrero. Hannóver 24 de febrero. S. A. S. el príncipe Federico de Hesse, vice­ En estos últimos dias han pasado por esta ciu­ gobernador de Noruega, ha llegado á esta capital dad y sus inmediaciones muchos cuerpos de tropa…</t>
  </si>
  <si>
    <t>de Hesse, Guillélmn</t>
  </si>
  <si>
    <t>Guillélmn de Hesse</t>
  </si>
  <si>
    <t>a sido'rechazado en qn ataque trimonio de S. A. la princesa Luisa Cariota de Di­ que habí* dado el dia 7 contra el ezérdto ruso. namarca con S. A. el príncipe Guillélmn de Hesse. Parece que el Gran Señor insiste en su 'resolu­ La ceremonia se bará en el palacio del Rei; y ma- ción de ir á campaña. En una nota dirigida á todos…</t>
  </si>
  <si>
    <t>de Hevia, Josef</t>
  </si>
  <si>
    <t>Josef de Hevia</t>
  </si>
  <si>
    <t>tonces se había presentado, para le­ reos D. Joan Henrique de la Rigada, y el piloto vantar las cartas de nuestra América septentrional, de la armada D. Josef de Hevia (que yacían olvi­ y ya estaba aprobado por el Reí quando presentó dados en los archivos), han suministrado tantas lu­ el suyo D. Aiexandro de Malaspina para da…</t>
  </si>
  <si>
    <t>a española la comedia en cinco practicó por urden deí ministerio de Indias el pri­ artos titulada las Cárceles de Lamberg, con tonadilla y mer piloto D. Josef de Hevia, boxeando to lo el je- sainete. no desde la pama meridional de la Florida si­ En el de la Cruz, 4 las cinco de la tarde,, se ejecu­ guiendo al Ni al O, y al S …</t>
  </si>
  <si>
    <t>de Hildbtrrghausen, Teresa</t>
  </si>
  <si>
    <t>Teresa de Hildbtrrghausen</t>
  </si>
  <si>
    <t>Gaceta de Madrid n.º 329</t>
  </si>
  <si>
    <t>í47 + y de ia princesa Teresa de Hildbtrrghausen, que hai en la costa lauchas y barcos destinados pata debía celebrarse al mismo tiempo que los dias de cada regimiento. nuestro amado Soberano. Toda la guarnición y la Del rj. ' guardia nac</t>
  </si>
  <si>
    <t>de Hoces, Ramón</t>
  </si>
  <si>
    <t>Ramón de Hoces</t>
  </si>
  <si>
    <t>s de las fábricas de paños y comercio, Argote, D. Rodrigo Fraz de Mesa, D. - Diego ‘ Ids nobles y demás personás de diitlncion i.convi­ Baeoa y Rasé, D. Ramón de Hoces, D. Joan de ' dadas todas por Ja municipalidad según sr CostumMolina. , *..*•* bre.Enel resto de lá iglesia estaban loé"veedores ' "Tenientes. J&gt;.Teodosio Sanc…</t>
  </si>
  <si>
    <t>de Hoyo, Josef</t>
  </si>
  <si>
    <t>Josef de Hoyo</t>
  </si>
  <si>
    <t>cia que he tenido esta mañana niente D. Joan Parga, subteniente D. Juan Nepocon ei consejero áulico Hudeliot me ha dicho este muceno de Castro, otro, D. Josef de Hoyo. que acababa de saber por el conde de Stadion que Tercera ídem Capitán D. Joaquín Romero, te­ la esquadra inglesa se habia retirado del Escálda,y niente D. Jose…</t>
  </si>
  <si>
    <t>de Hoyos, Ernesto</t>
  </si>
  <si>
    <t>Ernesto de Hoyos</t>
  </si>
  <si>
    <t>, y la otra por el de-Altheim. En go-de Wlrbnaj conde Josef Metiernich, Laadgra- el salón del medio , destinado para hacer la eatreve de Furstemberg; conde Ernesto de Hoyos;con- ga , se colocó un dosel, boxo del qual había un si­ de Felix de; Mior; conde de Haddich, teniente llón cubierto con un paño de o;o destinado para f«l…</t>
  </si>
  <si>
    <t>de Hoyuelo, Josef González</t>
  </si>
  <si>
    <t>Josef González de Hoyuelo</t>
  </si>
  <si>
    <t>D. Bonifacio Cabañas. Subtenientes. D. Simón Gallardo. D. Agustín Zaldo. D. Joaquín Gómez. D. Francisco Berdejo Pacz. D. Josef González de Hoyuelo. Tenientes. D........................................ Ej?Josef González. D. Tomas Arenillas. í?. Gaspar de Losas Hidalgo. D. Josef lbárreta. D. Pedro Batelú. D. Manuel Negueruela. …</t>
  </si>
  <si>
    <t>de Hue, Vicenta Velásco</t>
  </si>
  <si>
    <t>Vicenta Velásco de Hue</t>
  </si>
  <si>
    <t>D. Mariano Matali, Soo. TJr.á bisabuela , zoco. Doña María Josefa Ge i cochea y Melendez, 120. Marques de Astorga, 1500. Micheo, padre c hijo, 15CO. Doña Vicenta Velásco de Hue, 150. D. Cayetano Hüc,- I50. D. Tomas Ravina, 1000. D. Bernardo Nueve-Iglesias, 7C0. D. Amonio Suris , 400. D. Sebastian Antonio Garnica, 5C0. D. Juan</t>
  </si>
  <si>
    <t>de Huerta, Francisco Rodríguez</t>
  </si>
  <si>
    <t>Francisco Rodríguez de Huerta</t>
  </si>
  <si>
    <t>,.*.;.'..'a....;! 8*71 íó D. Justo Ortes,. de carmelitas cal- ■ . &gt; ' D. Lúcas de Ca'rran.......w,.;¡ 3676^16 1 izados....;..',............ . 4400O * D. Francisco Rodríguez de Huerta... 8^3 'r7&gt;: D. Claudio González, de la misma Doña-Doróteá MácdoneiK.......í;!.;..V;. i'6 ; religión........................... . 44®®^ ' Doña F…</t>
  </si>
  <si>
    <t>de Huerta, Valentín</t>
  </si>
  <si>
    <t>Valentín de Huerta</t>
  </si>
  <si>
    <t>aso , 200. D. Julián Judice , 200. D. Jo­ sé Ramón Recaño.., 100. Guivcrt y Tulsó , 100. D. Valentín . Revilla, 200. Viuda de Torre y compañía , 100. D. Valentín de Huerta , 100. D. Mar­ tin Oiazagasti, .100. D. .Lian Francisco de Abarca , 100. D. Melchor de Aja­ ría, 100. B. Juan José de Iraeta , 100. D. Antonio Zúñiga, 100.…</t>
  </si>
  <si>
    <t>de Hugo, Luis</t>
  </si>
  <si>
    <t>Luis de Hugo</t>
  </si>
  <si>
    <t>ica: en ambas cau­ dnd á Avila, a las órdenes del coronel del 4.0 re­ sas estuvo prófugo, y se siguieron en rebeldí^, gimiento de infantería de iínea D. Luis de Hugo, En el dia 28 del corriente mayo hi sido juzga­ lite acometida cerca de las Navas el dia 23 del ac­ do por la junta criminal extraordinaria de esti cor­ tual por…</t>
  </si>
  <si>
    <t>de Huic, Ana Josefa</t>
  </si>
  <si>
    <t>Ana Josefa de Huic</t>
  </si>
  <si>
    <t>lián Diaz Moreno...................... ~ 180.. 17 D. Josef Julián Diaz........................ 245 D.* Pedro Fernandez Tavira....... .......- ^3I~*5l Doña Ana Josefa de Huic!................... 5997-17 Doña María Magdalena-Araola............ 54i-i7 D. Pedro Beotas..................................... 35°° D. Dámaso Hermoso...…</t>
  </si>
  <si>
    <t>de Huici, Marrin</t>
  </si>
  <si>
    <t>Marrin de Huici</t>
  </si>
  <si>
    <t>precipitadamente hácia el lugar de Oimilios, quatro regidores m-s antiguos D. Frutos Alvaro á cuya entrada observó que lo* bergantes aposta­ Beniro, D. Marrin de Huici, D. Manuel García ban un centinela. D. Josef Corral se retiró con su de la Prada y D. Tadeo Bravo de Rivero, des­ gente á Sasamon; pero no contento con haber p…</t>
  </si>
  <si>
    <t>de Huici, Martin</t>
  </si>
  <si>
    <t>Martin de Huici</t>
  </si>
  <si>
    <t>80</t>
  </si>
  <si>
    <t>,,T a diputación de Madrid , dice la gazeta de Sevilla del 3 de este mes, compuesta de los quatro regidores mas antiguos, D. Fru­ tos Alvaro Benito , D. Martin de Huici, D. Manuel García de la P a la y D. Tadeo Bravo del Rivero, después de cumplimentar á S. M. (José Bonaparte) por haber hecho la conquista de las An­ dalucías …</t>
  </si>
  <si>
    <t>de Hulduefels, Meyer</t>
  </si>
  <si>
    <t>Meyer de Hulduefels</t>
  </si>
  <si>
    <t>tarios consientan en pagar la suya en igual ha dado el ministro dé' Francia en Hamburgo pa­ tiempo. ra obsequiarle. S. A. no ha admitido) una com­ El general Meyer de Hulduefels ha llegado al pañía de granaderos hamburgueses que se le ha­ Bannato , y ha establecido su quartel general en bía ofrecido como guardia de honor; per…</t>
  </si>
  <si>
    <t>de Humboldt, Guiilcimo</t>
  </si>
  <si>
    <t>Guiilcimo de Humboldt</t>
  </si>
  <si>
    <t>Gaceta de Madrid n.º 211</t>
  </si>
  <si>
    <t>ores , que habían sido nombrados por decreto jero privado , gcfe de la secretaría de los cultos, suyo para conciliar ios dos partidos del camón de el barón Guiilcimo de Humboldt, el título de mi­ Apenzell en las desavenencias qne han tenido. Co­ nistro de Estado, y le ha nombrado al mismo mo esta mediación no ha tenido el éxi…</t>
  </si>
  <si>
    <t>de Ibaizabal, Francisco</t>
  </si>
  <si>
    <t>Francisco de Ibaizabal</t>
  </si>
  <si>
    <t>sia de Axpé de Busturia, y habiéndose armado en corleo para aquella ciudad y su reino. el camino, acometieron Jos qu;;tro á media noche á la casa de D. Francisco de Ibaizabal, derribaron su puerta principal con una barra de fierro, se in- NECROLOGIA. troduxeron en tila con fusiles y sables , amenaza­ Las bellas artes han hech…</t>
  </si>
  <si>
    <t>de Ibarra, Juan Bautista</t>
  </si>
  <si>
    <t>Juan Bautista de Ibarra</t>
  </si>
  <si>
    <t>............ ................. 127642' 6 El conde de Biarhaben........................ 1895 8f D. Josef López de Arcos..................... 171057 18 D. Juan Bautista de Ibarra................. 216 6 D. Antonio Escudero............................ 115038 8 D. Josef Cándano.................................. 180 17 La condesa v…</t>
  </si>
  <si>
    <t>de Ibarra, Rafael</t>
  </si>
  <si>
    <t>Rafael de Ibarra</t>
  </si>
  <si>
    <t>ás Campe­ ro , 100. D. Manuel de Villa y Gibaja, 200. D» Felipe Vivanco, 50. D. Francis­ co García Puertas., 100. El Escribano D. Manuel Vidal , 100. D. Rafael de Ibarra , 100. D. Francisco Ascorve , 50. D. Juan Lucas Oíavarricta , 400. D. Roque Martínez, 50. D. José Antonio de Cevallos , 100. D..Juan Francis­ co de Senties, …</t>
  </si>
  <si>
    <t>de Iguana, Apo'inar</t>
  </si>
  <si>
    <t>Apo'inar de Iguana</t>
  </si>
  <si>
    <t>La casa de Rivas Peña y compañía... 9C.05 16 Los señores Dendoat hermanos.......... 5 202 3» Doña Nicasia de Cañas.......................... 11603 28 D. Apo'inar de Iguana............... ........ I 2CO D. Ma nuil María Ibañez....................... 10603 28 Doña Sinforiana Alvarez....................... 42 0 2 2 5 D. Joset de…</t>
  </si>
  <si>
    <t>de Ir, Bernardo</t>
  </si>
  <si>
    <t>Bernardo de Ir</t>
  </si>
  <si>
    <t>ránela , de S. Juan de los Llanos, 100. Por el subde­ legado de Ciiautla de la Sal se recogieron en su jurisdicción i®. El subdelegado de Guadaicazar D. Bernardo de Ir .-aguilena , y varios individuos de aquella jurisdicción, 103?. Los alcaides del Quartcl de S. Luis Potosí recogieron en sus respectivos departa­ mentos 160, 1…</t>
  </si>
  <si>
    <t>de Iraola, Manuel Josef</t>
  </si>
  <si>
    <t>Manuel Josef de Iraola</t>
  </si>
  <si>
    <t>rete......... 9Ó 8| El monte pío del colegio de abogados 1 D. Cayetano Lim-Maeso.;................ 180 17 de Madrid............i........... 489879 15 D. Manuel Josef de Iraola.................. 1*759 3* D: Miguel de Esparza............'...‘..i..*....-- 87039 33 La cofradía de nuestra Señora del D.Ramón de Posada, como marido …</t>
  </si>
  <si>
    <t>de Irazava, Juan José</t>
  </si>
  <si>
    <t>Juan José de Irazava</t>
  </si>
  <si>
    <t>repúblicas de indios de Coyoacan, S. Agustín de las Cuevas, Quajimaipa y Tacuhaya, pe ■. fenecientes al udsmo estado y marquesado del Valle, 1429, l. D. Juan José de Irazava , vecino de Cuerna vaca, 800.'Varios ve­ cinos d í &lt;a jurisdicción &lt;te Hsej'utia, el subde .egado.de ella D. Manuel ú&amp; Guemes y Siena, y ei administrador…</t>
  </si>
  <si>
    <t>de Iruegas, Josef</t>
  </si>
  <si>
    <t>Josef de Iruegas</t>
  </si>
  <si>
    <t>. Juan O rei li: mayor del batallón suizo á D. Josef Ruttíman: teniente ESPAÑA. del regimiento de rezadores á caballo r.iím. a ° á Madrid 3 de junio. D. Josef de Iruegas: subteniente fiel regimiento núm. t.° de cazadores á caballo á D. Josef María S. M. ha expedido el decreto siguiente: Barreiro: subteniente del regimiento de…</t>
  </si>
  <si>
    <t>de Irusta, Francisco</t>
  </si>
  <si>
    <t>Francisco de Irusta</t>
  </si>
  <si>
    <t>........................ t-'OÍ D. Juan Berteviu.................................... 2606 8} D. Juan Esteban 1 ricio........................ 160 JI 37 D. Francisco de Irusta.......................... 1083 D.a Juana de Urqttio, u'mo totora y D. Guillermo Eloi Go.izdez............... 1083 curadora de sus dos hijas D-* M ru E; he…</t>
  </si>
  <si>
    <t>de Isidro, Nicojas</t>
  </si>
  <si>
    <t>Nicojas de Isidro</t>
  </si>
  <si>
    <t>án D. Vicente Sardina, de D. Saturnino Albuic, y de D. José Mondedeu , se situasen en los llanos de la Soledad; el batallón de tiradores, al mando de D. Nicojas de Isidro,en las alturas del Castillo; y el de vo­ luntarios á las órdenes dél capitán D. Juan Cajal, en el cerro de S. Cristóbal. Toda la tropa esperaba con serenida…</t>
  </si>
  <si>
    <t>de Islas, José Manuel</t>
  </si>
  <si>
    <t>José Manuel de Islas</t>
  </si>
  <si>
    <t>andoña, alférez de fragata , ;o. Id. D. Pedro Fernandez Tavira, 50. D. .Antonio Contero, segundo cirujano &gt; $0. D. Tomas Gar­ cía, tercer piloto, i^. D. José Manuel de Islas, capellán, 30. ídem de mar, de sueldo fixo y temporal. Gabriel Florit, segundo guardián, con cargo, 22. José Miraba!,-práctico, 30. José Díaz , primer ca…</t>
  </si>
  <si>
    <t>de Iturraide, Juan Domingo</t>
  </si>
  <si>
    <t>Juan Domingo de Iturraide</t>
  </si>
  <si>
    <t>Juzgados militares de Colon. — D. Antonio Murguía, librero de Cádiz, otra obra para la misma.Un anónimo 14 volúmenes de bue­ nas obras militares - - D. Juan Domingo de Iturraide, coronel graduado de las milicias de Panamá, que en estas circunstancias se ha venido de América á servir á la patria, y hace la-'fatiga de soldado e…</t>
  </si>
  <si>
    <t>de Iturríba'rWá, Francisco Tiburcio</t>
  </si>
  <si>
    <t>Francisco Tiburcio de Iturríba'rWá</t>
  </si>
  <si>
    <t>D. Antonio Ronvillard..................... 1708: i8! D.'Pedro Madrid.................ñe/../.......1 2cS t 8; Doña María-Ana Ramírez de Estenoz. 22JOO D. Francisco Tiburcio de Iturríba'rWá. 2 1 60 D.a María Teresa Montero de la Concha. 7503-14 D. Cayetano Luis Maeso...l.9000 Boulade y Casadavant.......................... ' 3OO…</t>
  </si>
  <si>
    <t>de Iturríbarria, Francisco</t>
  </si>
  <si>
    <t>Francisco de Iturríbarria</t>
  </si>
  <si>
    <t>............ a,'27 D. Josef Manuel lzaguirrc.................. 10800 D. Francisco Antonio de Rivacoba... 8754 8i Doña María Eugenia Zubiaga , por sí, D. Francisco de Iturríbarria..............-1 14981 17 í-y como tutora y’curadora de sú D. Antonio García de Roa........¿..... . 4061 8| * hijo D. Pedro Zubiaga...... ........ 57…</t>
  </si>
  <si>
    <t>de Iurvide, José Joaquín</t>
  </si>
  <si>
    <t>José Joaquín de Iurvide</t>
  </si>
  <si>
    <t>en­ tas públicas, 10. El marques de Selva nevada, 10. El ayun­ tamiento de la villa de Aguas-calientes, l9. barios vecinos del Real de .Asientos, 10. D. José Joaquín de Iurvide, vecino de Valladolid , 10, y anuales , 500. D. Felipe Robledo, vecino de Valladolid, 10 , y otros 1© anuales. Eí conde de Regla , 10. D. Tomas Pasari…</t>
  </si>
  <si>
    <t>de J, Juan</t>
  </si>
  <si>
    <t>Juan de J</t>
  </si>
  <si>
    <t>casa de Francisco García.. 1,8 3376 lle Alaminos, que linda con Otra en la calle de S. Máteos, que casa de D. Tomas de Arce........ linda con casa de D. Juan de J2., 8 626.. 28 Raya............................................... 13* 1584 TORREXIMESO, Otra en la calle de Fuente Risas, que linda con casas de Mateo Un molino har…</t>
  </si>
  <si>
    <t>de Ja, Estéban</t>
  </si>
  <si>
    <t>Estéban de Ja</t>
  </si>
  <si>
    <t>6400 • D. Roque de Avila...,......................... 4200 : ? Doña Mirra Carmen. Alxarez......*6400 D. Vicente García Bravo................ 2030 , I D. Estéban de Ja.Torfe...a*.....11403 28' La casa de Aguirre é hijos...................... 9+65 ;2Ji D.; Jaime H403 '281 Doña María Magdalena López Ca- ? v D. Francisco Gajo. Ca…</t>
  </si>
  <si>
    <t>de Jado, Lauteano</t>
  </si>
  <si>
    <t>Lauteano de Jado</t>
  </si>
  <si>
    <t>Joaquín; Calvóme.,......... .«.'.i....... 23736' ¡ 28 i Doña Francisca de Guizaburuaga^'.i^': 1985 17Doña Alfonsa GHavarri............. . 21095 .30: D. Lauteano de Jado............ ..... wv... 1805 • ' D. Fernando Perez Rico;..»-..:........... 11000 - D. Jorge Simitier....................................... ^017 Doña Teresa G…</t>
  </si>
  <si>
    <t>de Jparraguirre, Pedro</t>
  </si>
  <si>
    <t>Pedro de Jparraguirre</t>
  </si>
  <si>
    <t>íia D. Pedro de Jparraguirre. N® 147523 *98605 *73105 149945 167495 211463 . .|[8 de 158605 —* 79679 *92*64 1S8446 155388 /1Ó2357 . 1 jo pesos de setiembre. 175214 1495x4 169008 215641 185585 -ioxóoi D. Juan Antonio Es</t>
  </si>
  <si>
    <t>de Kindelan, Juan</t>
  </si>
  <si>
    <t>Juan de Kindelan</t>
  </si>
  <si>
    <t>bía hecho en circunsaancins mas estado encargado en Avignon el teniente general de oportunas, porque en tal caso hubiera quedado los reales exércitos D. Juan de Kindelan, S. M. el despojada del mando usurpado. Emperador de los franceses ha tenido la dignación Nuestra constitución establece la convocación de de ofrecérselo á s…</t>
  </si>
  <si>
    <t>de Kollowrath, Carlos</t>
  </si>
  <si>
    <t>Carlos de Kollowrath</t>
  </si>
  <si>
    <t>n de Calabria» los quales del Austria interior al principe de Hohenzollerñ; deben s'ú salud en parte £ los valientes soldados le­ el de la Bohemia al conde Carlos de Kollowrath- gionarios que guardan las costas. Los súbtenientet Krakowski; el de la Hungría at feid- mariscal Al- Papa de CasáimHio , y'Francia deP.dinura han vin…</t>
  </si>
  <si>
    <t>de L, Tomas</t>
  </si>
  <si>
    <t>Tomas de L</t>
  </si>
  <si>
    <t>.................... 18 t 'rfjrtí Otra al camino viejo de Parla, que lin­ Otra en ios Alhiiios , junto í otra de da con tierra de D. Isidoro Cabello, D. Tomas de L.uizugorla, de 24/ est. 3* 704 de 3 fanegas y algunos estadales...... 4&amp; 990 Otra camino de Segovia , á mano dere­ Otra camino de Fueniabrada, linde tier­ cha* juni…</t>
  </si>
  <si>
    <t>de Labirre, Barón</t>
  </si>
  <si>
    <t>Barón de Labirre</t>
  </si>
  <si>
    <t>los. — Dios guarde á V. E¿ muchos a;\os. Dás 3 de octu­ bre de 1810. Excmo. Sr. = El marques de Catnpovsrde zz Excmo. Sr. D. Enrique O-Dontieil.”— El brigadier Barón de Labirre participa al gen¡t \ en gef ron fecha de a; de setiembre último desde Fa'-set, que te.ienlo notVa de que los enemigos solo tenían en el pueblo de Garc…</t>
  </si>
  <si>
    <t>de Labra, Benito</t>
  </si>
  <si>
    <t>Benito de Labra</t>
  </si>
  <si>
    <t>500. D. Fran­ cisco Buch y. Truxillo, 400. D. Juan Palau, 1000. D. Esteban Fernan­ dez de León, 1000. D. P. M. V., 100. Doña Rosalía de Córdoba, 20. D. Benito de Labra, 40. D. Lázaro Elejalde, 1000. D Lorenzo Rodrí­ guez Sánchez, 1000. Costello, hermanos, iooo. D. Manuel Ortiz de Muga y su muger 60. D. Pasqual Moreno de Mora,…</t>
  </si>
  <si>
    <t>de Lacerra, Dionisio</t>
  </si>
  <si>
    <t>Dionisio de Lacerra</t>
  </si>
  <si>
    <t>del. primer batallón en la vacante viage de' íh Perouse y tie varias odas sobre las de D. Luis Duran. campañas del Emperador, ha merecido la primera D. Dionisio de Lacerra á teniente de la tercera mención honorífica. La tercera clase no ha pro­ compañía del mismo batallón en la vacante de Don puesto ningún premio de historia …</t>
  </si>
  <si>
    <t>de Lagrange, Carlos</t>
  </si>
  <si>
    <t>Carlos de Lagrange</t>
  </si>
  <si>
    <t>ión que celebró el 2 de mar­ gión de Honor, oficial de ordenanza de S. M. el zo adoptó u: 9.r estatuto constitucional, por el que Emperador y Rei; el conde Carlos de Lagrange, se previene que el heredaniie- ru ó infantazgo del ofiJd de la legión de Honor, edecán de S. A. S. príncipe E g nio Napoleón se compondrá de los el prí…</t>
  </si>
  <si>
    <t>de Landa, Ramón</t>
  </si>
  <si>
    <t>Ramón de Landa</t>
  </si>
  <si>
    <t>.251 rido de Doña Alaría Jgnacia Remate D. Julián Martínez de Torres............... 3610 y Villegas............................................ 15300 D. Ramón de Landa.............................. 9769.. 8$ D. Antonio Hernández, como testa­ D. Francisco García de Rozas......... 5415 mentario de Doña Juana Macarti.... 2964-27…</t>
  </si>
  <si>
    <t>de Landa, Ranton</t>
  </si>
  <si>
    <t>Ranton de Landa</t>
  </si>
  <si>
    <t>de Boecillo, y en su non\brc Doña Margarita y Doña Ana........... 460 2 7.. 13 síi apoderado D. Amonio Montaña. 15515)..ai D. Ranton de Landa............................... 36821.-31 El real Hospicio de esta corte, y en su D. Martin de Terrazas........ ............... . 69623 nombre su tesorero D. Josef Díaz D. Mateo Gil de S…</t>
  </si>
  <si>
    <t>de Landaburu, Román</t>
  </si>
  <si>
    <t>Román de Landaburu</t>
  </si>
  <si>
    <t>dier D. Fernando de Poulle : compañía de granaderos á D. Francisco cí* Ehautregard: ídem de cazadores á D. Dionisio de Bouiigni: idetn de fusileros á D. Román de Landaburu; primera ayundantía mayor á D. Augusto Barón de Roisin; primeras tenencias ¿ Don Antonia óispert’y D. -Francisco Beccard; segunda ayudantía mayor á LX Domi…</t>
  </si>
  <si>
    <t>de Lángara, Joan</t>
  </si>
  <si>
    <t>Joan de Lángara</t>
  </si>
  <si>
    <t>1792</t>
  </si>
  <si>
    <t>y los profundos conoci­ navegación á la india oriental, con tres viages he­ mientos de i&gt;. Jorge Juan, fueron los fundamen­ chos á Manila por el Sr. D. Joan de Lángara ; en tos sólidos de la restauración de nuestra marina. uno de los quales , acompañándole ds subalterno el Todo se le coniu raba á este hombre grande, y Sr. D. …</t>
  </si>
  <si>
    <t>de Langara, Juan</t>
  </si>
  <si>
    <t>Juan de Langara</t>
  </si>
  <si>
    <t>dife­ f )¡onisio Gaiiano: 3.0 experiencias sobre la grave­ dad , hechas con un péndulo invariable, en ambos rencia la derrota que en 1773 dio el Sr. D. Juan de Langara al navio Buea fin , abriendo juiciosa­ hemisferios, en la expedición del mando del Señor mente este nuevo rumbo al comercio de Filipinas Malaspina, calculadas …</t>
  </si>
  <si>
    <t>de Lara, Diego</t>
  </si>
  <si>
    <t>Diego de Lara</t>
  </si>
  <si>
    <t>reglo a) real decreto de S. M. de 26 de octubre del mienta, D. Bartolomé Perez, D. Josef Fernandez, año próximo pasado, debe haber en cada ana de las D. Diego de Lara, D. Santiago Aguado, D. Ra­ capitales de provincia, se prepare la de Córdoba á fael Navarro y D. Ramón Díaz. recibir con reas fruto esta institución interesantí…</t>
  </si>
  <si>
    <t>de Lara, Josef</t>
  </si>
  <si>
    <t>Josef de Lara</t>
  </si>
  <si>
    <t>costa de este tercio D. Juan de León, D. Salvador Ximeuez , D. Ra­ naval, y proveer en él lo conveniente para los ar-r fael Arana, D. Emilio Chuis , D. Josef de Lara, mamentos que se juzguen necesarios á su seguridad, D. Fernando Barrientos, D. Juan de Lara, D. Lo­ defensa y protección del comercio. renzo Pomar, D. Francisco …</t>
  </si>
  <si>
    <t>de Lara, Juan</t>
  </si>
  <si>
    <t>Juan de Lara</t>
  </si>
  <si>
    <t>conveniente para los ar-r fael Arana, D. Emilio Chuis , D. Josef de Lara, mamentos que se juzguen necesarios á su seguridad, D. Fernando Barrientos, D. Juan de Lara, D. Lo­ defensa y protección del comercio. renzo Pomar, D. Francisco Milla, D. Juan En­ art. 11. Nos propondrá por nuestro minittr® tero. de Marina quanto crea co…</t>
  </si>
  <si>
    <t>de Lardizabal, Luis</t>
  </si>
  <si>
    <t>Luis de Lardizabal</t>
  </si>
  <si>
    <t>e ponerse el sol. Nuestra artillería jugó con viveza y acierto , distin­ guiéndose la de la cabeza del puente, que estaba al cargo del avudante mavor D. Luis de Lardizabal, y se observó el estrago y dispersión que originaron las granadas en la caballería enemiga. Los franceses dirigieron los fuegos de la suya sobre la plaza d…</t>
  </si>
  <si>
    <t>de Lares, Higinio Zazo</t>
  </si>
  <si>
    <t>Higinio Zazo de Lares</t>
  </si>
  <si>
    <t>o Rafael. D. Francisco García. Marques de la Cerrezuela. D. Manuel Palomera. D. Vicente Navajas. j D. J&lt;vef Fernandez Caso. D. Antonio G.rcía Vargas. D. Higinio Zazo de Lares. D. J ulian de Fuentes. D. Francisco Bezares. D Julián Saez. Tenientes. D Juan Roca. D. Tomas C.mpillo. D. Manuel López. D Ramón J ver. D Francisco S.te…</t>
  </si>
  <si>
    <t>de Lázaro, Maouet</t>
  </si>
  <si>
    <t>Maouet de Lázaro</t>
  </si>
  <si>
    <t>....12097 17 D. Domingo Gil................... 39800 8r D- Agustín Pedrayes........ ................ '8980'. D. Juan Faure Cadet.v........... 5505 8| D. Maouet de Lázaro........................ 2197 í 29 D. Pedro Prado' y Baeza.....¡ g02 17* D, Joaquín; Calvóme.,......... .«.'.i....... 23736' ¡ 28 i Doña Francisca de Guizabur…</t>
  </si>
  <si>
    <t>de Lemberg, Juan</t>
  </si>
  <si>
    <t>Juan de Lemberg</t>
  </si>
  <si>
    <t>, canciller.” zapadores. De las demas clases D. Blas García de AUSTRIA. Quesada, D. Bernardino Argore , D. Mariano Gambeta, D. Juan Martínez Ttrroba, D. Juan de Lemberg 19 de agosto. la Calle, guardia de honor, D Josef Villa, Don Cayetano Janear, D. Josef Molinos, subteniente, El archidoqne Ranerio, llorado de sn gasto D. Car…</t>
  </si>
  <si>
    <t>de Lemos, Francisco Gil</t>
  </si>
  <si>
    <t>Francisco Gil de Lemos</t>
  </si>
  <si>
    <t>9 de febrero último falleció en esta cor­ ellos! te, á los 76 años cumplidos de su edad, el Excmo. 5.0 El entusiasmo en fin de ser la segunda Ge­ Sr. D. Francisco Gil de Lemos, capitán general de rona ó Zaragjz.i. Lo que hace á estas ciudades in­ la real armada, bailío y comendador de Portomamortales por su valor y sufrimient…</t>
  </si>
  <si>
    <t>de Lemus, José</t>
  </si>
  <si>
    <t>José de Lemus</t>
  </si>
  <si>
    <t>ery; y segunda tenencia de Cazadores , á D. Antonio de Agüera; segunda ayundantía mayor, á D. Luis Fernando Mon ; segundas tenencias de fusileros, á. D. José de Lemus, D. José Vaádés y Casasola, D. Tadeo Miranda y Mon, D Miguel Lacy, D. Ven­ tura Escario, D. Juan Nepomuceno Heredia , y D. José María dé Mena ; y empleos de alf…</t>
  </si>
  <si>
    <t>de Leocona, Diego</t>
  </si>
  <si>
    <t>Diego de Leocona</t>
  </si>
  <si>
    <t>. Esta parte de la ñesta fue magnífica; ber pasado á otra de Valladotid D. Juan Antonio y entre otras cosas se vieron subir y baxar por los Encabo: á D. Diego de Leocona&gt; cura y vicario aires, en medio de las bombas, de los cohetes y de Villareal en Guipúzcoa, para la dignidad de de fuegos de toda especie, y por entre una esp…</t>
  </si>
  <si>
    <t>de León, Diego</t>
  </si>
  <si>
    <t>Diego de León</t>
  </si>
  <si>
    <t>a en cinco actos titulada el Abate Asimismo quedan nombrados para capitán de L’Epee, se bailará el bolero, y se finalizará con un la segunda compañía D. Diego de León, para te­ sainete. niente D. Francisco Muñoz Belerma , y para sub­ Nota. Mañana viernes á las quatro y media en el referido teatro se executará la comedia en tr…</t>
  </si>
  <si>
    <t>de León, Diego Ponce</t>
  </si>
  <si>
    <t>Diego Ponce de León</t>
  </si>
  <si>
    <t>án de navio, 150. Id. de fragata, D. Juan de Vargas, 100 Id. D. Juan Posadas , 100. Id. D. José Laguna , 100. Id. D/Fernando de Soria Santacruz, 110. D. Diego Ponce de León, teniente de navio, 20.—Alféreces de navio. D. Domingo Mesa , 30. D. Manuel Vi lia vicencío, 120. D. Félix Gastartlbide, 60. Id. de fragata, D. Martin Tem…</t>
  </si>
  <si>
    <t>de León, Esteban Fernandez</t>
  </si>
  <si>
    <t>Esteban Fernandez de León</t>
  </si>
  <si>
    <t>atriotas reli­ giosos , proveerles de los referidos efectos, entregándoles ademas 25 doblones para que puedan continuar su viage. Sevilla 5 de enero. D. Esteban Fernandez de León, del consejo de S. M. en el supremo.de España é Indias, ha entregado gra­ tuitamente para el servicio del exército 2 mulos de marca, man­ sos, de fo…</t>
  </si>
  <si>
    <t>de León, Francisco Ponce</t>
  </si>
  <si>
    <t>Francisco Ponce de León</t>
  </si>
  <si>
    <t>de aclararla r Bástele esta gloria; y en pena de haber­ Xerez de la Frontera quedan promovidos: se metido á descifrar misterios , sufra las residen­ D. Francisco Ponce de León á capitán dé la cia» de la crítica, que no debe perdonar á nadie. quinta compañía en la vacante de D. Francisco Hasta aquí he sido un elogiador de Talé…</t>
  </si>
  <si>
    <t>de León, Ignacia</t>
  </si>
  <si>
    <t>Ignacia de León</t>
  </si>
  <si>
    <t>ría Cor­ ral, 50. D. José Trinidad Fábela, 10. D Francisco A-ean, too D. Vi­ cente Sitveira, 20. D. Fernando de la Cimpa y D. Francisco Noriega, 100. Doña Ignacia de León, 20. D. Teodoro Csneros, 18 D. Martin Barron, 2$. D. Cirios Rubio, 12. D. José Simón Birraza, 8 D. Atanasio Urbina, 10. D. Camilo Peynado, 10. D Juan José S…</t>
  </si>
  <si>
    <t>de León, Juan</t>
  </si>
  <si>
    <t>Juan de León</t>
  </si>
  <si>
    <t>emayor. de marina D. Pedro Obregon para entender en ios Tenientes. D. Jaime Mayol, D. Jorge Ostman, ramos de marina del tramo de costa de este tercio D. Juan de León, D. Salvador Ximeuez , D. Ra­ naval, y proveer en él lo conveniente para los ar-r fael Arana, D. Emilio Chuis , D. Josef de Lara, mamentos que se juzguen necesar…</t>
  </si>
  <si>
    <t>de León, Marcos Ponce</t>
  </si>
  <si>
    <t>Marcos Ponce de León</t>
  </si>
  <si>
    <t>000 D. Ventura Gómez de laTorre....... 21600 D. Ildefonso Polo, id........................... 44000 D. Juan Manuel de Usategui.............. 10543 17 D. Marcos Ponce de León , ex agoni­ D. Josef de Cadano............................... 4000 zante............ ......................... ................ 44000 D. Lúeas Romero....…</t>
  </si>
  <si>
    <t>de Lexarza, Juan Martínez</t>
  </si>
  <si>
    <t>Juan Martínez de Lexarza</t>
  </si>
  <si>
    <t>les. Por la del Sr. obispo de Oaxaca, 4186 y 3 rs. y medio. .!&gt; ¡ñu Area María Iraeta de Mier , 3000. La provincia lie Carmelitas de México , 24,000. D. Juan Martínez de Lexarza, vecino de Vallad olid, 1IY-YJ. El í eitiente coronel 19, Juan Bautista David, y los capitanes Or­ to ño y CevaUos , 172!. • D. Ramón Al-arcon, 20* D…</t>
  </si>
  <si>
    <t>de Lezpona, José María</t>
  </si>
  <si>
    <t>José María de Lezpona</t>
  </si>
  <si>
    <t>ste se merece del co­ mún de la nación, indicando algunas reflexiones sobre la actual guerra con Francia, ó mas bien con su emperador Napoleón I. Por D. José María de Lezpona: se vende, á 4 rs. en la librería de Roselló, calle de Génova. P. S.. Acabamos de recibir papeles ingleses hasta 17 de diciembYe. Refieren que el prínci…</t>
  </si>
  <si>
    <t>de Líafio, Ramón Gómez</t>
  </si>
  <si>
    <t>Ramón Gómez de Líafio</t>
  </si>
  <si>
    <t>cio de dicha ciudad , 15,G97. El subdelegado de Teotitlant del camino de la provincia de Oaxaca y va­ rios vecinos de este partido, 2064. El teniente D. Ramón Gómez de Líafio y varios vecinos de la villa de Aguas-calientes , 2100. D. Juan Gómez de la Puente , vecino de Irapuaío , 100 ; y otros 100 anualmente. D. Froylan Gonzá…</t>
  </si>
  <si>
    <t>de LichCarlstadt, Wenceslao</t>
  </si>
  <si>
    <t>Wenceslao de LichCarlstadt</t>
  </si>
  <si>
    <t>rios y buques de El conde de Mettefnich, ministro de Negocios guerra ingleses. extrangeros de Austria, salió de aquí anteayer pa­ ra Compiegne con el príncipe Wenceslao de LichCarlstadt jo de mXr'zo. ienstein, que acababa de llegar de Viena á París. Ayer salieron de aquí para Sluioe varios des* Se asegura que sí mariscal duqu…</t>
  </si>
  <si>
    <t>de LíchJBerlin, Juan</t>
  </si>
  <si>
    <t>Juan de LíchJBerlin</t>
  </si>
  <si>
    <t>Núm. 306- XJ49' GAZETA DE MADRID DEL VIERNES a DE NOVIEMBRE DE 1810. PRUSIA. Los diamante» del difunto coüée otaD valua­ dos eri 500® florines ; y el príncipe Juan de LíchJBerlin de&gt; setiembre. tenstein ha comprado sus haciendas en 200® flori­ El príncipe de Hatzfeld acaba de poblicar la nes___ Dícese que le sucederá en su de…</t>
  </si>
  <si>
    <t>de Lichtenstein, Juan</t>
  </si>
  <si>
    <t>Juan de Lichtenstein</t>
  </si>
  <si>
    <t>121</t>
  </si>
  <si>
    <t>guen saliendo en­ de artillería El RJ , acompañado de los príncipes fermos todos tus dias. sus hermanos, marchaba al frente de su guarnía, Del 2$. El príncipe Juan de Lichtenstein, qno seguida de todas las demas tropas de la guarnición ha exercido últimamente las fuuciones de coman­ y de un destacamento del primer regimiento …</t>
  </si>
  <si>
    <t>de Lichteustein, Juan</t>
  </si>
  <si>
    <t>Juan de Lichteustein</t>
  </si>
  <si>
    <t>ana que está en España, ha sido nombrado Se cree que el príncipe Fernando de Wurtem- secretario general del ministerio de ia Guerra. berg sucederá al príncipe Juan de Lichteustein en Un decreto del 23 de setiembre contiene las el destino de comandante general del Austria. disposiciones siguientes: Al nombrar el conde Feiipe d…</t>
  </si>
  <si>
    <t>de Ligarte, Toribio</t>
  </si>
  <si>
    <t>Toribio de Ligarte</t>
  </si>
  <si>
    <t>incesa , subtenencia k D. Joaquín Roca y Soriano : en el de la reunión murciana, subtenencia á D. José Perez Delgado : en el batallón de Canarias , á D. Toribio de Ligarte, y en el segundo de Voluntarios de Cataluña, subtenencia á Don José María Martínez y Duro. El Consejo de Regencia se lia dignado conferir en el regi­ mient…</t>
  </si>
  <si>
    <t>de Linares, Juan</t>
  </si>
  <si>
    <t>Juan de Linares</t>
  </si>
  <si>
    <t>ra en Valdedueñas, dé 6 fanegas, lin­ cía, de caber fanegá ’y jníedjau que de á oriente y norte con retamar de linda á saliente con tierra que labran D. Juan de Linares............................ 54.17 “99 los* de Húrchuele, y por norte con , .&gt; Otra en lo alto de Jas Caceras, de una otra de Eguiluz..........................…</t>
  </si>
  <si>
    <t>de Llano, Andrés</t>
  </si>
  <si>
    <t>Andrés de Llano</t>
  </si>
  <si>
    <t>: D. Francisco López Lisperguer, suplente por el vireynato de Buenos-Ayres: D. Luis Veiasco, suplente por idem: D. Manuel Rodrigo, suplente por idem: D. Andrés de Llano, su­ plente por Goatemala: Don Manuel de Llano, suplente por. idem: D. José Aivarez de Toledo, suplente per la isla de Santo Domingo: D. Agustín Arguelles, su…</t>
  </si>
  <si>
    <t>de Llano, José Agustín</t>
  </si>
  <si>
    <t>José Agustín de Llano</t>
  </si>
  <si>
    <t>Ramírez ; los de ayudantes primeros al teniente coronel de infantería graduado de coronel D. José de la Mar, al coman­ dante de esquadron de dragones D. José Agustín de Llano , y al sar­ gento mayor de ingenieros D. Simón Trevilla ; y el de ayudante segun­ do al capitán de caballería D. Cayetano María Degres. Asimismo se ha d…</t>
  </si>
  <si>
    <t>de Lledós, Ramón</t>
  </si>
  <si>
    <t>Ramón de Lledós</t>
  </si>
  <si>
    <t>Sentmerrat,por la ciudad de Cerveia:_D. Félix Aytés, por Cataluña : Don Pvamon Urges por idem: D. Salvador Viñaís por idem: D. Jayme Creus por idem : D. Ramón de Lledós por idem: D.~ José An­ tonio Castellarnau por ídem: D. Antonio María de Parga, por la pro­ vincia de Santiago : D. Francisco Pardo por idem: D. Vicente Ter­ r…</t>
  </si>
  <si>
    <t>de Llordetla, Ramón</t>
  </si>
  <si>
    <t>Ramón de Llordetla</t>
  </si>
  <si>
    <t>..... D. Martin Mallol. - Santander. . . . Señores Vidal é hijo. Sta. Cruz de Te-) . , . „ , ’a ■ ‘ nerfe r D. Antonio García Campero. Tarragona. ... D. Ramón de Llordetla é hijo. Valencia, .... D. Francisco Peyrolon y compañía. LIBROS. Discurso en elogio de la milicia, y delineacion del ca­ rácter militar; con las considerac…</t>
  </si>
  <si>
    <t>de Lobko, Isidoro</t>
  </si>
  <si>
    <t>Isidoro de Lobko</t>
  </si>
  <si>
    <t>e de esta guardia na­ la orden de S. Leopoldo, en presencia de los caba­ cional , en la que sirven todos los empleados , sin lleros de esta orden, al príncipe Isidoro de Lobko- exceptuar el prefecto del departamento ni el cor­ Víitz y al conde Czernin, que fueron nombrados regidor. comendadores en el mes de marzo último, como…</t>
  </si>
  <si>
    <t>de Lora, Diego</t>
  </si>
  <si>
    <t>Diego de Lora</t>
  </si>
  <si>
    <t>secretario de Estado Mariano Luis de Urquijo.” les , D. Josef Saenz de Ramírez , D. Diego de la Extracto de las minutas de la secretaría de Barrera, D. Diego de Lora , D. Josef María de Estado. . Cnbas , D. Francisco Ladrón, D. Joaqnin Jáco- Real alcázar de Sevilla á 7 de febrero de 1810. me, D. Antonio de los Ríos , D. Josef…</t>
  </si>
  <si>
    <t>de Loreoa, Carlos</t>
  </si>
  <si>
    <t>Carlos de Loreoa</t>
  </si>
  <si>
    <t>Gaceta de Madrid n.º 159</t>
  </si>
  <si>
    <t>umbraba alquilar par.: Horar­ cluido ya tod-s las di 'posiciones necesaii ,r pan es­ ios. Pero esta opinión ha sido impugnada por otros to efecto. Ai príncipe Carlos de Loreoa , goberna­ muchos antiquarios ; y en el dia ts una cosa de­ dor general de los Paises-Baxo', que murió axr' mostrada que las vasijas que se han llamado…</t>
  </si>
  <si>
    <t>de Louquat, Gabriel</t>
  </si>
  <si>
    <t>Gabriel de Louquat</t>
  </si>
  <si>
    <t>ínez..................................... 7S°° Hlmiimo................. ............... ' .18477 2 D. Nicolás Martínez de Tejada............. 44^4—*3 D. Gabriel de Louquat.................... l8 I 1- 6 ' ■ D. Manuel Moresqui............ .................. .5593° EFmismo-J.................................................. . . …</t>
  </si>
  <si>
    <t>de Lu, Etauislao</t>
  </si>
  <si>
    <t>Etauislao de Lu</t>
  </si>
  <si>
    <t>las de plata de 6 y de las ciencias y literatura, ó i escribir sobre es­ de 3 libras tornesas» reducido á francos, es» y tas materias. El Exento. Sr. D. Etauislao de Lu­ quedará arreglado del modo que signe desde el go, consejero de Estado, y director de dichos es­ dia de la publicación del presente decreto: tudios, presidió …</t>
  </si>
  <si>
    <t>de Lugo, Estanislao</t>
  </si>
  <si>
    <t>Estanislao de Lugo</t>
  </si>
  <si>
    <t>e la más glorieta dinastía, y el único que recibirlo, y fueron presentados á 8. M. por el limo. los hados prósperos de España pudieron prepararle Sr. D. Estanislao de Lugo, consejero de Estado , y para curar ios males de muchos siglos de error é comisario regio de este reino. S. M.,se apeó alii con ignorancia, y Cica trizar l…</t>
  </si>
  <si>
    <t>de Luji, Joset</t>
  </si>
  <si>
    <t>Joset de Luji</t>
  </si>
  <si>
    <t>ó sobre Cuenca , al mismo tiempo que D. Nicolás de los liaros.......................... 94947 12 el general en gefe con ia división Lava! y los cora­ D. Joset de Luji......................................... 20160 ceros avanzó hácia Teruel, la que ocupó, envian­ D. Juan López Q jevtdo......................... 9369 19 do tropa…</t>
  </si>
  <si>
    <t>de Luna, Ana María Henriquez</t>
  </si>
  <si>
    <t>Ana María Henriquez de Luna</t>
  </si>
  <si>
    <t>...... 711 D. Manuel de Ramos Zafra , apoderado D.' Manuel de Moya.............................. 1Ó24..17 de Doña Vicenta Perez Eseo.... ....... 448* Doña Ana María Henriquez de Luna. 2ÍÓ¿ D. Manuel López de Cerrcdo............... 17122..17 Doña Juana Lopezí................................ &lt;*3*-*5i D. Juan Antonio de Noreña, …</t>
  </si>
  <si>
    <t>de Luna, Jósef</t>
  </si>
  <si>
    <t>Jósef de Luna</t>
  </si>
  <si>
    <t>o batallón en la vacante de Pero'sobre todo los dentistas con sus manos é D. Andrés Ortega. , ’ ° ' instrumentos son sin lá'menor dndaconductores del D. Jósef de Luna » subteniente» á tedíente de contagio qoe recogieron de bocas por lo regular in­ la primera compañía del 'primer batallon"¿n'!á va­ ficionadas. El vírnsjsc cont…</t>
  </si>
  <si>
    <t>de Luna, Manuel</t>
  </si>
  <si>
    <t>Manuel de Luna</t>
  </si>
  <si>
    <t>ián de Cortabuena, 100. D. José Alvarez, 100. D. Pedro Miguel de Echevarría ,.200. El Sr. Bri­ gadier D. Manuel Mascaré , 100. D: Juan Su are z , 25. D. Manuel de Luna, 25. 1). Ramón de Echavarría, 50. Compañía de Julia y mustien Mustich , ¿x 50. Tornamira, Aygameyra y Goseus , 100. El Tesorero principal D. José Antonio Carva…</t>
  </si>
  <si>
    <t>de Luna, Pedro</t>
  </si>
  <si>
    <t>Pedro de Luna</t>
  </si>
  <si>
    <t>militar, el se­ hombres, hizo una resistencia vigorosa; peto tuvo AfBKDlCK A LA UAZErA DE MADRID. conservan originales las expresadas consiiuÁione». D. Pedro de Luna, que había sido electo papa en Jueves -12 de julio de 1810. Aviñon, y t« mado el nombre de Benedicto s.ui, resi»tíéndose á cumplir el juramento solemne que había…</t>
  </si>
  <si>
    <t>de Lúnn, Bartolomé</t>
  </si>
  <si>
    <t>Bartolomé de Lúnn</t>
  </si>
  <si>
    <t>jr la partida de caballería al mando de D. Bartolomé de Lúnn, d sargen­ to de guardias José Arquiles y ao hombres. Estos, acompañados de las partidas de Atájate ¿Benadalíd y Algatocin, con un fuego vivo se apo­ deraron de ellas, y aprovechando este m</t>
  </si>
  <si>
    <t>de Luque, Joan Perez</t>
  </si>
  <si>
    <t>Joan Perez de Luque</t>
  </si>
  <si>
    <t>sef Gómez: para la de Aihavia al ex­ ciscos de Loxa: para la de Chanchina al ex-mer­ carmelita caizádo D. Pedro Gil: para la de Ventacenario descalzo D. Joan Perez de Luque: para la rique ai ex-carmclita calzado D. Juan Goinez: pa­ de Pinos Puente á D. Gabriel Martínez, ex-guar­ ra la de Alboludui y .Nacimiento al ex carmelit…</t>
  </si>
  <si>
    <t>de Luque, Manuel</t>
  </si>
  <si>
    <t>Manuel de Luque</t>
  </si>
  <si>
    <t>Martínez.: para la de Dilar 'Ecija: para la primera sacristía de A llama al ex­ al:ex-mirCenario calzado D. Josef Hernández: pa­ franciscano descalzo D. Manuel de Luque : para la ra la de Churriana al ex mercenario descalzo Don de Algarinejo al cx-gerónimo D. Juan García de Francisco Perez y Atienza: para la de Maracena Lira:…</t>
  </si>
  <si>
    <t>de Luxan, Pedro</t>
  </si>
  <si>
    <t>Pedro de Luxan</t>
  </si>
  <si>
    <t>á Madrid acompa­ Que han de pedirnos dinero; ñado de un solo criado. La extraordinaria semejanza con Y audaces fortuna juvat. un ral D. Lope, hijo de D. Pedro de Luxan, hace que este buen hombre crea con la seguridad mas terca y bon­ D. Fernando. dadosa que ha encontrado á su hijo, de quien no tenia IQuieres creer que no me a…</t>
  </si>
  <si>
    <t>de M, Francisco Xavier</t>
  </si>
  <si>
    <t>Francisco Xavier de M</t>
  </si>
  <si>
    <t>, 100. D; Manuel García del Duque, capitán de dragones provinciales de Queretaro, 100 ; ademas de 25 men­ suales. D. Dmting s Colonia, 100. El oidcr D. Francisco Xavier de M en dieta:,¡:5 o.. D. Juan Bautista Perez, 25. D. Mariano Do­ mínguez , 15. La cofradía del santísimo Sacramento de la parro­ quia do Santo Toma»; 50. D. …</t>
  </si>
  <si>
    <t>de Madaria, Miguel</t>
  </si>
  <si>
    <t>Miguel de Madaria</t>
  </si>
  <si>
    <t>e 29 de diciembre último, en D. Vicente Ferrer García, D. Vicente Lobo y Ar- los mismos términos que este lo dispone con res­ Jona, D. Andrés A maya, D. Miguel de Madaria- pecto al intendente de Madrid. ga y D. Nicolás Lesso y Garro, racioneros de la art. ni. Nuestro ministro de Hacienda que­ misma; á D. Miguel Luis González …</t>
  </si>
  <si>
    <t>de Madrigal, Miguel María</t>
  </si>
  <si>
    <t>Miguel María de Madrigal</t>
  </si>
  <si>
    <t>a el juicio de la comisión no se ve miento de infantería de Toledo, 2.0 de línea , te­ embarazado con esta dificultad ; pues ninguno de los nientes á D. Miguel María de Madrigal, que lo poemas épicos, publicados de diez años á esta par­ fue del regimiento de infantería de voluntarios de te , llevan consigo la recomendación de…</t>
  </si>
  <si>
    <t>de Magan, Juan</t>
  </si>
  <si>
    <t>Juan de Magan</t>
  </si>
  <si>
    <t>eal cuerpo de guardias de Corps se ha servido el Con­ sejo de Regencia conferir el empleo de ayudante general, al bri­ gadier de ios reales exéreitos D. Juan de Magan , 2 9 teniente de la tercera compañía del mismo ; el de exénto, á los brigadieres D. José Rogliani y D. Martin Tovar; el de brigadier, ai su bri­ gadier D. Anto…</t>
  </si>
  <si>
    <t>de Malaspina, Aiexandro</t>
  </si>
  <si>
    <t>Aiexandro de Malaspina</t>
  </si>
  <si>
    <t>rmada D. Josef de Hevia (que yacían olvi­ y ya estaba aprobado por el Reí quando presentó dados en los archivos), han suministrado tantas lu­ el suyo D. Aiexandro de Malaspina para dar la ces y tan importantes correcciones á las cartas yá vuelta al mundo, y que por ser mas vasto, mas publicadas, qué no es dudable que el comer…</t>
  </si>
  <si>
    <t>de María, Juan Manuel</t>
  </si>
  <si>
    <t>Juan Manuel de María</t>
  </si>
  <si>
    <t>de 2 fanegas, linde á oriente y me­ ña, de 8 fanegas y 2 celemines, linde el majuelo de Juan de las Eras y fierra de diodia con el mayorazgo que goza D. Juan Manuel de María.......... ............. ;................ Ana Sanz...................................... ............... 39 36 *38 791 Otra en Capitos , de 2 fanegas y 9…</t>
  </si>
  <si>
    <t>de María, Manuel López</t>
  </si>
  <si>
    <t>Manuel López de María</t>
  </si>
  <si>
    <t>. 47-17 *045 Otra en el Cañamarejo , de fanega y media, Otra en la Quemada, de 24 fanegas, linde linde í oriente con tierra de Juan María con otra de D. Manuel López de María, Recuero, y i mediodía con tierras de he­ \ y herederos de Cecilia de la Plaza.......... 34 748 rederos de Pedro Prieto............................. 20 …</t>
  </si>
  <si>
    <t>de Marimon, Ramón</t>
  </si>
  <si>
    <t>Ramón de Marimon</t>
  </si>
  <si>
    <t>ía; ei sargento segundo Isidoro Iz­ quierdo y el soldado N. el Chorlo. Ei consideración a los largos y distinguidos servicios del ma­ riscal de campo D. Ramón de Marimon , teniente coronel del re­ gimiento de reales guardias españolas, sa ha servido S. M. pro­ moverle á teniente general de los reales exércitos. S. M. ha conce…</t>
  </si>
  <si>
    <t>de Maruri, Joaquín Riquelrai y Don Juan Peréz</t>
  </si>
  <si>
    <t>Joaquín Riquelrai y Don Juan Peréz de Maruri</t>
  </si>
  <si>
    <t>s , diferentes sugetos, le ha parecido conveniente publicar sus nombres para que se complazca la patria de te­ ner tan dignos hijos.— D. Luis Bdkran, D. Joaquín Riquelrai y Don Juan Peréz de Maruri , sirven gratuitamente de profesores, ademas del in­ fatigable D Agustín de Sexo, de quien ya se nabo en erra ocasicn. — Den Fran…</t>
  </si>
  <si>
    <t>de Matos, Tomas Diaz</t>
  </si>
  <si>
    <t>Tomas Diaz de Matos</t>
  </si>
  <si>
    <t>elegado D. Manuel Rodríguez, 20. D. Diego de la Puente, 20. Varios individuos, 16 y 1 real. D. Juan José Yandiola, 10-- -Real del Oro. El subdelegado D. Tomas Diaz de Matos, 10. D. Gaspar Pereyra, 35. D. Jasé Francisco Rebota, 10. D. Tomas de Amezúa, 10. D. Juan de-Isasi, 12. D. Francisco Rubín de Celis, 12. D. Francisco Redo…</t>
  </si>
  <si>
    <t>de Mazairedo, Josef</t>
  </si>
  <si>
    <t>Josef de Mazairedo</t>
  </si>
  <si>
    <t>Gaceta de Madrid n.º 173 (suplemento)</t>
  </si>
  <si>
    <t>prevenciones sobre el modo de hacer dicha recolec­ ción; el referido administrador general D. Juan Josef de Gamboa, de orden del excelentísimo señor D. Josef de Mazairedo, gran teso­ rero de la Orden Real , hace saber por este aviso público á los ad­ ministradores de los indicados bienes, y á los pueblos en que se ha­ llan si…</t>
  </si>
  <si>
    <t>de Mazar, José</t>
  </si>
  <si>
    <t>José de Mazar</t>
  </si>
  <si>
    <t>381 siones de este su mas afectísimo y obediente súbdito Q. S. M. B. Pe­ dro de Obregon. —Excmo. señor D. José de Mazar redo.' Continúa la lista de donativos de América. La oficialidad , comandante y, subalternos del batallón fixo de Veracruz , ademas de los2135 pesos fuertes expresados anteriormente, otros 1000.</t>
  </si>
  <si>
    <t>de Mazarredo, José</t>
  </si>
  <si>
    <t>José de Mazarredo</t>
  </si>
  <si>
    <t>379</t>
  </si>
  <si>
    <t>de conocida suncienda y-conducta; '•— D os guarde á V. E. mu-J chos años. — Málaga 16 de mayo de 181c."Excmo. Sr. — Pe­ dro de Obregon. — Excmo. Sr. D. José de Mazarredo. VI. De D. Pedro de Obregon á P&gt;. José de Aíazarredo* 'Afálaga y mayo *6 de i8ío.— Excmo. señor-- Mi mas estimado" y venerado gefé: me hallo sumamente disgus…</t>
  </si>
  <si>
    <t>CARTAS INTERCEPTADAS. I. De D. José de Mazarredo ¿í D. Pedro de Obregon. Julio 31. Mi estimado amigo: es singular «que ias cartas de ahí lle­ guen siempre con un correo y aun dos de atraso á las de Granada. Quie­ re decir, que no está limpio l</t>
  </si>
  <si>
    <t>Gazeta de la Regencia de España e Indias n.º 65 (suplemento)</t>
  </si>
  <si>
    <t>638</t>
  </si>
  <si>
    <t>ai matririfonio: y sea Vm. en todo tan feliz como nos interesa y desea su ínti­ mo de Va i. — Mazarredo. — Excmo. señor duque de Santafe. ’ III. T)e D. José de Mazarredo d Napoleón Bonaparte. A S. M. I. y B. Napoleón , emperador de los franceses , rey de Italia, protector de la confederación del Rhin, Igc- T&amp;c. \dc. — D. José…</t>
  </si>
  <si>
    <t>de Mázarredo, José</t>
  </si>
  <si>
    <t>José de Mázarredo</t>
  </si>
  <si>
    <t>todo el pormenor de estas operaciones. — Dios guarde á V. E. muchos años. Málaga 23 de mayo de 1810. — Excmo. Sr. zz Pedro de Obregon. ~ .Excmo. Sr. D. José de Mázarredo.” De D. Blas de Aranza al ministro de hacienda. “Prefectura de Sevilla. — Sevilla 8 de agosto de 1810. —El prefecto al Excmo. señor ministro de hacienda. — E…</t>
  </si>
  <si>
    <t>de Mazarredo, Josef</t>
  </si>
  <si>
    <t>Josef de Mazarredo</t>
  </si>
  <si>
    <t>os sólidos de la restauración de nuestra marina. uno de los quales , acompañándole ds subalterno el Todo se le coniu raba á este hombre grande, y Sr. D. Josef de Mazarredo, practicaron ambos por era, por decirlo asi, el oráculo del ministerio, sin primera vez en nuestra marina diversas observa­ haber sido por esto de los mas …</t>
  </si>
  <si>
    <t>de Mazarrédo, Josef</t>
  </si>
  <si>
    <t>Josef de Mazarrédo</t>
  </si>
  <si>
    <t>ntes españoles y extrangeros.” i cisco Fidalgo y D. Cosme Churruca , baxo un plan Los conocimientos que adquirieron en estas ex­ extendido por el Sr. D. Josef de Mazarrédo» la que pediciones varios oficiales, aplicados á unas opera­ ha continuado D. Ciríaco Cevallos en la costa de ciones tan propias de su instituro, proporcio…</t>
  </si>
  <si>
    <t>eto de la memoria primera que ahora se da á les son dignos de memoria los señores D. Jorge luz , para inspirar al publico la confianza que debe Juan, D. Josef de Mazarredo, D. VicenteTofiño, tener en la exactitud y prolijidad de los medios, D. Joan Francisco Aguirre , y D. Luis Godin , di­ qué se usaron, y del esmeró que se p…</t>
  </si>
  <si>
    <t>os, qnanto es útil ' con arreglo al plan é instrucción que detalladamen­ y frecuente la aplicación y uso de-este instrumsr.co te había dictado el Sr. D. Josef de Mazarredo. paradlas observaciones astronómicas. Desde 17^2 á 1795 reconectó y situó el primera Por el resumen que acabamos de hacer se comla isla de Trinidad y todas…</t>
  </si>
  <si>
    <t>de Mecklemtes, Carlos</t>
  </si>
  <si>
    <t>Carlos de Mecklemtes</t>
  </si>
  <si>
    <t>Gaceta de Madrid n.º 121</t>
  </si>
  <si>
    <t>miembros del consejo de Es­ asistieron los hermanos de S. M. la Reina ; el prín­ tado, dio audiencia en la gran galería á diferen­ cipe heredero y el príncipe Carlos de Mecklemtes órdenes de los estados reunidos, que llevaban burgo-Strelítz , como cambien los hermanos de tus oradores al frente. El gran mariscal de los es­ S. …</t>
  </si>
  <si>
    <t>de Meló, Diego</t>
  </si>
  <si>
    <t>Diego de Meló</t>
  </si>
  <si>
    <t>itán D. Juan Francisco Pe­ reza y D. Joaquín de Amadeo, alcaldes ordinarios; el capitán de mili­ cias D. Felipe Quintana, D. Francisco Miguel Roldan, D. Diego de Meló, D. José Antonio de Almarza y D. José Ignacio Baralt, regido­ res; el primer alférez real; el segundo alcalde provincial; el tercero fiel executor; el quarto de…</t>
  </si>
  <si>
    <t>de Mena, Buenaventura</t>
  </si>
  <si>
    <t>Buenaventura de Mena</t>
  </si>
  <si>
    <t>to de infantería , segundo de voluntarios de Madrid; segunda tenencia de fu­ sileros- al alférez D. Ramón Solís; y empleos de Alféreces a los cadetes D. Buenaventura de Mena, D. Pedro Cabañas, y D. Carlos Pozzodivorgo,. y al teniente del batallón de voluntarios de . la Serena D. Vicen­ te Segurado. Asimismo ha concedido el Co…</t>
  </si>
  <si>
    <t>de Mena, José María</t>
  </si>
  <si>
    <t>José María de Mena</t>
  </si>
  <si>
    <t>usileros, á. D. José de Lemus, D. José Vaádés y Casasola, D. Tadeo Miranda y Mon, D Miguel Lacy, D. Ven­ tura Escario, D. Juan Nepomuceno Heredia , y D. José María dé Mena ; y empleos de alféreces de granaderos, á D. José Antonio Fació, y D. Ramón de Zuloaga ; y de cazadores , á D. José Ma­ ría Casasoia. En el reg' miento de …</t>
  </si>
  <si>
    <t>de Mena, Julián López</t>
  </si>
  <si>
    <t>Julián López de Mena</t>
  </si>
  <si>
    <t>,,Se han hallado en Sevilla Inmensas provisio­ D. Domingo Esquiva........................ liteo 25 Jnes de todas clases; mas de 300 cañones, y 3go2J D. Julián López de Mena................ 1263 17 libras de pólvora Un cuerpo de 63 españoles , en­ Doña Isabel María de Cevalíos........ 41 51 17 viados por el duque del Parque pa…</t>
  </si>
  <si>
    <t>de Menda, Luis Mana</t>
  </si>
  <si>
    <t>Luis Mana de Menda</t>
  </si>
  <si>
    <t>istinguidas del pueblo ; por la noche se represen­ aquella colegiata D. Francisco de Paula Q esada, taron en el teatro , que con tan plausible motivo D. Luis Mana de Menda , D. Joaquín M ñd&lt; nado estaba iluminado, valias piezas dei mejor gusto: y D. Gaspar Guerrero de Hervas , individuos do por la tarde hubo una función de vo…</t>
  </si>
  <si>
    <t>de Mendia, Josef Ignacio</t>
  </si>
  <si>
    <t>Josef Ignacio de Mendia</t>
  </si>
  <si>
    <t>5 Micaela y D.a Eustaquia Heredia.. 62435 2a D. Domingo Perez S. Julián................. 4602 2 5 Los señores Dutari hermanos............... 6202 - 5 D. Josef Ignacio de Mendia , por su D. Felipe Aiba Ruiz , como padre y apoderado D. Lorenzo de Palacio administrador re D. Josef y D. Cay Gorbea........... :....................…</t>
  </si>
  <si>
    <t>de Mendieta, Bernardo Antonio</t>
  </si>
  <si>
    <t>Bernardo Antonio de Mendieta</t>
  </si>
  <si>
    <t>rtas en las termas da Guitart, jileé jdé, primera instancia en esta villa, sé ha Tito. mandado celebrar junta de acreedores al concurso for­ mado por D. Bernardo Antonio de Mendieta,. veci­ . Calais *4 de octubre. no que fue de esta corte, .para la que se ha señalado Ayer i las diez de la mañana fue encallado á clafúnes 10 de…</t>
  </si>
  <si>
    <t>de Mendizabal, Blas</t>
  </si>
  <si>
    <t>Blas de Mendizabal</t>
  </si>
  <si>
    <t>de lenguas, concediéndole los honores y sueldo da- oficial primero déla secretaría de Estado y del despacho de Gracia y Justicia: habiendo nombrado á D. Blas de Mendizabal, que servia interinamente la secretaría de Interpretación, cón­ sul general , y encargado de negocios en Marruecos. El Consejo de Regencia se ha dignado as…</t>
  </si>
  <si>
    <t>de Mendoza, Francisco Xavier Ruiz</t>
  </si>
  <si>
    <t>Francisco Xavier Ruiz de Mendoza</t>
  </si>
  <si>
    <t>a. D. Mariano de la Cuesta. Batallón del quartel de S. Gerónimo. D. Zacarías Camant. D. Manuel Saez de Prado. Capitanes. D. Vicente Romero de Tejada. D. Francisco Xavier Ruiz de Mendoza. D. Ramón Tamayo. D. Manuel de S. Vicente. D. Josef Valenzuela. D. Juan López de Quevedo. D. Francisco Fernandez Ibarra. Subtenientes. D. Fer…</t>
  </si>
  <si>
    <t>de Mendoza, Manuei Hurtado</t>
  </si>
  <si>
    <t>Manuei Hurtado de Mendoza</t>
  </si>
  <si>
    <t>ilez Arnao........... 26100 Quartel general de Teruel 25 de diciembre de D. Antonio S únz de Ri zas.................... 1930 1809. = El conde Suchet. D. Manuei Hurtado de Mendoza......... 8580 Madrid 28 de enero. D. TosefAtnatei.......................................... 3^ 148 La comisión de liquidación de la deuda del es­ D.…</t>
  </si>
  <si>
    <t>de Mera, Joaquín</t>
  </si>
  <si>
    <t>Joaquín de Mera</t>
  </si>
  <si>
    <t>los últimos avisos. ,, Incluyo á V. E. el parte original que han remitido estos dig­ nos oficiales, D. Antonio Ponce, comandante de la infantería, y D. Joaquín de Mera, que lo era de la caballería. ,, Los prisioneros saldrán mañana para ese quartel general con la correspondiente escolta. ,, El resto de la división está impaci…</t>
  </si>
  <si>
    <t>de Mérida, José Antonio</t>
  </si>
  <si>
    <t>José Antonio de Mérida</t>
  </si>
  <si>
    <t>al valor de quatro mesadas de las que se le suplen por razón del atraso en el repartimiento de los diezmos. Doña María Josefa Pi­ cado Pacheco, 500. D. José Antonio de Mérida; vecino de Oaxaca, 500. D. Francisco Antonio de Santiago, y su hijo político D. Agustín de la Peña, por mitad, 500. D. Manuel Francisco del Cerro, 500. …</t>
  </si>
  <si>
    <t>de Merlos, Gregorio Joseí</t>
  </si>
  <si>
    <t>Gregorio Joseí de Merlos</t>
  </si>
  <si>
    <t>onvidado después á comer á su de la catedral de Patencia, para una canongía de mesa. S. A. R. visitará la semana próxima sus nue­ la de Valladolii: á D. Gregorio Joseí de Merlos, vos dominios. presbítero, para una prestamera de la mitacion de Ayer pasó por aquí el general barón de Can­ Guad-dtnazaites, diócesis de Córdoba} y …</t>
  </si>
  <si>
    <t>de Mesa, Antonio</t>
  </si>
  <si>
    <t>Antonio de Mesa</t>
  </si>
  <si>
    <t>53 llanos de Encina-borracha lo que sigue- — Excmo. Señor. — Copio á V. E. el oficio que D. Antonio de Mesa me dirigió cón fecha 10 de marzo. En esta ho­ ra , que serán las diez de la mañana de este día, acabo de recibir del Comandante de la avanzada del punto de los Empedrados el parte que sigue.—Avanzada del Empedrado.— El Com</t>
  </si>
  <si>
    <t>de Mesa, Rodrigo Fernandez</t>
  </si>
  <si>
    <t>Rodrigo Fernandez de Mesa</t>
  </si>
  <si>
    <t>de Velasco, trabajar, porque hace mucho tiempo que estatfiot teniente corencl retirado, y caballero del hábito sin Reiy sin gobierno. úc Caiarrava ; D. Rodrigo Fernandez de Mesa y El cuerpo de la ciudad ha quedado en extremo Afgote, caballero de la distinguida orden española prendado de la bondad con que el REI les ha ma­ de …</t>
  </si>
  <si>
    <t>de Mesa, Rodrigo Fraz</t>
  </si>
  <si>
    <t>Rodrigo Fraz de Mesa</t>
  </si>
  <si>
    <t>tadurías y administraciones, los tribunales, las Capitanes.¡' D. Fadriqne Vermis, D.Ignacio diputaciones de las fábricas de paños y comercio, Argote, D. Rodrigo Fraz de Mesa, D. - Diego ‘ Ids nobles y demás personás de diitlncion i.convi­ Baeoa y Rasé, D. Ramón de Hoces, D. Joan de ' dadas todas por Ja municipalidad según sr …</t>
  </si>
  <si>
    <t>de Met, Josef</t>
  </si>
  <si>
    <t>Josef de Met</t>
  </si>
  <si>
    <t>y otros varios mili­ baxador de S. M. el Emperador de Austria, los tares de la guarnición, ai corregidor, y á una di­ señores príncipe Esterhazi; el-conde Josef de Met- putación del cabildo eclesiástico y á otra del secu­ ternich , gentilhombre; el conde de Welmóden, lar. Los concurrentes tuvieron el honor de brindar teniente…</t>
  </si>
  <si>
    <t>de Mezcorta, Joaquin</t>
  </si>
  <si>
    <t>Joaquin de Mezcorta</t>
  </si>
  <si>
    <t>... 14079 Doña Felipa de Aiderman, condesa Doña María Barbachano...................... 23465 viuda de Sanafé................................... 16200 D. Joaquin de Mezcorta...................... 84293 17 Doña Camila de Arriaga..................... . 10800 D. Simón Gutiérrez.............................. 5 297 8f Doña Juana de…</t>
  </si>
  <si>
    <t>de Michelena, Juan Angel</t>
  </si>
  <si>
    <t>Juan Angel de Michelena</t>
  </si>
  <si>
    <t>... Continúa la lista de los donativos hechos por los individuos del apos­ tadero de marina de Afontevideo. Deposito en Áfimtevideo y otros destinos. D. Juan Angel de Michelena, capitán de navio, 150. Id. de fragata, D. Juan de Vargas, 100 Id. D. Juan Posadas , 100. Id. D. José Laguna , 100. Id. D/Fernando de Soria Santacruz,…</t>
  </si>
  <si>
    <t>de Mier, Manuel</t>
  </si>
  <si>
    <t>Manuel de Mier</t>
  </si>
  <si>
    <t>rdoba. - El REI se ha servido nombrar á D. Pedro Ser­ D. Josef Ignacio de Altana, en la de Granada. rano, caballero de la orden real de España, y se­ D. Manuel de Mier, en la de Jaén. gundo comandante de la guardia de honor de esta D. Andrés de Bustos y Martínez , eo la .de Má­ ciudad, tesorero de la real casa de moneda de el…</t>
  </si>
  <si>
    <t>de Migueleña, Juan Tomas</t>
  </si>
  <si>
    <t>Juan Tomas de Migueleña</t>
  </si>
  <si>
    <t>ente corenel 1&gt;. Joaquín del Castillo , 200. I). Francisco de Arrillaga , 1000. D. Mi­ ‘ el Ignacio -o Miranda1, 200. D. José Mariano Al mansa , 200. D. Juan Tomas de Migueleña, 200. I). Miguel José de íriarte , 200. D. Angel Gonzá­ lez, 400. I). Juan Lobo 200. D. Martin de Coz , 100. D. Pedro Garay , 200. 1). Manuel Bertimat…</t>
  </si>
  <si>
    <t>de Milán, León de Sagascartas</t>
  </si>
  <si>
    <t>León de Sagascartas de Milán</t>
  </si>
  <si>
    <t>pestades, y se. ha sabido que bao causado también muchos per* Avisó. juicios en Pontremoli y en' el Piamonte. En las En virtud de providencia del Sr. D. León de Sagascartas de Milán se anuncia que el Po, el Tesino y ta, del consejo de S. M., caballero de. la Orden Real el Oravelloue han salido de madre, y que han de .España, …</t>
  </si>
  <si>
    <t>de Milla, Juan Luengo Para el de Perales</t>
  </si>
  <si>
    <t>Juan Luengo Para el de Perales de Milla</t>
  </si>
  <si>
    <t>imón Cob Suelves al de CasalgorPara el de. Cerralbo, vacante por muerte de do, á D. Florencio Bratnti, clérigo de prima. D. Pedro Torres y Colomet, á D. Juan Luengo Para el de Perales de Milla , vacante por ascen­ Mayoral, cura de Techada. so de D. Alfonso Gabriel Rod'rigaez al de ValdiPara el dé Yuncos, vacante por muerte de…</t>
  </si>
  <si>
    <t>de Mo, Mnuel</t>
  </si>
  <si>
    <t>Mnuel de Mo</t>
  </si>
  <si>
    <t>s se forma­ rán dos compañías. Fecamp 1 a de noviembre. Quedan nombrados capitanes de estas com­ Un francés que salió de Londres e! 10 de este pañías'D. Mnuel de Mo ma y D. Josef Maria mes, y de Portsmooth ayer domingo ir, dice que Lurja ; p.ra tenientes D. Fr.nciscn Zu.eca y Don, á su salida de Londres, que fae en Ja mañana …</t>
  </si>
  <si>
    <t>de Molina, Juan</t>
  </si>
  <si>
    <t>Juan de Molina</t>
  </si>
  <si>
    <t>a de D. Bernardo Perez Caballero, presbítero, por el Córdoba , substituyéndole en el mando de la guar­ estado eclesiástico. dia cívica de esta ciudad D. Juan de Molina. £1 dia 7 de abril se presentó á S. M. en Cór­ doba la diputación de la villa de B*ena, compues­ ta de D. Melchor G ¡mez de Ceialla , corregidor TEATROS. .y al…</t>
  </si>
  <si>
    <t>de Monserrat, Ramón</t>
  </si>
  <si>
    <t>Ramón de Monserrat</t>
  </si>
  <si>
    <t>omisión de liquidación de la deuda del es­ D. G regorio Azpeitia.............................. 300000 tado, en cumplimiento de su instituto, avisa al D. Ramón de Monserrat......................... 340000 público que por dos reales decretos expedidos en D. Josef Ortiz.............................................. 22~-o2 6 '29 …</t>
  </si>
  <si>
    <t>de Montaya, Juan</t>
  </si>
  <si>
    <t>Juan de Montaya</t>
  </si>
  <si>
    <t>A16&gt;ztu.r.......................... 804 23 L Paña VitJénta .García,.,*,,............ 44002 12 p. Pedro del Rio,,..,.,.................... . 6825 i.i D. Juan de Montaya.,,»,,,»,,.,....^.» 32400 P. Manuel HaedP-””*-".............. *1569] .C\ D. Josef Clemente de.Lujar.». fip*&lt;ii«kp ;, v 67200 D. Antonio Hernández............. a…</t>
  </si>
  <si>
    <t>de Montenegro, Félix Gómez</t>
  </si>
  <si>
    <t>Félix Gómez de Montenegro</t>
  </si>
  <si>
    <t>os del Peñón, Reyes y Sta. Clara, 36 y 7 rs. Los de San Marcos, 6i. Las haciendas de S. Antonio y S. Juan de N oriega, 81 jBabonqyaba. Ei subdelegado D. Félix Gómez de Montenegro , io. Don Francisco Valderrama, 6. D. Domingo Tarango, 8. D. Miguel Terra­ zas, 10. Varios individuos, 37 y 1 real. — Ademas de las anteriores do­ n…</t>
  </si>
  <si>
    <t>de Montenegro, León</t>
  </si>
  <si>
    <t>León de Montenegro</t>
  </si>
  <si>
    <t>ando. D. Cj i*o Garc.a. D. Tomas García Domínguez. D Nicolás Herencia. Batallón del quartel de S. Martin. D. Gervasio Fernandez Izquierdo. Capitanes. D. León de Montenegro. D. Fulgencio de la Riva. Agüero. D. Ignacio de la Torre. D. Mana' 1 Calderón. El marques de Cusano. Subtenientes. D. Benito Prado y Ulloa. D. Francisco Di…</t>
  </si>
  <si>
    <t>de Montesinos, Diego</t>
  </si>
  <si>
    <t>Diego de Montesinos</t>
  </si>
  <si>
    <t>lentos de m.,yor nom­ distinguida órden española de Cirios in , comisa­ bradla venían á esta capital á recoger los sufragios rio ordenador honorario; D. Diego de Montesinos de un público ilustrado. La brillantez del teatro V Velasco, señor de la villa de Villaraita ¡ fiscal de la ópera se debe en gran parte á la gran maes­ pr…</t>
  </si>
  <si>
    <t>de Montoya, Melchor</t>
  </si>
  <si>
    <t>Melchor de Montoya</t>
  </si>
  <si>
    <t>romoverlos á alféreces en sus respectivos cuerpos. Asimismo se ha servido conceder grado de capitán de caba­ llería .al caballerizo de campo de S. M. D. Melchor de Montoya. En América. Ei rey nuestro señor D. Fernando VII, y en su real nombre el Consejo supremo de Regencia del reyno , se ha servido conferir el gobierno y coma…</t>
  </si>
  <si>
    <t>de Mor, Matías</t>
  </si>
  <si>
    <t>Matías de Mor</t>
  </si>
  <si>
    <t>....... 7&gt;33i de la corte y de la ciudad. D. Josef Bouchet y Dandumont..... 1353..25I D. Antonio Saín2 de Rozas................... 2346..17 ESPAÑA. . D. Matías de Mor.......;......................... 992 D. Josef Bonar........................................ 722 Madrid 2 de marz*. D. Francisco de las Barreras............ 1499…</t>
  </si>
  <si>
    <t>de Mora, Pasqual Moreno</t>
  </si>
  <si>
    <t>Pasqual Moreno de Mora</t>
  </si>
  <si>
    <t>Benito de Labra, 40. D. Lázaro Elejalde, 1000. D Lorenzo Rodrí­ guez Sánchez, 1000. Costello, hermanos, iooo. D. Manuel Ortiz de Muga y su muger 60. D. Pasqual Moreno de Mora, 600. D. Miguel Riva, 500.. D. Miguel Maten é hijos, 400. D. Francisco Berrio, 500. D. Manuel Ros, 1000. D. Tomas Isturiz, 4000. D. Ildefonso Ruiz del R…</t>
  </si>
  <si>
    <t>de Morales, Miguel</t>
  </si>
  <si>
    <t>Miguel de Morales</t>
  </si>
  <si>
    <t>rages son superiores á todo elo­ D. Josef Martínez de Castejon , D. Francisco Ruiz gio. Los pintores del teatro imperial se han mani­ Blanco de Cea , D. Miguel de Morales , D. Manuel festado dignos sucesores de los célebres G biliari. Mariano de Marros , D. Francisco de Paula Barbero, D. Manuel Díaz» D. Andrés Portielmelo, Do…</t>
  </si>
  <si>
    <t>de Moría, Tomas</t>
  </si>
  <si>
    <t>Tomas de Moría</t>
  </si>
  <si>
    <t>l archiduque Maximiliano llegó aquí dos que en rechazar al enemigo. A pesar de las ins­ el dia 16 por la mañana: al dia siguiente pasó re­ tancias de D. Tomas de Moría y del embaxador vista á los cuerpos de infantería y de caballería que ingles no se determinó este general en ninguna oca­ están aquí, y el 18 se marchó á Ciaus…</t>
  </si>
  <si>
    <t>de Morían, Joaquín</t>
  </si>
  <si>
    <t>Joaquín de Morían</t>
  </si>
  <si>
    <t>95</t>
  </si>
  <si>
    <t>r Como el tiempo es precioso, y este cuerpo debe extender sus ideas á un millón de asuntos de la mayor urgencia , autoriza suficientemente al citado D. Joaquín de Morían, no solo para que informe á V. E. ver­ balmente y con menudencia de los particulares acaecidos er\ esta ciudad, sino también de las noticias recibidas de ofi…</t>
  </si>
  <si>
    <t>de Moritolni, Plácido</t>
  </si>
  <si>
    <t>Plácido de Moritolni</t>
  </si>
  <si>
    <t>a provincia de Extremadura : D. Ramón Povcr, por la isla de Puerto Rico: D. Ramón Saris , por la ciudad de Barce­ lona : D. Juan Valle, por Cataluña: D. Plácido de Moritolni, por la ciudad de Tarragona : D. José Alonso y López , por la junta superior de Galicia: D. José María Suarez deRioboo, por la provincia de San­ tiago : …</t>
  </si>
  <si>
    <t>de Mosquera, Joaquia</t>
  </si>
  <si>
    <t>Joaquia de Mosquera</t>
  </si>
  <si>
    <t>251</t>
  </si>
  <si>
    <t>vi­ confirmación de esta grande verdad* que nada de-, dente de esta verdad en la elección del regente grada mas completamente la energía y Ja morali­ D. Joaquia de Mosquera en el momento que es­ dad de los pueblo*.que el hábito dé la esclavitud. taba mas cargado del odio de todos sus habitantes? Podrá darse fácilmente.un sent…</t>
  </si>
  <si>
    <t>de Moya, Francisco López</t>
  </si>
  <si>
    <t>Francisco López de Moya</t>
  </si>
  <si>
    <t>.mpillo. D. Manuel López. D Ramón J ver. D Francisco S.tenz Rufz.' Batallón del quartel del Barquillo. D. Gaspar B usá. D. Narciso B.*sia. Capitanes. D. Francisco López de Moya. Marques de Canillejas. D. Manuel Barraltes. D. Francisco Marchámalo. D. Rafael de Yarce. D. Rafael Riesco. D. Clemente Meibicl. D. Manuel Palomino Lo…</t>
  </si>
  <si>
    <t>de Moya, Manuel</t>
  </si>
  <si>
    <t>Manuel de Moya</t>
  </si>
  <si>
    <t>ar................................. 3527 P. Julián Alfonso López.................... 6120 D. Nicolás Barsami................................ 180.. 17 D. Manuel de Moya.............................. 4772.. 15 D. Cipriano Salinero................. ............. 711 D. Manuel de Ramos Zafra , apoderado D.' Manuel de Moya........…</t>
  </si>
  <si>
    <t>de Muga, Juana</t>
  </si>
  <si>
    <t>Juana de Muga</t>
  </si>
  <si>
    <t>o del Valle........... . 176400 Estaco. ;• D. Autoi io Portier................................. 239987..22 En nuestro palacio de Madrid á 14 de julio Doña Juana de Muga............................. 36000 de i8ro. . D. Manuel de Urets.............................. 121320 Don Joséf Napoleón por la gracia de Dios y D. F ermm de …</t>
  </si>
  <si>
    <t>de Muga, Manuel Ortiz</t>
  </si>
  <si>
    <t>Manuel Ortiz de Muga</t>
  </si>
  <si>
    <t>., 100. Doña Rosalía de Córdoba, 20. D. Benito de Labra, 40. D. Lázaro Elejalde, 1000. D Lorenzo Rodrí­ guez Sánchez, 1000. Costello, hermanos, iooo. D. Manuel Ortiz de Muga y su muger 60. D. Pasqual Moreno de Mora, 600. D. Miguel Riva, 500.. D. Miguel Maten é hijos, 400. D. Francisco Berrio, 500. D. Manuel Ros, 1000. D. Toma…</t>
  </si>
  <si>
    <t>de Murcia, Manuel Riquelme</t>
  </si>
  <si>
    <t>Manuel Riquelme de Murcia</t>
  </si>
  <si>
    <t>. Id. -JD. Mariano Ampuero , 25. Id. D; Rodrigo Tavira, 25. D. Joaquín Ugar-te ,aiferez de navio., y primeripiloro , 42. Contador, el oficial quarto, D. Manuel Riquelme de Murcia, 30. D. Pedro Fernandez , capellán, 20. D.- Manuel Loaces, tercer piloto , 30. IdemÁe mary sueldo fixoy temporal. Rafael Perez, segundo contra­ maes…</t>
  </si>
  <si>
    <t>de Murgiiia, Antonio</t>
  </si>
  <si>
    <t>Antonio de Murgiiia</t>
  </si>
  <si>
    <t>Gazeta de la Regencia de España e Indias n.º 75</t>
  </si>
  <si>
    <t>734</t>
  </si>
  <si>
    <t>ncipalmente á Jos de cabaderia y dragones en ocasión de la guerra de feaviera. Traducido al español, un tomito en 12.0 Se hallará en la Li­ brería de D. Antonio de Murgiiia, plazuela del Correo. (5) Pites ¿ y la independencia y la integridad de la España ? (6) ¿ Cómo cabe que Urquijo se alucine hasta tal punto, y crea que el …</t>
  </si>
  <si>
    <t>de Murguía, Antonio</t>
  </si>
  <si>
    <t>Antonio de Murguía</t>
  </si>
  <si>
    <t>rgento para la pronta y metódica instrucción de las com­ pañías de infantería del exército: un tomo en 8.ü Se hallarán en la im­ prenta y librería de D. Antonio de Murguía, plazuela ¿el Correo. Continúa la lista de los donativos hechos por los individuos del apos­ tadero dé marina de Aíontevideo. Artillería de marina. José Gi…</t>
  </si>
  <si>
    <t>de Musita, Vicenta</t>
  </si>
  <si>
    <t>Vicenta de Musita</t>
  </si>
  <si>
    <t>....... 200 D. Felipe Prado y Lemas............ . 3249 D. Josef Antonio de Muxica............... 23OI3 23 D. A ntonio de Benito y Picalomini.. 812 81 Doña Vicenta de Musita...................... 27616 14 D. Germán Laurencin........................... 4873 J7 D. Lorenzo de Palacio y Gorbea....... 3842I 31 D. Manuel Zavala.....…</t>
  </si>
  <si>
    <t>de Musques, José Miguel</t>
  </si>
  <si>
    <t>José Miguel de Musques</t>
  </si>
  <si>
    <t>. D. Pedro Puglia, 50. D. José. Antonio Carbajal , tesorero interino de Veracruz , su esposa , hijos y cria­ dos , 250. D. José Antonio Escobar, 100. D. José Miguel de Musques, 20. Doña María Gertrudis y Doña María Francisca Musques y Lariz, 12 pesos , y otra tanta cantidad anualmente. D. Francisco Manzano, 50. La provincia d…</t>
  </si>
  <si>
    <t>de Muxica, Josef Antonio</t>
  </si>
  <si>
    <t>Josef Antonio de Muxica</t>
  </si>
  <si>
    <t>allada.................................... 1444 D. Juan Teran......... ............................... 200 D. Felipe Prado y Lemas............ . 3249 D. Josef Antonio de Muxica............... 23OI3 23 D. A ntonio de Benito y Picalomini.. 812 81 Doña Vicenta de Musita...................... 27616 14 D. Germán Laurencin.........…</t>
  </si>
  <si>
    <t>de Muxica, Melchor</t>
  </si>
  <si>
    <t>Melchor de Muxica</t>
  </si>
  <si>
    <t>133631 1 2 3 6 3 1 26 D. Alaría Aúnela Azpi-oz, como tuDoña N ¡casia de Cañas.......................... 28816 14 «ora de sus !¡ij s D.Wenceslao, D.a D. Melchor de Muxica........................... 4402 25 Micaela y D.a Eustaquia Heredia.. 62435 2a D. Domingo Perez S. Julián................. 4602 2 5 Los señores Dutari hermano…</t>
  </si>
  <si>
    <t>de Nanclares, María Polonia</t>
  </si>
  <si>
    <t>María Polonia de Nanclares</t>
  </si>
  <si>
    <t>10389 D. Santiago Antonio de Urizar............ 12240 D. Juan Peñalver................................... 1150 23 D. Diego Grao Osorbia, ex-carmeli­ Doña María Polonia de Nanclares... 275 2 1 ta descalzo............................................ 44000 Los herederos de D. Juan Esiéban de D. Juan Bautista Vallejo, ex-bene­ la…</t>
  </si>
  <si>
    <t>de Narbona, Luis</t>
  </si>
  <si>
    <t>Luis de Narbona</t>
  </si>
  <si>
    <t>able , ha destacado desde Potes el dÍ3 nistro plenipotenciario y enviado extraordinario en 2 de este mes una partida de 30 hombres , manda­ Munich el general Luis de Narbona. da por el capitán de las milicias deLaredo D. Ber­ El antiguo Rei de Suecia Gustavo Adolfo lle­ nardo Crespo, el qual baxando al valle de Cabuérgó en la…</t>
  </si>
  <si>
    <t>de Navas, Alexo</t>
  </si>
  <si>
    <t>Alexo de Navas</t>
  </si>
  <si>
    <t>Paz Acosta, agregado coa D. Francisco Molina, escribano de millones. sueldo. D. Francisco de Cárdenas, idem de alcabala*. D. Josef María Moñiz, ídem. D. Alexo de Navas , ídem. Tesorería principal. D. Francisco Domínguez, ídem. D. Josef Bfitran . ídem. D. Pedro Díaz de Casso, tesorero principal. D. Miguel de la Oliva, meritori…</t>
  </si>
  <si>
    <t>de Navas, Joan</t>
  </si>
  <si>
    <t>Joan de Navas</t>
  </si>
  <si>
    <t>concentraba entre tanto sas fuerzas para obligar por Para el de la de Competa, vacante por muerte este medio al enemigo á concentrar las suyas , y de D. Joan de Navas, á D. Josef Fariñas, presbí­ que de este modo le fuese mas difícil proporcionar­ tero ex-regolar. se'víveres. Para el de la de Sayalonga, vacante por muer­ Las …</t>
  </si>
  <si>
    <t>de Navas, Juan</t>
  </si>
  <si>
    <t>Juan de Navas</t>
  </si>
  <si>
    <t>83 ; de Upsala, ó la mayor parte de la ' Para ta de Canillas de Aceituno al ex-fráncis- Uplanda, 81131; deGefle,ó la Gestrícia , 85260; cano descalzo D. Juan de Navas. ■ &lt; de Jabinn, ó la Dalecatlia , 122624; de HernoPara la de Alcaucin á D. Rafael Feruandezi sand , qne comprehende la Angermania , él Mede!ex-franciscano obser…</t>
  </si>
  <si>
    <t>de Negocios, Interinó</t>
  </si>
  <si>
    <t>Interinó de Negocios</t>
  </si>
  <si>
    <t>a, á D. Fernando X¡“tanpublicación del presente decreto, quedarán di- menez Valle)". ' ' “Éueltos los cabildos catedrales cuyas sillas están N óettVo ministro Interinó de Negocios eclesiás­ uprimidas ó agregadas. Los miembros de estos ca- ticos queda encargado* del cu n Mi miento de «te { KÍldos pasarin á serlo del cabildo ca…</t>
  </si>
  <si>
    <t>de Nieva, Faustino</t>
  </si>
  <si>
    <t>Faustino de Nieva</t>
  </si>
  <si>
    <t>l Machado. D. Antonio Fuentes. El marques de C &lt;mpo Villar. D. Bernabé Fuentevila. El marques de Cevados. D. Agu stin Chavarri. D. Mari, no Villodas. D. Faustino de Nieva. D. Bernardo Dios dado. D. Mateo Casado. D. Ji-sef Ibaceta. D. Joaquio Palacios. Subtenientes. D. Mariano de San Juan. D. Dámaso Machuca. D. Mariano Lfander…</t>
  </si>
  <si>
    <t>de Noreña, Juan Antonio</t>
  </si>
  <si>
    <t>Juan Antonio de Noreña</t>
  </si>
  <si>
    <t>Doña Ana María Henriquez de Luna. 2ÍÓ¿ D. Manuel López de Cerrcdo............... 17122..17 Doña Juana Lopezí................................ &lt;*3*-*5i D. Juan Antonio de Noreña, como ma­ D. Esteban Corones.......................... 992..251 rido de Doña Alaría Jgnacia Remate D. Julián Martínez de Torres............... 3610 y V…</t>
  </si>
  <si>
    <t>de O, Luis</t>
  </si>
  <si>
    <t>Luis de O</t>
  </si>
  <si>
    <t>riódicos hicieron de la conducta del presidente del Coagreso Mr. Maddison , con ocasión de las dificultades que paso para reco­ nocer el carácter de D. Luis de O ni», ministro enviado por la Junta suprema central. Y posteriormente se ha declarado con so­ lemnidad el voto general de la nación., en la repulsa que el Con­ greso …</t>
  </si>
  <si>
    <t>de Obregon, Pedro</t>
  </si>
  <si>
    <t>Pedro de Obregon</t>
  </si>
  <si>
    <t>375</t>
  </si>
  <si>
    <t>375 SUPLEMENTO A LA GAZETA DE LA REGENCIA DEL VIERNES 6 DE JULIO DE 1810. CARTAS INTERCEPTADAS (i). I. -De D. Pedro de Obregon d D. *joaqnin Parcel. Tengo repetido-y reeneargado a V. S. la remesa de dos ó tres fa tu caos proporcionados á montar cañones de 24 y 18 i y como es cié la mayor importancia la adquisición de e</t>
  </si>
  <si>
    <t>l. — Dios guarde á V. E. muchos años. — Málaga 9 de mayo de i8io.—José Cervera. — Excmo. Sr. D. Pedro Obregon, — Es copia. — Pedro de Obregon. IV. De D. Pedro de Obregon al duque de Dalmacia. Excmo. Señor: Acabo de recibir el oficio de V. E. de 6 de es.te jfiés eri que se sirve contestar al mió de fecha del 2 del mismo, y por…</t>
  </si>
  <si>
    <t>378</t>
  </si>
  <si>
    <t>de V. E. muchos anos. — Málaga y mayo 16 de 1810.— Excmo. Señor. — Pedro de Obregon. — Excmo. Señor duque de Dal­ macia, mariscal del imperio. V. De D. Pedro de Obregon d D. Jo&lt;é de Aíazarredo. Jt'Iihistcrio de frfarina. — Excmo. Sr. — Acompaño á V. E. conia de una carra que he recibido del mariscal duque de Dalmacia, y de ot…</t>
  </si>
  <si>
    <t>ucta; '•— D os guarde á V. E. mu-J chos años. — Málaga 16 de mayo de 181c."Excmo. Sr. — Pe­ dro de Obregon. — Excmo. Sr. D. José de Mazarredo. VI. De D. Pedro de Obregon á P&gt;. José de Aíazarredo* 'Afálaga y mayo *6 de i8ío.— Excmo. señor-- Mi mas estimado" y venerado gefé: me hallo sumamente disgustado con la comisión del arm…</t>
  </si>
  <si>
    <t>pero como aquello es de tanta importancia, sé aplican esfuer­ zos , y la cosa va adelante. — Queda de vm. afectísimo amigo Mazartedo. z=z Ex:mo. Sr. D. Pedro de Obregon. II. De L. Chaillot a Mr. Anat, coronel del ungimiento 24 de dragones. Quarto cuerpo. En Málaga. Mi coronel: aunque con algún trabajo ya estoy en la Carolina …</t>
  </si>
  <si>
    <t>. los sentimientos de la mas distinguida consideración. — Sevilla 13 de mayo de 1810 — /Mariscal duque de Dalmacia.—Es copia. — Pedro de O bregón” De D. Pedro de Obregon al mariscal Soult. ecExcmo. Sr. — Por d oficio de V, E. de 13 de este mes quedo en-</t>
  </si>
  <si>
    <t>Málaga’y mayo 23 de 1810 — Excmo. Sr. — Pedro de Obregon — Excmo. señor duque de Dalmácia mariscal del imperio. — Es copia.-—&gt; Pedro de Obregon.” De D. Pedro de Obregon a D. JToíí de Mazarrcdo. “Ministerio de Marina, — Excmo. Sr.: En el correo anterior he reci­ bido un ofició bien desagradable del señor mariscal duque de Dalm…</t>
  </si>
  <si>
    <t>de Oca, Cayetano Lobaton y di Juan Montes</t>
  </si>
  <si>
    <t>Cayetano Lobaton y di Juan Montes de Oca</t>
  </si>
  <si>
    <t>disciplina, que la que les inspira un valor sin igual. — Dios guarde á V. E. muchos años.. En­ caso i.° de agosto de. 181 c Los tenientes de fragata D. Cayetano Lobaton y Di Juan Montes' de Oca con los dos faluchos de sus respectivos mandos, después de ha­ ber auxiliado á una cañonera inglesa para sacar de la ensenada de Barb…</t>
  </si>
  <si>
    <t>de Ocaña, Francisca</t>
  </si>
  <si>
    <t>Francisca de Ocaña</t>
  </si>
  <si>
    <t>.. ' 157 5 : Doña Manuela Cólica y Soto....-......... 488 Doña María Valentina Salcedo.......... 11147‘19 Doña Feliciana Barra...;............... 864 Doña Francisca de Ocaña.........i...... 5825)27 Doña Claudia Antuñano............... 13.56- 41 Doña Ignacia Ferriol........................... . 1084 14 Doña María Manuela Ortiz…</t>
  </si>
  <si>
    <t>de Ocaña, Joscf Joaquín</t>
  </si>
  <si>
    <t>Joscf Joaquín de Ocaña</t>
  </si>
  <si>
    <t>convidó después al prefecto ápo- dignidad dé ,1a catedral de Astorga, vacante por ner la primera medalla bazo la cotona del lado de­ fallecimiento de D. Joscf Joaquín de Ocaña: á recho de la entrada del arca » y al corregidor ápo­ D. Pedro Agustín de Olavarrieta para la canongía ner la segunda baxo la del lado izquierdo. El c…</t>
  </si>
  <si>
    <t>de Ochoa, Francisca Xaviera</t>
  </si>
  <si>
    <t>Francisca Xaviera de Ochoa</t>
  </si>
  <si>
    <t>z de Huerta... 8^3 'r7&gt;: D. Claudio González, de la misma Doña-Doróteá MácdoneiK.......í;!.;..V;. i'6 ; religión........................... . 44®®^ ' Doña Francisca Xaviera de Ochoa.r.J- • 2'oéó : D. Josef Salcedo, de id. id.* ........... 44000'' Dóña-María Cecilia de;Arrieta^...¿ D Juan Martin .de Urda, id......’.;.;.... '44…</t>
  </si>
  <si>
    <t>de Ochoa, Xaviera</t>
  </si>
  <si>
    <t>Xaviera de Ochoa</t>
  </si>
  <si>
    <t>..................... 3 539 8f confianza es grande y recíproca entre los habitan» D. Benito Sánchez Navarro............. 1353 a5 f tes y las tropas.” Doña Xaviera de Ochoa................... 22021 Quintana, Pando y compañía.......... 100000 D. Jaime Dat..................................... 50000 La comisión de liquidación de …</t>
  </si>
  <si>
    <t>de Odrizola, Manuel</t>
  </si>
  <si>
    <t>Manuel de Odrizola</t>
  </si>
  <si>
    <t>pueblo , que se conjuraba por de la santa iglesia de Cuenca; y para el beneficio su daño. En vano se recordaban las funestas esce­ que dexa vacante á D. Manuel de Odrizola , te­ nas representadas por la revolución francesa : y en niente de cura de la parroquia del Buen-Retiro: á vano cambien un corto número de personas de cie…</t>
  </si>
  <si>
    <t>de Ogea, Alexandro</t>
  </si>
  <si>
    <t>Alexandro de Ogea</t>
  </si>
  <si>
    <t>osé Pizarro. Eí Cocsfcjo de Regencia se ha dignado promover á mariscales de campo de los reales exércitos a los brigadieres D. Antonio de la Cruz , y D. Alexandro de Ogea, coronel del regimiento de in­ fantería de Ordenes Militares ; y ha concedido grades de coronel á los tenientes coroneles D. Manuel María, y D. Pedro Marcó …</t>
  </si>
  <si>
    <t>de Oiarte, José Fernandez</t>
  </si>
  <si>
    <t>José Fernandez de Oiarte</t>
  </si>
  <si>
    <t>, 100. D. Benito Herrera, zoo. D. Ri­ cardo Meade, 2000. D. Tadeo Sánchez Escandon, 60. Marques de las Hormazas, 3000. D. José Alvareda é hijos, 300. D. José Fernandez de Oiarte, 120. D. Ricardo Meade en nombre de varios americanos, 1240. D. Vicente Alcalá Galiana, 640. D. Jacinto Nicolás Alonso, 200. De­ ña Isabel Simón de P…</t>
  </si>
  <si>
    <t>de Oitega, Esteban</t>
  </si>
  <si>
    <t>Esteban de Oitega</t>
  </si>
  <si>
    <t>mado = YO EL REI. = Por S. M. Su ministro secretario Una casa en la calle Maestra ba- de Estado =. Firmado s Mariano Luis de Urquijo. xa, arrendada á D. Esteban de Oitega........... ............................tí Í’OO 6000 IDEM SEGUNDO ESTADO. Otra en la calle de Santa Ana, ar­ rendada á Vicente García......... 220 2640 TIERR…</t>
  </si>
  <si>
    <t>de Olabarr, Anastasio</t>
  </si>
  <si>
    <t>Anastasio de Olabarr</t>
  </si>
  <si>
    <t>permiten las denuncias y pes­ En el regimiento de Castilla' núro. t.° dé írt- quisas, según el tenor del citado decreto, en quin­ * fantería ligera, D. Anastasio de Olabarr teta á ayu- to á las platas y alhajas que pertenezcan á conven­ - dantedel 2.° batalferiV D. Francisco Leroi, D. Leo- tos suprimidos, iglesias , «asas y b…</t>
  </si>
  <si>
    <t>de Olarria, Francisco Xavier</t>
  </si>
  <si>
    <t>Francisco Xavier de Olarria</t>
  </si>
  <si>
    <t>el exército la inocencia de este gefe, y no padezca por esta causa la buena opinión y concepto que se habia adquirido por sui anteriores servicios.” D. Francisco Xavier de Olarria, natural de la villa de Aviles en el principado de Asturias, y residente en Caxamarca en el reyno déí Perú, ofrece mantener durante la guerra 25 ho…</t>
  </si>
  <si>
    <t>de Olavarrieta, Pedro Agustín</t>
  </si>
  <si>
    <t>Pedro Agustín de Olavarrieta</t>
  </si>
  <si>
    <t>ner la primera medalla bazo la cotona del lado de­ fallecimiento de D. Joscf Joaquín de Ocaña: á recho de la entrada del arca » y al corregidor ápo­ D. Pedro Agustín de Olavarrieta para la canongía ner la segunda baxo la del lado izquierdo. El cd- de la santa iglesia de Córdoba, qne obtenía el ex­ misarío general de policía y…</t>
  </si>
  <si>
    <t>de Oliveira, Pedro</t>
  </si>
  <si>
    <t>Pedro de Oliveira</t>
  </si>
  <si>
    <t>Gazeta de la Regencia de España e Indias n.º 64 (suplemento)</t>
  </si>
  <si>
    <t>619</t>
  </si>
  <si>
    <t>ante la confusión.—El capitán White elogia mucho la com­ pañía portuguesa por el distinguido valor con que se portó en esta ocasión, como asimismo al alférez Pedro de Oliveira que la mandaba. — En el parte detallado que el general Silveira da al marisc al Beresíord sobre las operaciones del cuerpo de su mando, refiere que el …</t>
  </si>
  <si>
    <t>de Ollcqui, Lope</t>
  </si>
  <si>
    <t>Lope de Ollcqui</t>
  </si>
  <si>
    <t>dos , cada uno en la director del real colegio de náutica de S. Telmo; parte que le toca, de la execucion del presente de­ D. Pedro María Bertendona; D. Lope de Ollcqui, creto. ssFirmados:YO EL REI. =Por S. M. tu alférez mayor de este ayuntamiento; D- Manuel de ministra secretario de Estado Mariano Luis de Ur­ Mendivü; D. Gab…</t>
  </si>
  <si>
    <t>de One, Manuel López</t>
  </si>
  <si>
    <t>Manuel López de One</t>
  </si>
  <si>
    <t>r que éstos de un mes-, á deducir'®! que les competa ante S. S., y Buzos se 'curan , y se precaven con mas facilidad or 1a escribanía de provincia de D. Manuel López de One lo* virulentos con él mismo método expreta- 6 Libas. ’ao, í no ser qoe so origen sea complicado , ó pro­ cedan de unl’éiíhtidad excesiva de xugos. Adviért…</t>
  </si>
  <si>
    <t>de Onís, Luis</t>
  </si>
  <si>
    <t>Luis de Onís</t>
  </si>
  <si>
    <t>s de la destrucción de Icgst-rra y demas potencias que acabamos de nombrar , que de 1a de Esp* ÍH.‘ &lt;En ia época en que Mr. Madditon rehusaba a^mit r D Luis de Onís , España , baxo todos aspectos , era un esta lo t*n ' inde­ pendiente , tan libre- en el exercicib del d^réché de las naciJnes como la Inglaterra y la Rusia : era…</t>
  </si>
  <si>
    <t>de Oporto, Pe de Lisboa y</t>
  </si>
  <si>
    <t>Pe de Lisboa y de Oporto</t>
  </si>
  <si>
    <t>e y próxima la Sola, ex-dominico, prior y examinador sinodal. pérdida de Oporto. Los habitantes y negociantes Para la de S. Pedro de la misma villa á D. Pe­ de Lisboa y de Oporto están ya mní alarmados. Es­ dro Vilar, de la misma orden, predicador y con­ to está nrpi puesto en razón. Los víveres van esca­ fesor. seando. Los d…</t>
  </si>
  <si>
    <t>de Or, Pedro Gómez</t>
  </si>
  <si>
    <t>Pedro Gómez de Or</t>
  </si>
  <si>
    <t>ates que han cometido dicador en su convento: para ia del Salvador del los ministros por espacio de 17 años, dan al pare­ Aibaicin ai ex- franciscano D. Pedro Gómez de Or­ cer á la causa de sir Francisco Burdett mas ra­ tega , predicador jubilado de su ctnve to r twa la zón , mas peso y mas recursos para sostenerla de S. Luis…</t>
  </si>
  <si>
    <t>de Orbaneja, Migoel Vicente</t>
  </si>
  <si>
    <t>Migoel Vicente de Orbaneja</t>
  </si>
  <si>
    <t>taegui......:.;.......... 33011 t6 a D. Lñcqs Zuloaga «**»»*••«•*■ D. Joan Manuel de Bedoya.............. 6096 13. Rafael de Elviu.......... 5'4r, *7 D. Migoel Vicente de Orbaneja........ 3331 É í B. Santiago Garrido....i..2... iVNillM» : 361' K J«|éf Merlod;:}¿K¿.;.i......... 44818 .15 * Él. p^drp 8^1^ 2x56 1 H D- Pedro de M…</t>
  </si>
  <si>
    <t>de Oria, Salvador</t>
  </si>
  <si>
    <t>Salvador de Oria</t>
  </si>
  <si>
    <t>apasionado de D Juap Martin por medio del lord Macduff, icoo. D Domingo Antonio de Vivanco, rísco. D. Juan Águilar, icoo. D. Miguel Mendízabal,. 400. D Salvador de Oria , 50. Duque de Medinaceli, ioco. D. José Manuel Abalia , ibo D. R. A.A., 40. D. Ignacio Casal, 5000. D. Juan José Oferral, 6co. Tres dependientes de la direcc…</t>
  </si>
  <si>
    <t>de Oro, Ramón</t>
  </si>
  <si>
    <t>Ramón de Oro</t>
  </si>
  <si>
    <t>dido en el propio real cuerpo la comandancia del 2 ° batallón al brigadier conde de Clovard ; compañía á D. Salvador Ptyri ; y empleos de alféreces á D. Ramón de Oro zoo y Zayas, D. Tomas de Heredia , D. Félix Gi man , D. Ramón de Parada, D. .Agustín María Salvador y Vidal, D. Manuel María Rodríguez Rubio, D. Fernando Juan de…</t>
  </si>
  <si>
    <t>de Oromí, Manuel</t>
  </si>
  <si>
    <t>Manuel de Oromí</t>
  </si>
  <si>
    <t>o D. Juan Sotelo , D. Gregorio Aívarez Carbalio , D. Ramón Min guillen , y D. José Piñeyro. Asimismo ha concedido grado de capitan de infantería , á. D. Manuel de Oromí , teniente del bata­ llón de tiradores voluntarios de Cádiz. También se ha servido promover en el real cuerpo de Ingeniero&gt;, á coronales, los tenientes corone…</t>
  </si>
  <si>
    <t>de Ortega, Juan</t>
  </si>
  <si>
    <t>Juan de Ortega</t>
  </si>
  <si>
    <t>. Tiradores. Capitán IX Ramón Vidondo, te— recibimiento del pueblo. Un inmenso gentío llena­ Oteóte D. Juan de Ortega, otro» D. Antonio Lla­ ba toda la carrera desde mucho mas allá de las mas , subteniente D. Francisco París, otro , D. Ra­ puertas de la ciudad hasta el palacio obispal, si­ fael Vázquez. tu</t>
  </si>
  <si>
    <t>de Ortega, Rafael</t>
  </si>
  <si>
    <t>Rafael de Ortega</t>
  </si>
  <si>
    <t>La con­ desa de Miravalle 300. I&gt;. Manuel Antonio de la Rigada é Inda , de Monterey, £00. Varios vecinos de la villa de Monterey el grande , 10,163. D. Rafael de Ortega , sargento mayor de dragones de Mechonean , 2000. El coronel D. Cárlos de Crrutia , 500. D. Angel y D. Eustoquio de la Cuesta , vecinos de México , 800. D. Jo…</t>
  </si>
  <si>
    <t>de Ortiz, Joan Manuel</t>
  </si>
  <si>
    <t>Joan Manuel de Ortiz</t>
  </si>
  <si>
    <t>0. El administrador de rentas D. Manuel Zuloaga, 50. D. Bartolomé Salido, 300. D. Bruno de Palacio, 150. D. Nicolás Alfaro, 10. D. Manuel Anguiz, 50. D. Joan Manuel de Ortiz, 300. D. Antonio Aunada, 150. D. Toribio de Mateo y Ramos, 300. D. Manuel Cayetano Espinosa, 150 D. Antonio de Cevallos, 200. D. Manuel Campoy, 10. D. Ja…</t>
  </si>
  <si>
    <t>de Oscosa, José</t>
  </si>
  <si>
    <t>José de Oscosa</t>
  </si>
  <si>
    <t>u z, 40. D. Manuel Sistiaga, 20. D Juan Valenzuela, 20. D. Fran­ cisco Valenzuela, 10 D. Francisco García, 20 D. Reyes García, 20. D. Tomas Rico, 10. D. José de Oscosa, 10. D. Francisco Córdoba, 12: D. Vicente H¡aojoso, 10. Varios individuos, 104. — Orcasitas. D. Ma­ nuel del Campillo, 20. D. Victor Aguilar, 20O. D. Dionisio …</t>
  </si>
  <si>
    <t>de Osma, Doña Xaviera</t>
  </si>
  <si>
    <t>Doña Xaviera de Osma</t>
  </si>
  <si>
    <t>... ¿8263 17 por Sigíienzi y Molina un cuerpo de expedición, Sr. D. Manuel S xto Espinosa............... 6750 partido de Atadrid baxo las órdenes dei general Doña Xaviera de Osma............................ 45025 10 conde Milhaud , marchó hácia su extremo derecho Doña Ignacia de Castro........................... 22770 ara ent…</t>
  </si>
  <si>
    <t>de Osma, Joaquín</t>
  </si>
  <si>
    <t>Joaquín de Osma</t>
  </si>
  <si>
    <t>de coronel, á D. Juan García de Paredes, idem , y á D. Manuel Arnaiz : á tenientes coroneles á los capitanes D. José Andía , graduado de coronel , á D. Joaquín de Osma de teniente coronél, al capitán de artilleros á.caballo , gradua­ do de teniente coronel D. Antonio Pardo : á capitanes á los tenien­ tes D. Domingo Antonio Lo…</t>
  </si>
  <si>
    <t>de Osulivan, Tídeo</t>
  </si>
  <si>
    <t>Tídeo de Osulivan</t>
  </si>
  <si>
    <t>o de Gordon Rozas y D. Lucio de la Peña................. .............. I9121 18 Rada........................................................ 9732 *9 D. Tídeo de Osulivan............................ I.0A2C2O 14 14547 1 D. Luis Gutiérrez................................... 10096 10 Que á una suma importan un millón novecientos …</t>
  </si>
  <si>
    <t>de Otaegui, Joaquina</t>
  </si>
  <si>
    <t>Joaquina de Otaegui</t>
  </si>
  <si>
    <t>á : t • ..i . ' ’ (■'■&gt; R*. ve.; ; destinos. .. 1 . TITULO TERCERO. D-&gt;ña RaimundaBruguieroi...4500.0 -art. vil. Las contribuciones' actoales conti­ Doña Joaquina de Otaegui '.. I5Ó0Ó. nuaran pagándose hasta i.° de éoero de i8n,desde cuya ¿poca los-impuestos se establecerán y per­ 6cOOTp‘ • cibirán como én.1 el resto del impe…</t>
  </si>
  <si>
    <t>de Otedo, Pedro</t>
  </si>
  <si>
    <t>Pedro de Otedo</t>
  </si>
  <si>
    <t>Gazeta de la Regencia de España e Indias n.º 33 (suplemento)</t>
  </si>
  <si>
    <t>de mayo. El sábado santo 21 de abril, á las 8 déla noche, en­ tró en esta plaza la tercera división del exército del centro al mando del briga­ dier D. Pedro de Otedo. El vecindario de esta ciudad, lejos de acobardarse con la noticia de la entrada del enemigo en el reyno de Murcia, hizo las demostra­ ciones mas vivas de su en…</t>
  </si>
  <si>
    <t>de Otero, Gregorio</t>
  </si>
  <si>
    <t>Gregorio de Otero</t>
  </si>
  <si>
    <t>. El guarda de id. D.Tcíix González , 20. Varios individuos de Acapetlahuacao, 49 pesos :!■§ rs. D. Francisco Mateos y Molina, vecino de Puebla, 200. D. Gregorio de Otero dé id. , 200. Lo recogido por el señor arzo­ bispo en los conventos ; hospicios, curatos de; esta capital y fuera de ella asciende á 64;175 pesos fuertes 5^…</t>
  </si>
  <si>
    <t>de Oviedo, Juan Nepomuceno</t>
  </si>
  <si>
    <t>Juan Nepomuceno de Oviedo</t>
  </si>
  <si>
    <t>Crrutia , 500. D. Angel y D. Eustoquio de la Cuesta , vecinos de México , 800. D. José Elorencio Barragan , de Rio-A7erde , 2000; y anualmente 1000. D. Juan Nepomuceno de Oviedo y «ríos habitantes de la hacienda de Bocas y otras , 429.. El capitán reti­ rado de navio D. José de Torres y del Campo, 100, y ofrece otros 100 para…</t>
  </si>
  <si>
    <t>de Pa, Juan</t>
  </si>
  <si>
    <t>Juan de Pa</t>
  </si>
  <si>
    <t>y cómoda» que línea t á D. Juan Rafael de la Torre y Rave sub­ los jóvenes no tengan necesidad de ir á estudiar £ teniente de infantería de línea: á D. Juan de Pa­ los paises extrangeros. Parece qae se trata de es­ ga subteniente en el regimiento de Granada , 5.0 de tablecer una universidad provincial. infantería de línea: á …</t>
  </si>
  <si>
    <t>de Palacio, Bruno</t>
  </si>
  <si>
    <t>Bruno de Palacio</t>
  </si>
  <si>
    <t>Eüas Zayas, 50. Idem D. José María Campoy* 20. Idem D. Pedro Campoy , 10. El administrador de rentas D. Manuel Zuloaga, 50. D. Bartolomé Salido, 300. D. Bruno de Palacio, 150. D. Nicolás Alfaro, 10. D. Manuel Anguiz, 50. D. Joan Manuel de Ortiz, 300. D. Antonio Aunada, 150. D. Toribio de Mateo y Ramos, 300. D. Manuel Cayetano…</t>
  </si>
  <si>
    <t>de Palacio, Lorenzo</t>
  </si>
  <si>
    <t>Lorenzo de Palacio</t>
  </si>
  <si>
    <t>....... 4602 2 5 Los señores Dutari hermanos............... 6202 - 5 D. Josef Ignacio de Mendia , por su D. Felipe Aiba Ruiz , como padre y apoderado D. Lorenzo de Palacio administrador re D. Josef y D. Cay Gorbea........... :.................................... 160293 4 si miro................................................…</t>
  </si>
  <si>
    <t>de Palfli, Fernando</t>
  </si>
  <si>
    <t>Fernando de Palfli</t>
  </si>
  <si>
    <t>Gaceta de Madrid n.º 300</t>
  </si>
  <si>
    <t>oriental de la Bosnia. comisario perpetuo de la» siete ciudades libres y ■Parece que allí se reúne un cuerpo considerable ¡reales de las montañas al conde Fernando dé Palfli, 'de tropas, destinado , al parecer, a hacer una nue­ consejero íntimo de S. M., gentilhombre, y conse­ va invasión en la Servia. El visir de Traunik., g…</t>
  </si>
  <si>
    <t>de Palnti, Juan Rodriasado</t>
  </si>
  <si>
    <t>Juan Rodriasado de Palnti</t>
  </si>
  <si>
    <t>que venia á Scilla para una canongía de la de Palencia , vacante por fue atacado por la flotilla inglesa, quando ya habia muerte de D. Vicente Ron: á D. Juan Rodriasado de Palnti, y estaba á la altura dé B gnara. gnez de Soto , presbítero y ex-gerónimo , para la E o flotilla del Rei renia contrarios el viento y la corriente, …</t>
  </si>
  <si>
    <t>de Pany, Josef Guadalupe y Palacios y Don</t>
  </si>
  <si>
    <t>Josef Guadalupe y Palacios y Don de Pany</t>
  </si>
  <si>
    <t>Gaceta de Madrid n.º 5</t>
  </si>
  <si>
    <t>ta la navegación desde Dole á Dijon: las des dei crimen que resultan vacantes á D Domin­ obras se hallan en el día entre Dijon y el puente go dd Reí, D. Josef Guadalupe y Palacios y Don de Pany, entre el Yónne y S. Florentin. Josef Fernandez Haro. «Se han acabado en 1809 muchas esclusas im­ portantes sobre el Sena , el Aube y…</t>
  </si>
  <si>
    <t>de Para, Matías López</t>
  </si>
  <si>
    <t>Matías López de Para</t>
  </si>
  <si>
    <t>ores. D. Josef Antonio Rivas. D. Ramón Fernandez. D. Manuel Duro. D. Manuel Andrés. D. Francisco Lefebre Daraur. D. Juan de S. Juan. D. Josef Aleson. D. Matías López de Para. Batallón del quartel de Afligidos. D. Fernando Ruiz Mazo. Capitanes. D. Isidro de Mata y Serna. D. Joaquín Onis. D. Josef Fernandez Zúñiga. D. Josef Mar…</t>
  </si>
  <si>
    <t>de Parada, Ramón</t>
  </si>
  <si>
    <t>Ramón de Parada</t>
  </si>
  <si>
    <t>adier conde de Clovard ; compañía á D. Salvador Ptyri ; y empleos de alféreces á D. Ramón de Oro zoo y Zayas, D. Tomas de Heredia , D. Félix Gi man , D. Ramón de Parada, D. .Agustín María Salvador y Vidal, D. Manuel María Rodríguez Rubio, D. Fernando Juan de Zurita y D. Luis María Montero. Igualmente se ha servido $. M. confe…</t>
  </si>
  <si>
    <t>de Paredes, Juan García</t>
  </si>
  <si>
    <t>Juan García de Paredes</t>
  </si>
  <si>
    <t>del propio cuerpo D. Juan Mu% narríz , graduado de coronel, al mariscal de campo D. Antonio de la Cruz , á D. José Portillo , graduado de coronel, á D. Juan García de Paredes, idem , y á D. Manuel Arnaiz : á tenientes coroneles á los capitanes D. José Andía , graduado de coronel , á D. Joaquín de Osma de teniente coronél, al …</t>
  </si>
  <si>
    <t>de Parga, Antonio María</t>
  </si>
  <si>
    <t>Antonio María de Parga</t>
  </si>
  <si>
    <t>Pvamon Urges por idem: D. Salvador Viñaís por idem: D. Jayme Creus por idem : D. Ramón de Lledós por idem: D.~ José An­ tonio Castellarnau por ídem: D. Antonio María de Parga, por la pro­ vincia de Santiago : D. Francisco Pardo por idem: D. Vicente Ter­ rero, por la de Cádiz: D. Francisco María Riesco, por la junta supe­ rior…</t>
  </si>
  <si>
    <t>de Paula, Francisco</t>
  </si>
  <si>
    <t>Francisco de Paula</t>
  </si>
  <si>
    <t>Los ordinarios eclesiásticos de las lix, J osef Reiñoso, cura de. la parroquia de Santa demas diócesis,de estos reinos se arreglarán á es­ Cruz, y á D. Francisco de Paula ,Vega, cura de tas disposiciones en sus respectivos distritos. ía de S. Miguel. t art. víii. Nuestros ministros de Negocios ecle­ ART- ix. Nuestro ministro …</t>
  </si>
  <si>
    <t>..... .. 900 I080O lino de 2 vigas y 17 marjales Una huerta de 85 marjales y 52 de viña, arrendado á Doña Te­ estadales de tierra de riego, ea resa y D. Francisco de Paula término de la ciudad de Gra­ Bueno en............................ . 7000 84000 nada, pago de Darabuieyla, l 4 Cincuenta y ocho marjales de junto al Pilar s…</t>
  </si>
  <si>
    <t>rendado da á Francisco-Gómez.»...... . loo 800 ;á Josef López J/pienzuela..... 20 160 Otra, calle Ancha, arrendada, Una bodega de apeite , en el Torá D. Francisco de Paula.Ra­ ? .cal, arrendada á Josef García. 180 mírez.............................. 1440 39Ó 3168 Una casa , calle de Puerta nueV; , ;va , que vive Josef de Vega…</t>
  </si>
  <si>
    <t>de Peralta, Rafael Ruiz</t>
  </si>
  <si>
    <t>Rafael Ruiz de Peralta</t>
  </si>
  <si>
    <t>tanes. encendiesen, anunciando alguna-novedad , y á que D. Francisco de Paula Valdivia y Fuentes. algunos arrieros dixesen á la guardia cívica que se D. Rafael Ruiz de Peralta. habia empeñado una acción; pero lejos de mostrar­ D. Juan Ansoii Coronado. se sorpreheudidos, rectificaron so orden de rhar- D. Josef Ma ría Vaiverde.…</t>
  </si>
  <si>
    <t>de Perea, Casimiro López</t>
  </si>
  <si>
    <t>Casimiro López de Perea</t>
  </si>
  <si>
    <t>n de la catedral de Toledo, vacante De aqui fueron conducidos SS. MM. á la sala del baile. Este principió por una danza elegante y ?orornas muerte de D. Casimiro López de Perea:á Don de Viilanueva, presbítero, ex-agustino, pa­ vistosa , executada por los artistas de la ópera, ba- ra otra ración de la misma sanra iglesia de To…</t>
  </si>
  <si>
    <t>de Pi, Sebastian</t>
  </si>
  <si>
    <t>Sebastian de Pi</t>
  </si>
  <si>
    <t>; porque desde en­ de Hacienda conde de Cabarrus, en este día á su tonces comenzó la osadia del marinero á alejarse de presencia y la del Excmo. Sr. D. Sebastian de Pi­ la tierra y á perder de vista las costas de su nati­ ñuela é limos. Sres. D. Josef Ignacio Joven d¿ Sa­ vo suelo. Es verdad que mientras los principios ele­ l…</t>
  </si>
  <si>
    <t>de Piñeiro, Teodoro José</t>
  </si>
  <si>
    <t>Teodoro José de Piñeiro</t>
  </si>
  <si>
    <t>María Dolores Morphy de Izquierdo , 400. El Sr. D. Arthuro Hunt, del real cuerpo de artillería de S. M. B. , 200. EL, Sr. D. A. D,, 100 El Excmo, Sr, D. Teodoro José de Piñeiro , encargado de negocios de Portugal, 3000. El Sr. D. Manuel Vidaurre , ÓOPO. Él Sr. D. Da­ vid. Malcolm, 1000. El Sr. D. Eduardo Clough Taylor, por ma…</t>
  </si>
  <si>
    <t>de Piñuela, Sebastian</t>
  </si>
  <si>
    <t>Sebastian de Piñuela</t>
  </si>
  <si>
    <t>la junta, con harto sentimiento, dé Hacienda, en el día 7 del corriente á 'presencia que es imposible- hacer una honrosa defensa des­ 4ei Excmo. Sr. D. Sebastian de Piñuela-, presiden­ pués de haber dado ál exército del centro cañones, te de la comisión, 7o* limos. Sres, D. Josef Ignacio díoero, fusiles, caballos, monturas, m…</t>
  </si>
  <si>
    <t>de Pisa, Miguel Gar la</t>
  </si>
  <si>
    <t>Miguel Gar la de Pisa</t>
  </si>
  <si>
    <t>co Don Josef Napoleón por la gracia de Dios y de Barcia ; D. Ped o Segovía ; D. Diego de Ugal- por ia constitución dei estado, REI de las Españas de; D. Miguel Gar la de Pisa , lectora! ; D. Ma­ y de las Indias. nuel de Espejo; D. Gragoyio Merlo, magistral; Españoles: D- Manuel Arj na, penitenciario ; D. Diego de Ha llegado e…</t>
  </si>
  <si>
    <t>de Po, Manuel Josef Narganes</t>
  </si>
  <si>
    <t>Manuel Josef Narganes de Po</t>
  </si>
  <si>
    <t>o son li­ que los eduque ¿instruya, y no para que los ator­ bros,' plumas , papel Stc. mente y envilezca con castigos y tratamientos ser­ El director D. Manuel Josef Narganes de Po- viles. Aunque niños, no dexan de sentir el estímulo .„j „i _____ „i ___j_ i ,, k. •auca «3,1 iviMiitk 1.1 t|u«uiu «v mi uijsi suuclutit,» u6 de l…</t>
  </si>
  <si>
    <t>de Ponsich, José María</t>
  </si>
  <si>
    <t>José María de Ponsich</t>
  </si>
  <si>
    <t>stumbradas atroci­ dades. Quartel general de Tarragona 10 de julio de 1810.— O-Doneíir El superintendente del vestuario y equipo del exército catatan D. José María de Ponsich, ha publicado un estado délas prendas entregadas desde que la junta superior del prin­ cipado puso á su cargo este importante ramo hasta el 30 de junio.…</t>
  </si>
  <si>
    <t>de Ponte, Pedro</t>
  </si>
  <si>
    <t>Pedro de Ponte</t>
  </si>
  <si>
    <t>0 y 1 real. D. Ignacio García Saenz , capitán del regimiento provincial dé Toluca , 1000 pesos v servir á sus expensas durante la guerra. El provisor D. Pedro de Ponte, 1500 ; y dos clérigos por su conducto , 60. Los dependientes de las haciendas de Bocas y sus anexas , 441 y 2 rs. D. José María Lovato, 80. I). Lorenzo Santa …</t>
  </si>
  <si>
    <t>de Porras, Antonio</t>
  </si>
  <si>
    <t>Antonio de Porras</t>
  </si>
  <si>
    <t>l extraordinario de Ciudad-Real , á Don doba , fiscal. Joaquín de Cáceres : para la alcaldía mayor de articulo v. Ciudad-Redi, vacante por ascenso de D. Antonio de Porras á juez del tribunal criminal extraordina­ Málaga. rio del mismo pueblo, á D. Jo$ef Torres y Lasos A D. Tadeo Soler y Casas, oidor de Granada, para la alcald…</t>
  </si>
  <si>
    <t>de Porras, Bonifacio</t>
  </si>
  <si>
    <t>Bonifacio de Porras</t>
  </si>
  <si>
    <t>.....«...i.; 40863 D. Juan Josef,de Gamboa............. . 31392 *7- D. Joaquín Lerga... 16000 *' D. Antonio Barra,....*........ *.............. 16425 D. Bonifacio de Porras..................... 122968 aóí D. Gaspar Soliveres...»..................................59$6 17 D. Josef de Bono.............................,,1 6190 4 D…</t>
  </si>
  <si>
    <t>de Porras, Martin</t>
  </si>
  <si>
    <t>Martin de Porras</t>
  </si>
  <si>
    <t>ez, portero. diputación compuesta del cura párroco D. Francis­ co Ortiz, del alcalde D. Alonso Gaitan , D. Dio­ Administración general. nisio Carro y D. Martin de Porras , diputados, los D. Dionisio Olarte, oficial primero. quales en nombre de su ayuntamiento y vecinos D. Manuel Imafia , idem 2. han prestado á S. M. el jurame…</t>
  </si>
  <si>
    <t>de Porras, Pedro Ruiz</t>
  </si>
  <si>
    <t>Pedro Ruiz de Porras</t>
  </si>
  <si>
    <t>cias de Venezuela que este ser­ via , al brigadier D. Fernando Miyares ; y el gobierno é in­ tendencia de la provincia de Maracaybo que este dexa , a D. Pedro Ruiz de Porras , capitán del regimiento de reales Guardias Españolas. Por real decreto de 17 de abril se ha servido el Consejo de Regencia conceder honores de oidor de …</t>
  </si>
  <si>
    <t>de Portocarrero, Andrés</t>
  </si>
  <si>
    <t>Andrés de Portocarrero</t>
  </si>
  <si>
    <t>io Car bailo. También se ha servido S. M. nombrar para la plaza de oí lor3 vacante en la real audiencia de Santa Fe de Bogotá por fallecimien­ to 'de D. Andrés de Portocarrero, al Dr. D. Manuel García, audi­ tor de guerra y de marina de Puerto Rico. LIBRO. ¿ Qué será de V.s franceses en Cataluña ?* reflexiones sobre la suerte…</t>
  </si>
  <si>
    <t>de Posada, Ramón</t>
  </si>
  <si>
    <t>Ramón de Posada</t>
  </si>
  <si>
    <t>............. 2037- a ciones y réditos.................................... 48319.. 2 4 D. Güilísimo Peíroner........... ............... .13079.. 10 ' D. Ramón de Posada, como marido / D. Fernando de Beingochea.................. 4542..14 de Doña María López Cabrejas, por D. Bernardo Rodríguez...................... 49210 accion…</t>
  </si>
  <si>
    <t>de Prado, Fernando</t>
  </si>
  <si>
    <t>Fernando de Prado</t>
  </si>
  <si>
    <t>ara Rute , D. Francisco de Cárdenas , D. Antonio Labrandero , y D. Francisco Federic ; ayudantes, á D. Diego Zapata y D. J¡ a i Diestre; tenencias, á D. Fernando de Prado, D. Manuel Sa­ ladar, D. Félix Aznar , D. Dionisio Angulo , D. Enrique Huelen, D. Agustín Cabrera, D. Manuel Ibarroia , D. Gregorio Arroyo, D. JuanMuguiro ,…</t>
  </si>
  <si>
    <t>de Prado, José García</t>
  </si>
  <si>
    <t>José García de Prado</t>
  </si>
  <si>
    <t>noi) ; á D. Francisco Xavier Cienfuegos Javellanes; á D. Juan Bautista Morales; &amp; D. Francisco Patricio de Berguiza*; á D. Francisco de Bahamonde ; á D. José García de Prado; y i</t>
  </si>
  <si>
    <t>de Prado, Manuel Saez</t>
  </si>
  <si>
    <t>Manuel Saez de Prado</t>
  </si>
  <si>
    <t>....... D. Antonio Arias. D. Vicente Ferrer. D. F rancisco Sagasta. D. Mariano de la Cuesta. Batallón del quartel de S. Gerónimo. D. Zacarías Camant. D. Manuel Saez de Prado. Capitanes. D. Vicente Romero de Tejada. D. Francisco Xavier Ruiz de Mendoza. D. Ramón Tamayo. D. Manuel de S. Vicente. D. Josef Valenzuela. D. Juan Lópe…</t>
  </si>
  <si>
    <t>de Prusta, Guülelmo</t>
  </si>
  <si>
    <t>Guülelmo de Prusta</t>
  </si>
  <si>
    <t>oco» ■ b 'SILESIA.dias un vtage á las provincias, .meridionales del 1 , Brestay.1 i¡ de mdyo.' ... ' imperio. . • i- : (■ ’&lt; &gt; DINAMARCA. S. A, R. el príncipe Guülelmo de Prusta , hetmano del Rei , llegó ayer’-squlíde vuelta del vi,ge Copenhague &gt;5 de niayo* ;j que ha hecho á la Silesia superior. J¿; príncipe Au­ El día 13 tr…</t>
  </si>
  <si>
    <t>de Quesada, Francisco</t>
  </si>
  <si>
    <t>Francisco de Quesada</t>
  </si>
  <si>
    <t>san­ llante acompañamiento, con repique general de ta iglesia catedral de Jaén. campanas y salva de artillería, á la catedral, á cu­ Por la nobleza: D. Francisco de Quesada, conde ya puerta le esperaba el Exento. Sr. arzobispo de de Donadío, coronel del exército. esta santa iglesia con todo el clero, y conducido Por el estado…</t>
  </si>
  <si>
    <t>de Quesada, Rafael</t>
  </si>
  <si>
    <t>Rafael de Quesada</t>
  </si>
  <si>
    <t>. barón de Dalberg, antiguo embaxador de S. A. R. ^ Capitanes. D. Pedro de Contreras, £). Diego el gran duque de Badén en Paris, y sobrino de Coelio, D. Rafael de Quesada, D. Fernando de S. A. R. nuestro Soberano, el título de duque de Aranda Sal. zar, D. Agustín de Uíibe, -D. Pedro Dalbérg con una quantiosa dotación sobre el…</t>
  </si>
  <si>
    <t>de Quevcdu, Pedro</t>
  </si>
  <si>
    <t>Pedro de Quevcdu</t>
  </si>
  <si>
    <t>. El 2S entró en la bahía la fragata española de guerra Corne­ lia , procedente de Vígo, en 4 dias de navegación. Ha trai io á su bordo al Excmo. Sr. D. Pedro de Quevcdu, obi po de Orease, vocal del Supremo Consejo de Regencia de España é~ Indias. En estos días han salido de Cádiz l3 arrobas de aceyte, 243 de bacalao, 153 fus…</t>
  </si>
  <si>
    <t>de Quevedo, Jijan Lope</t>
  </si>
  <si>
    <t>Jijan Lope de Quevedo</t>
  </si>
  <si>
    <t>dez...i.:..,....:......' 22400 Dona Teresa Conrote...;.....;...,...;..„. 24628 D. Nicolás de los - H er os.¿ 700090 DV Cirios Montargis;.;...;.. 5100 D. Jijan Lope* de -Quevedo.; ..r.i....... 74957' DoñarMaría Felipa Magdonell...4500* D. Juan íatreiture k'*k ikV|»fc ••i** PIOOSOO ‘ DbfiaFelipa Marta Magdonell.....'..«.. 3240 …</t>
  </si>
  <si>
    <t>de Quevedo, Juan López</t>
  </si>
  <si>
    <t>Juan López de Quevedo</t>
  </si>
  <si>
    <t>de Prado. Capitanes. D. Vicente Romero de Tejada. D. Francisco Xavier Ruiz de Mendoza. D. Ramón Tamayo. D. Manuel de S. Vicente. D. Josef Valenzuela. D. Juan López de Quevedo. D. Francisco Fernandez Ibarra. Subtenientes. D. Fermín Sánchez Toscano. D. Félix Izaguirre. D. Josef Acevedo. Se la apellida antigua, trillada, conocid…</t>
  </si>
  <si>
    <t>de Quiroga, Ramón Fernandez</t>
  </si>
  <si>
    <t>Ramón Fernandez de Quiroga</t>
  </si>
  <si>
    <t>.................. D. Felipe la Torre. D. Felipe Colmenares. .............................................................. D. Antonio Flebraa. ..... D. Ramón Fernandez de Quiroga........................................ D. Manuel Gomes. J.‘.......... .......................... ................. . D. Juan Manuel Vaienzueu. D. …</t>
  </si>
  <si>
    <t>de Rada, Valentín González</t>
  </si>
  <si>
    <t>Valentín González de Rada</t>
  </si>
  <si>
    <t>a, vecino de Vallad olid, 1IY-YJ. El í eitiente coronel 19, Juan Bautista David, y los capitanes Or­ to ño y CevaUos , 172!. • D. Ramón Al-arcon, 20* D Valentín González de Rada , 100. X). Miguel Duque de Estrada, 100. D. Francisco de la Torre, 500. D, Manuel Pelaez de Pelayo , cura de Zoyatian, por sí y varios seguios, 700. …</t>
  </si>
  <si>
    <t>de Raíz, Pedro Ruiz</t>
  </si>
  <si>
    <t>Pedro Ruiz de Raíz</t>
  </si>
  <si>
    <t>mos : permitieron hacer personalmente, el Sr. D. Luis Para el curato de Bastar viejo, vacante.por pro­ Doguerao , gobernador de esta plaza. moción de D. Pedro Ruiz de Raíz á una capel la­ Acabado el discarso de apertura que pronuoció nía de Reyes nuevos de Toledo, á D.. Josef Gali­ el señor Dalmau, fueron examinados de matemá…</t>
  </si>
  <si>
    <t>de Ramírez, Josef Saenz</t>
  </si>
  <si>
    <t>Josef Saenz de Ramírez</t>
  </si>
  <si>
    <t>dro An­ Firmado= YO EL REI. = Por S. M. su ministro dino , D. Ramón de Cáceres, D. Mannel de Si­ secretario de Estado Mariano Luis de Urquijo.” les , D. Josef Saenz de Ramírez , D. Diego de la Extracto de las minutas de la secretaría de Barrera, D. Diego de Lora , D. Josef María de Estado. . Cnbas , D. Francisco Ladrón, D. Jo…</t>
  </si>
  <si>
    <t>de Raya, Antonio</t>
  </si>
  <si>
    <t>Antonio de Raya</t>
  </si>
  <si>
    <t>ino de 15 dias, contados desde el citado 22 de mayo, com­ pitán. parezcan ante $. S., y por la escribanía de D. Juan En el real cuerpo de artillería. D. Antonio de Raya, por sí ó por medio de procurador con poder su­ Hoces á capitán segundo. ficiente á usar de su derecho; previniéndose que de no hacerlo asi, y pasado el refer…</t>
  </si>
  <si>
    <t>de Reart, José</t>
  </si>
  <si>
    <t>José de Reart</t>
  </si>
  <si>
    <t>ert’y D. -Francisco Beccard; segunda ayudantía mayor á LX Domingo.Omlin; segunda tenencia de granaderos á D. Irádro Mon­ tero y Idem 'de cazadores; a D. José de Reart, ídem de fusileros á Don l uis Viladomar , D. Pedro Rocabruna y Ardena, D. Cárlos González Eíanos, D. Diego Guillen de Boussereau, D. Joaquín Ruiz y Abreu y D. …</t>
  </si>
  <si>
    <t>de Recalde, María Ignacia</t>
  </si>
  <si>
    <t>María Ignacia de Recalde</t>
  </si>
  <si>
    <t>ón Gutiérrez.............................. 5 297 8f Doña Juana de Muga y Acha............. 6300 D. Gregorio Rivacoba......................... 2895 81 Doña María Ignacia de Recalde......... 10800 Doña Juana de Urquijo, como totora D.a Rita de Vivero y Cabeza, por ma­ y curadora de sus hijas Doña María no de su marido D. Simón …</t>
  </si>
  <si>
    <t>eno, ex-religioso Doria María Ignacia de Romate y lego de carmelitas descalzos...... . 22000 Villegas por............................. ........ 76500 Doña María Ignacia de Recalde....... 54000 2.498110.. 29 D. Miguel Pascual Dominici............. 85500 D. Vicente Ferrer Cabrera........ *.... 113400 Que á una suma importan 2.4…</t>
  </si>
  <si>
    <t>de Reyna, Cristóbal</t>
  </si>
  <si>
    <t>Cristóbal de Reyna</t>
  </si>
  <si>
    <t>onio Loriga, graduado de capitán , al teniente de artilleros á caballo , graduado de capitán D. Joaquín de Montene­ gro , á D. Ramón de Cucalón , y á D. Cristóbal de Reyna graduado de capitán : á tenientes á los subtenientes D. Manuel Espejo , á Don Vicente González Yebra , graduado de capitán , *y al subteniente de artillero…</t>
  </si>
  <si>
    <t>de Reyna, Josef María</t>
  </si>
  <si>
    <t>Josef María de Reyna</t>
  </si>
  <si>
    <t>.................. . 9700 116400 celemines de tierra, arrenda­ Otro, llamado del Pozuelo, de do í la viuda y herederos de 136 fanegas, dividido en 17 D. Josef María de Reyna, en 9381.. 17 H2J9® bazar de 8 fanegas, arrenda­ Otro donadío, titulado de Pater­ do en...................................... . 6400 76800 na , que se co…</t>
  </si>
  <si>
    <t>de Ribas, Manuel López</t>
  </si>
  <si>
    <t>Manuel López de Ribas</t>
  </si>
  <si>
    <t>Gaceta de Madrid n.º 225</t>
  </si>
  <si>
    <t>ue las tropas de línea. tura ante dicho señor juez de primera instancia por la Al entr.r en la ciudad el burgo-maestre Mr. escribanía de provincia de D. Manuel López de Ribas, Vander Poli, que es de una de las principales ca­ para cuyo remáte está señ¡-lado el lunes 20 dei corrien­ sas de esta capital, y que siempre se ha hec…</t>
  </si>
  <si>
    <t>de Ribera, Josef Diaz</t>
  </si>
  <si>
    <t>Josef Diaz de Ribera</t>
  </si>
  <si>
    <t>de Arux..................................... 4200 Los reales Hospicios de Madrid, por su JJ. Pedro Baille y compañía................. 25000 tesorero D. Josef Diaz de Ribera.... 23 107.. 2 2 D. Félix Martínez de Tejada................ 15000 D. Basilio Ramón Fernandez.............. 11903-28 los directores de la compañía de Po­ …</t>
  </si>
  <si>
    <t>de Rivacoba, Francisco Antonio</t>
  </si>
  <si>
    <t>Francisco Antonio de Rivacoba</t>
  </si>
  <si>
    <t>.......¿'.í.'.'.' ■ 6688 X1 ' Doña'María Angela-de-Azpiroz.12240 D. Simón Medrano............ a,'27 D. Josef Manuel lzaguirrc.................. 10800 D. Francisco Antonio de Rivacoba... 8754 8i Doña María Eugenia Zubiaga , por sí, D. Francisco de Iturríbarria..............-1 14981 17 í-y como tutora y’curadora de sú D. Antoni…</t>
  </si>
  <si>
    <t>de Rivas, Manuel López</t>
  </si>
  <si>
    <t>Manuel López de Rivas</t>
  </si>
  <si>
    <t>Gaceta de Madrid n.º 292</t>
  </si>
  <si>
    <t>aría, núm. 7, manz. 7, y hemos hecho sin hacer alto en siete horas.” para hacer postura al juzgado de dicho señor por la es­ cribanía de provincia de D. Manuel López de Rivas. REINO DE ÑAPOLES. Ñapóles 12 de setiembre. TBATKOS. Extracto de una carta particular. ,,He pa­ En el del Príncipe, á las siete de la noche, se re­ sado…</t>
  </si>
  <si>
    <t>de Rivcro, Pedro</t>
  </si>
  <si>
    <t>Pedro de Rivcro</t>
  </si>
  <si>
    <t>terio de guerra se comunique la correspondiente orden al general duque de Alburquerque, para que las auxilie ; como lo ha manifesta­ do el Excmo. Sr. D. Pedro de Rivcro , en su oficio de 18 de diciembre última ¿ esta junta superior. Sevilla 12 di entro. El rey nuestro señor D. Fernando VII, y en su reai nombre ia junta suprem…</t>
  </si>
  <si>
    <t>de Rivero, Pedro</t>
  </si>
  <si>
    <t>Pedro de Rivero</t>
  </si>
  <si>
    <t>entendido y dispondréis lo conveniente á su cumplimiento. — El Ar­ zobispo dt Lao,dicea, presidente. — Real alcázar de Sevilla 3 de enero de 18x0. —A D. Pedro de Rivero.” SEVILLA : EN LA IMPRENTA REAL.</t>
  </si>
  <si>
    <t>63</t>
  </si>
  <si>
    <t>necesario á su cumplimiento. —El ar­ zobispo de Laodicéa, presidente.— ’^a.lo en el real palacio del al­ cázar de Sevilla á 13 de enero de 18 LO, —A D. Pedro de Rivero.” Los periódicos franceses prosiguen en sus invectivas contra nuestras partidas sueltas , pintando la guerra que les hacen como el exceso mayor de crueldad, y …</t>
  </si>
  <si>
    <t>de Rntschuck, IlovaHIci</t>
  </si>
  <si>
    <t>IlovaHIci de Rntschuck</t>
  </si>
  <si>
    <t>Gaceta de Madrid n.º 273</t>
  </si>
  <si>
    <t>a el 17 han sido re­ bres, había salido á forragear, y el teniente gene­ chazados en las continuas salidas que han hecho ral Lewis dio orden al mayor general IlovaHIci 11 de Rntschuck por él teniente general Zass,que ha de que los persiguiese con tres esqoadrooes de hú­ conseguido grandes ventajas en todas el'.as. El 1J sares…</t>
  </si>
  <si>
    <t>de Roa, Antonio García</t>
  </si>
  <si>
    <t>Antonio García de Roa</t>
  </si>
  <si>
    <t>io de Rivacoba... 8754 8i Doña María Eugenia Zubiaga , por sí, D. Francisco de Iturríbarria..............-1 14981 17 í-y como tutora y’curadora de sú D. Antonio García de Roa........¿..... . 4061 8| * hijo D. Pedro Zubiaga...... ........ 5764 31 D. Pedro Madrid.................................¡. ¡'-361 Doña Josefa Larrea.....…</t>
  </si>
  <si>
    <t>de Robles, Manuel</t>
  </si>
  <si>
    <t>Manuel de Robles</t>
  </si>
  <si>
    <t>Italia el Tirol meridional, y al reino de Wurtem- llo, D. Josef Moreno, D, Henrique Salido. b¿rg una población de 170© almas en Suabia. Subtenientes. D. Manuel de Robles, D. Vi­ Ademas pagará á la Francia una cierta cantidad de cente Nieto, D. Lorenzo Navarrete, D. Alexandinero, y una renta anual al barón de Dalberg, que dro …</t>
  </si>
  <si>
    <t>de Robles, Nicolás</t>
  </si>
  <si>
    <t>Nicolás de Robles</t>
  </si>
  <si>
    <t>Manuel Márquez , D. JoSé Pinto , D. Antonio Guto , IV Antonio Áivarez , y D. Juan Cosulh-ela ; t ív.-ncias á. D. l^edro Carmena , D. Luis Carceller, D. Nicolás de Robles , D. Vicente Castaño , IV José .Zurbanó, D. José Lorite , D. Mamó 1 de la Vega, D. Domingo Molina, D. Cícmentí Lemüs, D. Tornas Gatída . *D. 'Santiago Blanco…</t>
  </si>
  <si>
    <t>de Rofrancos, Miguel Ortiz</t>
  </si>
  <si>
    <t>Miguel Ortiz de Rofrancos</t>
  </si>
  <si>
    <t>s de la lectura de las preces» que. hizo el una racioo de esta misma santa iglesia, vacante mismo gran rabino después del discurso» y que r muerte de D. Miguel Ortiz de Rofrancos: ¿ expresaban los mismos sentimientos de ciudadano , Fráncisqq Xavier de Abarrátegui, cara de Duhonrado y de religioso. - rango en Vizcaya, para el …</t>
  </si>
  <si>
    <t>de Rohim, Fernando</t>
  </si>
  <si>
    <t>Fernando de Rohim</t>
  </si>
  <si>
    <t>fimilids en la tranquila mandón de sus casas, Servidumbre de la Emperatriz: capellán mayor al y disfruten en ellas el sosiego y seguridad, que señor arzobispo Fernando de Rohim; dami de ho­ 50a fruto dei buen orden. nor á ia señora duquesa He Montebello; azafata á ,,S¡ tojos los pueblos hubieran podido presen­ la señora conde…</t>
  </si>
  <si>
    <t>de Roisin, Augusto Barón</t>
  </si>
  <si>
    <t>Augusto Barón de Roisin</t>
  </si>
  <si>
    <t>s á D. Francisco cí* Ehautregard: ídem de cazadores á D. Dionisio de Bouiigni: idetn de fusileros á D. Román de Landaburu; primera ayundantía mayor á D. Augusto Barón de Roisin; primeras tenencias ¿ Don Antonia óispert’y D. -Francisco Beccard; segunda ayudantía mayor á LX Domingo.Omlin; segunda tenencia de granaderos á D. Irá…</t>
  </si>
  <si>
    <t>de Rosas, Francisco</t>
  </si>
  <si>
    <t>Francisco de Rosas</t>
  </si>
  <si>
    <t>ar mas en esta obra, ó la presentará por la compañía española la comedia origi­ naturaleza qü- ba producido esta prodigiosa mul­ nal en tres actos de D. Francisco de Rosas titulada No he de permitir mi agrávio del Reí abaxo á nimruno, titud ldé seres, animados .cada uno, de los quales' con un divertido fin de fiesra. Actores …</t>
  </si>
  <si>
    <t>de Rosas, José</t>
  </si>
  <si>
    <t>José de Rosas</t>
  </si>
  <si>
    <t>lio Cnndaacan , 400 , y anualmente 100. D. José de Rosas , vecino de Za-' cau cas , 100. Doña María Francisca de Urrutia, vecina de Cunduacau, 140. lid vecindario de las cjuatro villas del marquesado del Valle, 1650 y 1 real. D. Ignacio García Sae</t>
  </si>
  <si>
    <t>de Rozas, Antonio Saín</t>
  </si>
  <si>
    <t>Antonio Saín de Rozas</t>
  </si>
  <si>
    <t>principales pcrsonages D. Josef Lacroust........... ,.................. 7&gt;33i de la corte y de la ciudad. D. Josef Bouchet y Dandumont..... 1353..25I D. Antonio Saín2 de Rozas................... 2346..17 ESPAÑA. . D. Matías de Mor.......;......................... 992 D. Josef Bonar........................................ 722 …</t>
  </si>
  <si>
    <t>de Rozas, Francisco</t>
  </si>
  <si>
    <t>Francisco de Rozas</t>
  </si>
  <si>
    <t>salido hoi de APENDICE A LA CAZETA DE MADRID. coiisEo uel principe. JDrl Re! aba.ro ninguno.__Comedia en tres actos de Sábado 8 de setiembre de i8ro. D. Francisco de Rozas. TEATROS. Esta comedia se ha executado estos últimos días con bastante aceptación. Ya habían acabado sus repre­ En el del Príncipe, á las siete y media de …</t>
  </si>
  <si>
    <t>de Rozas, Francisco García</t>
  </si>
  <si>
    <t>Francisco García de Rozas</t>
  </si>
  <si>
    <t>Félix Fernandez............... 270 25I D. Matiuel de Santayara...................... 73000 Doña María Elexaga.................. ........... 9**37 8f D. Francisco García de Rozas............ 56000 D. Josef Lidon....................................... 45 1 8f D. Fernando del Campo....................... 51957 22 D. Luis de Elex…</t>
  </si>
  <si>
    <t>illegas............................................ 15300 D. Ramón de Landa.............................. 9769.. 8$ D. Antonio Hernández, como testa­ D. Francisco García de Rozas......... 5415 mentario de Doña Juana Macarti.... 2964-27 D. Manuel de Amandarro..... . 61099.. 8§ D. Antonio Torres.................................…</t>
  </si>
  <si>
    <t>de Rozas, Joan</t>
  </si>
  <si>
    <t>Joan de Rozas</t>
  </si>
  <si>
    <t>pipas, y provisiones d-c plomo y azufre. Sr. Marques de Salinas.............................. :8o 17 El 23 el genera! ec gefe hizo maniobrar las tro­ D. Joan de Rozas..................................... 722 pas en Teruel , quedando mui satisfecho, como lo D. Gabriel Melléis......................... 1S0 17 había estado durant…</t>
  </si>
  <si>
    <t>de Rozas, Miguel Calvo</t>
  </si>
  <si>
    <t>Miguel Calvo de Rozas</t>
  </si>
  <si>
    <t>te antiguo y precioso monumento. D. Justino Matute y Gaviria, subprefecto da Morlaix j 2 de abril. Xerez. Ayer desembarcaron eu esta ciudad dos comi­ D. Miguel Calvo de Rozas, de Cádiz. sarlos ingleses , que vinieron en uu buque parla­ D. Manuel Tom£~, de Ronda. mentario: parece que el objeto de su comisión es art. ii. Nuestr…</t>
  </si>
  <si>
    <t>de Rrusía, Augusto</t>
  </si>
  <si>
    <t>Augusto de Rrusía</t>
  </si>
  <si>
    <t>p. euibaxador de Dinamarca macen de café, y de represar un barco ingles que cqrcadé nuestra corte.. había sdo conducido á Ariuüm. En esta acción " El príncipe Augusto de Rrusía , inspector gequedaron prisioneros Mrs. Royéis y Egár,.tenien­ qpral de.artillería,, volvió á Kaenigsberg el ‘z do tes ingleses. ........ éste.mest dé…</t>
  </si>
  <si>
    <t>de Ruda, Constantina</t>
  </si>
  <si>
    <t>Constantina de Ruda</t>
  </si>
  <si>
    <t>europeos; de 10 cañones de á seis; ,de quatro obuses, y de Serna 14 de setiembre. ona compañía de peones. Se creía que este exérci- S. A. I. la gran duquesa Constantina de Ruda to marcharía contra Seronga, capital ;de Amfeer- ha llegado aquí de vuelta de los baños de Schimz*Kan, y qne se reuniría baxo las murallas de esta nan…</t>
  </si>
  <si>
    <t>de S, A Matilde</t>
  </si>
  <si>
    <t>A Matilde de S</t>
  </si>
  <si>
    <t>u'mo totora y D. Guillermo Eloi Go.izdez............... 1083 curadora de sus dos hijas D-* M ru E; hespir. 1 de la villa de Juncos........ jai 8 2 y D A Matilde de S;.ro y Lro-'ij -... 8c-eo D. M■" Antonio Pertira................... 2707 17 El marques je Muz.juiz........................ j 9 ' •&gt; s 8 6 16 D. Carlos T’S ■rcíaer…</t>
  </si>
  <si>
    <t>de S, Bcrnardino Gonzalez</t>
  </si>
  <si>
    <t>Bcrnardino Gonzalez de S</t>
  </si>
  <si>
    <t>‘ D. ModestoPerez Mtd»a«9V dé agus-" -¡-i’- i * D.'Júan Estiban Chico, «x-regular1” .G tinos calzados#... 44»bo Jde S. Francisco de ‘Paula.44000T .CI D. Bcrnardino Gonzalez+'dé S. Ba- ’’ - D. Juan Francisco-Casero, ¡dvtr¡ri¡-! ■;--'[ -** sillo......... ...............* 44000 ' tirio calzado...w»v.iv.v,- D. Josef Solaegui-é Ib…</t>
  </si>
  <si>
    <t>de S, Fernando</t>
  </si>
  <si>
    <t>Fernando de S</t>
  </si>
  <si>
    <t>tiguo embaxador de S. A. R. ^ Capitanes. D. Pedro de Contreras, £). Diego el gran duque de Badén en Paris, y sobrino de Coelio, D. Rafael de Quesada, D. Fernando de S. A. R. nuestro Soberano, el título de duque de Aranda Sal. zar, D. Agustín de Uíibe, -D. Pedro Dalbérg con una quantiosa dotación sobre el prin­ de Torres Chica…</t>
  </si>
  <si>
    <t>de S, José Martínez</t>
  </si>
  <si>
    <t>José Martínez de S</t>
  </si>
  <si>
    <t>913 jiyamonte 17 de noviembre. Por cartas recibidas chl centro de la península se sabe que el 16 de octubre un cuerpo de es­ pañoles al mando de D. José Martínez de S. Martin, ocupa­ ba k Tarancon, Uclés y Carrascosa de Huete ; que sus avan­ zadas llegaban á Sta. Cruz de la Zarza, Corral de Almaguer y Viilatobas • y q^ue las …</t>
  </si>
  <si>
    <t>de S, Josef Ubi PROCLAMA</t>
  </si>
  <si>
    <t>Josef Ubi PROCLAMA de S</t>
  </si>
  <si>
    <t>m ¡estrescuela; D. Ju.n R monde Ubi- en los puestos públicos. llos , arcediano de Pevtroches ; D. Ba tasar Yusta, prior; D. Juan de Castro, chantre ; D Josef Ubi- PROCLAMA DE S. M. Iio» , tesorera; D. Francisco Argnte ; D. Francisco Don Josef Napoleón por la gracia de Dios y de Barcia ; D. Ped o Segovía ; D. Diego de Ugal- po…</t>
  </si>
  <si>
    <t>de S, Juan</t>
  </si>
  <si>
    <t>Juan de S</t>
  </si>
  <si>
    <t>an Manuel Valenzuela. D. Francisco Flores. D. Josef Antonio Rivas. D. Ramón Fernandez. D. Manuel Duro. D. Manuel Andrés. D. Francisco Lefebre Daraur. D. Juan de S. Juan. D. Josef Aleson. D. Matías López de Para. Batallón del quartel de Afligidos. D. Fernando Ruiz Mazo. Capitanes. D. Isidro de Mata y Serna. D. Joaquín Onis. D.…</t>
  </si>
  <si>
    <t>de S, Luis</t>
  </si>
  <si>
    <t>Luis de S</t>
  </si>
  <si>
    <t>e Casatreviño y ai coronel L&gt;. Fernando Salamanca; id. de caradores á D. Francisco de Paula Cásasela ; id. de fusileros á I). Marcos Nuñez de Abreu , D. Luis de S. Clemente, D. Manuel SAazar y D. Amonio Aguilar ; segunda ayudantía mayor á I). Francisco de Sales Moa.; segunda tenencia de granaderos á D. Juan de Beamurguia; id.…</t>
  </si>
  <si>
    <t>de S, Manuel</t>
  </si>
  <si>
    <t>Manuel de S</t>
  </si>
  <si>
    <t>Gerónimo. D. Zacarías Camant. D. Manuel Saez de Prado. Capitanes. D. Vicente Romero de Tejada. D. Francisco Xavier Ruiz de Mendoza. D. Ramón Tamayo. D. Manuel de S. Vicente. D. Josef Valenzuela. D. Juan López de Quevedo. D. Francisco Fernandez Ibarra. Subtenientes. D. Fermín Sánchez Toscano. D. Félix Izaguirre. D. Josef Aceve…</t>
  </si>
  <si>
    <t>de S, Regnaud</t>
  </si>
  <si>
    <t>Regnaud de S</t>
  </si>
  <si>
    <t>león. — Joaquin Napoleón. — Eugenio Napoleón. — Julia. — Hortensia. — Catarina. — Paulina. — Ca­ rolina. — Cambaceres , príncipe arehi-canciiler.— El conde Regnaud de S. Juan de Angely.” El dia 16 , para leer este proceso verbal , y para extender el senado-consulto , relativo al divorcio del emperador , se juntó el senado bax…</t>
  </si>
  <si>
    <t>49 Habiendo entrado después los oradores del consejo de estado, conde Regnaud de S. Juan de Angely, y Defermon, el príncipe archi-canciller tomó la palabra en estos términos. « Señores : el proyecto que va á someterse en esta sesión á la deliberación del senado , contiene</t>
  </si>
  <si>
    <t>de S, Vicente Menchéro Para el</t>
  </si>
  <si>
    <t>Vicente Menchéro Para el de S</t>
  </si>
  <si>
    <t>de Don lecha, á D. Saturio García Casanova, clérigo de Francisco Vigil y Quiñones , á D. Isidro Arreo, prima. cura de Retleqdas. Asimismo nombramos á D. Vicente Menchéro Para el de S. Pedro de Talavera, vacante por y D. Manuel Morales, curas que fueron de las par­ muerte de D. Manuel Josef Sánchez, ¿ D. Loren­ roquias de S. V…</t>
  </si>
  <si>
    <t>de Sa, Alberto</t>
  </si>
  <si>
    <t>Alberto de Sa</t>
  </si>
  <si>
    <t>umento , que se cons­ los archiduques Carlos, Antonio, Juan, Ranerio, truirá en memoria del restablecimiento de este mag­ Luis y Rodolfo; S. A. R. «i duque Alberto de Sa— nífico paseo, que en adelante se llamará plaza Na­ xonia-Teschen • toda la alta nobleza, y el cuerpo poleón. En seguida el presidente pronunció un dis­ dipl…</t>
  </si>
  <si>
    <t>de Sa, Ignacio Joven</t>
  </si>
  <si>
    <t>Ignacio Joven de Sa</t>
  </si>
  <si>
    <t>co- Felipe el Real. misiou de indemnizaciones y confiscaciones á nues­ Nueva floresta ó colección de chistes, agudezas, pa* tros consejeros de Estado D. Ignacio Joven de Sa­ sages graciosos, chanzas ligeras y singulares rasgos his­ las , D. Manuel María Cambronera , D. Vicente tóricos para recreo del espíritu y adorno del ent…</t>
  </si>
  <si>
    <t>de Sa, José Ramón</t>
  </si>
  <si>
    <t>José Ramón de Sa</t>
  </si>
  <si>
    <t>a Portilla 50. Don Juan Lagrava, 50. D. Juan de Guisasola, 100. D, Rafael Ixheniquc , 25. D. An­ gel Antonio Villar, 25. D. Mateo Lorenzo Murfi. 200. D. José Ramón de Sa-</t>
  </si>
  <si>
    <t>de Sa, Josef Ignacio Joven</t>
  </si>
  <si>
    <t>Josef Ignacio Joven de Sa</t>
  </si>
  <si>
    <t>, Doña María y D„, Jo»efa de Aljama, coa mas otras siete en la c ud-d de Orduña á principios de noviembre del año proxi no , ñuela, é 1 mos. St ñores D. Josef Ignacio Joven de Sa as y D. Pedro Rainon de Echeverría. c&lt;&gt; sejeros de Estado , y los señorea D D 1 o .so de 1.. Tor­ tasado, y envue to en tola clase de crímenes ha re…</t>
  </si>
  <si>
    <t>de Sa, León</t>
  </si>
  <si>
    <t>León de Sa</t>
  </si>
  <si>
    <t>s ra persona con el comnetente poder, se presenten en el actos titulada el Distraído, y la opereta del Marinerijuzgado de primera instancia del señor D. León de Sa- to. Actores en la comedia: Sras. García, Ramos, Ma­ gasta , cabeüero de la Orden Real de España , por la es­ quéela y Rosario García. Sres. Maiqucz, Ortigas, crib…</t>
  </si>
  <si>
    <t>de Sa, Teresa</t>
  </si>
  <si>
    <t>Teresa de Sa</t>
  </si>
  <si>
    <t>y la conservación de su in­ El dia 12 de febrero se celebró en Hildbourg- dependencia ; y finalmente, para hacer ver que eshausen el matrimonio de la princesa Teresa de Sa- t-n íntimamente convencidos de que Jas medidas xonia Hitdbourghausea y el principe real de Ba- que proponen, y que son convenientes p. m ^ se­ viera. guri…</t>
  </si>
  <si>
    <t>de Saavedra, Francisco</t>
  </si>
  <si>
    <t>Francisco de Saavedra</t>
  </si>
  <si>
    <t>a, el oficio que sigue de D. Cirio* Btramendi, ministre de hacienda de aquella plaza durante el sitio, escrito, can fecha- del 20 de diciembre al Sr. D. Francisco de Saavedra, y al Sr. marques de las Hormazas, secretario de estado y del despa­ cho universal de hacienda. “Exento, señar : se cumplió per fin el término que el fa…</t>
  </si>
  <si>
    <t>e unos individuos á todas luces acreedores á la veneración y aprecio universal, quales son el Sr. obispo de Oren se D. Pedro de Quevedo , y ios Sres. D. Francisco de Saavedra , D. Franeiseo Xavier,de Cas­ taños, D. Antonio de Escaño y D. Miguel de Eardizabal, re­ presentante nombrado por este reyno para la Junta suprema. Esta…</t>
  </si>
  <si>
    <t>de Saavedra, Juan María Arias</t>
  </si>
  <si>
    <t>Juan María Arias de Saavedra</t>
  </si>
  <si>
    <t>cita y emplaza á las personas que guarían En el regimiento núm. 4.0 de cazadores á ca­ tener derecho á la herencia y bienes de Doña Francisca ballo, D. Juan María Arias de Saavedra á teniente. Muñoz, soltera, criada jubilada que fue d# Ja señora En caballería de línea. 'D. Jósef Burone á ca­ condesa de la Alcudia, para que en…</t>
  </si>
  <si>
    <t>de Saboya, Eogenio</t>
  </si>
  <si>
    <t>Eogenio de Saboya</t>
  </si>
  <si>
    <t>a, ha formado una colección de los escritos polí­ * - &gt;i '- r ticos, y con especialidad de las cartas familiares Hambiirgo 2 y de abril. -del célebre príncipe Eogenio de Saboya,que toda­ El Rei de Suékiá' hi' ritandadd que varios des- vía no estaban impresas. Esta colección consta* de tácamentós de tropas .salgan de StraLund …</t>
  </si>
  <si>
    <t>de Sagasta, León</t>
  </si>
  <si>
    <t>León de Sagasta</t>
  </si>
  <si>
    <t>tomó inmediatamente sus disposiciones. sí ó procurador, en el juzgado de primera instancia del A este efecto se puso en movimiento con una par­ señor D. León de Sagasta, por la escribanía numeraria te de su guarnición, la compañía de escopeteros) y de D. Diego Benigno González , Tusar de su derecho, en el juicio universal de …</t>
  </si>
  <si>
    <t>850</t>
  </si>
  <si>
    <t>s de ellos cogidas por las tropas francesas, que siguen el al­ AVISO. ’ cance del enemigo por todos los puntos. A consecuencia de providencia del Sr.*D. León de Sagasta, del consejo de S. M., caballero de ia Orden S. M. ha expedido los decretos siguientes: Real de España, y juez de primera instancia en esta vi­ lla, de 9 del …</t>
  </si>
  <si>
    <t>Gaceta de Madrid n.º 293</t>
  </si>
  <si>
    <t>1300</t>
  </si>
  <si>
    <t>s decretos siguientes: Extracto de las minutas de la secretaría da AVISO. Estado. En nuestro palacio de Madrid á 17 de octubre Por el juzgado del Sr. D. León de Sagasta, del con­ de 1810. sejo de S. M., y juez de primera instancia en esta cor­ te , y por la escribanía del número de D. Francisco Ja­ Don Josef Napoleón por la g…</t>
  </si>
  <si>
    <t>Gaceta de Madrid n.º 365</t>
  </si>
  <si>
    <t>ieren conservar. de varias fincas, cuyo producto debe aplicarse al pago 2. a Taparlas con el cuidado y esmero posible; de sus acreedores , por el Sr. D. León de Sagasta, del porque de esto depende principalmente el buen ó consejo de S. M., juez en primera instancia, y que co­ mal éxito de ia operación. noce de la convocación …</t>
  </si>
  <si>
    <t>de Salas, Josef Ignacio Joven</t>
  </si>
  <si>
    <t>Josef Ignacio Joven de Salas</t>
  </si>
  <si>
    <t>mas de zoo hombres, ademas de otros 50 de Estado D. Sebastian Piñuela, D. Pedro Ramón qne han sido cogidos, como también un gran nú­ de Echeverría y D. Josef Ignacio Joven de Salas, mero de armas , de efectos y municiones , que aban­ qne han estado autorizados á presenciar las quemas donaron los enemigos para huir con mas rap…</t>
  </si>
  <si>
    <t>de Salas, Matías de</t>
  </si>
  <si>
    <t>Matías de de Salas</t>
  </si>
  <si>
    <t>n Valdepedcrnát Uha viña en los Carrascalejos , que linda como de 6 fanegas, poco masó me­ por 2 partes con tierras del marques nos, junto á otras de D. Matías de de Salas, de 2 aranz., y 128 cepas. 73 1606 Toro y D. Nicolás de-la Canal.......... 54-*7 z 199 Otra mas allí de la cuesta del Lotero, Una tierra junto al cerro de …</t>
  </si>
  <si>
    <t>de Salas, Ramón</t>
  </si>
  <si>
    <t>Ramón de Salas</t>
  </si>
  <si>
    <t>.de la la humanidad , y qué precio dehe pagarse al in- provincia de Guadalaxara ¿ su actual intendente ventor de un remedie reconocido por átil; pro» D. Ramón de Salas. porcionando siempre el precio al mérito del des­ Nuestro ministro de lo Iaterior queda encar­ cubrimiento , á las utilidades que se han sacado gado de la exec…</t>
  </si>
  <si>
    <t>de Salcedo, Andrea</t>
  </si>
  <si>
    <t>Andrea de Salcedo</t>
  </si>
  <si>
    <t>ino que desde Loe- mines y 15 estadales, que linda á ponienches va á Afpanda, y 1 mediodía con tier­ * te con tierra de Josef Ortega, vecino de ra de D. Andrea de Salcedo............... 186 4092 Torres........ ................................................... 36-17 803 ( St tentinuará.) EN LA IMPRENTA REAL.</t>
  </si>
  <si>
    <t>de Salcedo, Josef Benito</t>
  </si>
  <si>
    <t>Josef Benito de Salcedo</t>
  </si>
  <si>
    <t>y 3 esta­ Un alcacer en la fuente Buena, de una fan..... 50 1100 dales , linde á mediodía con majuelo de Una tierra de a} fin., donde llaman las. Ar­ D. Josef Benito de Salcedo.............. ........ 36-17 803. royadas............................... .................. ........ 85 1870 Otra camino alto de Pozuelo, en la Peña d…</t>
  </si>
  <si>
    <t>de Sam, Andrés</t>
  </si>
  <si>
    <t>Andrés de Sam</t>
  </si>
  <si>
    <t>... tope.. 2 D. Miguel Sancho Larrea y .D. An­ D. Francisco García de Rozas........... . : 8438..II drés de Aransai,.......................... 120000 D. Andrés de Sam,al—«............ 4463-20 u D. Pedro Schropp-.................................. 30000 -.. •' = D. Francisco Antonio.de Briagas......... - -- 246-10 ' ‘ D. Blas M…</t>
  </si>
  <si>
    <t>de Sanmartín, José Martínez</t>
  </si>
  <si>
    <t>José Martínez de Sanmartín</t>
  </si>
  <si>
    <t>or el general de brigada Chassé , se encaminaron á esta ciudad en número de 650 infan­ tes y 150 caballos con un obús y un canon de á 4. El co­ ronel D. José Martínez de Sanmartín, que la ocupaba cori 2150 hombres de á pie y 50 contrabandistas montados, se si­ tuó ventajosamente en una arboleda, y les disputó el paso hasta la…</t>
  </si>
  <si>
    <t>de Santander, Miguel</t>
  </si>
  <si>
    <t>Miguel de Santander</t>
  </si>
  <si>
    <t>Gaceta de Madrid n.º 126</t>
  </si>
  <si>
    <t>526</t>
  </si>
  <si>
    <t>solo se espera un momento fa­ todas las autoridades de la provincia. Ofició de vorable para sacudir el yugo de la Inglaterra. pontifical el limo. Sr. D. Miguel de Santander, quien pronunció uu enérgico discurso relativo á las circunstancias, y digno de colocarse al lado de los IMPERIO FRANCES. que en semejantes funciones llev…</t>
  </si>
  <si>
    <t>de Santayara, Matiuel</t>
  </si>
  <si>
    <t>Matiuel de Santayara</t>
  </si>
  <si>
    <t>evilla........................... 902 *7 D. Cristóbal Pérez................................. 1520 20 D. Manuel Félix Fernandez............... 270 25I D. Matiuel de Santayara...................... 73000 Doña María Elexaga.................. ........... 9**37 8f D. Francisco García de Rozas............ 56000 D. Josef Lidon......…</t>
  </si>
  <si>
    <t>de Santiago, Francisco Antonio</t>
  </si>
  <si>
    <t>Francisco Antonio de Santiago</t>
  </si>
  <si>
    <t>n por razón del atraso en el repartimiento de los diezmos. Doña María Josefa Pi­ cado Pacheco, 500. D. José Antonio de Mérida; vecino de Oaxaca, 500. D. Francisco Antonio de Santiago, y su hijo político D. Agustín de la Peña, por mitad, 500. D. Manuel Francisco del Cerro, 500. El licenciado D. José Antonio del Cristo y Conde,…</t>
  </si>
  <si>
    <t>de Sarathaga, Juan Bautista</t>
  </si>
  <si>
    <t>Juan Bautista de Sarathaga</t>
  </si>
  <si>
    <t>............................ 13079 M vales....................................................... 6678 17 D. Antonio Sainz de Rozas y García. 1963 17 D. Juan Bautista de Sarathaga......... 8032 8f D. Blas Martínez.................................... 6644 19 D. Dionisio López................................. 2166 D. Mariano Be…</t>
  </si>
  <si>
    <t>de Saravia, Martin</t>
  </si>
  <si>
    <t>Martin de Saravia</t>
  </si>
  <si>
    <t>qoe cisco Bucareli, canónigos de esta iglesia catedral; . tanto los distinguieron en otro tiempo* al mariscal de campo D. Eusebio de Herrera y oxas , D. Martin de Saravia , veintiquatro per­ S. M. se ha dignado expedir los decretos si­ petuo de esta ciudad , y á D. Francisco Antonio guientes : de Tuero y Hcvia, juez y comisar…</t>
  </si>
  <si>
    <t>de Sata, Angel</t>
  </si>
  <si>
    <t>Angel de Sata</t>
  </si>
  <si>
    <t>la ermita de nuestra Seño­ Una cas^. cu la población de Pintojunto % ra de los Santos............. .............................. 45a ' 549&lt;S otra de D. Angel de Sata.......................... 3&lt;So 43 «■ Otra en la calle de Odón.................... 3lt 3732 Oirá al barrio del convenio, junto a otra de KAVACfcBKAUA. la memoria…</t>
  </si>
  <si>
    <t>de Satostegui, Felipe</t>
  </si>
  <si>
    <t>Felipe de Satostegui</t>
  </si>
  <si>
    <t>....... ............................... 70000 de 1810. D. Manuel Martínez........................... 68740 Don Josef Napoleón por la gracia de Dios y D. Felipe de Satostegui...................... 88938..28 por la constitución del estado, REI de las EspaD. Josef Caivo por sus tutores Don ñas v de las Indias. Mauricio de los Má…</t>
  </si>
  <si>
    <t>de Saucal, Abdres</t>
  </si>
  <si>
    <t>Abdres de Saucal</t>
  </si>
  <si>
    <t>Manuel de Amandarro..... . 61099.. 8§ D. Antonio Torres................................. 5319 D. Manuel López Cerrcdo................... . 36641. .17 D. Abdres de Saucal.......... .................. 6988.. 17 D. Juan Bertevin...................... ...... ...... 15613.. 8J D. Esteban de Espina, por su apode­ El real Hospicio d…</t>
  </si>
  <si>
    <t>de Saucal, Andrés</t>
  </si>
  <si>
    <t>Andrés de Saucal</t>
  </si>
  <si>
    <t>sta Condestable....................... 20880 D. Rodrigo Zorrilla............................... 722 D. Francisco de las Barreras....;........... 6390 D. Andrés de Saucal........... -...... ......... *4079-l7 D.-Mariano Blancas............... 9725 ' Doña Josefa Mar&amp;illa de Teruel........ . 361 Doña Gabriela López....,.....-»,,…</t>
  </si>
  <si>
    <t>de Saxonia, Alberto</t>
  </si>
  <si>
    <t>Alberto de Saxonia</t>
  </si>
  <si>
    <t>Gaceta de Madrid n.º 101</t>
  </si>
  <si>
    <t>422</t>
  </si>
  <si>
    <t>o; y se retiró á su posada con de SS. A A. II. los archiduques hermanos del Em­ el mismo acompañamiento que antes. A las siete perador, y S. A. R. el duque Alberto de Saxonia- de la tarde hubo gran corre con gala en palacio, á Teschen, asistieron también el príncipe de Neuf- la que asistieron también «1 embaxador y el conde «…</t>
  </si>
  <si>
    <t>de Saxonia, Amonio</t>
  </si>
  <si>
    <t>Amonio de Saxonia</t>
  </si>
  <si>
    <t>tenia escritos relativos á su sistema sa ir á pasar en dicho palacio algunos dias, acom­ de rentas. Estos papeles han sido entreoídos á la pañada del príncipe Amonio de Saxonia , hermano comisión. de nuestro Soberano, y cunado de la Emperatriz, la que todavía .permanece en los baños de Carlsbad. GRAN DUCADO DE BADEN. en la Bo…</t>
  </si>
  <si>
    <t>de Saxonia, Augusta</t>
  </si>
  <si>
    <t>Augusta de Saxonia</t>
  </si>
  <si>
    <t>195</t>
  </si>
  <si>
    <t>urada princesa. Hemos recibido periódicos holandeses recientes que anun­ cian estar próximo á verificarse un acontecimiento de suma im­ portancia. La princesa Augusta de Saxonia , que según los ru­ mores tiempo ha esparcidos, estaba destinada para participar del trono de Bonaparte, parece lo está ahora para unirse c-n matri­ …</t>
  </si>
  <si>
    <t>de Saxonia, Mariana</t>
  </si>
  <si>
    <t>Mariana de Saxonia</t>
  </si>
  <si>
    <t>637</t>
  </si>
  <si>
    <t>quaJra inglesa que algunos suponen haberse avis- males. En CarUtad esperan de un dia á otro ¿S. A. udo-en aquellas aguas. Escriben de Elseneur con la princesa Mariana de Saxonia. íe^ha de ayer que no se descubría desde allí nin­ gún buque de guerra extrangero, siu embargo de ALEMANIA. que el viento era favorable para entrar e…</t>
  </si>
  <si>
    <t>de Saxonia-Cobourg, Leopoldo</t>
  </si>
  <si>
    <t>Leopoldo de Saxonia-Cobourg</t>
  </si>
  <si>
    <t>e que le toca , quedan encargados de la execuEl día iS pasó por Metz, para venir á esta ca­ cion de este aec'eto.= Firmado =r YO EL REI.=: pital , el príncipe Leopoldo de Saxonia-Cobourg. Por S. M., c: i.iimstro secretario de Estado = Fir­ Acaba de publicarse aqu¡ una obra compuesta mado = Mariano Luis de Urquijo.” por el doc…</t>
  </si>
  <si>
    <t>de Saxonia-Hild, Federico</t>
  </si>
  <si>
    <t>Federico de Saxonia-Hild</t>
  </si>
  <si>
    <t>y .Margollé ; de ja fragata italiana S. M. ha nombrado,teoiente general de infan­ la Corona , las corbatas Belona y Carolina , y ios tería á S. A. el duque Federico de Saxonia-Hild- bricks Mercurio y Jen*, también italianos, man­ burghauseq. dados por los señores Paschaligo&gt; Duodo , Rodrí­ Aluremberg octubre. guez, Paliccucia…</t>
  </si>
  <si>
    <t>de Saxonia-W, Carolina</t>
  </si>
  <si>
    <t>Carolina de Saxonia-W</t>
  </si>
  <si>
    <t>tra contestación será juzgada por el inar el matrimonio de nuestro Príncipe-heredero sindicado, con arreglo al artículo 36. de la misaba con S. A. la princesa Carolina de Saxonia-W^imar. acta, empleando siempre de antemano el medio, {fe Este feliz acontecimiento ha causado en este país conciliación prescrito por el artículo 2…</t>
  </si>
  <si>
    <t>de Saxooia, Amalia</t>
  </si>
  <si>
    <t>Amalia de Saxooia</t>
  </si>
  <si>
    <t>ta anual de 63 escudos ; quedando también su­ de Saxonia, la archiduquesa Teresa sh esposa , y la jetos á la conscripción militar como todos los de­ -princesa Amalia de Saxooia. mas súbditos del reino. Viena ¡2 de mayo. PRUSIA. El Emperador ha escrito de sn propio puño la «guíente carta á la condesa Odoneil con motivo Berlín …</t>
  </si>
  <si>
    <t>de Scfvwart, Josef</t>
  </si>
  <si>
    <t>Josef de Scfvwart</t>
  </si>
  <si>
    <t>en las carrozas de la corle por un Por S. E. el príncipe de Schwartzenberg, em- maestre y un ayuda de ceremonias, acompañada baxador de Austria , el príncipe Josef de Scfvwart- por la condesa de Brignole , dama del palacio de la zember; el príncipe Wenzel-Lichtenstein; el ge­ Emperatriz, é introducida á la audiencia de S. M. …</t>
  </si>
  <si>
    <t>de Sempran, Blas</t>
  </si>
  <si>
    <t>Blas de Sempran</t>
  </si>
  <si>
    <t>de Hattau , compuesta de 14 giata de Uxíjar, para una ración de la misma cate­ individuos , para presentar sus homenages áS. A. R. dral de Sevilla: á D. Blas de Sempran , presbíte­ nuestro gran duque , el qual ha recibido á los di­ ro, para una canongía de la santa ig'esia de Bur­ putados con ta bondad y afabilidad que le son…</t>
  </si>
  <si>
    <t>de Senra, Ramón</t>
  </si>
  <si>
    <t>Ramón de Senra</t>
  </si>
  <si>
    <t>o este acto con las firmas del príncipe la nobleza, D. Manuel Antonio Benavides. Por el archicanciller y del secretario de Estado de la fa­ comercio, D. Ramón de Senra. milia imperial, los maestros y ayudantes de cere­ En medio de los grandes asuntos que ocupan monias , después de hacer una profunda reverencia principalmente …</t>
  </si>
  <si>
    <t>de Sequera, Julián</t>
  </si>
  <si>
    <t>Julián de Sequera</t>
  </si>
  <si>
    <t>Gazeta de la Regencia de España e Indias n.º 7</t>
  </si>
  <si>
    <t>ctual guerra. " * * Nota. En la Gazeta del 23 del corriente núm. 5.° en el artículo de los ascensos militares se ha de añadir entre los Brigadieres á D. Julián de Sequera, promovido también k este empleo. En la relación de los muertos, heridos y contusos que resultaron del movimiento militar que hicieron las tropas españolas …</t>
  </si>
  <si>
    <t>de Sexo, Agustín</t>
  </si>
  <si>
    <t>Agustín de Sexo</t>
  </si>
  <si>
    <t>ner tan dignos hijos.— D. Luis Bdkran, D. Joaquín Riquelrai y Don Juan Peréz de Maruri , sirven gratuitamente de profesores, ademas del in­ fatigable D Agustín de Sexo, de quien ya se nabo en erra ocasicn. — Den Francisco Vinuesa sirve del mismo modo de capellán , y profe­ sor de historia. El caballero cadete del regimiento d…</t>
  </si>
  <si>
    <t>de Shavv, Margagarita Morphy</t>
  </si>
  <si>
    <t>Margagarita Morphy de Shavv</t>
  </si>
  <si>
    <t>Guillermo Branscombe, 1®. El señor D. Alexandro Bryerly, i0. El Excmo. señor D. Henrique VVellesiey, 5^. El señor D. Eduardo Grellet, 500. La señora Doña Margagarita Morphy de Shavv , 500. El señor D. Juan Collins, 1®. El señor X). C. Fi.tzgerald, 1®. La señora Doña María Glass, $00. El señor D. Manuel Víale, vecino de Gibral…</t>
  </si>
  <si>
    <t>de Si, Mannel</t>
  </si>
  <si>
    <t>Mannel de Si</t>
  </si>
  <si>
    <t>cucion del presente decr.to. es na , D. Vicente Gregorio Moreno, D. Pedro An­ Firmado= YO EL REI. = Por S. M. su ministro dino , D. Ramón de Cáceres, D. Mannel de Si­ secretario de Estado Mariano Luis de Urquijo.” les , D. Josef Saenz de Ramírez , D. Diego de la Extracto de las minutas de la secretaría de Barrera, D. Diego de…</t>
  </si>
  <si>
    <t>de Sierra, Nicolás Afaría</t>
  </si>
  <si>
    <t>Nicolás Afaría de Sierra</t>
  </si>
  <si>
    <t>fkU J J y ■- J. W ( l ' 1/ ^ UU JOpo de Orense: m Francisco* de Saavedr a. — Afiguel de Lar di Labal y Uribe. — En. C idiz á io de julio de 1810. = A D Nicolás Afaría de Sierra. • ■ El rey nuestro señor D. Fornando vn, y en su real nombre el Con-. sajo suprémo de Regencia dsi reyno, se ha servido nombrar para el em­ pleo de c…</t>
  </si>
  <si>
    <t>de Sierra, Nicolás Maiía</t>
  </si>
  <si>
    <t>Nicolás Maiía de Sierra</t>
  </si>
  <si>
    <t>325</t>
  </si>
  <si>
    <t>á V. E. muchos años. Ciudad-Rodrigo 4 de mayo de 1810. — Andrés de Herrasti, pre­ sidente. — José Mai t i del Hierro, vocal secretario. — Excsáo. Sr, D. Nicolás Maiía de Sierra.”</t>
  </si>
  <si>
    <t>de Sierra, Nicolás María</t>
  </si>
  <si>
    <t>Nicolás María de Sierra</t>
  </si>
  <si>
    <t>á los distinguidos y largos servicios , talen­ to y acreditado zelo por mi Real Persona, y bien del Estado, de que tan repetidas pruebas tiene dadas D. Nicolás María de Sierra , mi Fiscal en el supremo Consejo de C Otilia ; he venido en nombrarle por mi Secretario de Estado y del Despacho de Gracia y Justicia. Tendreislo ente…</t>
  </si>
  <si>
    <t>556</t>
  </si>
  <si>
    <t>sidente. —Pedro, obispo de Orense. —Francisco de Saavedra. — Antonio de Escaño. — Miguel de Lardizabal y Uribe. — En Cádiz á 18 de junio de 1810. — A D. Nicolás María de Sierra.” Este real decreto se ha comunicado de mi orden al mi Consejo supremo de España é Indias, para que lo haga imprimir y circular inmediatamente; y publ…</t>
  </si>
  <si>
    <t>690 be. -—: En Cádiz á, 14 dé setiembre de' 1810.—A D. Nicolás María de Sierra. A consecuencia de este real decreto, examinados los pode­ res de los señores diputados en él referidos, hallándose que el Excmo. Sr. D. Antonio Samper, procurador por el reyno de Valencia,</t>
  </si>
  <si>
    <t>Gazeta de la Regencia de España e Indias n.º 78 (suplemento)</t>
  </si>
  <si>
    <t>563</t>
  </si>
  <si>
    <t>to. — Francisco de Saav¿dra.—-Xa­ vier de Casianos. Antonio de Escaño, — Miguel de Lar* dizahal y-Uribe* Real Isla de León 2o de setiembre de í81Ó.—A D. Nicolás María de Sierra. Don Fernando Vil por la gracia de Dios, rey de España y de las Indias , y en su ausencia y cautividad • el Consejo de Regencia, autorizado Ínterin ám…</t>
  </si>
  <si>
    <t>764</t>
  </si>
  <si>
    <t>. -—Francisco de Saavedra. -— Xavier de Castaños. — Antonio de Escaño. — Miguel de Lardizabal y Uribe. -—Real Isla de León de setiem­ bre de 1810.— A D. Nicolás María de Sierra. Memoj'ia que el Consejo de Regencia dirigió á las Cortes ge­ nera les, y extraordinarias. Señor. — Nada desea el Consejo de Regencia tan ardientement…</t>
  </si>
  <si>
    <t>is lo necesario á su cumplimiento.—Pedro Agar,pitsidente..—J osé Marta Puig. — El marques del Cas telar. Real isla de I/eon 29 de octubre de 1810.— A D. Nicolás María de Sierra. Continúa la lista de los donativos hechos por los individuos del apos­ tadero de marina de Montevideo. Lancbon de auxilio. Luis Gómez, segundo guardi…</t>
  </si>
  <si>
    <t>de Siles, Francisco</t>
  </si>
  <si>
    <t>Francisco de Siles</t>
  </si>
  <si>
    <t>un nuevo sistema concernien­ otros efectos que habían robado. El sargento que te á la deuda del estado, y la base principal de di- mandaba la partida D. Francisco de Siles , y los na española. Si alguna vez se la oyó de un modo mas Por eso los cantores se estuerzm en hacinar gorgoritos digno de ella misma, fue en los oratorio…</t>
  </si>
  <si>
    <t>de Silva, Josefa Vázquez</t>
  </si>
  <si>
    <t>Josefa Vázquez de Silva</t>
  </si>
  <si>
    <t>....1595 3 D.a María Ignacia de Romaté y Villegas. 96900 La marquesa de Branchiforte.v...i..;L 35063 8 D. Epifanio Rafael Cu riel Pérez....... 180000 Doña Josefa Vázquez de Silva.'....;.... 24380 1 i D. Ignacio Agudo y Andrade, como 5,2 8 * 3 -, 1 17.f marido de Doña NicolasaRengeret. 26400 Doña Feliciana Barra.............. …</t>
  </si>
  <si>
    <t>de Sola, Mateo Gil</t>
  </si>
  <si>
    <t>Mateo Gil de Sola</t>
  </si>
  <si>
    <t>D. Manuel Antonio Ibañez. D. Isidro Velazquez. D. Josef María Acosta. D. Manuel Novales. D. Eugenio Aguilar. D. Francisco Peralta. D. Manuel Badana. D. Mateo Gil de Sola. D. Vicenre Tejada. D. Domingo Ventades. D. Julián Sojo. D. Tomas Ibargiien. Tenientes. D. Ramón García Ximenez. Batallón del quartel de S. Isidro D. Josef C…</t>
  </si>
  <si>
    <t>...... ;28800 D K-réban de la Torre...-...•...V.i.;..i.. 94228 8 Doña Manuela Ferrero y Velasco.... 90000 D. Manuel García Montenegro......... yóocb' D. Mateo Gil de Sola...... .......... ......... 44100 D. Francisco Viaña...... ............Tójsó D. Domingo Torrecilla....................... 21780 D. Julián Diaz M^reho........…</t>
  </si>
  <si>
    <t>de Somosierra, Joaquín Para el</t>
  </si>
  <si>
    <t>Joaquín Para el de Somosierra</t>
  </si>
  <si>
    <t>amón Romero Caballero, á Don Para el de Perales de Tajona, vacante por Matías Alonso Villalobos, clérigo de prima. Muerte de D. Ramón María Cabeza, á D. Joaquín Para el de Somosierra, vacante por muerte de Alooso Moron, cura de Fuente el Saz. D. Vicente Boruel y Via , á D. Casimiro García, Para el de Fuente novilla , vacante …</t>
  </si>
  <si>
    <t>de Soria, Hemeterio</t>
  </si>
  <si>
    <t>Hemeterio de Soria</t>
  </si>
  <si>
    <t>............ 387 „Se anuncia que varios regimientos españoles D. Mariano Agustín......................... 23207 22 seguirán el exemplo del de Reding. D. Hemeterio de Soria.................... 0204 4 ,,Se han hallado en Sevilla Inmensas provisio­ D. Domingo Esquiva........................ liteo 25 Jnes de todas clases; mas de …</t>
  </si>
  <si>
    <t>de Soria, Miguel</t>
  </si>
  <si>
    <t>Miguel de Soria</t>
  </si>
  <si>
    <t>ropas, con una corbeta y dos para otra media-radon de la catedral de Granada, bergantines que se le habían agregado. Una lancha vacante por muerte de D. Miguel de Soria : í cañonera del enemigo ha sido echada á pique, y D. Josef Perez Iñigo , presbítero, para otra medialos dos bergantines han sido tan maltratados, que ración …</t>
  </si>
  <si>
    <t>de Soto, Ignacio</t>
  </si>
  <si>
    <t>Ignacio de Soto</t>
  </si>
  <si>
    <t>or decreto de 6 del corriente S. M. se ha ser­ vido nombrar prefecto de Vigo al coronel de in^ Extracto de las ininufas do. la secretaria de frutería D. Ignacio de Soto. Estado. En nuestro'' palacio de Madrid á 7 de junio de&lt;T8io. .Don Josef Napoleón .por la gracia de Dios y TEATROS. por la constitución del estado, REI de las…</t>
  </si>
  <si>
    <t>de Soto, Miguel</t>
  </si>
  <si>
    <t>Miguel de Soto</t>
  </si>
  <si>
    <t>rcitos á D. Juan Alvcrez de Génova 4 de julio. Faria; comandante de batallón de infantería de lí­ El domingo último llegó á esta ciudad S. Em.' nea á D. Miguel de Soto; comandante de batallón el cardenal Spina, nuestro arzobispo , acompaña­ del regimiento de Sevilla, 3.® de infmtería de lí­ do del cardenal Cazelli. SS. EE., d…</t>
  </si>
  <si>
    <t>de St, Regnault</t>
  </si>
  <si>
    <t>Regnault de St</t>
  </si>
  <si>
    <t>perador,y le da para siem­ nosotros unos hijos afectuosos, y unos súbditos pre un derechó eterno á‘la gratitud de la nación.. sumisos. . •, v. . ; El Conde Regnault de St. Jean-d’-Aogely to­ ,, A la fe’icidad de la Francia importa que el mó eri seguida la palabra, y sometió á ia asamblea creador de esta quarta dinastía se env…</t>
  </si>
  <si>
    <t>de Sta, Clemente</t>
  </si>
  <si>
    <t>Clemente de Sta</t>
  </si>
  <si>
    <t>é Cenen y Castilla , 100. X). Luis-de Elexaldre, 100 D. Pedro García del Valle, 100. Den Juan Antonio Aguilar, 50. D. Pedro del Puerto Vicario ,.100, D. Clemente de Sta. Cruíz, 100. í&gt;. Benito Barin , 50. D. Vicente María de la Portilla 50. Don Juan Lagrava, 50. D. Juan de Guisasola, 100. D, Rafael Ixheniquc , 25. D. An­ gel …</t>
  </si>
  <si>
    <t>de Sta, Pedro Saenz</t>
  </si>
  <si>
    <t>Pedro Saenz de Sta</t>
  </si>
  <si>
    <t>Belderbuch , -prefecto del* departamento del Oise, rino.................................................. 6000 han; sido nombrados senadores. &lt;’ Sr. D. Pedro Saenz de Sta. María.... 3583..18 X Ayer salió de París el príncipe de Neufchatel &gt; La dirección de trabajos hidrográ­ y dé VVagram , y sé asegura que S. A. va á Viena. f…</t>
  </si>
  <si>
    <t>de Stolcanal, Constantino</t>
  </si>
  <si>
    <t>Constantino de Stolcanal</t>
  </si>
  <si>
    <t>en el mar Negro, han ar­ conde de Schsffr ostch , al vice-presidenre M.rckel, rojado !a esquadra tarca hacia el embocadero del al señor Dobschutz, al conde Constantino de Stolcanal. El navio Vice- Almirante y dos fragata* berg-Vernigerode , y alseóor Berger. han padecido bastante, y han tenido que refugiar­ se á lo interior d…</t>
  </si>
  <si>
    <t>de Subiza, Juana</t>
  </si>
  <si>
    <t>Juana de Subiza</t>
  </si>
  <si>
    <t>Gaceta de Madrid n.º 259</t>
  </si>
  <si>
    <t>o ingles.” AVISO. Parts 16 de agosto. A principios de noviembre de 1808 se ausentó de Parece que en Portugal ha sido bien recibida la-villa de Bilbao Doña Juana de Subiza en compañía la siguiente proclama del príncipe de Essling;- de un hijo de edad de cinco años, llamado Josef; y no habiéndose sabido desde entonces el parade…</t>
  </si>
  <si>
    <t>de Suecia, Reai</t>
  </si>
  <si>
    <t>Reai de Suecia</t>
  </si>
  <si>
    <t>ron por aqni algunos carros cargado* hague del 30 de mayo. Mañana se vestirá la corte de caxones mui grandes, en que iban varias plan­ de tuto por el Príncipe Reai de Suecia durante tres ta* y arbustos raros. Dicen que estas plantas son de semanas.” los jardines de St. Cloud, y qne van destinado* Se ba notado que en Elsenenr …</t>
  </si>
  <si>
    <t>de Suecia, Rei</t>
  </si>
  <si>
    <t>Rei de Suecia</t>
  </si>
  <si>
    <t>psick ;s de fttiembre. encargado de la execncion del presente decreto. = El conde de Gottorp (Gustavo Adolfo, ex- Firmados: YO EL REI.ssPor S. M., el ministro Rei de Suecia) salió repentinamente de Altembur- secretario de Estado =: Firmado=Mariano Luis de go el dia 8, y tomó el camino de Berlín. Se ase­ Urquijo.” gura que va …</t>
  </si>
  <si>
    <t>de Sujo, Luis</t>
  </si>
  <si>
    <t>Luis de Sujo</t>
  </si>
  <si>
    <t>.. 4379 2^ en igual caso se hallan los que ignoran el sentido D. Antonio Hernández............................. 7 200 de las.palabras que pronuncian. D. Luis de Sujo.......................................... 0Ó¿4 En la gramática hai que considerarlas cosas qu^ D. Josef Antonio G¡r-rd......................... 9cl&gt; son comunes …</t>
  </si>
  <si>
    <t>de Svhles, Carlos Augusto</t>
  </si>
  <si>
    <t>Carlos Augusto de Svhles</t>
  </si>
  <si>
    <t>Gaceta de Madrid n.º 285</t>
  </si>
  <si>
    <t>extraordinaria en la PRUSIA. ciudad de Oerebro, hacemos saber: „Que habiendo muerto, sin dexar heredero va­ Berlín 4 de setiembre. rón , S. A. R. el príncipe Carlos Augusto de Svhles- El gobierno ha publicado el aviso siguiente : ‘ wig-Holstein-Sourderborg-Angustemberg , elec­ ,. Queriendo S. M. que todas las óruenei rríato P…</t>
  </si>
  <si>
    <t>de T, José Xavier Adán</t>
  </si>
  <si>
    <t>José Xavier Adán de T</t>
  </si>
  <si>
    <t>771</t>
  </si>
  <si>
    <t>lograrán los santos ri­ ñes que todos desean, y con especialidad el consejo de las ór­ denes y su decatio. CARTAS INTERCEPTADAS. 25D. Joaquín . . . á D. José Xavier Adán de T irza. 20 ds julio de 1810. —Querido P. : si i correos id noticias de ninguna parte estamos hechos unos bobos : te tengo escrito por varias partes, dicié…</t>
  </si>
  <si>
    <t>de T, Juan Manuel García</t>
  </si>
  <si>
    <t>Juan Manuel García de T</t>
  </si>
  <si>
    <t>ermitida. Según la insinuación de Y. E. á las casas de comercio mas acreditadas de esta ciudad, quales son la de D. Joaquín Daodeya, D. Juan Fcrcada, D. Juan Manuel García de T.xada, Dofia Francisca Ribera de Martínez, y la viuda é hijo de Damas, solici­ tando me facilitasen el todo ó parte de la cantidad que se me exige, ofr…</t>
  </si>
  <si>
    <t>de T, Nicolás Alonso</t>
  </si>
  <si>
    <t>Nicolás Alonso de T</t>
  </si>
  <si>
    <t>ómez................................. 5 0400 D- Alariano Luis de Urquijo................ 8664 D. Antonio Entrena............................... 32760 D Nicolás Alonso de T^ejada.............. 3220 D. Miguel Maderna................................. 133631 1 2 3 6 3 1 26 D. Alaría Aúnela Azpi-oz, como tuDoña N ¡casia de Cañas..…</t>
  </si>
  <si>
    <t>de Tajuña, Antonio Martinez Ve Para el de Armuña</t>
  </si>
  <si>
    <t>Antonio Martinez Ve Para el de Armuña de Tajuña</t>
  </si>
  <si>
    <t>D. Saturnino Carrillo al de Algete, á D. Pedro Para el de Calera, vacante por muerte de Don Amonio Areta , clérigo de prima. Francisco Valdivieso, á D. Antonio Martinez Ve- Para el de Armuña de Tajuña, vacante por lasco, cura de Campo Real. muerte de D. Ramón Ibañez, á D. Miguel Pale­ Para el de la Alameda de la Sagra, vacant…</t>
  </si>
  <si>
    <t>de Talavera, Fernando Estéban</t>
  </si>
  <si>
    <t>Fernando Estéban de Talavera</t>
  </si>
  <si>
    <t>Es­ . D. R-fael García Santistéban. tado. D. Marcelo H.-rraiz y Romero. &gt; En nuestro palacio de Madrid á 30 de octubre D Juan de Dios Zafra. de 1810. D. Fernando Estéban de Talavera. Don Josef Napoleón por la gracia de Dios y D. Francisco Galindo. por la constitución dei estado, Rei de las Españas D. Juan Maria y Montes. y de…</t>
  </si>
  <si>
    <t>de Tarza, José Xavier</t>
  </si>
  <si>
    <t>José Xavier de Tarza</t>
  </si>
  <si>
    <t>s y á Fernando: memorias á Cadalso: hoy escribo á Meló: recíbelas tú de todos los amigos, y dispon como quie­ ras de tu afectísimo hermano — Pepe. De D. José Xavier de Tarza d D. Joaquín........ Madrid 12 de agosto 1810. —Querido Joaquin: entregué á los mi­ nistros de S. M. los duplicados que me traxeron tu carta de 20 del pa…</t>
  </si>
  <si>
    <t>de Tarza, José Xavier Adán</t>
  </si>
  <si>
    <t>José Xavier Adán de Tarza</t>
  </si>
  <si>
    <t>o, y puedes haccrio presente á quienes te parezca: no puedo mas, y con abrazos á Juan Pablo y saludos á los amigos, soy tuyo afectísimo — Joaquín. De D. José Xavier Adán de Tarza á su hermano D. Antonio. — Bilbao. Madrid 23 de /abo de ioio. Querido Antonio: quuiido llega de tar­ de en tarde ei correo de esa, suelen correr aqu…</t>
  </si>
  <si>
    <t>de Te, Manuel</t>
  </si>
  <si>
    <t>Manuel de Te</t>
  </si>
  <si>
    <t>ha de prac­ y confesor de su convento: para la de Guejar Sier­ ticarse de las referidas sacristías resulta qoe la do­ ra al ex-franciscano observante D. Manuel de Te- tación de algunas en renta fixa asciende 6 pasa de va, por mitad con D. Francisco de Teva del mis­ 5® reales, se dividirán en dos, con arreglo al ar­ mo orden :…</t>
  </si>
  <si>
    <t>de Tejada, Félix Martínez</t>
  </si>
  <si>
    <t>Félix Martínez de Tejada</t>
  </si>
  <si>
    <t>.... 4200 Los reales Hospicios de Madrid, por su JJ. Pedro Baille y compañía................. 25000 tesorero D. Josef Diaz de Ribera.... 23 107.. 2 2 D. Félix Martínez de Tejada................ 15000 D. Basilio Ramón Fernandez.............. 11903-28 los directores de la compañía de Po­ D. Joaquin de Eguiarrcta, por su apo­ zu…</t>
  </si>
  <si>
    <t>de Tejada, Nicolás Alomo</t>
  </si>
  <si>
    <t>Nicolás Alomo de Tejada</t>
  </si>
  <si>
    <t>Francisco de la Canal...................... 18036 20 hijo D Pedro Marta de Zubiaga.... w ei 0 0 0 0 0 D. Josef y Lorenzo Mercado............... 13507 D. Nicolás Alomo de Tejada............... D. Pedro «tibio........................................ 29166 iS D. Te ¡pe Alba Ruiz............. ................ 1 2 ;o3 28 Los hijos…</t>
  </si>
  <si>
    <t>de Tejada, Nicolás Martínez</t>
  </si>
  <si>
    <t>Nicolás Martínez de Tejada</t>
  </si>
  <si>
    <t>io.de Briagas......... - -- 246-10 ' ‘ D. Blas Martínez..................................... 7S°° Hlmiimo................. ............... ' .18477 2 D. Nicolás Martínez de Tejada............. 44^4—*3 D. Gabriel de Louquat.................... l8 I 1- 6 ' ■ D. Manuel Moresqui............ .................. .5593° EFmismo-J....…</t>
  </si>
  <si>
    <t>de Tejada, Vicente Romero</t>
  </si>
  <si>
    <t>Vicente Romero de Tejada</t>
  </si>
  <si>
    <t>Ferrer. D. F rancisco Sagasta. D. Mariano de la Cuesta. Batallón del quartel de S. Gerónimo. D. Zacarías Camant. D. Manuel Saez de Prado. Capitanes. D. Vicente Romero de Tejada. D. Francisco Xavier Ruiz de Mendoza. D. Ramón Tamayo. D. Manuel de S. Vicente. D. Josef Valenzuela. D. Juan López de Quevedo. D. Francisco Fernandez …</t>
  </si>
  <si>
    <t>de Teran, Francisco Alonso</t>
  </si>
  <si>
    <t>Francisco Alonso de Teran</t>
  </si>
  <si>
    <t>el ayuntamiento de la ciudad de Celaya, ademas de 1© que ofrecieron de sus fondos , 600. El intendente de Veracruz , brigadier D. García Dávi’a, 500. D. Francisco Alonso de Teran , ademas de 500 por el conducto del consula­ do, 500. El capitán D. Julián de Lezaun, 500. Ei capitán D. Ma­ nuel Antonio Rodríguez , 500. El obispo…</t>
  </si>
  <si>
    <t>de Terán, José Maria Gutiérrez</t>
  </si>
  <si>
    <t>José Maria Gutiérrez de Terán</t>
  </si>
  <si>
    <t>suplente por idem : D. Salvador S. Martin , suplente por idem : D. Octaviarlo O bre­ gón , suplente por idem: D. Máximo Maldonado, suplente por idem: D. José Maria Gutiérrez de Terán , suplente por idem: D. Pedro Tagíe, suplente por Filipinas: D. José Manuel Couto , suplente per idem: D. José Caicedo, suplente por el vireynat…</t>
  </si>
  <si>
    <t>de Terra, Manuel</t>
  </si>
  <si>
    <t>Manuel de Terra</t>
  </si>
  <si>
    <t>lonard, comandante de batallón. En el de reales guardias vvaíonas ha conferido igualmente el Con­ sejo primera tenencia de granaderos al de fusileros D. Manuel de Terra­ zas; primeras tenencias de fusileros á los segundos tenientes D. Manuel de Vorcy y D. Manuel Liaño, este de Cazadores; .segunda tenencia de cazadores al capi…</t>
  </si>
  <si>
    <t>de Terrazas, Martin</t>
  </si>
  <si>
    <t>Martin de Terrazas</t>
  </si>
  <si>
    <t>.. 13 síi apoderado D. Amonio Montaña. 15515)..ai D. Ranton de Landa............................... 36821.-31 El real Hospicio de esta corte, y en su D. Martin de Terrazas........ ............... . 69623 nombre su tesorero D. Josef Díaz D. Mateo Gil de Sola............................ 1000 de Ribera...... ....................…</t>
  </si>
  <si>
    <t>de Terrera, Juan Mártinc-z</t>
  </si>
  <si>
    <t>Juan Mártinc-z de Terrera</t>
  </si>
  <si>
    <t>scritura obligándose á contribuir con dos pesos diarios en vales reales durante la guerra actual ; y entre­ gando anticipadamente uno de 300 pesos, — D. Juan Mártinc-z de Terrera, vecino de Aieaudete, ha ofrecido contribuir ah estsdo du­ rante ia actuai: guerra , per donativo gratuito, con dos' mil'Tttóek vellón anuales, paga…</t>
  </si>
  <si>
    <t>de Terreros, Paulina Gil</t>
  </si>
  <si>
    <t>Paulina Gil de Terreros</t>
  </si>
  <si>
    <t>s de cada uno en particular. Las primeras D. Pedro Pablo Pastor............................. 147^8 a pertenecen á lo que los autores llaman gramática Doña Paulina Gil de Terreros.............. 11712 general, y las segundas á la que llaman gramáti­ D. Benito Sánchez Navarro................... 19250 ca particular de tal ó tal i…</t>
  </si>
  <si>
    <t>cisco Andureo,,,*,........., 8c000 D. Miguel Castellanos.......................... J13.1 liyC 15. Martin ¿Estenoz,,.,,*,..................... 33333 8 Doña Paulina Gil de Terreros ..... 195 a L B. fPedro Fstcnpr-..?, ¡ 26400 • D. Roque de Avila...,......................... 4200 : ? Doña Mirra Carmen. Alxarez......*6400 D. Vice…</t>
  </si>
  <si>
    <t>de Tersn, José Ignacio Gómez</t>
  </si>
  <si>
    <t>José Ignacio Gómez de Tersn</t>
  </si>
  <si>
    <t>Tortoti el brigadier conde de Alacha , al de la propia clase D. Raymundo Ferrer, cápitan de granaderos del mismo cuerpo $ y, esta resulta al agregado D. José Ignacio Gómez de Tersn. # . • fin atención á los servicios y méritos de D. Francisco.Ignacio de Ce­ peda , coróne 1 del fegimieqtq^prGvincial de Jaén, se ha dignado el C…</t>
  </si>
  <si>
    <t>de Teruel, Josefa Marsilla</t>
  </si>
  <si>
    <t>Josefa Marsilla de Teruel</t>
  </si>
  <si>
    <t>rdo Rodríguez......... . 6317-17 B* A6atias Cano....... ............. .... poidiy O.020062.. 15! D. Francisco de las Barreras!....»...,;-.. 34475..17 Doña Josefa Marsilla de Teruel,........ . • 92049.- 9 Que 5 una suma importan seis millones veinte milsesenta D. Francisco López de Alcaraz............ • 4202-25 y dos reales y …</t>
  </si>
  <si>
    <t>de Teva, Francisco</t>
  </si>
  <si>
    <t>Francisco de Teva</t>
  </si>
  <si>
    <t>s sacristías resulta qoe la do­ ra al ex-franciscano observante D. Manuel de Te- tación de algunas en renta fixa asciende 6 pasa de va, por mitad con D. Francisco de Teva del mis­ 5® reales, se dividirán en dos, con arreglo al ar­ mo orden : para U de Cozvijar al ex- dominico Don tículo 4.0 del citado decreto; y en el caso de…</t>
  </si>
  <si>
    <t>de Tienda, Miguel García</t>
  </si>
  <si>
    <t>Miguel García de Tienda</t>
  </si>
  <si>
    <t>oya, idem 3. obediencia. D. Manuel López, idem 4. D. Estanislao del Castillo , idem f. D. Mariano Mendoza, idem $. D. Alfonso Díaz , portero. LIBROS. D. Miguel García de Tienda, fiel colector de La Mogigata, comedia en tres actos en verso, reatas provinciales. por Inarco Celenio P. A. Se hallará en la librería Almacenes. de C…</t>
  </si>
  <si>
    <t>de Toda, Félix</t>
  </si>
  <si>
    <t>Félix de Toda</t>
  </si>
  <si>
    <t>ita­ nes D. Pedro Salazar, D. M :r. iel Arschav&amp;la, D. Melchor Sil­ vestre , y D. Nicolás Verdejo ; á capitanes, los tenientes D. An­ drés Rodríguez, D. Félix de Toda, D. Juan Pablo Sebastian, y D. Francisco Huarte; á tenientes , los subtenientes D. Francis­ co Ramírez , D. Ramón Mateo, D. Valentín Ampudia , D. José Ampudia, …</t>
  </si>
  <si>
    <t>de Toledo, José Aivarez</t>
  </si>
  <si>
    <t>José Aivarez de Toledo</t>
  </si>
  <si>
    <t>asco, suplente por idem: D. Manuel Rodrigo, suplente por idem: D. Andrés de Llano, su­ plente por Goatemala: Don Manuel de Llano, suplente por. idem: D. José Aivarez de Toledo, suplente per la isla de Santo Domingo: D. Agustín Arguelles, suplente por el principado de Asturias: Don Rafael Manglano, suplente por la provincia de…</t>
  </si>
  <si>
    <t>de Tolli, Barclai</t>
  </si>
  <si>
    <t>Barclai de Tolli</t>
  </si>
  <si>
    <t>de que sean examinados por aquel cuer­ El minisreriorde la Guerra ha sido conferido al po. S. M. se retiró luego, y entonces firmaron el ju­ célebre general Barclai de Tolli; el de Hacienda al ramento de ñde'idad y el proceso verbal de Ja pri­ consejero privado y senador Guritfi , y el de la mera sesión todos los miembros; de…</t>
  </si>
  <si>
    <t>s ; y entre otros se cuenta el señor Lamp, unp de nuestros mejores Ptfersburgo j o de febrero. coloristas, y el señor Gerard, artista de los,,jnas Rl general Barclai de Tolli ha sido nombrado distinguidos, para la miniatura. Los estados de va­ ministro de la Guerra. rias provincias han pedido y logrado el permiso de Para reco…</t>
  </si>
  <si>
    <t>de Torres, Agustín</t>
  </si>
  <si>
    <t>Agustín de Torres</t>
  </si>
  <si>
    <t>bre el prin­ de Torres Chica. cipado de Ratisbrna. Tenientes. D. Joan Josef de Torre*» D. Josef Se asegura que la Baviera cederá al reino de Canillo, D. Agustín de Torres, D. Pedro Carri­ Italia el Tirol meridional, y al reino de Wurtem- llo, D. Josef Moreno, D, Henrique Salido. b¿rg una población de 170© almas en Suabia. Sub…</t>
  </si>
  <si>
    <t>de Torres, Antonio</t>
  </si>
  <si>
    <t>Antonio de Torres</t>
  </si>
  <si>
    <t>d han presentado La acta siguiente de Fieldades. su juramento de fidelidad y obediencia al REI ouestro Señor. D. Francisco Sánchez , fiel del puente. D. Antonio de Torres , interventor idem. Jos infrascritos empleados en las oficinas dt D. Francisco Santa Cruz, fiel de la puerta rentas reales de esta capital, que actualmente …</t>
  </si>
  <si>
    <t>te y norte con otra de Luna......................... 45 990 y 6 estad., que linda á oriente con tierra Otra de 8 celem. á la Regagera, que es una de D. Antonio de Torres............................. 40 880 cerca, y linda á mediodia con el camino Otra en la misma vega, mas arriba de la an- de la Pci.uelá............... ...... …</t>
  </si>
  <si>
    <t>om, teniente coronel sueco, y eí barón de y habitación del comisionado interventor del se­ Platen, oficial de la guardia real de Suecia. gundo diezmo D. Antonio de Torres, y hacién­ Por S. E. el señor de Maillardoz, ministro dole levantar de la cama, lo sacaron del pueblo; plenipotenciario de la Confederación suiza, el se— co…</t>
  </si>
  <si>
    <t>de Torres, Joaquín</t>
  </si>
  <si>
    <t>Joaquín de Torres</t>
  </si>
  <si>
    <t>oaquín de Go- ge , =el conde de Montarco, miembro del grao con­ yeneta, procurador mayor de la ciudad ; al pro­ sejo de la Orden." visor eclesiástico D. Joaquín de Torres; al mar­ ques de Tous y la Cueva; D. Juan María Saave- ■ Madrid IJ&gt; de febrero. dra y D. Juan Manuel de Cárdeoas Fernandez de El Excmo. Sr. general gobernad…</t>
  </si>
  <si>
    <t>ativa ha tenido un resultado S. Fernando en la catedral de Sevilla , vacante por tan poco glorioso para (os ingleses, y tan poco sa­ fallecimiento de D. Joaquín de Torres ; y á D. Ma­ tisfactorio para los sicilianos, como todas las pre­ riano Gutiérrez, subdiácono , para el beneficio de la villa de Cañete , diócesis de Córdob…</t>
  </si>
  <si>
    <t>de Torres, Julián Martinez</t>
  </si>
  <si>
    <t>Julián Martinez de Torres</t>
  </si>
  <si>
    <t>....... ....................— 3339- ®! D. Josef Esteban Travieso.................. 17155-22D. Guillermo Peironet.................. ........ -338p- 8J D. Julián Martinez de Torres.............. ■" ■ ’1649-31' D. Antonio Hernández, como- testa- ' D.“ Pedro Ramón.Fernandez..................... 26520-5 mentario de Doña Juana Maca…</t>
  </si>
  <si>
    <t>de Torres, Miguel</t>
  </si>
  <si>
    <t>Miguel de Torres</t>
  </si>
  <si>
    <t>. El general Hugo ha dado parte desde Sigiienza ' Para la de Gualchos al ex-franciscano obser­ de la buena conducta de los regimientos Real Ex— vante D. Miguel de Torres. trangero, Real Irlandés, del io.° de cazadores de Para la de Guaxar-Faíaguir y Fondon al ex­ la caballería holandesa, del 2.a de cazadores espa­ franciscano…</t>
  </si>
  <si>
    <t>4 fan., al pago de las Monjas... 90.. 17 1991 55 Una tierra , camino de Cabanillas en la Atalaya, de 7 t.m. y 1 1 celem.. que MECO. linda a norte con D. Miguel de Torres. 55"J7 1221 Otra por debaxo de las bodegas v el Otra en las Madrigueras, de g cel., lin­ Rubial, de una fan. y 4 celem., linde á oriente con un acirate......…</t>
  </si>
  <si>
    <t>de Torres, Ramón</t>
  </si>
  <si>
    <t>Ramón de Torres</t>
  </si>
  <si>
    <t>Salvador de Morales y D. Josef Piñeiro, regidores. Diputación del reino de Jaén. S. M. habló largamente con todas estas dipu­ Por la ciudad de Jaén: D. Ramón de Torres, taciones, inculcando las grandes verdades de que caballero maestrante de la real de Ronda. depende la felicidad de la nación. Diputado por el estado eclesiást…</t>
  </si>
  <si>
    <t>de Torrius, Juan</t>
  </si>
  <si>
    <t>Juan de Torrius</t>
  </si>
  <si>
    <t>voluntarios Catalanes ; grados y agregaciones de subtenientes en los de voluntarios de Car mona, y de Canarias , a los cadetes D. Carlos de Vargas, y D. Juan de Torrius; y agregación ¿e teniente coronel en el regimiento de in­ fantería 2.° de Sevilla, á D. Pedro Angulo. Asimismo se ha dignado conceder grado de coronel de infa…</t>
  </si>
  <si>
    <t>de Trido, Juan Estiban</t>
  </si>
  <si>
    <t>Juan Estiban de Trido</t>
  </si>
  <si>
    <t>el barco de Gravenreuth, oficial de artillería; D. Manuel Sixto Espinosa................... 6 91.. 1 el barón de Dos-Puentes, teniente general,'y el D. Juan Estiban de Trido.................. 21806.'. 16 barón de Freiberg , gentilhombre. D. Antonio Hernández......................... 3920 Por S. E. el conde de Wintzingerode, m…</t>
  </si>
  <si>
    <t>de Trijueque, Vicente del Rio de Para el</t>
  </si>
  <si>
    <t>Vicente del Rio de Para el de Trijueque</t>
  </si>
  <si>
    <t>de D. Juan Francisco Gómez al de Cadalso, á Para el de Azutan, vacante por muerte de Don D. Manuel Ramón Herrero, presbítero. Julián Ramón Navarro, á D. Vicente del Rio de Para el de Trijueque, vacante por muerte de la Vega, cura de Alocen. D. Martin Aguilera, á D. Simón de Arce, clérigo Para el de Val hermoso deTajuña, vacan…</t>
  </si>
  <si>
    <t>de Trotiaga, Pascuala</t>
  </si>
  <si>
    <t>Pascuala de Trotiaga</t>
  </si>
  <si>
    <t>a................................. 13 5 3 2í Doña Tomasa Guerra............................ 20010 32 D. Andrés Saez de Azofra.................. 13718 Doña Pascuala de Trotiaga................. 4762 6 D. Antonio Fernandez........................ 180 17 D. Andrés Saez de Azofra................... 13808 7 Doña María Francisca Na…</t>
  </si>
  <si>
    <t>de U, Francisco José</t>
  </si>
  <si>
    <t>Francisco José de U</t>
  </si>
  <si>
    <t>uia de S. Miguel , 300. El ayuntamiento de Zacatecas, con su presidente interino, 320; y a gunos de sus individuos, 255 anualmente durante la guerra. D. Francisco José de U/rutía, 300. Ei oidor D. Miguel Bataller, 300. D Rafael Fernandez, dei comer­ cio áe Tula, 2 50 ; y ademas «¿tros 250 anuaímente. El presbítero D. Alexaudr…</t>
  </si>
  <si>
    <t>de Ubieta, Ignacio</t>
  </si>
  <si>
    <t>Ignacio de Ubieta</t>
  </si>
  <si>
    <t>y su hijo político D. Agustín de la Peña, por mitad, 500. D. Manuel Francisco del Cerro, 500. El licenciado D. José Antonio del Cristo y Conde, 500. D. Ignacio de Ubieta, 500. El contador de la aduana D. Agustín Pérez Quijano, 300. D. Jocobo dé Villaufrutia, 300. D. Francisco Roblado, 300. Los dependientes subalternos de las …</t>
  </si>
  <si>
    <t>de Udaeta, Antonio Pablo</t>
  </si>
  <si>
    <t>Antonio Pablo de Udaeta</t>
  </si>
  <si>
    <t>493605.. 2 de 300 pesos de mayo, 180381 x de 150 de setiembre. Doña Alfonsa Minchel. 307903 1 de ídem ídem. D. Juan de Frutos. 174822 1 de ídem idem. D. Antonio Pablo de Udaeta. 159302 162634 162635 162687 ............................................... 4 de idem ídem. D. Juan Manuel de Gaona. 80918 91918 102281 106609 113622…</t>
  </si>
  <si>
    <t>de Ugal, Diego</t>
  </si>
  <si>
    <t>Diego de Ugal</t>
  </si>
  <si>
    <t>Ubi- PROCLAMA DE S. M. Iio» , tesorera; D. Francisco Argnte ; D. Francisco Don Josef Napoleón por la gracia de Dios y de Barcia ; D. Ped o Segovía ; D. Diego de Ugal- por ia constitución dei estado, REI de las Españas de; D. Miguel Gar la de Pisa , lectora! ; D. Ma­ y de las Indias. nuel de Espejo; D. Gragoyio Merlo, magistra…</t>
  </si>
  <si>
    <t>de Ugarte, Dionisio Antomío</t>
  </si>
  <si>
    <t>Dionisio Antomío de Ugarte</t>
  </si>
  <si>
    <t>is Fernandez Gonzalo dei Rio, 300. D. José Batlle y Mayner, 3GO. D. Miguel Riera y Refart, 300. D. Ma­ nuel Fopiano, roo. Conde de Fernan-Nuñez, 6co. D. Dionisio Antomío de Ugarte, 2000. Cardenal de Barbón, 4000. Condesa de Chin­ chón, 20CO. D. Tomas Linacero Fuertes, 300. D. Casimiro Salvoechea, 400. El padre y madre de r6 h…</t>
  </si>
  <si>
    <t>de Uíibe, Agustín</t>
  </si>
  <si>
    <t>Agustín de Uíibe</t>
  </si>
  <si>
    <t>duque de Badén en Paris, y sobrino de Coelio, D. Rafael de Quesada, D. Fernando de S. A. R. nuestro Soberano, el título de duque de Aranda Sal. zar, D. Agustín de Uíibe, -D. Pedro Dalbérg con una quantiosa dotación sobre el prin­ de Torres Chica. cipado de Ratisbrna. Tenientes. D. Joan Josef de Torre*» D. Josef Se asegura que…</t>
  </si>
  <si>
    <t>de UiQtra, Ursula</t>
  </si>
  <si>
    <t>Ursula de UiQtra</t>
  </si>
  <si>
    <t>os ele O. Francisco 6 estad., que á oriente y poniente linda Gabriel Herranz....................... ................... 8-17 *87 con la capellanía de Doña Ursula de UiQtra en térmiqo de Torres, encima de la i 110 Empanada, de una fan., 8 celem. y 14 Otra en la Granja, de $ fan., 9 celem. y estad.......................... ....…</t>
  </si>
  <si>
    <t>de Ulibarrí, Manuel</t>
  </si>
  <si>
    <t>Manuel de Ulibarrí</t>
  </si>
  <si>
    <t>...... D. Miguel Antonio Ib.ruz.......... .............. .V.J..... ..y..........'. D. Luis Babich. ........................... ....... .............. D. Manuel de Ulibarrí. ........................................ .......... . D.‘Buenaventura, MofeúO. Noveno Batallón. . "V ' Para ayudante primero D. Feliciano Gaizaburuagá, y‘…</t>
  </si>
  <si>
    <t>de Ulloa, Ana</t>
  </si>
  <si>
    <t>Ana de Ulloa</t>
  </si>
  <si>
    <t>n el de los Caños del Peral, á las ocho de la no­ El criado. „ Casarte tu padre trata che, se ejecutará por la compañía italiana el gran baile Ya con Doña Ana de Ulloa, titulado Figaró, &lt;&gt; la Precaución inútil; seguirá uns» Hembra riot, cuya, tara gran sinfonía , y se dará fin con el. divertido baile de las Entra (desput^,de …</t>
  </si>
  <si>
    <t>de Urbíria, Manuel</t>
  </si>
  <si>
    <t>Manuel de Urbíria</t>
  </si>
  <si>
    <t>Feíípe de Canga 'Argfietíés.'....n¿......; 2902^ Ao;f D. Francispo Lqpcz.de Alcaraz.— L5149 31 D. P^olo Arrib'ss 7b, . D. Juats Antonio de„í.tHíU, 2) D. Manuel de Urbíria 8.9j¿4T 1). Francisco Ruiz Savslí...;.».-.. ;.&amp;ii -ib ¿yíj'ié . . .1 D. Antonio de Gatniz............... .......... y; 379.^3&gt;;f.3C Doña-C-talina del, Ner.e…</t>
  </si>
  <si>
    <t>de Urda, Juan Martin León</t>
  </si>
  <si>
    <t>Juan Martin León de Urda</t>
  </si>
  <si>
    <t>........ 44000'' Dóña-María Cecilia de;Arrieta^...¿ D Juan Martin .de Urda, id......’.;.;.... '4496*0 Doña Leonor de Torres y Arrieta..... i9tg ,íJrí D. Juan Martin León de Urda , id.... '44°00: ' D. Ildefonso Simón , ex-bcnedictino. -■ : 44660¡ D. Manuel Antonio Fernandez* Ce- '■&amp; D^jFdipe Rodríguez,iid............,.í.ii -■ …</t>
  </si>
  <si>
    <t>de Urets, Manuel</t>
  </si>
  <si>
    <t>Manuel de Urets</t>
  </si>
  <si>
    <t>.............................. 239987..22 En nuestro palacio de Madrid á 14 de julio Doña Juana de Muga............................. 36000 de i8ro. . D. Manuel de Urets.............................. 121320 Don Joséf Napoleón por la gracia de Dios y D. F ermm de Zelayeta........................ 360000 por la constitución del e…</t>
  </si>
  <si>
    <t>de Uriarte, Paulino</t>
  </si>
  <si>
    <t>Paulino de Uriarte</t>
  </si>
  <si>
    <t>liano Jos-ef.” QUIÍRI. Extracto de quatro cartas interceptadas en el IMPERIO FRANCES. paquebot de Cádiz, Parts i&lt;3 de agosto. Ceuta 7 de julio.^ „Sr. D. Paulino de Uriarte: La villa de París ha tenido el honor de ofrecer está esta plaza hecha un emporio de nobleza , ha­ á S. M. la Emperatriz el dia de S. Napoleón un bitándola…</t>
  </si>
  <si>
    <t>de Uribarri, Antonio</t>
  </si>
  <si>
    <t>Antonio de Uribarri</t>
  </si>
  <si>
    <t>. D. Gabriel de Alearáz. D. Santiago Sedaño. D. Juan de Adanero. D. Francisco Cabañas. D. Juan de la Peña Melendez. D. Pedro Sedaño. D. Joaquín Sojo. D. Antonio de Uribarri. Nuestros ministros de lo Interior y de la Guer­ D. Josef Binuesa. ra quedan encargados de la execucion de este de­ D. Lázaro Figueroa. creto. = Firmado —…</t>
  </si>
  <si>
    <t>de Urizar, Santiago Antonio</t>
  </si>
  <si>
    <t>Santiago Antonio de Urizar</t>
  </si>
  <si>
    <t>ita de Vivero y Cabeza, por ma­ y curadora de sus hijas Doña María no de su marido D. Simón Medrano. 14602 17 y Doña Matilde de Soto y Urquijo. 10389 D. Santiago Antonio de Urizar............ 12240 D. Juan Peñalver................................... 1150 23 D. Diego Grao Osorbia, ex-carmeli­ Doña María Polonia de Nanclares...…</t>
  </si>
  <si>
    <t>nuel Sánchez Toscano............... 244S99 í y Gorbea............................................... 185661 12 12 D ña Alaria Eugenia de Zubiaga, por D. Santiago Antonio de Urizar........... 19*794 9 9 sí, y como tutora y curadora de su D. Francisco de la Canal...................... 18036 20 hijo D Pedro Marta de Zubiaga.... …</t>
  </si>
  <si>
    <t>de Urquijo, Juana</t>
  </si>
  <si>
    <t>Juana de Urquijo</t>
  </si>
  <si>
    <t>297 8f Doña Juana de Muga y Acha............. 6300 D. Gregorio Rivacoba......................... 2895 81 Doña María Ignacia de Recalde......... 10800 Doña Juana de Urquijo, como totora D.a Rita de Vivero y Cabeza, por ma­ y curadora de sus hijas Doña María no de su marido D. Simón Medrano. 14602 17 y Doña Matilde de Soto y Ur…</t>
  </si>
  <si>
    <t>de Urquijo, Marcelino Pe Luis</t>
  </si>
  <si>
    <t>Marcelino Pe Luis de Urquijo</t>
  </si>
  <si>
    <t>o=YO EL REI. = Por S. M. el Para el de Talamanca , vacante por muerte de ministro secretario de Estado=:Firmado = Mariano D. Estiban María Roqueái, i D. Marcelino Pe­ Luis de Urquijo.” Tillo.... ¿Que el Rei las manos osadas tadamente de los recursos del arte, ha representado con Ponga en tan nobles vasallos ? magestad y noble…</t>
  </si>
  <si>
    <t>de Ürquijo, Mariano Luis</t>
  </si>
  <si>
    <t>Mariano Luis de Ürquijo</t>
  </si>
  <si>
    <t>206</t>
  </si>
  <si>
    <t>a provincia. — Dios guarde la apreciable vida de Y. E. muchos años. — Excmo. Se­ ñor. — El corregidor de Ciudad-Real, Antonio de Porras, — Excmo. Sr. D. Mariano Luis de Ürquijo.” wm i i» Éii&gt;Ni««lM.Wi -in Nota de los efectos que han conducido los navios de guerra espeñoles ■procedentes de Vcracru% y la Habana, el Algeciras de…</t>
  </si>
  <si>
    <t>de Urquijo, Mariano Luis</t>
  </si>
  <si>
    <t>Mariano Luis de Urquijo</t>
  </si>
  <si>
    <t>............... 2731 4 D&lt; ña joaquina Larrea............................ 4202. - V D. Tomas de Arsú.................................... 7 1 1 27 1122 D Mariano Luis de Urquijo................. 4602 ó D. J usef Ignacio de Mendia , por su D. jo'-ef Gr oolci...................... ............. 99860 9 apoderado D. Lorenzo de Pal…</t>
  </si>
  <si>
    <t>de Urra, Getrudis González</t>
  </si>
  <si>
    <t>Getrudis González de Urra</t>
  </si>
  <si>
    <t>485</t>
  </si>
  <si>
    <t>lla, rr Francisco García Fuer* tófi'rr Ejccmo. Sr. D. Francisco Venegas. (Se continuará.) -------- UJtKliü ------Doña Juana Ltfuñez de Villavicencio, Doña Getrudis González de Urra, Doña María Gregoria de Aranda y Buenrostro y Doña María Dominga de los Reyes , naturales de ia Habana , han acudido al Consejo suprema de Regenci…</t>
  </si>
  <si>
    <t>de Urrea, Luis</t>
  </si>
  <si>
    <t>Luis de Urrea</t>
  </si>
  <si>
    <t>170. Los vecinos é indios de Tuvac , 34 y 1 real. Los de Bacoachi , 6. y 2 rs. Los de B avispe , 4!) v 11 rs. Los de Buenavisla, 36 y *5 rs.—Eucurpe. D. Luis de Urrea, 25. D. 1 Romo, 25. Varios individuos , 48 y 2 rs. B. José Flores, 21. D. Antonio Posé , 30. Varios individuos, 23. — S. Antonio de la Huerta. I). José Tomas de…</t>
  </si>
  <si>
    <t>de Urrochi, Dionisia</t>
  </si>
  <si>
    <t>Dionisia de Urrochi</t>
  </si>
  <si>
    <t>Concha. 7503-14 D. Cayetano Luis Maeso...l.9000 Boulade y Casadavant.......................... ' 3OO78 ' D. Santiago Fautrier......‘iU.'.v../.. 4707. Doña Dionisia de Urrochi.. ■21600 D. Josef Joaquin, Doña María--Jé- - - : L D. Angel de Urruchi............................. •234OO sus y Doña María Teresa de Zapiairt " ■ ■ ' •…</t>
  </si>
  <si>
    <t>de Urruchi, Angel</t>
  </si>
  <si>
    <t>Angel de Urruchi</t>
  </si>
  <si>
    <t>.................. ' 3OO78 ' D. Santiago Fautrier......‘iU.'.v../.. 4707. Doña Dionisia de Urrochi.. ■21600 D. Josef Joaquin, Doña María--Jé- - - : L D. Angel de Urruchi............................. •234OO sus y Doña María Teresa de Zapiairt " ■ ■ ' • D. Isidro.Agustín de Herrera........ . 26820 y Larregarro.;.......... .....…</t>
  </si>
  <si>
    <t>de Urrutia, María Francisca</t>
  </si>
  <si>
    <t>María Francisca de Urrutia</t>
  </si>
  <si>
    <t>lio Cnndaacan , 400 , y anualmente 100. D. José de Rosas , vecino de Za-' cau cas , 100. Doña María Francisca de Urrutia, vecina de Cunduacau, 140. lid vecindario de las cjuatro villas del marquesado del Valle, 1650 y 1 real. D. Ignacio García Saenz , capitán del regimiento provincial dé Toluca , 1000 pesos v</t>
  </si>
  <si>
    <t>de Urtzar, Santiago</t>
  </si>
  <si>
    <t>Santiago de Urtzar</t>
  </si>
  <si>
    <t>D. Pedro Cellini y compañía.............— 44000 . Juan Josef de Matute...................... 42415..11 D. Miguel Sancho Larrea...................... D. Santiago de Urtzar............................ García y Villanue-va, y en su nombre sus apoderados Pinillos y Pcrez....... . 35739 „ 1434913808.. 8} g . Francisco de las Barre…</t>
  </si>
  <si>
    <t>de Usategui, Juan Manuel</t>
  </si>
  <si>
    <t>Juan Manuel de Usategui</t>
  </si>
  <si>
    <t>............................................... 44000 D. Ventura Gómez de laTorre....... 21600 D. Ildefonso Polo, id........................... 44000 D. Juan Manuel de Usategui.............. 10543 17 D. Marcos Ponce de León , ex agoni­ D. Josef de Cadano............................... 4000 zante............ ..................…</t>
  </si>
  <si>
    <t>de Utrilla, Fernando</t>
  </si>
  <si>
    <t>Fernando de Utrilla</t>
  </si>
  <si>
    <t>cular y permanente de so estimación, le ha teniente del regimiento núm. 3.* de cazadores á regalado una caxa magnífica adornada con su re­ caballo: 4 D. Fernando de Utrilla capitán de is retrato, y guarnecida de diamantes. compañía de cazadores de montaña de infantería Jamas podremos olvidar una expresión que ca­ de la ciudad…</t>
  </si>
  <si>
    <t>de Uvizar, Santiago Antonio</t>
  </si>
  <si>
    <t>Santiago Antonio de Uvizar</t>
  </si>
  <si>
    <t>..... 4549 35L D. Francisco Perez.Rico....... . . 11503 28: Doña Rita Durango y Orluzar...... 5205 jol Doña-María del Carmen Herran...^.. . u 207 ai. D. Santiago Antonio de Uvizar-....... 14974* *7’ D- Jdsef García Abeíla. .&gt;.^*^ ^‘162042 6 D. Patricio Joyes é hijos, D. Frutos D. Manuel del.Burgo..............., -26155 23de A…</t>
  </si>
  <si>
    <t>de UzafCguiv, Juan Alanuel</t>
  </si>
  <si>
    <t>Juan Alanuel de UzafCguiv</t>
  </si>
  <si>
    <t>' D. Juan Soto.......... 550 Deña María de Loreto Hurtado de D. Antonio de Castilla.5054 Mendoza..................................‘......... 43811 26 D. Juan Alanuel de UzafCguiv......1595 3 D.a María Ignacia de Romaté y Villegas. 96900 La marquesa de Branchiforte.v...i..;L 35063 8 D. Epifanio Rafael Cu riel Pérez....... 1800…</t>
  </si>
  <si>
    <t>de Valcnzuela, Juan Marín</t>
  </si>
  <si>
    <t>Juan Marín de Valcnzuela</t>
  </si>
  <si>
    <t>Puerto de Sta. María , compuesta de rigieron i la casa en que estaban , la rodearon , y D. Josef Chacano, regidor perpetuo. aprehendieron á los dos. D. Juan Marín de Valcnzuela, ídem, ambos De este modo han sido presos quatro de los por ia municipalidad. •eis bergantes, y conducidos á la cárcel de Sasa­ La de Morm, que se com…</t>
  </si>
  <si>
    <t>de Valdegrodas, Manuel Luciano Para el</t>
  </si>
  <si>
    <t>Manuel Luciano Para el de Valdegrodas</t>
  </si>
  <si>
    <t>e Fuente el Saz. D. Vicente Boruel y Via , á D. Casimiro García, Para el de Fuente novilla , vacante por muerte presbítero. de D. Gregorio Narchao, á D. Manuel Luciano Para el de Valdegrodas, vacante por ascenso Martinez de Pioillos, cura de Malaguilla. de D. Juan Francisco Gómez al de Cadalso, á Para el de Azutan, vacante po…</t>
  </si>
  <si>
    <t>de Varanda, Vicente Sainz</t>
  </si>
  <si>
    <t>Vicente Sainz de Varanda</t>
  </si>
  <si>
    <t>366</t>
  </si>
  <si>
    <t>s reales que por los correos de iS y *6 d' enero último se dirigieron á Sevilla desde la Alcarria y por la caxa de Taraacón con endosos á D; Felipe y D. Vicente Sainz de Varanda ; y son los siguientes: creación de i.v de mayo de 1808, uno de 600 pesos con ei número 384,172: dos de 300 pesos con los números 435,247 y„43$&gt;935* …</t>
  </si>
  <si>
    <t>de Vargas, Carlos</t>
  </si>
  <si>
    <t>Carlos de Vargas</t>
  </si>
  <si>
    <t>itanes del batallón de voluntarios Catalanes ; grados y agregaciones de subtenientes en los de voluntarios de Car mona, y de Canarias , a los cadetes D. Carlos de Vargas, y D. Juan de Torrius; y agregación ¿e teniente coronel en el regimiento de in­ fantería 2.° de Sevilla, á D. Pedro Angulo. Asimismo se ha dignado conceder g…</t>
  </si>
  <si>
    <t>de Várgas, Cayetano</t>
  </si>
  <si>
    <t>Cayetano de Várgas</t>
  </si>
  <si>
    <t>rmadi.= YO EL REl. = Por S. ,M. su ministro ce, D. Antonio Rniz, D. Antonio Meneses, Don secretario de Estado Mariano Luis de Urquijo.” Jotef Cepeda, D. Cayetano de Várgas, D. Josef Extracto de las minutas de la secretaría de Estado. Vrquiaga y D. Antonio Aguilera. En Itálica á 8 de febrero de 1810. Ayudantes. Don Josef Napol…</t>
  </si>
  <si>
    <t>de Vargas, Grwimiro</t>
  </si>
  <si>
    <t>Grwimiro de Vargas</t>
  </si>
  <si>
    <t>rcer batallón. Pata ayudante primero él conde de Cancelada» para segundo D. Juan Manuel Montero» y para abanderado O, Francisco Antonio de las Rivas. D. Grwimiro de Vargas.......... D. Angel del Monée y Puente* j »' B. EsitfbanTomé.,.......... D. Francisco Xarin Ámestol. "2</t>
  </si>
  <si>
    <t>de Vargas, Juan</t>
  </si>
  <si>
    <t>Juan de Vargas</t>
  </si>
  <si>
    <t>osé María de Casasola, D. Ra­ món de Melgarejo, D. José de las Cuevas, D. Ramón de Zuluaga, D. José María de Vergara , D. Francisco Xavier Villarino, D. Juan de Vargas, D. Bernabé Sánchez, y D. Antonio Fació. En el batallón de infantería de gastadores de Aragón, la comandancia al teniente coronel D. Juan Sánchez Cisneros; la …</t>
  </si>
  <si>
    <t>ra una canongia de la santa iglesia de f asta el extremo coa la impunidad 6 dilación en él castigo, y para cuya cesación no día bastado la Córdoba: á D. Juan de Vargas, inquisidor que fue de e,&lt;ta ciudad, y canónigo de Zamora, pa­ indulgencia de nuestro decreto de amnistía general; ra otra canongía de la mismj catedral de Cór…</t>
  </si>
  <si>
    <t>l apos­ tadero de marina de Afontevideo. Deposito en Áfimtevideo y otros destinos. D. Juan Angel de Michelena, capitán de navio, 150. Id. de fragata, D. Juan de Vargas, 100 Id. D. Juan Posadas , 100. Id. D. José Laguna , 100. Id. D/Fernando de Soria Santacruz, 110. D. Diego Ponce de León, teniente de navio, 20.—Alféreces de n…</t>
  </si>
  <si>
    <t>de Vargas, Sebastian</t>
  </si>
  <si>
    <t>Sebastian de Vargas</t>
  </si>
  <si>
    <t>slada, oficial primero. vinciales. D. Francisco de la Oliva , ídem a. D. Rafael Díaz de Casso, abogado fiscal. D. Agustín Martínez de Alcalá, idem 3. D. Sebastian de Vargas , agente de renta*. D. Casimiro de la Paz Acosta, agregado coa D. Francisco Molina, escribano de millones. sueldo. D. Francisco de Cárdenas, idem de alcab…</t>
  </si>
  <si>
    <t>de Vaughan, Felisa Dómine</t>
  </si>
  <si>
    <t>Felisa Dómine de Vaughan</t>
  </si>
  <si>
    <t>. Fi.tzgerald, 1®. La señora Doña María Glass, $00. El señor D. Manuel Víale, vecino de Gibraltar , 20. El señor D. Gideon Cranstovvn, ie). La señora Doña Felisa Dómine de Vaughan, 500. Por una apuesta ganada á D. Federico Grellet por D. Guillermo Beeston, 1600. El señor D. Tomas Knox, 30. El señor D. Juan Stanhope, 3®. El se…</t>
  </si>
  <si>
    <t>de Vcntade, Domingo</t>
  </si>
  <si>
    <t>Domingo de Vcntade</t>
  </si>
  <si>
    <t>z.......................................... D. Pedro Scheropp................................ 631 D, Antonio Zazo.................................... D. Domingo de Vcntade', como apo­ D. Hipólito Serrano............................... 37672 22 derado de D. Francisco Elexaga ... 1985 J7 Doña María del Rosario Reinoso....... 23…</t>
  </si>
  <si>
    <t>de Vega, Lepe</t>
  </si>
  <si>
    <t>Lepe de Vega</t>
  </si>
  <si>
    <t>Zubia , 20. D. Justo Madariaga, 20. D. Francisco J íuregui por 3a casa de D. Francisco Eíguea , 30. D. Juan Eíguezabal, 50. £). José Perez Ruiz, 22. D. Lepe de Vega, 20. D. Miguel de la Huerta, 20. Doña Plácida Mingura, 12. D. Juan José Atenas, 50. D. Santiago Abren, 30. D. Juan Capistrano Zubia ,8. D. José María Porras ,8. D…</t>
  </si>
  <si>
    <t>de Vega, María</t>
  </si>
  <si>
    <t>María de Vega</t>
  </si>
  <si>
    <t>Conde de Maulé D. Nicolás de la Cruz, 1000. Marquesa de Bclgida, 408. Paul Larriera y compañía , 1500. Don Juan de Vega , 60 D. Ignacio Victoria, 20. Doña María de Vega, 2oDoña María Salas, 60. Conde de Talara, 6co Dones y Canadell, icoo. D. Manuel Jesús Fernandez , 300. D. Francisco Díaz , 2CQ. D. Benito de la Plaza, 160. D.…</t>
  </si>
  <si>
    <t>de Vega, Rafael Diez</t>
  </si>
  <si>
    <t>Rafael Diez de Vega</t>
  </si>
  <si>
    <t>Anselmo Marchal................ 39242 10 D. Sebastian Esclarmonda................... 536 D. Josef Pelaez....................................... 9876 D. Rafael Diez de Vega.................... . 1127 1 D. josef Rodríguez................................ 3812 Doña Francisca Xaviera Yoldi............ 3905 30 El abad y cabildo del…</t>
  </si>
  <si>
    <t>de Velasco, Josef Muñoz</t>
  </si>
  <si>
    <t>Josef Muñoz de Velasco</t>
  </si>
  <si>
    <t>i S. M.; y habiéndole pregunta­ saber: el corregidor D. Manuel Becerril Valero, y do qué quería» exclamó; Señor, que se nos dé de los veinteiquatros D. Josef Muñoz de Velasco, trabajar, porque hace mucho tiempo que estatfiot teniente corencl retirado, y caballero del hábito sin Reiy sin gobierno. úc Caiarrava ; D. Rodrigo Fer…</t>
  </si>
  <si>
    <t>de Ver-a, Marco Josef</t>
  </si>
  <si>
    <t>Marco Josef de Ver-a</t>
  </si>
  <si>
    <t>&lt; D. Marco* Josef de Ver-a. ro dominio * en &gt;írfod de' la qué el enfitéota reci­ i 3L&gt;. Blas de Fiúa y Llano. be y-posee.bíerjés raíces* b«xo aterra pensión que Tenientes. debe pagar cada año al qne se llanta dueño d</t>
  </si>
  <si>
    <t>de Vera, Juan</t>
  </si>
  <si>
    <t>Juan de Vera</t>
  </si>
  <si>
    <t>regidor. . ¿Te reserva. A Burdeos han llegado muchos bata­ D. Luis de Alanis, regidor. llones de fusileros de la guardia imperial. r Jurados. ESPAÑA. D. Juan de Vera, ............... D. Cristóbal Camacho. Sevilla j de febrero. D/Juan Guisado. 1 En la gazeta de hoi se han publicado los artí­ D. Salvador Gómez. culos siguientes…</t>
  </si>
  <si>
    <t>0plazas. Compañía de Valdentorillo de d:j¡ 0 plazas. ■ j- ’ • ■” ■ ■ ; ‘ Capitqn, D. Tadeo Salcedo. Capitán, D. Rífzei El»ira Duraa. • . , Teniente , D. Juan de Vera. Teniente,ID. FéiiZf Láis. .1 . Subteniente,’D, Lili*.* Ventora Moralfcí..... . Subteniente y D. josef Corrali ; turaí? i.Que itn»¡tnugér desesperada y resucita!…</t>
  </si>
  <si>
    <t>de Vergara, José María</t>
  </si>
  <si>
    <t>José María de Vergara</t>
  </si>
  <si>
    <t>s cadetes del mismo cuer­ po , D. Juan Manuel Coghen, D. José María de Casasola, D. Ra­ món de Melgarejo, D. José de las Cuevas, D. Ramón de Zuluaga, D. José María de Vergara , D. Francisco Xavier Villarino, D. Juan de Vargas, D. Bernabé Sánchez, y D. Antonio Fació. En el batallón de infantería de gastadores de Aragón, la com…</t>
  </si>
  <si>
    <t>de VHlav, Antonio</t>
  </si>
  <si>
    <t>Antonio de VHlav</t>
  </si>
  <si>
    <t>679</t>
  </si>
  <si>
    <t>capitán de fragata D. José Layando , oficial de la secretaría de estado de marina : pa­ ra el Nuevo-reyno de Granada el capitán, de fragata graduado D Antonio de VHlav¿cencío : para Quito el teniente coronel R. Carlos IVIoutufar , y para Li­ ma D. José Cos Irriberri, nombrado oficial de la secretaria de estado de ha­ cienda. …</t>
  </si>
  <si>
    <t>de Vi, Diego Josef</t>
  </si>
  <si>
    <t>Diego Josef de Vi</t>
  </si>
  <si>
    <t>. D.' Josef Manuel López baña­ bas. D. Ramón Ríbes........... D. Antonio Tomas Dicgues. D. Francisco B mi^;„. D. Juan Antonio Medina. lo.• a • «••••» D. Diego Josef de Vi.la D. Mauricio Palla. Décimo batallón. Para ayudante primero D. Francisco de Paula Toledano, para segundo D. Juan Villa y Trigueros, y para abanderado D. Fr…</t>
  </si>
  <si>
    <t>de Vigodet, Gaspar</t>
  </si>
  <si>
    <t>Gaspar de Vigodet</t>
  </si>
  <si>
    <t>, á ios mariscales de campo D. Cárlcs de Gand y D. Antonio Samper: á mariscales de campo , á los brigadieres D. Félix Co^on, D. Antonio García Conde, D. Gaspar de Vigodet, D. Luis Laoy, y D. Francisco Co­ pón s : y á brigadieres, á ios coroneles D. Manuel Armen gol, y marques de Beliisca. _____________________________________…</t>
  </si>
  <si>
    <t>de Viíiafañe, Manuel</t>
  </si>
  <si>
    <t>Manuel de Viíiafañe</t>
  </si>
  <si>
    <t>sido elegidos para presi­ dente el Sr. D/Alonso Cañedo , diputado'por la junta superior "el prin­ cipado de'Astiyir s , y para vlce presidente el Sr. D. Manuel de Viíiafañe, diputado por el reyno de Valencia. Habiendo precedí io asimismo las Cortear generales y extraordinarias á la rmovaeion del mas antiguo de sns secretarios…</t>
  </si>
  <si>
    <t>de Viilacian, Juan Manuel</t>
  </si>
  <si>
    <t>Juan Manuel de Viilacian</t>
  </si>
  <si>
    <t>hizo un soldado de la guardia cí­ catedral de Santo Domingo de la Calzada , vacan­ vica; pusieron centinela á la casa de este y del te por muerte de D. Juan Manuel de Viilacian; y agente de Policía, y amenazaron con un balazo á i D. Gaspar de Siles y Liña®, presbítero, y cx- los vecinos que quisieron observar por dentro de gu…</t>
  </si>
  <si>
    <t>de Viilanueva, Juan</t>
  </si>
  <si>
    <t>Juan de Viilanueva</t>
  </si>
  <si>
    <t>.... 21..17 &gt; 473 ras, que linda con dicho Praderon y con Una alameda en la vega, linde Bernardo Car­ majuelo de Narciso Benito y cabecera de rasco y D. Juan de Viilanueva................... 53"1/ 1177 tierra de esta viña.................................... '........ 60.. 17 I33r Una tierra de fanega y media, que fue olivar, …</t>
  </si>
  <si>
    <t>de Villalba, Joaquín Manuel</t>
  </si>
  <si>
    <t>Joaquín Manuel de Villalba</t>
  </si>
  <si>
    <t>mas Mari. D. Policarpo Saez de Tejada Hermoso. D. Felipe Colmenares. EL marques dei Valle de la Paloma. D. Mariano Mari. D. Estéban Corones Alberola. D. Joaquín Manuel de Villalba. Tenientes. D. Juan Manuel Valenzuela. D. Francisco Flores. D. Josef Antonio Rivas. D. Ramón Fernandez. D. Manuel Duro. D. Manuel Andrés. D. Franci…</t>
  </si>
  <si>
    <t>de Villalobos, José</t>
  </si>
  <si>
    <t>José de Villalobos</t>
  </si>
  <si>
    <t>749</t>
  </si>
  <si>
    <t>puesto en movimiento el 31 de agosto, y seguía de cerca al enemigo. El mismo día. que este salió de T orca, entraron nuestras guerrillas mandadas por D. José de Villalobos , á quien se presentaron mas de 50 juramentados que se habían quedado escondidos por las casas, aprovechando esta ocasión para escapar de la violencia con …</t>
  </si>
  <si>
    <t>de Villalpando, Mitui Para el de Santiago</t>
  </si>
  <si>
    <t>Mitui Para el de Santiago de Villalpando</t>
  </si>
  <si>
    <t>anuel García Ruano, á Don Para e! carato deTrobajo del Camino, vacante S .eonardo del Barrio y Reyero, tonsurado. por muerte de D* Láziio Avecilla, a D. Mitui Para el de Santiago de Villalpando, vacante Ramos , presbítero, cora de Villaturiel y Marne. por muerte de D. Froilan Hernández , á D. Andrés Para el de Carmenes y Alma…</t>
  </si>
  <si>
    <t>de Villanueva, Joaquín</t>
  </si>
  <si>
    <t>Joaquín de Villanueva</t>
  </si>
  <si>
    <t>rvando nombrarlos en propiedad para quando se ob­ tenga la real aprobación que hoy se pide á V. M. Los nombrados fue­ ron los siguientes. Presidente: D. Joaquín de Villanueva, quien dio todas las muestras de verdadero español y buen patriota, ofreciéndose gustoso á asistir á las juntas que se celebren. Tesorero: D. Duncano Sh…</t>
  </si>
  <si>
    <t>rmosa , 400. El limo. Sr. obispo de Arequipa Don Pedro José Chaves de la Rosa , como albacea testamentario de la Sra. Do­ ña Ana Muiñosj 9419. El Sr. D. Joaquín de Villanueva, 10Ó0. Los Sres. Don José Diez Catalan y Doña Iries Lomera, 400. El Sr. D.F. M. H., vecino de Ma­ drid , 750. ( Las contribuciones siguientes son anuale…</t>
  </si>
  <si>
    <t>de Villaufrutia, Jocobo</t>
  </si>
  <si>
    <t>Jocobo de Villaufrutia</t>
  </si>
  <si>
    <t>Cerro, 500. El licenciado D. José Antonio del Cristo y Conde, 500. D. Ignacio de Ubieta, 500. El contador de la aduana D. Agustín Pérez Quijano, 300. D. Jocobo dé Villaufrutia, 300. D. Francisco Roblado, 300. Los dependientes subalternos de las oficinas de la administración general déla aduana y el resguardo , 676 ylf rs. El …</t>
  </si>
  <si>
    <t>de Villavicencio, Juana Ltfuñez</t>
  </si>
  <si>
    <t>Juana Ltfuñez de Villavicencio</t>
  </si>
  <si>
    <t>co Ilute de Septien. rr Valentín Revilla, rr Francisco García Fuer* tófi'rr Ejccmo. Sr. D. Francisco Venegas. (Se continuará.) -------- UJtKliü ------Doña Juana Ltfuñez de Villavicencio, Doña Getrudis González de Urra, Doña María Gregoria de Aranda y Buenrostro y Doña María Dominga de los Reyes , naturales de ia Habana , han …</t>
  </si>
  <si>
    <t>de Villegas, Antonio Fernandez</t>
  </si>
  <si>
    <t>Antonio Fernandez de Villegas</t>
  </si>
  <si>
    <t>que tiene tanto en Francia como fuera de ella, cnerpo de caballería ligera de la guardia real; y han continuado esta verdad , y elrvádola á un gra- á D. Antonio Fernandez de Villegas, coronel reti­ 4o tal de certeza, que no hai en la medicina nin­ rado , y comandante de la guardia de honor de Gragún hecho -roas bien probado n…</t>
  </si>
  <si>
    <t>de Villegas, Nicolás Saiz</t>
  </si>
  <si>
    <t>Nicolás Saiz de Villegas</t>
  </si>
  <si>
    <t>s­ pués de cumplimentar á S. M. por haber hecho la to en fuga á los bandidos, tomó, de acuerdo con conquista de las Andalucías, atrayendo los pueblos D. Nicolás Saiz de Villegas, procurador sindico, al orden y á la paz, é inspirándoles amor y con­ y con otros vecinos del pueblo, las medidas nece­ fianza , dixo: que el objeto …</t>
  </si>
  <si>
    <t>de Villena, Juan Manuel</t>
  </si>
  <si>
    <t>Juan Manuel de Villena</t>
  </si>
  <si>
    <t>334</t>
  </si>
  <si>
    <t>te el sitio de Gerona, en térmicos de no poder conti­ nuar el mando, lo ha entregado al general1 mas antiguo del éxército, que es el m&amp;rkcai de campo D. Juan Manuel de Villena. Anteriormente había dirigido ei general en xefe una proclama i los catalanes, en que les decía, que no debía desmayar sit valor por la pérdida de la p…</t>
  </si>
  <si>
    <t>de Villet, Pedro Giroud</t>
  </si>
  <si>
    <t>Pedro Giroud de Villet</t>
  </si>
  <si>
    <t>obtenido certificación de los créditos que incluia, Sr. Duque del Campo de Alange# por 353576 20 deberán igualmente presentarla si no hubiesen hecho D. Pedro Giroud de Villet........ 670® Uto de ella % ó en este caso harán manifestación de D. Francisco López Moya............... 49**5 *4 la aplicación que Ja hubieren dado. Mad…</t>
  </si>
  <si>
    <t>de Villoslada, Antonio</t>
  </si>
  <si>
    <t>Antonio de Villoslada</t>
  </si>
  <si>
    <t>rino; este individuo se lia presentado hoi. Contaduría principal. D, Josef López, fiel de carnicerías. D. Antonio de Ellatt, visitador de rentas pro­ D. Antonio de Villoslada, oficial primero. vinciales. D. Francisco de la Oliva , ídem a. D. Rafael Díaz de Casso, abogado fiscal. D. Agustín Martínez de Alcalá, idem 3. D. Sebas…</t>
  </si>
  <si>
    <t>de Vitlalcnga, Lucas</t>
  </si>
  <si>
    <t>Lucas de Vitlalcnga</t>
  </si>
  <si>
    <t>y el Carlos Townt que se ha­ que- Josef Rufino: teniente en el batallen de la bían podido conservar á pesar de la violencia de maestranza de Ronda á D. Lucas de Vitlalcnga: la tormenta que la había separado de la Vénus y teniente en el regimiento de Toledo , 2de línea, del Windham. La fragata de S. M. la Beiona, su á D. Josef…</t>
  </si>
  <si>
    <t>de ViUafueite, Cipriano</t>
  </si>
  <si>
    <t>Cipriano de ViUafueite</t>
  </si>
  <si>
    <t>e todos los milita­ res enfermos; habilitando para exercer las funciones de comisario de guerra en esta paite (por no haber ya ninguno en la plaza) á D. Cipriano de ViUafueite, contralor del hospital real militar, su­ jeto de conocida actividad é inteligencia, á quien encargué se pre­ sentase en el quartel general con todos l…</t>
  </si>
  <si>
    <t>de Vivanco, Domingo Antonio</t>
  </si>
  <si>
    <t>Domingo Antonio de Vivanco</t>
  </si>
  <si>
    <t>. F. B., 100. J. S. , ico. Buch, hermanes y compañía, ¿co. Marques de Belgida , 3C0. Un apasionado de D Juap Martin por medio del lord Macduff, icoo. D Domingo Antonio de Vivanco, rísco. D. Juan Águilar, icoo. D. Miguel Mendízabal,. 400. D Salvador de Oria , 50. Duque de Medinaceli, ioco. D. José Manuel Abalia , ibo D. R. A.A…</t>
  </si>
  <si>
    <t>de Weingarten, Met Ciudad</t>
  </si>
  <si>
    <t>Met Ciudad de Weingarten</t>
  </si>
  <si>
    <t>1003</t>
  </si>
  <si>
    <t>as fronteras de Wurtemberg confinantes coa la Vien.i 4 de julio. Suiza. El Rei se ha detenido algún tiempo eo la Se está esperan ;o en esta ciudad al conde Met- Ciudad de Weingarten. ternich, el qual es mui probab e que contribuya y* apoye el cuerdo proyecto formado por el dilunto HOLANDA. conde Odonell de aplicar los bieues …</t>
  </si>
  <si>
    <t>de Wirtcmber, Pablo</t>
  </si>
  <si>
    <t>Pablo de Wirtcmber</t>
  </si>
  <si>
    <t>rias ; y , según se dice, el Empe­ dami de S'tengel. La mayor de estas P.i iccsas es rador ha resuelto pasar á dicha ciudad para el 1 5 la esposa del Príncipe Pablo de Wirtcmber de este mes. Dei 7. El conde de Schuwalon ha sido nom­ WURTEMBERG. brado embaxador de Rusia cerca de nuestra corte. Stuttgurdt 7 de enero. La mayor p…</t>
  </si>
  <si>
    <t>de Wurtem, Fernando</t>
  </si>
  <si>
    <t>Fernando de Wurtem</t>
  </si>
  <si>
    <t>ble, que ha vuelto á Francia. El señor Luis Bruyeres , pagador de la división Del 3J. westfaiiana que está en España, ha sido nombrado Se cree que el príncipe Fernando de Wurtem- secretario general del ministerio de ia Guerra. berg sucederá al príncipe Juan de Lichteustein en Un decreto del 23 de setiembre contiene las el des…</t>
  </si>
  <si>
    <t>de Wurtemberg, Adam</t>
  </si>
  <si>
    <t>Adam de Wurtemberg</t>
  </si>
  <si>
    <t>ncia el teatro, donde fue recibido con las SS. AA. el duque Luis de Wurtemberg, feld­ aclamaciones de alegría y regocijo uoiversal. El mariscal, y el príncipe Adam de Wurtemberg, director del teatro recitó un prólogo análogo á las mayor general, ñau llegado aquí de Stuttgardt. circunstancias, compuesto por el señor Carnova, K…</t>
  </si>
  <si>
    <t>de Wurtemberg, Alexandro</t>
  </si>
  <si>
    <t>Alexandro de Wurtemberg</t>
  </si>
  <si>
    <t>mui Cdrt— &lt; Petcrsburgo y de octubre. sídérable. La nuestra ha sido de poca' importancias ■ 4¿“ ,,El coronel Zwilenew se apoderó 4I 19 da S. A. R. el duque Alexandro de Wurtemberg setiembre de la fortaleza de Práowa. El enemigo' lja sido nombrado gobernador general, de la Rusia, tentá de 6’ á'7^ Hombres f pero temió Scr rodea…</t>
  </si>
  <si>
    <t>de Wurtemberg, Fernando</t>
  </si>
  <si>
    <t>Fernando de Wurtemberg</t>
  </si>
  <si>
    <t>concluido el sitio de R-udschuck. Parece que e! grueso del exército ha mar­ Viena 14 de octubre. chado á Varna, á iá que no podrá socorrer el grao El príncipe Fernando de Wurtemberg, nuevo Visir sin dar antes una batalla general. El gran comandante en gete de esta capital y de las dos Saltan no se ha presentado todavía en el …</t>
  </si>
  <si>
    <t>octubre. Según el estado militar oficial del' Anstria qae se acaba de ppbliaareriVjena ,se ha Confiado ai El enemigo ¿a intentado constantemente por príncipe Fernando de Wurtemberg el mando dei todos los medios posibles molestar la navegación Austria superior é inferior, y el de Viena; el de l^s.JsajrtxLS qu¿e Vienen de Calab…</t>
  </si>
  <si>
    <t>de Wurtemberg, Guíllelma</t>
  </si>
  <si>
    <t>Guíllelma de Wurtemberg</t>
  </si>
  <si>
    <t>otra visita á noestro Soberano en En vista de estas peticiones, y para proceder su palacio de Louisbourg. según derecho, mandamos por la presente: La duquesa Guíllelma de Wurtemberg,cuña' i.® ,,Que todos los vasatlos y súbditos nues­ da de S. M.t dio á luz anteayer con toda felicidad tros, qne eran deudores del antiguo electo…</t>
  </si>
  <si>
    <t>de Wurtemberg, Luis</t>
  </si>
  <si>
    <t>Luis de Wurtemberg</t>
  </si>
  <si>
    <t>y del cabildo de la catedral. SerUn i $ de mayo. El 13 se dignó el Emperador honrar con sn presencia el teatro, donde fue recibido con las SS. AA. el duque Luis de Wurtemberg, feld­ aclamaciones de alegría y regocijo uoiversal. El mariscal, y el príncipe Adam de Wurtemberg, director del teatro recitó un prólogo análogo á las …</t>
  </si>
  <si>
    <t>297</t>
  </si>
  <si>
    <t>enemigo, S. M. el Reí?; ha tenido por conveniente mandar lo que sigue:-./ Petersburgo r.° setiembre. ,,Ningún buque cargado, sea qual fuere el pa­ El duque Luis de Wurtemberg ha llegado á es- bellón con que se presente, sea neutral ó amigo, ta capital desde M'ttau. será en Jo sucesivo admitido en los puertos y de­ Esperamos d…</t>
  </si>
  <si>
    <t>1 . WESTFALIA. GRAN DUCADO DE VARSOVIA. . • • • A Cassel J4 de noviembre. Varsavia 8 de noviembre. Sé ha pnesro ya éo venta á beneficio del teso-; El príncipe Luis de Wurtemberg , general al ro público tira gran parte de las posesiones de los servicio de la Rusia , y el principe Adam Czarto— cofivenrós y de fas corporaciones …</t>
  </si>
  <si>
    <t>de Yarce, Rafael</t>
  </si>
  <si>
    <t>Rafael de Yarce</t>
  </si>
  <si>
    <t>illo. D. Gaspar B usá. D. Narciso B.*sia. Capitanes. D. Francisco López de Moya. Marques de Canillejas. D. Manuel Barraltes. D. Francisco Marchámalo. D. Rafael de Yarce. D. Rafael Riesco. D. Clemente Meibicl. D. Manuel Palomino Lozano. cuela del hombre sensible, donde se aprenden las ver­ tiene á la verdad defectos mui repara…</t>
  </si>
  <si>
    <t>de Yela, Andrés Díaz</t>
  </si>
  <si>
    <t>Andrés Díaz de Yela</t>
  </si>
  <si>
    <t>Otro en el Paredón, de 14 olivos, que lia- ' Otra en el mismo sitio, de p celem; y 17 da ccn D. Andrés Díaz de ■ Yela;............ 22 ■ 484 estad., que linda á oriente con" herederos Otro en el sitio del Reí, de !42 olivos, que •dé D. Josef Éénito Salcedo.............. ....... 71..17 473 linda con yermos,</t>
  </si>
  <si>
    <t>de Yol, Xaviera</t>
  </si>
  <si>
    <t>Xaviera de Yol</t>
  </si>
  <si>
    <t>ormaza.*.*.-............................ 34656 j ■¡ La colegiata de Si lldefonso............. 12631.17’Los señores Meacorta y compañía..... 19133: .i Doña Xaviera de Yol ji.16S76 2 D. Josef Justo-Salcedo.,,4783’ 8f D. Nicolás de 4os Heros............... 424T 2^4 D. Agustín RatrintiPiteir*.*13700 8| Doña'Teresa Geferiua Ramone…</t>
  </si>
  <si>
    <t>de Yoldi, Xaviera</t>
  </si>
  <si>
    <t>Xaviera de Yoldi</t>
  </si>
  <si>
    <t>D. Carlos T’S ■rcíaer............................... 6859 Doña María Leopoldina de us lleras. Doña Xa viera de O h &gt;a........................ 1S0 17 Doña Xaviera de Yoldi......................... 4CCCO Doña Xa viera de Osmj........................ 722 Doñ 1 M^ria Manuela O-liz Je Azorin. 2 64c o Doña María Concepción Echevarr…</t>
  </si>
  <si>
    <t>de Zafra, Felipe</t>
  </si>
  <si>
    <t>Felipe de Zafra</t>
  </si>
  <si>
    <t>. ellos rasgos que los desfiguran. Para la de Fiñana á D. Josef de Zafra, ex-ge- No se ve en esta obra ni el encadenamiento de rónimo » por mitad con D. Felipe de Zafra, ex­ las causas y de los efectos entre sí, ni los progre­ franciscano descalzo. sos de las costumbres y del espíritu público; y Para la de Abrucena 4 D. Anton…</t>
  </si>
  <si>
    <t>de Zafra, Josef</t>
  </si>
  <si>
    <t>Josef de Zafra</t>
  </si>
  <si>
    <t>ro Nolasco Valbuena, do tienen nada de original, y aqu se hallan ea cx-gerónimo, lector y prior. ellos rasgos que los desfiguran. Para la de Fiñana á D. Josef de Zafra, ex-ge- No se ve en esta obra ni el encadenamiento de rónimo » por mitad con D. Felipe de Zafra, ex­ las causas y de los efectos entre sí, ni los progre­ franc…</t>
  </si>
  <si>
    <t>de Zafra, Manuel de Ramos</t>
  </si>
  <si>
    <t>Manuel de Ramos de Zafra</t>
  </si>
  <si>
    <t>................................... 120000 -ña María'Teresa de Anoz........... . - 536$.. 10 ^ D. Pedro Cellini y compañía................. 30000 . ' D. Manuel de Ramos de Zafra..... tope.. 2 D. Miguel Sancho Larrea y .D. An­ D. Francisco García de Rozas........... . : 8438..II drés de Aransai,.......................... 12000…</t>
  </si>
  <si>
    <t>de Zamalloa, Pedro</t>
  </si>
  <si>
    <t>Pedro de Zamalloa</t>
  </si>
  <si>
    <t>a­ nuel de Clemente, 40. El alférez de navio D. Ramón Martínez del Cor­ ro, 60. Id. de fragata D. Jesé Zapiola , 25. Id. D Juan María Navar­ ro , 50, D. Pedro de Zamalloa, oficial quarto de la contaduría, 30. D- Bartolomé Cerda, capellán , 20. Id. D. Lorenzo Salas, 20. D. José María Cordero, segundo piloto, 50. Id. tercero j …</t>
  </si>
  <si>
    <t>de Zárate, Domingo Ortiz</t>
  </si>
  <si>
    <t>Domingo Ortiz de Zárate</t>
  </si>
  <si>
    <t>ado por D. Rafael Reinalte................. .......... 4653-»». créditos liquidados ya á . D, Francisco de las Barreras.................. 13 67.. 2 2 D. Domingo Ortiz de Zárate, por un El mismo............í................................. . 11998..24 vale de tesorería mayor...................... 308431.. 15 D. Manuel Fernand…</t>
  </si>
  <si>
    <t>de Zárate, Fernando</t>
  </si>
  <si>
    <t>Fernando de Zárate</t>
  </si>
  <si>
    <t>XOS. mitirán la entrada eu otras horas. En el del Príncipe, á las siete «Je la noche, se re­ presentará por la compañía española la comedia antiua de D. Fernando de Zárate en tres actos titulada la f'resumida y- la Hermosa , f el fin de fiesta titulado el En, la extracción de la real lotería celebrada en Duelo y el Baile á un…</t>
  </si>
  <si>
    <t>íncipe, i las sirte de la noche, se re­ -esta agua se manifiesta en sn estado líquido, siem­ presentará por la compañía española la comedia antiua de D. Fernando de Zárate en tres actos titulada la pre que-el aire se pone eo contacto con algún cuer­ po en cierto grado inferior. f resumida y la Hermosa, y el fin de fiesta titu…</t>
  </si>
  <si>
    <t>de Zea, Antonio</t>
  </si>
  <si>
    <t>Antonio de Zea</t>
  </si>
  <si>
    <t>ailon retirado D. Joaquín Temor. á D. Juan Monsaiveya D. Josef Lachambre ; ayu­ art. 111 Nuestro ministro de Guerra queda dantes a D. Domingo Rigal y D. Antonio de Zea, encargado de la exccucion de este decreto. =Fir • y abanderados á D. Antonio de León y D. £ugemado = YO EL REI. a Por S. M. su ministro se­ oio Agacino. creta…</t>
  </si>
  <si>
    <t>de Zelayeta, Fermín</t>
  </si>
  <si>
    <t>Fermín de Zelayeta</t>
  </si>
  <si>
    <t>z....................... 207200 D. Mariano Alonso................................. 21 M D. Blas Martínez.................................... 44095 30 D. Fermín de Zelayeta......................... 1689 *4‘ El monte pió de reales oficinas............ 909518 13 Doña María Luisa Maturana.............. 56985 20 D. Rafael Fernande…</t>
  </si>
  <si>
    <t>de Zerralde, Mjgnel</t>
  </si>
  <si>
    <t>Mjgnel de Zerralde</t>
  </si>
  <si>
    <t>....................................... Sexto batallón. Para ayudante primero D. Francisca Zegers, para segando D. Angel Groadoaa , y para abanderado D. Mjgnel de Zerralde. i*. D. Mannel Zavala................. D. Cándido Palacios. a.*. D. Félix lzaguirre.................. D. Gerónimo Sobrado. D. Mannel Gonzalo del Rio. D. Ga…</t>
  </si>
  <si>
    <t>de Zinzendorff, Próspero</t>
  </si>
  <si>
    <t>Próspero de Zinzendorff</t>
  </si>
  <si>
    <t>s caballeros y la primera ante­ 1 &gt;do de las pnertecillas. Delante de la carroza ibari cámara. los volantes y lacayos suyos con librea de gala , y EJ príncipe Próspero de Zinzendorff, nombra­ á los estribos dos lacayos del Emperador con librea do comisario para la audiencia , recibió en U esca­ también de gala: detras iban tr…</t>
  </si>
  <si>
    <t>de Zubiaga, Pedro María</t>
  </si>
  <si>
    <t>Pedro María de Zubiaga</t>
  </si>
  <si>
    <t>batallones de milicia cí­ vica de esta capital los individuos siguientes: Primer batallón. Para ayudante primero D." Francisco Beroabcu» para segundo D. Pedro María de Zubiaga» 7 para abanderado D. Severo Guercta. TcDlefltts. Subtenicatsa. Compañías. espiraos». ______ —ro————■ »'■ D. Vicente Morelli D. Fermín Marquioa, D. Pró…</t>
  </si>
  <si>
    <t>de Zubiaga, Pedro Marta</t>
  </si>
  <si>
    <t>Pedro Marta de Zubiaga</t>
  </si>
  <si>
    <t>r D. Santiago Antonio de Urizar........... 19*794 9 9 sí, y como tutora y curadora de su D. Francisco de la Canal...................... 18036 20 hijo D Pedro Marta de Zubiaga.... w ei 0 0 0 0 0 D. Josef y Lorenzo Mercado............... 13507 D. Nicolás Alomo de Tejada............... D. Pedro «tibio............................…</t>
  </si>
  <si>
    <t>de Zuloaga, Ramón</t>
  </si>
  <si>
    <t>Ramón de Zuloaga</t>
  </si>
  <si>
    <t>l Lacy, D. Ven­ tura Escario, D. Juan Nepomuceno Heredia , y D. José María dé Mena ; y empleos de alféreces de granaderos, á D. José Antonio Fació, y D. Ramón de Zuloaga ; y de cazadores , á D. José Ma­ ría Casasoia. En el reg' miento de infante'.--! i de Aragón se ha servido con­ ceder compañías á D. Feíix Mijares, y D. José…</t>
  </si>
  <si>
    <t>de Zuloaua, Juan</t>
  </si>
  <si>
    <t>Juan de Zuloaua</t>
  </si>
  <si>
    <t>podrán servir du­ de la ante iglesia de Ceanuri, en Vizcaya, de estado rante la presente guerra contra la Francia ni sus soltero , é hijo legítimo de D. Juan de Zuloaua y Do. aliados. ña María Gabon de Axpe, ya difuntos, vecinos que art. 11. Los oficiales de todas armas y los sol­ fueron de dicha ante-iglesia, que murió intes…</t>
  </si>
  <si>
    <t>de Zuluaga, Ramón</t>
  </si>
  <si>
    <t>Ramón de Zuluaga</t>
  </si>
  <si>
    <t>dias Españolas , á los cadetes del mismo cuer­ po , D. Juan Manuel Coghen, D. José María de Casasola, D. Ra­ món de Melgarejo, D. José de las Cuevas, D. Ramón de Zuluaga, D. José María de Vergara , D. Francisco Xavier Villarino, D. Juan de Vargas, D. Bernabé Sánchez, y D. Antonio Fació. En el batallón de infantería de gastado…</t>
  </si>
  <si>
    <t>Debo</t>
  </si>
  <si>
    <t>s tropas del apre­ cio y consideración de toda la nación. — Dios guarde á V, E. muchos años, Tarragona 19 de setiembre de 1810. — Enriqu O-Donell. P. D. Debo manifestar igualmente á V. E. la atención y cuidado que he merecido no tan solo del capitán Fanc de la fragata de S. M. B. la Cambrian en los dias de navegación que he e…</t>
  </si>
  <si>
    <t>Decaen</t>
  </si>
  <si>
    <t>o las ha recibido directamente.— Acepte V. E., señor embaxador, las seguridades de mi alta consideración.— Firmado — Champagny, duque de Cadore.” Del general Decaen al coniandante español de Filipinas. “El gobernador y capitán general de los establecimientos franceses al E. del cabo de Buena-Esperanza, á S. E. el go­ bernador…</t>
  </si>
  <si>
    <t>Decrés</t>
  </si>
  <si>
    <t>alibres , de trenes y de moniciones ra disponer los alojamientos de la corte. También de artillería, de bombas, balas de cañón , grana­ llegó ayer el conde Decrés, ministro de Marina y das &amp;c. j todo hecho de azúcar, y perfectamente de las Colonias. Imitado. Por la noche hubo en una de las principa­ Parece qne no queda duda d…</t>
  </si>
  <si>
    <t>Defermont</t>
  </si>
  <si>
    <t>stim'óriitvdel axnór que les tenemos.” vía mayor felicidad el disfrutar de esta gloría al lado de una joven princesa , cuyas virtudes se han El señor conde Defermont dirigió á SS. MM. adelantado á la edad , y que por .el sentimiento que: en nombre del cónsejo de Estado el siguiente su ausencia lia causado en el lugar de su na…</t>
  </si>
  <si>
    <t>Dejeañ</t>
  </si>
  <si>
    <t>Gaceta de Madrid n.º 33</t>
  </si>
  <si>
    <t>s al pabelloq americano. - Valladolid %j de enero. 'i.; v/ ;• r % x ' . Se cree rechazar la evidencia de esta autoriza­ . Habiendo, recibido órden el coronel Dejeañ de ción por una retractación; pero el Sr. Erskiqe mea pasar á destruir las bbrat del enemigo en Aicañirecia ser juzgado si hubiese obrado sin esta’ autori-r ces, …</t>
  </si>
  <si>
    <t>del A, Juan da</t>
  </si>
  <si>
    <t>Juan da del A</t>
  </si>
  <si>
    <t>que formará nn jar y Sánchez , abanderado del regimiento de Gra­ departamento , y qne se denominará departamento nada , j.°de infantería de linca: á D. Juan Da • del A.dige superior. loureg, capitán de caballería de línea; y á Don Juan Rancourt, comandante de esquadroa en la * IMPERIO FRANCES. caballería de línea. Stras burgo…</t>
  </si>
  <si>
    <t>del Agua, Felipe Sanz</t>
  </si>
  <si>
    <t>Felipe Sanz del Agua</t>
  </si>
  <si>
    <t>sido tan maltratados, que ración de la de Segovia, vacante por fallecimienta se hao necesitado 18 embarcaciones para llevarlos de D. Estiban Duran :á D. Felipe Sanz del Agua­ sal, presbítero, para otra media-ración de la de i remolque. Hemos perdido una barca napolitana que se Valladr/id, vacante por muerte de D. Blas Guer­ a…</t>
  </si>
  <si>
    <t>del Aguila, Francisco</t>
  </si>
  <si>
    <t>Francisco del Aguila</t>
  </si>
  <si>
    <t>la Opinión pública no habia sido engañada por al­ capitán al teniente que fue de Carabineros reales guna ilusión de aquellas que el tiempo desvanece, D. Francisco del Aguila: en el cuerpo de Inváli­ ó ver si la severa aplicación de los principios del dos hábiles de ia plaza de Madrid á capitán prime­ arte y del buen gusto hal…</t>
  </si>
  <si>
    <t>del Alamo, Josef</t>
  </si>
  <si>
    <t>Josef del Alamo</t>
  </si>
  <si>
    <t>sef María Cuellar, alcalde máyot del tribunal criminal de Málaga , ID. Josef Atade Montslla. nasio del Castillo, alcalde mayor de La- Guardias 4.°- A D. Josef del Alamo, abogado del colegio para la alcaldía mayor de L-erena,‘vacante por as­ de Granada. censo de D Fernando Camborda á juez del tribu­ Y á D. Juan María Amorin, a…</t>
  </si>
  <si>
    <t>del Burgo, Manuel Femando Ruiz</t>
  </si>
  <si>
    <t>Manuel Femando Ruiz del Burgo</t>
  </si>
  <si>
    <t>D. yuan J&amp;artin el Empecinado, desde 6 de setiembre hasta iR de octubre por los señores: Don Diego DuíF, 200Ó reales vn. Lord vizconde Macduff, 5000. D. Manuel Femando Ruiz del Burgo, 500. Oficiales de la primera se­ cretaría de estado, 7000. Archivero de la misma y sus oRciales, noo. D. Antonio Capmany, ico. D. Luis Fernande…</t>
  </si>
  <si>
    <t>del Busto, Juan</t>
  </si>
  <si>
    <t>Juan del Busto</t>
  </si>
  <si>
    <t>S 31 DE AGOSTO DE 1810. CADIZ 31 DE AGOSTO. El Consejo supremo de Regencia ha recibido por la corbeta Descubierta, mandada por el teniente de i navio D. Juan del Busto , y pr oce dente de Monte­ video en 83 dias de navegación , la carta siguiente que le dirige el cabildo y ayuntamiento de aquella ■ i f ■ ciudad: : Señor. — La…</t>
  </si>
  <si>
    <t>del Ca, Nicolás</t>
  </si>
  <si>
    <t>Nicolás del Ca</t>
  </si>
  <si>
    <t>A El. SUPLEMENTO DE LA GAZETA DE M LIO DE O • rrcductos Valores rejon t frente á la Espartosílla, que ÍIWTO. in rs. vu. en rs. vii. linda con otra de D. Nicolás del Ca­ nal , de 1174 estadales..»............... . - *3***7 apij .con otra de herederos de Francisco Otra anas adentro de dicho camino, Oro reo y vina que llaman de …</t>
  </si>
  <si>
    <t>del Cam, José María Fernandez</t>
  </si>
  <si>
    <t>José María Fernandez del Cam</t>
  </si>
  <si>
    <t>1). Miguel de Arizmendi , 1000. D. José Gregorio de Calera , 100. D. Bartolomé Caballero , 25. D. Santiago Sastre, 50 pesos y otros tantos cada ano. D. José María Fernandez del Cam­ po , cura de Huastuco , y varios de sus feligreses , 37*1 pesos y 5 rs. Va­ rios vecinos de los pueblos y haciendas de ia jurisdicción de Acapulc…</t>
  </si>
  <si>
    <t>del Campo, Fernando</t>
  </si>
  <si>
    <t>Fernando del Campo</t>
  </si>
  <si>
    <t>a.................. ........... 9**37 8f D. Francisco García de Rozas............ 56000 D. Josef Lidon....................................... 45 1 8f D. Fernando del Campo....................... 51957 22 D. Luis de Elexaga................................. 3700 81 D. Joaquin Peral................................... 73220 D. Jo…</t>
  </si>
  <si>
    <t>del Campo, Francisco García</t>
  </si>
  <si>
    <t>Francisco García del Campo</t>
  </si>
  <si>
    <t>uz del Negro, de 3 fan, y Otra en las Zorreras ó falda de Torete, 4 celem., que linda á oriente con vi­ de r 1 fin. y 7Cétem. , linde á ponien­ ña de D. Francisco García del Campo. 5° 1100 te con monjas de Sta. Ursula................ 394*'7 8679 Otra de 10 fin. , que antes fue viña , al Otra, camino de las Arcas de la fuente …</t>
  </si>
  <si>
    <t>del Campo, José de Torres y</t>
  </si>
  <si>
    <t>José de Torres y del Campo</t>
  </si>
  <si>
    <t>405</t>
  </si>
  <si>
    <t>e Tehuantepec , en la provincia de Oaxaca , 1220. IX José Ro­ mualdo Cancinez de Gante , sargento distinguido , 10, y otra tanta canti­ dad cada año. D. José de Torres y del Campo, capitán retirado de na­ vio , 100. Las repúblicas de naturales del'partido de Huamelula , en la intendencia dé Oaxaca , 113 y un real. El vecindar…</t>
  </si>
  <si>
    <t>del Campo, Pedro Simón</t>
  </si>
  <si>
    <t>Pedro Simón del Campo</t>
  </si>
  <si>
    <t>, y ademas ^ pesos en efectivo. D. Francisco Velasco , oficial i.° de la secretaría de ía comandan­ cia general, 25. D. Mariano Hinojos, tercero, 25. D. Pedro Simón del Campo, quarto, 50. D. Joaquín Palou , archivero, 15. D. Francisco Garavilla , escribiente, 10. D. Julián Zubia, idem, 10. El auditor de guerra D. Mariano Herr…</t>
  </si>
  <si>
    <t>del Campo, Santiago</t>
  </si>
  <si>
    <t>Santiago del Campo</t>
  </si>
  <si>
    <t>o sabíamos aquí si V. S. y mi ama vi­ ,,D. Sebastian Rodríguez Feixoo, vecino de la vían ó morían. Ya me habían dicho por seguro que villa de Mora, y D. Santiago del Campo, presbí­ le habian quitado á V. S. todo lo que tenia en su tero francés , residente en la misma villa, fueron casa; que se lo habian llevado á Francia, y q…</t>
  </si>
  <si>
    <t>del Canto, Mariano Fernandez</t>
  </si>
  <si>
    <t>Mariano Fernandez del Canto</t>
  </si>
  <si>
    <t>30*5 fempaifeo ^ Capttaaat. «ratona*. Subtaaltittas. ' D. Antonio Leiral... D. Valdoméro Gallego, D. Gerónimo Wolls. D. Tomas Campillo, D. Mariano Fernandez del Canto; D. Narciso Batía..... D. Matías de Mor y Ríos.... D. Josef Villanas; D. Rafael Yarce..... D. Estéban Moreno..... ......... I&gt;. Manuel López. D. Güilísimo Gonzá…</t>
  </si>
  <si>
    <t>del Carmen, María Dolores y Doña María</t>
  </si>
  <si>
    <t>María Dolores y Doña María del Carmen</t>
  </si>
  <si>
    <t>-fa M lUenis de Basabru. tas á estos diversos empleos. Otros á quienes su Los condes de Hornachuelos. edad avanzada hace casi extraños del mundo, po­ Doña María Dolores y Doña María del Carmen drán obtener el permiso de acabar tranquilamente Hoces , sos hijas. sus días en las casas nacionales que se designarán. La condesa de …</t>
  </si>
  <si>
    <t>del Castañar, García</t>
  </si>
  <si>
    <t>García del Castañar</t>
  </si>
  <si>
    <t>es quanto puede de­ nor Comparación entre las antiguas comedias y las dis­ cirse. paratadas.composiciones nuevas, que, como llevo di­ Pero volvamos á D. García del Castañar, y no le cho, se representaban hace pocos años en nuestros co­ enfademos con digresiones que no le importan. Él hom­ liseos. En aquellas al menos se encue…</t>
  </si>
  <si>
    <t>del Casti, Gregorio</t>
  </si>
  <si>
    <t>Gregorio del Casti</t>
  </si>
  <si>
    <t>...................... 1643232 D. Rafael Tenorio.................................. 2580 30 D. Leonardo Gulli-,............................... 2220 24 D. Gregorio del Casti.lo....................... 2554 16 Doña Antonia Alv..rcz........................... 46529 4 D. [osef Ruiz........................................ 7 *3 24 D.…</t>
  </si>
  <si>
    <t>del Castillo, Diego</t>
  </si>
  <si>
    <t>Diego del Castillo</t>
  </si>
  <si>
    <t>partidas D. José Villalobos, después de haber escaramuzado can 300 caballos enemigos que se dirigían á Velez el Ru­ bio el cliá SO de junio, envió al sargento Diego del Castillo k que hiciese Un reconocimiento con 6 hombres de á caballo, los quales se encontraron con una partida de franceses, y les mataron 3 hombres, cogiendo…</t>
  </si>
  <si>
    <t>del Castillo, Estanislao</t>
  </si>
  <si>
    <t>Estanislao del Castillo</t>
  </si>
  <si>
    <t>y vecinos D. Manuel Imafia , idem 2. han prestado á S. M. el juramento de fidelidad y D. Ramón Montoya, idem 3. obediencia. D. Manuel López, idem 4. D. Estanislao del Castillo , idem f. D. Mariano Mendoza, idem $. D. Alfonso Díaz , portero. LIBROS. D. Miguel García de Tienda, fiel colector de La Mogigata, comedia en tres acto…</t>
  </si>
  <si>
    <t>del Castillo, Esteban</t>
  </si>
  <si>
    <t>Esteban del Castillo</t>
  </si>
  <si>
    <t>onio María Izquierdo para comandante de 1 9 de abril último se formarán en los pueblos, del batallón. que á continuación se expresan las compañías de D. Esteban del Castillo pata capitán de la pri­ milicia cívica que á cada uno se detallan. mera compañía. ART. II. En la, villa de Escepapse aumentarán D. Antonio Ríchter para t…</t>
  </si>
  <si>
    <t>del Castillo, Francisco</t>
  </si>
  <si>
    <t>Francisco del Castillo</t>
  </si>
  <si>
    <t>visiones á teda’prisa para abastece/ los almacenes D. Francisco del Castillo, regidor. . ¿Te reserva. A Burdeos han llegado muchos bata­ D. Luis de Alanis, regidor. llones de fusileros de la guardia imperial. r Jurados. ESPAÑA. D. Juan de Vera, ............... D. Cr</t>
  </si>
  <si>
    <t>del Castillo, Rufino</t>
  </si>
  <si>
    <t>Rufino del Castillo</t>
  </si>
  <si>
    <t>Pidfo Giraad-de *ViHet-eu4Vv..v.;d{-'* -1860■':: puchinos.,.............................. 44000'El patronato de-D.-Rodrigo de-Ah~--:............ “ J D. Rufino del • Castillo, de carimtli-i' • guio......L¿..’ I 27831 2 ’ tas descalzos......... :í41®®®'' •’■* Los reales estudios-do-S. •I*idro!jií.í!tíiiiii8} Doña.Francisca Xavl…</t>
  </si>
  <si>
    <t>del Castillo, Vicente</t>
  </si>
  <si>
    <t>Vicente del Castillo</t>
  </si>
  <si>
    <t>entes., de sacerdotes ex­ ex-franciscano D. Juan Félix Cañas : para la de regulares pára servir las sacristías vacantes en di­ Beas at ex-franciscano D. Vicente del Castillo: cha ciudad y pueblos de su arzobispado, hemos para la de Oxíjares al ex-franciscano D. Manuel en aumentar diariamente el- número de las víctimas de Jee …</t>
  </si>
  <si>
    <t>Negocios eclesiásticos, nombramos Daifontes, vacante por muerte de D. Jo«ef Ra - '' ■ Para el curato de nuestra señora de las Angus­ moo de Robles, á D. Vicente del Castillo, ex-- . tias de la misma ciudad de Granada, vacante por regular de la orden tercera de S. Francisco. muerte de D. Juan Raíz Cabello, á D. Mariano Para el…</t>
  </si>
  <si>
    <t>del Cerro, Manuel Francisco</t>
  </si>
  <si>
    <t>Manuel Francisco del Cerro</t>
  </si>
  <si>
    <t>o, 500. D. José Antonio de Mérida; vecino de Oaxaca, 500. D. Francisco Antonio de Santiago, y su hijo político D. Agustín de la Peña, por mitad, 500. D. Manuel Francisco del Cerro, 500. El licenciado D. José Antonio del Cristo y Conde, 500. D. Ignacio de Ubieta, 500. El contador de la aduana D. Agustín Pérez Quijano, 300. D. …</t>
  </si>
  <si>
    <t>del Corral, Josef</t>
  </si>
  <si>
    <t>Josef del Corral</t>
  </si>
  <si>
    <t>s de Goyeneche y Muzquiz... 581913..18 secretario de Estados Firmado=Mariano Luis de D. Manuel Montalvan........................ 98778.. 8 Ur quijo.” D. Josef del Corral...................... ....... 42720 D. Rafael Riesco...!............................ 84000 Extracto de las minutas de la secretaría de D. Vicente de Anduaga,…</t>
  </si>
  <si>
    <t>del EXERCITO, Joscf Justo ORDEN GENERAL</t>
  </si>
  <si>
    <t>Joscf Justo ORDEN GENERAL del EXERCITO</t>
  </si>
  <si>
    <t>llero gran bati­ , Campo rtal de Sevilla d 4 de febrero de j8io. da de. U ReuO-den de España, al consejero de Es­ tado*' teniente general de marina , D. Joscf Justo ORDEN GENERAL DEL EXERCITO. Salcedo. art. ti. Nuestros gran canciller y-gran tesore­ Siendo la intención de S. M. católica qoe se ro la. Orden quedan e'Cargados d…</t>
  </si>
  <si>
    <t>del Hierro, Blas</t>
  </si>
  <si>
    <t>Blas del Hierro</t>
  </si>
  <si>
    <t>aten é hijos, 400. D. Francisco Berrio, 500. D. Manuel Ros, 1000. D. Tomas Isturiz, 4000. D. Ildefonso Ruiz del Rio, 4000. Duque del Infantado, 4000. D. Blas del Hierro, 500. Don Manuel Saez A y lien, igo D. José Ignacio Echevarría, 40. D. Barto­ lomé deLopetedi, 100. D. Cecilio Zaldo , 600. D. Juan.Labargé, 20a. D. Juan Anto…</t>
  </si>
  <si>
    <t>del Marmol, Juan</t>
  </si>
  <si>
    <t>Juan del Marmol</t>
  </si>
  <si>
    <t>que diesen memoriales á , Xucena, D. Pedro Ferrero á ayudante: D. Josef S. M. sobre asuntos pertenecientes al ministerio de - Barrilado á teniente; y D. Juan del Marmol á sub- Policía general, sabrán su resolución en la secreta­ ■ teniente. ría de dicho ministerio, donde liai un oficial espe­ En infantería de línea. D. Manuel…</t>
  </si>
  <si>
    <t>del Mazo, Agustín</t>
  </si>
  <si>
    <t>Agustín del Mazo</t>
  </si>
  <si>
    <t>Saez. D. Diego del Rio. D. Francisco Acevedo. D. Luis Bordeta. D. Roque Bunio, hijo. D. Vicente Marañen. D. Agustín de la Canal. D. Domingo Villamil. D. Agustín del Mazo. D. Isidro Gutiérrez. Tenientes. D. Manuel González del Rio. D. Josef Ramón de Aguiar. D. Domingo Prieto. “•••i D. Pedro Soler. D. Fermín Lumbreras. Batallón…</t>
  </si>
  <si>
    <t>del Monte, Luis Rodríguez</t>
  </si>
  <si>
    <t>Luis Rodríguez del Monte</t>
  </si>
  <si>
    <t>Coruña: Don Juan Bernardo Quiroga, por la de , Orense: D. Josef Ramón Becerra y Llamas, por la de Lugo: D. Pedro Ribera y Pardo, por la de Betanzos : D. Luis Rodríguez del Monte por idem: Don Antonio Vázquez de Parga, por la de Lugo: D. Manuel Valcárcel por idem: D. Francisco Morros, por Cataluña: D. José Vega y Sentmerrat,po…</t>
  </si>
  <si>
    <t>del Peral, Felipe Pe En el de los Caños</t>
  </si>
  <si>
    <t>Felipe Pe En el de los Caños del Peral</t>
  </si>
  <si>
    <t>ida; D. Josef Baguer, brigadier de ingenieros , segundo TEATROS. comandante; D. Narciso Codina , brigadier de in­ genieros, y comandante de Tortosa ; D. Felipe Pe- En el de los Caños del Peral, á las ocho de la no­ rena , brigadier de infantería; D. Joseí Sangenis, che, se executará por la compañía italiana la ópera ti­ tulad…</t>
  </si>
  <si>
    <t>del Pino, Jacinto</t>
  </si>
  <si>
    <t>Jacinto del Pino</t>
  </si>
  <si>
    <t>ra. Cieneguilla. D. Francisco Vázquez, lio. D. Lázaro Serrano , ty. Di Francisco Sánchez, 10. D. Pedro de la Sema, 25. D. Francisco Rodrí­ guez, 100. D. Jacinto del Pino, 20. D Julián Romero, 25 D. Antonio Vázquez , 1$. D. José María Noriega, 25. D. Vicente Moreno , 10. Don Bernarda GiStellum, 10. D. Damian Segrega, 1 o. D. J…</t>
  </si>
  <si>
    <t>del Pino, Manuel</t>
  </si>
  <si>
    <t>Manuel del Pino</t>
  </si>
  <si>
    <t>e^ se representará por la compañía española la co­ Para la de b Zuvia al ex-mercenarío calzado media antigua del maestro Tirso de Molina,'en tres ac­ D. Manuel del Pino. tos, titulada No hai peor Sordo qué, aquél que no quié» Para la de Purchil y Belicena al ex-franciscano Té oir", y un biienfin de fiesta. EN LA IMPRENTA REAL.</t>
  </si>
  <si>
    <t>del Pino, Tomas</t>
  </si>
  <si>
    <t>Tomas del Pino</t>
  </si>
  <si>
    <t>cabos y soldados, 406. — S. Elecearto. Capitán D. José Manuel de Ochoa, 50. Teniente D. Félix Colomo , 15. Alférez D. Esteban Sánchez, 12. Cape­ llán D. Tomas del Pino 25. Sargentos, cabos y soldados ,757..— Nor­ te. Capitán D. Juan Francisco Granados, 10. Teniente D. Facundo Mel­ gares, 100. Alférez D. José Arzate, 39. Id, D…</t>
  </si>
  <si>
    <t>del Pont, Pedro Marcó</t>
  </si>
  <si>
    <t>Pedro Marcó del Pont</t>
  </si>
  <si>
    <t>de Ogea, coronel del regimiento de in­ fantería de Ordenes Militares ; y ha concedido grades de coronel á los tenientes coroneles D. Manuel María, y D. Pedro Marcó del Pont, capitanes del batallón de voluntarios Catalanes ; grados y agregaciones de subtenientes en los de voluntarios de Car mona, y de Canarias , a los cadetes …</t>
  </si>
  <si>
    <t>del Pozo, Pedro Francisco</t>
  </si>
  <si>
    <t>Pedro Francisco del Pozo</t>
  </si>
  <si>
    <t>dice Teniente, D. Gerónimo López Pando, deba *1 de Besande á D. Agustín Jaebete: para el de decir Teniente, Lf. Gervasio López Pando. las Arrimadas I D. Pedro Francisco del Pozo: pa­ ta el de las Grañeras á D. Antonio Rodrigu z Her­ moso: para el de Morilla á D. Francisco Quadri- TB ATROS. llero: para el de Valdes-z á IL Euse…</t>
  </si>
  <si>
    <t>del Príncipe, Gabriel de En el</t>
  </si>
  <si>
    <t>Gabriel de En el del Príncipe</t>
  </si>
  <si>
    <t>nte la nomenclatura que podemos conveniente. llamar vulgar. Para formarse una idea mas extensa de este sis­ TEATROS. tema se pueden ver la memoria de D. Gabriel de En el del Príncipe , á las siete y media de la no­ Ciscar, b de Morales, la traducción de la aritmé­ che, se representará por la compañía española la co­ tica de M…</t>
  </si>
  <si>
    <t>del Riego, Joaquín</t>
  </si>
  <si>
    <t>Joaquín del Riego</t>
  </si>
  <si>
    <t>7°37 27 elids; pero pronto veremos qué exactitud y verdad 'D. Josef Fontoneüe................................... 22 hai en esta aserción gramatical. D. Joaquín del Riego............................... 19+$ Los nombres ó denotan las cosas, y entonces Doña María Aguilera Herran por sí, son llamados substantivos, ó sus quatidade…</t>
  </si>
  <si>
    <t>del Rio, Diego</t>
  </si>
  <si>
    <t>Diego del Rio</t>
  </si>
  <si>
    <t>677 D. Francisco Nicolás de la Torre. D. Francisco Saez. D. Diego del Rio. D. Francisco Acevedo. D. Luis Bordeta. D. Roque Bunio, hijo. D. Vicente Marañen. D. Agustín de la Canal. D. Domingo Villamil. D. Agustín del Mazo. D. Isidro Gutiérrez. Tenientes. D. Manuel</t>
  </si>
  <si>
    <t>del Rio, Fciix María</t>
  </si>
  <si>
    <t>Fciix María del Rio</t>
  </si>
  <si>
    <t>: la mañana, y eran la fragata la Mancha, su capi­ ayudante del regitnicntq de Jaén , 8." de línea, á tán Dornalde Gui, con los buques de la compañía D. Fciix María del Rio; subteniente á D. ílenrila United-Kinden y el Carlos Townt que se ha­ que- Josef Rufino: teniente en el batallen de la bían podido conservar á pesar de la…</t>
  </si>
  <si>
    <t>del Rio, Fernando</t>
  </si>
  <si>
    <t>Fernando del Rio</t>
  </si>
  <si>
    <t>ro Aguilera y D. Manuel Layner, todos del mismo'batallón; el capitán del regimiento provincial de Soria D. Manuel García, y el subteniente del propio D. Fernando del Rio, todos los que , según avisos que he tenido , entraron la misma tarde del 16 en Cariñena ; pero por noticia de tres sugetos contestes se me ha asegurado , qu…</t>
  </si>
  <si>
    <t>del Rio, Ildefonso Ruiz</t>
  </si>
  <si>
    <t>Ildefonso Ruiz del Rio</t>
  </si>
  <si>
    <t>squal Moreno de Mora, 600. D. Miguel Riva, 500.. D. Miguel Maten é hijos, 400. D. Francisco Berrio, 500. D. Manuel Ros, 1000. D. Tomas Isturiz, 4000. D. Ildefonso Ruiz del Rio, 4000. Duque del Infantado, 4000. D. Blas del Hierro, 500. Don Manuel Saez A y lien, igo D. José Ignacio Echevarría, 40. D. Barto­ lomé deLopetedi, 100…</t>
  </si>
  <si>
    <t>del Rio, Juan Manuel</t>
  </si>
  <si>
    <t>Juan Manuel del Rio</t>
  </si>
  <si>
    <t>Ja rabino con tanta dignidad como unción » y en el santa iglesia de Burgos, facante por muerte de qpe ha manifestado, los talentos de un orador reli- D. Juan Manuel del Rio.: á D. Manuel Perez de gioso, reuoidosí los scntimieatot de un buen ciu­ Rioja» cura párroco de Alinarail, diócesis de Os­ dadano , ha sido aplaudido coa …</t>
  </si>
  <si>
    <t>del Rio, Mannel Gonzalo</t>
  </si>
  <si>
    <t>Mannel Gonzalo del Rio</t>
  </si>
  <si>
    <t>rado D. Mjgnel de Zerralde. i*. D. Mannel Zavala................. D. Cándido Palacios. a.*. D. Félix lzaguirre.................. D. Gerónimo Sobrado. D. Mannel Gonzalo del Rio. D. Gabriel Sobrado. D. Josef Zerralde. D. Antonio Boan. 6.*.......... D. Pedro Real D. Eugenio Fourdioier. D. Josef Trasvina.................... D. Jo…</t>
  </si>
  <si>
    <t>del Rio, Manuel González</t>
  </si>
  <si>
    <t>Manuel González del Rio</t>
  </si>
  <si>
    <t>Bordeta. D. Roque Bunio, hijo. D. Vicente Marañen. D. Agustín de la Canal. D. Domingo Villamil. D. Agustín del Mazo. D. Isidro Gutiérrez. Tenientes. D. Manuel González del Rio. D. Josef Ramón de Aguiar. D. Domingo Prieto. “•••i D. Pedro Soler. D. Fermín Lumbreras. Batallón del quartel de Maravillas. D. Josef Osteret. D. Manue…</t>
  </si>
  <si>
    <t>del Rio, Mariano</t>
  </si>
  <si>
    <t>Mariano del Rio</t>
  </si>
  <si>
    <t>ejó de Regencia se ha servido promover en eí real cuerpode: Ingenieros, á teniente coronel á D Manuel Orermin : :í sargentos mayo­ res de brigada , á D. Mariano del Rio, D. Eugenio lraurgu;, D Jcsé ■ Iglesias Bárantes y D Manuel Morete: á capitanes, á D.' Miguel Ruano, E).-JNicolás. Sedaño, D Francisco Corres, D José Montero,…</t>
  </si>
  <si>
    <t>del Rio, Pedro</t>
  </si>
  <si>
    <t>Pedro del Rio</t>
  </si>
  <si>
    <t>...................... 125099 4 REI.= Por S. M. su ministro secretario de Estado Doña Antonia Quadrado................ 2000 Mariano Luis de Urquijo.” D. Pedro del Rio........................... 140443 28 D. Antonio Fonds............. ................ 4002 25 Madrid 12 de febrero. Doña Xaviera Yoldi....... .................. i…</t>
  </si>
  <si>
    <t>....... 722 Madrid 2 de marz*. D. Francisco de las Barreras............ 149970..25! D. Lucas de Carranza...................... 170805.. 17 . AVISO. • D. Pedro del Rio. ....................... 14660.. 2 El dia f del corrienre, á las xa en panto de la El hospital dé la Corona de Aragón. 43473.. 7 mañana, se executará en la plaz…</t>
  </si>
  <si>
    <t>uez de la Huerta. ,42°8 11 DoñacRnsa de Ja.Peña,,,................ 210000 D. Pedro JosefRecarte»...... 380 D. Manuel MaríaCímb/nnerp,.......... 7000O D. Pedro del Rio..,...,.................... . , 70541 ,'aj D. Mariano Hcrrauz «rp^PS«#»MP*«u««,ii** 44IOO D, Pedro Beotas...... ......................... 34794 D. Josef Pelaez»»…</t>
  </si>
  <si>
    <t>del Rio, Pfdro</t>
  </si>
  <si>
    <t>Pfdro del Rio</t>
  </si>
  <si>
    <t>Nicolás Vicente Eztérripa,,.......... . ajff'Ci.ff ÍXiJoaqutrj de Jí»za-,.^..i.................... 25f D*. Juin dé Briiné............... (í. 99': 85 D Pfdro^del Rio., 44-2 X 8^ IX 19mas M■ . ■ 544' 77 * IbtJoaqiatn Anr.onjóbScjo^......4/- 44-1" *7: D; Andrés Tarrancon **»-*• ?*?*.■.. r *888.; .a DI \tígi#el de Azpiroz........…</t>
  </si>
  <si>
    <t>del Rio, Rafael</t>
  </si>
  <si>
    <t>Rafael del Rio</t>
  </si>
  <si>
    <t>. Doña Xaviera Yoldi....... .................. i6r86 Ti. Diego del Riw............... ............... ¿oóc) En la órden del dia to de este mes, comu­ D. Rafael del Rio.............................. 2000 nicada al exército por el señor general goberna­ Sr. Conde de Montarco..................... 6co dor de Madrid y Gastii/a la …</t>
  </si>
  <si>
    <t>del Rio, Ramón Pérez</t>
  </si>
  <si>
    <t>Ramón Pérez del Rio</t>
  </si>
  <si>
    <t>capuchi­ temores. ¡A qné viene manifestar á todo el mun­ no D. Bartolomé Moron. do vuestra cobardía ! Si yo me viera m iris tro, ó Para la de Bc*ge á D. Ramón Pérez del Rio, me pondría á cubierto de una invasión haciendo la de Ja misma &lt;5rden. .paz, ó arrostraría con la m&lt;-yor magnanimidad la Para la de Casabermeja al ex trin…</t>
  </si>
  <si>
    <t>del Vado, Tomas</t>
  </si>
  <si>
    <t>Tomas del Vado</t>
  </si>
  <si>
    <t>el regimiento de infaiiitená dé Espkña á tenienr tes á los subtenientes D‘ José Fráncb ^"D.r Pédrb Méniicláa yy D Ma­ nuel López; y á subtenientes á D. Tomas del Vado, sargento primero distinguido del de Africa, y D. Amonio Soriano, cadete del propio re­ gimiento de España. En él batallón dé voluntarios dé Valencia ha conferi…</t>
  </si>
  <si>
    <t>del Val, Antonio</t>
  </si>
  <si>
    <t>Antonio del Val</t>
  </si>
  <si>
    <t>428</t>
  </si>
  <si>
    <t>de esta capital al mando del mariscal de campo D. Juan O-Donojúllegó el 23 por la ma­ ñana á la villa de S. Mateo. El dia anterior la subdivisión de D. Antonio del Val habia tenido orden de pasar desde Alboe.acer, donde se hallaba, k la Pobleta de Morella, ocultando su marcha con el fin de sorprehender á los franceses que gua…</t>
  </si>
  <si>
    <t>del Valle, Josef</t>
  </si>
  <si>
    <t>Josef del Valle</t>
  </si>
  <si>
    <t>de las constitucio­ D. Antonio Bernís. nes susodichas , queda reducido á qoarrn. D. Eduardo Valvidares. art. iv. El departamento de las bocas del Es­ D. Josef del Valle. calda pertenecerá al tribunal imperial de Bru.'éUs.” D. Juan Josef Cerero. Ei domingo por la tarde entrarán SS. MM. en D. Celedonio Alonso. París por el arco…</t>
  </si>
  <si>
    <t>del Valle, Juaa Antonio</t>
  </si>
  <si>
    <t>Juaa Antonio del Valle</t>
  </si>
  <si>
    <t>. 11363 * El conde de Guzmaij.v.;...10450 23 ' D. Pedro fie Mora y Lomas............. 36jifa D. Manuel More^j4S.;:;;;;;....„d.....'('..V, 314906^2^1' D. Juaa Antonio del Valle..;*..'....... -• 35280; D. Mateo Gbregon.v.:.v:;...:..^..:..';.!;rí 6626 6ó3f ¡ Dpña Mapuela de Unjuijo *•'3311 Doñac Manuela— Montafies, tbhdeía 4328 …</t>
  </si>
  <si>
    <t>del Valle, Juan Amonio</t>
  </si>
  <si>
    <t>Juan Amonio del Valle</t>
  </si>
  <si>
    <t>0 S. M. ha expedí Jo el decreto siguiente: D. M .nuel O ■ecu..................................... 134000 Extracto.-de las minutas de la secretaría de D. Juan Amonio del Valle........... . 176400 Estaco. ;• D. Autoi io Portier................................. 239987..22 En nuestro palacio de Madrid á 14 de julio Doña Juana de …</t>
  </si>
  <si>
    <t>del Valle, Juan Crisóstotno</t>
  </si>
  <si>
    <t>Juan Crisóstotno del Valle</t>
  </si>
  <si>
    <t>zález Robles para el de P¡menie destinado para ocurrir X ¡os gastos necesarios nilla riel Valle. para la ^propagación de la vacuna , y ha mandado Y á D. Juan Crisóstotno del Valle para la vi­ establecer en 2+ ciudades principales de la Fran­ caría perpetua de S. Agustín. cia uo depósito dei fluido de la vacuna , donde to­ das…</t>
  </si>
  <si>
    <t>del Valle, Manuel Sánchez</t>
  </si>
  <si>
    <t>Manuel Sánchez del Valle</t>
  </si>
  <si>
    <t>Uria y Nafarrondo. D. Jacinto Perez de la Torre. D. Josef de las Barcenas., D. Gnillelmo González Saez. D. Claüdio Larrañaga. D. Santiago Larramendi. D. Manuel Sánchez del Valle. D. Manuel Ramos Zafra. D. Manuel Celestino Carrasco. D. Francisco Zuñiga. D. Mariano Trevíño. Tenientes:, D. Pedro M-ría Brost. D. Pedro San Miguel.…</t>
  </si>
  <si>
    <t>del Valle, Marcos</t>
  </si>
  <si>
    <t>Marcos del Valle</t>
  </si>
  <si>
    <t>de la capilla de los Reyes católicos en del Emperador. * aquella ciudad, vacante por muerte de D- Fran-, ‘ ESPAÑA. citco de Paula Duran y Malpica: á D. Marcos del Valle , capí que fue del hospital de Patencia, para ^Madrid y de julié. una capellanía fie,coro y.número de aquella cate­ dral, vacante por fallecimiento de D Josef…</t>
  </si>
  <si>
    <t>del Valle, Pedro García</t>
  </si>
  <si>
    <t>Pedro García del Valle</t>
  </si>
  <si>
    <t>, 50. D José Ramón Petancour, £0, I&gt;. Antonio Figueroá, 100. D. José María Carde ña’, 100. D. José Cenen y Castilla , 100. X). Luis-de Elexaldre, 100 D. Pedro García del Valle, 100. Den Juan Antonio Aguilar, 50. D. Pedro del Puerto Vicario ,.100, D. Clemente de Sta. Cruíz, 100. í&gt;. Benito Barin , 50. D. Vicente María de la Po…</t>
  </si>
  <si>
    <t>Dela, Prudencio</t>
  </si>
  <si>
    <t>Prudencio Dela</t>
  </si>
  <si>
    <t>decreta de 24 del corriente ,,ha dispuesto se cite y emplace á qualquiera que se consi-, dore con derecho á los bienes de lá testamentaría del finado D. Prudencio Dela vil] e , que fué de este comercio , para ,que comparezca en el perentorio tér­ mino de un año á formalizarlo; cort los documentos que lo comprueben , pues ] ja…</t>
  </si>
  <si>
    <t>Delgado, Antonio</t>
  </si>
  <si>
    <t>Antonio Delgado</t>
  </si>
  <si>
    <t>gera de voluntarios de Burgos á D. Francisco Gómez Barreda, y las sargentías mayores del mismo cuerpo, y de los de Tiradores de Cádiz y Veh-zMálaga á D. Antonio Delgado, D. Amonio Bray, y D. Manuel Brizuela. ■imiKgnrr i.i»... ..... Continúa la lista de los donativos hechos por los individuos del apos­ tadero de marina de Afon…</t>
  </si>
  <si>
    <t>Delgado, Fernando</t>
  </si>
  <si>
    <t>Fernando Delgado</t>
  </si>
  <si>
    <t>con la misnji nación. Esta debía ser la conducta ex-franciscano observante. » de un ministro que fuese digno de este nombre; y Para ia de Churriana ¿ D. Fernando Delgado, no emplear continuamente para apoderarse de al­ de la misma orden. gunos buques la astucia, la adulación, y todo Para la de O ías. y Totalan al ex-mercenari…</t>
  </si>
  <si>
    <t>Delgado, Francisco</t>
  </si>
  <si>
    <t>Francisco Delgado</t>
  </si>
  <si>
    <t>ncisco Nieva y D. Francisco Vaildosura ; y subte­ nencias , a D. José Pueyo y D. Meíiton Ramos. En el de volunta­ rios de Gerona, segunda ayudantía k D. Francisco Delgado ; te­ nencia. á D. Francisco Guarro ; y subtenencias, á D. Agustín Ma­ gín D mienten, D. Pedro Cuir y D. Fra ncisco Sniglesias. Y en el de voluntarios J.p d…</t>
  </si>
  <si>
    <t>Delgado, José Perez</t>
  </si>
  <si>
    <t>José Perez Delgado</t>
  </si>
  <si>
    <t>Naveyra , y D. Ramón Vasadre : en el se­ gundo de la Princesa , subtenencia k D. Joaquín Roca y Soriano : en el de la reunión murciana, subtenencia á D. José Perez Delgado : en el batallón de Canarias , á D. Toribio de Ligarte, y en el segundo de Voluntarios de Cataluña, subtenencia á Don José María Martínez y Duro. El Consej…</t>
  </si>
  <si>
    <t>Deniiow</t>
  </si>
  <si>
    <t>tal que su cargamento se componga de pro­ aquellos puntos , .encargando esta comisión al ma­ ducciones del país o de las fábricas de los Estados- yor general Deniiow, confiándole quatro regimien­ Unidos , y no reputadas por objetos de contraban­ to) de cosacos y dos destacamentos de la misma do en tiempo de guerra, y con tal …</t>
  </si>
  <si>
    <t>Denisow</t>
  </si>
  <si>
    <t>empo de guerra, y con tal que pertenez­ tropa perteoecientes á otros diferentes cuerpos. can los buques á ciudadanos de los Estados.-Uní— . „El mayor general Denisow , después de ha­ dos, y su tripulación se componga de ciudadanos ber pasado el parage llamado'Muralla de Trajano, americanos. cerca de Karasow,. envió dos destac…</t>
  </si>
  <si>
    <t>Dennié</t>
  </si>
  <si>
    <t>confis­ caciones de efectos ingleses, expuse al conde do:Cessae lo mis-, mo-que habia dicho al duque de: Cadore; y contra véndeme á lo que exponía el intendente Dennié ,:,dixe que .me constaban los esfuerzos que ef rey habia hecho para extenderse á la mayor can­ tidad posible, qliando prefixó los 2 millones mensuales . las di…</t>
  </si>
  <si>
    <t>Denovi, Pedro</t>
  </si>
  <si>
    <t>Pedro Denovi</t>
  </si>
  <si>
    <t>iente D. Magín Tondo: subte­ nientes de infantería de línea á D.JFrancisco L pez, Cbntta el castillo de la Fuengirola; fue una ver­ D. Pedro Burillo, D. Pedro Denovi, D. Miguel güenza qaanto sé execuió; nos volvimos ignominio­ Coronado, D. Ramón Rodríguez, D. Mariano samente, dexaodo mal puesto el honor de las ar­ Layes, sarg…</t>
  </si>
  <si>
    <t>Dernai</t>
  </si>
  <si>
    <t>alquilen para este objeto se­ Julio César, que había sido apresado por e! Sutilt rán casfgados rigurosamente, y los géneros con­ corsario de Boloña , capitán Dernai. Era un buque fiscado*. de 310 toneladas, con 13 hombres de tripolacion, „Qualquiera expedición secreta de mercancías y venia de Nueva-Yorck para Londres cargado …</t>
  </si>
  <si>
    <t>Dernath</t>
  </si>
  <si>
    <t>Gaceta de Madrid n.º 261</t>
  </si>
  <si>
    <t>barón de Selbi ha llegado aquí de Copen­ llena de mal.-zas, pero que dominaba á las lineas hague. del enemigo, y en vano hizo este muchos esfuer­ El conde Dernath, emb.xador dinamarqués, zos para recobrar esta posición. ha, entregado á nuestro Monarca una carta del du­ ,,E1 ü ios turcos dirigieron sus principales que de Augus…</t>
  </si>
  <si>
    <t>Deroi</t>
  </si>
  <si>
    <t>Gaceta de Madrid n.º 210</t>
  </si>
  <si>
    <t>929</t>
  </si>
  <si>
    <t>nifestar.e et estado ,de sus negocios, y si tcl. diñero de una. Aujsbur¿o » ¡-de junio, ' nacion.oo debe ser manejado con tanta,prudencia El teniente general Deroi, que debía volver al como él de un particular. Tirol, para tomar, el mando en gefe de, las tropas Antes de prestar á la compañía, añadió, seria bávaras .cantonadas…</t>
  </si>
  <si>
    <t>Des, Lorenzo</t>
  </si>
  <si>
    <t>Lorenzo Des</t>
  </si>
  <si>
    <t>1012</t>
  </si>
  <si>
    <t>roto de un balazo. Igualmente recomiendo del batallón de los expatriados al cabo primera Pedro Pagés , al segundo de igual clase José Galce-rán y al soldado Lorenzo Des. — Dios guarde á V. E. muchos años. — Tortellá 24 de octubre de 1810. — Excmo. Sr. — El barón de Eróles,— Exorno. Sr. D. Enrique O-Doiin^il.”</t>
  </si>
  <si>
    <t>Desaix</t>
  </si>
  <si>
    <t>insisre fuertemente en- que la „ne cerca de 2400 plazas, forma la primera cotana Puerta despida al embaxador ingles. Parece que la de la división dei general Desaix, la qual es parte irresolución dej ministerio turco procede de que los del quarto cuerpo, que pasará sucesivamente por ingleses tienen fuerzas consider^blrs en lo…</t>
  </si>
  <si>
    <t>Después</t>
  </si>
  <si>
    <t>es de tortugas. sobre la administración y la ordenanza de plantíos ,,Soi &amp;c. =Firmados:/. F.” y bosques; otra sobre la policía de sanidad, relati­ P. D. Después de escrita esta he sabido qne va á los hombres y á los animales: tina lei sobre los de nuestra corporación ban hecho nna procla­ seguros para incendios; y algunas dis…</t>
  </si>
  <si>
    <t>Después, Simón</t>
  </si>
  <si>
    <t>Simón Después</t>
  </si>
  <si>
    <t>ulcando las grandes verdades de que caballero maestrante de la real de Ronda. depende la felicidad de la nación. Diputado por el estado eclesiástico: D. Simón Después pasó S. M. con el mas numeroso y bri­ Perez de Aguirre, cancánigo penitenciario de Ja san­ llante acompañamiento, con repique general de ta iglesia catedral de …</t>
  </si>
  <si>
    <t>Dessaix</t>
  </si>
  <si>
    <t>las personas arresta­ establecerá el quartei general, ó á jo menos el esta­ das en los esrad^s de Badén y de Wurtzburgo do mayor de la diviri &gt;n del general Dessaix. En durante la ultima guerra por delitos políticos. Aciden se espera otro regimiento de infantería. Las autoridades municipales han avisado á los habitantes Del g…</t>
  </si>
  <si>
    <t>descubierta la cotnoa dedica­ la R tina por otros tres, y por los mismos el prín­ da, al exérciro grande, como también la estatua cipe heredero. del general Dessaix. Entre los diseños que se hallan ya grabado* La coluna está colocada sobre un padrón d# de las dos orimerjs entregas hai algunos de Ra­ mármol blanco beteado, y e…</t>
  </si>
  <si>
    <t>1176</t>
  </si>
  <si>
    <t>s, y Mr. Fooilioux, inspec­ por la constitución del estado , REI de las Espa­ ña* y de las Indias. tor de edificios, la han executado. La estatua del general Dessaix está sobre an „ Hemos nombrado y nombramos consejeros de Estado á D. .............. Dedon , director general pedestal egipcio de mármol blanco beteado coa ana de…</t>
  </si>
  <si>
    <t>Dessolles</t>
  </si>
  <si>
    <t>e rr.ests que se le molestaba con el mayor rigor pueblo y por sus vecinos. porque había dicho que ia guerra era impolítica; „ Instruido el Excmo. Sr. general Dessolles de que no habia fuerzas para resistir; que el verdade­ las desgracias que han experimentado estos d s líe­ ro amor á la patria era mirar por ella, evitando la …</t>
  </si>
  <si>
    <t>di Castilla, Amonio</t>
  </si>
  <si>
    <t>Amonio di Castilla</t>
  </si>
  <si>
    <t>434913808.. 8} g . Francisco de las Barreras................. D. Manuel de Ramos Zafra...... ........... D. Pedro Baille y compañía.................. D. Amonio di Castilla.......................... 1500 40514.. 7 78913.. 3 5333r.. 7 D, Esteban de la Torre........................ 22000 D. Manuel López de Cerrcdo...............…</t>
  </si>
  <si>
    <t>Diana, Antonio</t>
  </si>
  <si>
    <t>Antonio Diana</t>
  </si>
  <si>
    <t>821</t>
  </si>
  <si>
    <t>y ■el'subtfeniente Don Blas Bermejo.* Distinguiéfome tambienniotablemente lós cápitanes De Francisco Toral y D. Pedro Díanos 5 el capitán del núm. 5 D. Antonio Diana, el comandante de tiradores de Fernando Vil D. Antonio Mendoza , el cadete D. José Heres , el subteniente; de la guardia de honor D. Juan París, el de la misma c…</t>
  </si>
  <si>
    <t>Díanos, Pedro</t>
  </si>
  <si>
    <t>Pedro Díanos</t>
  </si>
  <si>
    <t>apitán, de Salas D. Bartqlomé Fernandez; y ■el'subtfeniente Don Blas Bermejo.* Distinguiéfome tambienniotablemente lós cápitanes De Francisco Toral y D. Pedro Díanos 5 el capitán del núm. 5 D. Antonio Diana, el comandante de tiradores de Fernando Vil D. Antonio Mendoza , el cadete D. José Heres , el subteniente; de la guardia…</t>
  </si>
  <si>
    <t>Díaz, Alfonso</t>
  </si>
  <si>
    <t>Alfonso Díaz</t>
  </si>
  <si>
    <t>amento de fidelidad y D. Ramón Montoya, idem 3. obediencia. D. Manuel López, idem 4. D. Estanislao del Castillo , idem f. D. Mariano Mendoza, idem $. D. Alfonso Díaz , portero. LIBROS. D. Miguel García de Tienda, fiel colector de La Mogigata, comedia en tres actos en verso, reatas provinciales. por Inarco Celenio P. A. Se hal…</t>
  </si>
  <si>
    <t>Díaz, Francisco</t>
  </si>
  <si>
    <t>Francisco Díaz</t>
  </si>
  <si>
    <t>60 D. Ignacio Victoria, 20. Doña María de Vega, 2oDoña María Salas, 60. Conde de Talara, 6co Dones y Canadell, icoo. D. Manuel Jesús Fernandez , 300. D. Francisco Díaz , 2CQ. D. Benito de la Plaza, 160. D. Mateo Lobo, 320. D Gerónimo Martínez, 300. D. Pedro Antonio Eguía, 520. F. B., 100. J. S. , ico. Buch, hermanes y compañí…</t>
  </si>
  <si>
    <t>Díaz, José Julián</t>
  </si>
  <si>
    <t>José Julián Díaz</t>
  </si>
  <si>
    <t>510</t>
  </si>
  <si>
    <t>da la. individualidad y exactitud que acos­ tumbra; en todos los casos que quiera escribirme, podrá dirigir las cartas k esta corte, baxo-cubierta de D. José Julián Díaz, ar­ chivero del ministerio de negocios eclesiásticos. Sírvase vmd. hacer mis afectuosas expresiones á su señora hermana y al amigo Palacio, y mande vmd. qu …</t>
  </si>
  <si>
    <t>Díaz, Josef</t>
  </si>
  <si>
    <t>Josef Díaz</t>
  </si>
  <si>
    <t>...... 15613.. 8J D. Esteban de Espina, por su apode­ El real Hospicio de Madrid, por snano rado D. Pedro Antonio Senosiain.... 233000 de su tesorero D. Josef- Díaz de Los reales Hospicios de esta corte y Ribera......................................... 12815-17 S. Fernando...... -..... ................................. 33333 …</t>
  </si>
  <si>
    <t>Diaz, Josef Julián</t>
  </si>
  <si>
    <t>Josef Julián Diaz</t>
  </si>
  <si>
    <t>ón Zavala.............................. 1088 D. Rafael Martínez de Ariza............ 18014.,16 D. Julián Diaz Moreno...................... ~ 180.. 17 D. Josef Julián Diaz........................ 245 D.* Pedro Fernandez Tavira....... .......- ^3I~*5l Doña Ana Josefa de Huic!................... 5997-17 Doña María Magdalena-Arao…</t>
  </si>
  <si>
    <t>Díaz, Juan</t>
  </si>
  <si>
    <t>Juan Díaz</t>
  </si>
  <si>
    <t>396</t>
  </si>
  <si>
    <t>los im cuerpo francés de 1000 infantes y 400 caballos. Los enemigos dexaron en el campa 18 muer­ tos : por nuestra parte murió el teniente de Vitoria D. Juan Díaz , y quedaron heridos 4 soldados. El 27 del mismo D. Julián Sánchez derrotó en la casa de la Robliza, no lejos de Cuidad-Rodrigo, á 160 dragones fran­ ceses , matand…</t>
  </si>
  <si>
    <t>Díaz, Melchor</t>
  </si>
  <si>
    <t>Melchor Díaz</t>
  </si>
  <si>
    <t>991 de herederos de Lorenzo Peroz..—.' *,*«17 495 Otra encima de la dehesa, .de una fan.r Otra al llano de Villanuev*, de 10 oli­ linde á ábrego con D. Melchor Díaz vos , linde otros de S. Justo........ ........ 11 141 Salcedo.......................—....................... 3..17 7 Una tierra de 2$ fan. junto á la venta de Otr…</t>
  </si>
  <si>
    <t>Díaz, Miguel</t>
  </si>
  <si>
    <t>Miguel Díaz</t>
  </si>
  <si>
    <t>atriotas, cuyos nombres deben callarse por ahora , sa­ caron 54 de ellos por medio de los enemigos , y los condu'xeron para el servicio de la patria. D. Miguel Díaz, comandante de la partida de FERNAN­ DO Vil, acometió en Puerto-Lapice á un destacamento francés, matándole 52 hombres , y haciendo 28 prisioneros.— Las par­ tida…</t>
  </si>
  <si>
    <t>Diaz, Pedro de Sierra</t>
  </si>
  <si>
    <t>Pedro de Sierra Diaz</t>
  </si>
  <si>
    <t>. Miguel José de íriarte , 200. D. Angel Gonzá­ lez, 400. I). Juan Lobo 200. D. Martin de Coz , 100. D. Pedro Garay , 200. 1). Manuel Bertimati, 200. D. Pedro de Sierra Diaz, 100. D. Juan Bautista Garaycochea , 100. D. Tomas Barbadillo , 200. D. Mateo Batidlo , vecino de Xalapa, 200.. D. Domingo Escando» , 200». .IX Pablo Fra…</t>
  </si>
  <si>
    <t>Díaz, Ramón</t>
  </si>
  <si>
    <t>Ramón Díaz</t>
  </si>
  <si>
    <t>pasado, debe haber en cada ana de las D. Diego de Lara, D. Santiago Aguado, D. Ra­ capitales de provincia, se prepare la de Córdoba á fael Navarro y D. Ramón Díaz. recibir con reas fruto esta institución interesantísi­ art. iv. Nuestro ministro de Guerra queda ma, y se continuará todas las noches , á excepción encargado de la…</t>
  </si>
  <si>
    <t>ería del General del exército de la izquierda el empleo de coronel á D. Manuel del Mazo; el de sargento mayor, á Don Manuel de Bayona ; compañías , á D. Ramón Díaz, y D. Pedro Payo; ayudantías á D. Alberto Nazarre, y D. Francisco Mo­ ren za ; tenencias , á D. Antonio Fernandez, D. Fernando Azevedo , y D. Francisco Venegas; y …</t>
  </si>
  <si>
    <t>Díaz, Tomas Alvarez</t>
  </si>
  <si>
    <t>Tomas Alvarez Díaz</t>
  </si>
  <si>
    <t>. D. Benito Tello de Albornoz* ■ Esta cesión ú enagenacfon iio es perpetna sino D. Miguel Guerrero. temporal, y no transmite al enfiréuta mas dominio D. Tomas Alvarez Díaz* que el útil; er decir, cierto derecho precario de D. Josef López Arriba. poder disponer » baso ciertas formalidades , del má­ - D. Josef Aguado y Vera. xi…</t>
  </si>
  <si>
    <t>Díaz, Xavier</t>
  </si>
  <si>
    <t>Xavier Díaz</t>
  </si>
  <si>
    <t>Atil, 15 y 4. Los deTeutlama, 30 y 4. Los de Caborca y Pltic, 54 y 2. Los de Sta. Cruz, 31 y 3 —Pitic. D. Manuel Rodríguez, 100; D. José Buelna, 25. D. Xavier Díaz, 25. D. Ignacio León, 25. D. Ig­ nacio Araíza, 25. D. Ignacio Serrano, 10. D. Tomas Valencia, 10. D. José López, 10. D. Agustín Pesqueyra, ió. D. Juan Antonio Bern…</t>
  </si>
  <si>
    <t>Dicgues, Antonio Tomas</t>
  </si>
  <si>
    <t>Antonio Tomas Dicgues</t>
  </si>
  <si>
    <t>rcía de la Cruz. D. Autonio María Rodríguez. D. Antonio Uribarri D. Tomas Arenillas..;... D.' Josef Manuel López baña­ bas. D. Ramón Ríbes........... D. Antonio Tomas Dicgues. D. Francisco B mi^;„. D. Juan Antonio Medina. lo.• a • «••••» D. Diego Josef de Vi.la D. Mauricio Palla. Décimo batallón. Para ayudante primero D. Fran…</t>
  </si>
  <si>
    <t>Dictrichs</t>
  </si>
  <si>
    <t>as fronteras orien­ - La cámara dé rentas ha tomado en arrendamien­ tales de aquel reino para exámtnar ¿.informarse del to por to años el palacio del príncipe Dictrichs^ estado aqtual de las fortalezas que hai allí»,y pasar téinV donde se eitablecerán las oficinas de los re­ révista.én djfelénres puntos á las tropas que se ha…</t>
  </si>
  <si>
    <t>Die</t>
  </si>
  <si>
    <t>l Isla de León á 10 de abril de 1810. —* Xavier de Castaños -presidente.—‘ Francisco de Saavedra.— Antonio de Escaño.—Miguel de Lardizab&amp;l y Cribe.—A D. Die­ go de la Quadra.” El Consejo de Regencia se ha servido conferir en el regimien­ to de infantería del General del exército de la izquierda el empleo de coronel á D. Manue…</t>
  </si>
  <si>
    <t>Díé, Fernando</t>
  </si>
  <si>
    <t>Fernando Díé</t>
  </si>
  <si>
    <t>449.9.^^ .CI El mgrques Caballero^*.: -*40882 /JL I&gt;. Mlqjró de Gillür,"ídl...: 2H9.99./ .¡ J D. Jqaquiñ Cordero y. Vargas^......'.ac.i..:, 208 "' XI D. Fernando Díé^iiéz, id,......*¿í^t...i;. *j j449co..lVi,t j D. Pedro.del Rio.,,,.......... ..iii i.: j 25-557 3*J D, Plácido Vioáfmarin, iH..............44 ■ ; 44090 j.,- D. J…</t>
  </si>
  <si>
    <t>Diego</t>
  </si>
  <si>
    <t>España á Delecrai (D. Josef) , capitán de granaderos de Los Señores nnestra guardia real. Marques de Almenara , nuestro ministro de lo In­ Gallard ( D. Diego), intendente de Toledo. terior. García Ximenez ( D. Pedro Segando), alcalde ma* Conde de Melito, superintendente de nuestra Real yor de Manzanares. Casa. Gregorio ( D. C…</t>
  </si>
  <si>
    <t>iar........ 36666..16 - El príncipe de Schwartzenbérg, embaxador de D. Juan Quintano, por su padre Austria en París, da esta noche un giran baile, al D. Diego. .............................. 48403.-21 qual han sido convidados les principales pcrsonages D. Josef Lacroust........... ,.................. 7&gt;33i de la corte y de la…</t>
  </si>
  <si>
    <t>expresan: Don Josef Napoleón por la gracia de Dios y Capitanes. D. Nicolás Muñoz, D. Joaquín por la constitución dei estado, REI de las Espa— Cueva, D. Diego 1 opez, el conde de la Quinte­ ñas y de las Indias. ría, el conde de Guadiana, D. Manuel Brc«ca, Hemos decretado y decretamos lo siguiente': D. Antonio Rubio, D. Juau Ah…</t>
  </si>
  <si>
    <t>la instrucción te di­ real, fundirá por todas las clases del estado. Navarrete ( D. Manuel ). „ La educación da á los hombres un nuevo ser Oibaneja ( D. Diego), brigadier de los reales exér« y forma: la que S. M. tiene meditada para que los citos, españoles puedan desplegar sus grandes talentos Peraldi ( Josef Antonio ), sarg…</t>
  </si>
  <si>
    <t>del puente de Monzon ; pero dos com­ den Real de España á los señores pañías encogida' del 114.*' han h¿ch^&gt; se arrepin­ Alíáro Fernando de Aguilar ( D. Diego de). tieran de su atrevimiento. El general Vetges llego Aítamirano ( D. Pedro). opnrtil minen te: CQri el regimiento 131.“ para arro­ Barrouge (D. Juan Bautista), mayor…</t>
  </si>
  <si>
    <t>lin de fiesta. nares Peñalver, cura interino de S. Bartolomé; En el de la Cruz, á las cinco de la-tarde, se execuD. Domingo Vak-nzueli, presbítero, y D. Diego tará la primera paite de la comedia heroica en tres ac­ Carro, subdiácouo, por el clero, y el alguacil tos titulada la Hija de i aire , con tonadilla y sainete. EN LA I…</t>
  </si>
  <si>
    <t>ti). tu tal consejeros de Estado, y los Sres. D. Di maso de estado para no abandonar esta junta superior el go­ Ja T^rre, corregidor Je esta vtila, y D. Diego bierno de La provincia que le está encargado, y no TSarreJa, capitular de ella, se han quemadq con /sujetarse jamas hasta morir á los actos vergonzoso? las solemnidades…</t>
  </si>
  <si>
    <t>cos Juan Gutiérrez de Vergara, á D. Josef María Ara­ en el exercicio de sus funciones ; habiéndose intro­ na , oficial del ministerio del Culto , y á D. Diego ducido contra esta disposición el abuso de confe­ Guerrero Sidon , veintiquatro de Sevilla. rirse las sacristías á jóvenes de poca edad y á otras art. 11. Nuestros gran…</t>
  </si>
  <si>
    <t>lcántara Osorio} miento deD. Juan Gábrérá, al presbítero ex-regu- para tenientes' á D. Antonio Ruis de Alarcon y lar.Dd'FraaCisco.Ximeoez.-i ........ D. Diego,Ruiz, y para subtenientes-á D..Esteban -■ vPUña el de S. José( de la.Nava; al presbítero exv de Huertas y D. Viceote López. Patino. \ , regular D., Antonio Looe z. • y …</t>
  </si>
  <si>
    <t>................................... *........ 132..17 *9*5 . de .dicha villa, encima de las eras que Otra de 4^ fan. donde dicen el pozo de llaman de D. Diego...................... S« 79* . Paredes.................................................. 9* 2024 Otra de fan. y media, cerca de la ante-. Unolivar en términoy vega de V…</t>
  </si>
  <si>
    <t>Diestro, Juan Francisco López</t>
  </si>
  <si>
    <t>Juan Francisco López Diestro</t>
  </si>
  <si>
    <t>993 gastó, TOO. D. Juan Francisco López Diestro , IOOj D. José Sañudo López, 50. TJ. José Gutiérrez Zamora , lOO. D. Francisco Antonio López , 25. Dr. T). Fran­ cisco Hernández , 25. D. Juan José de Arejula,25.1). Gerónimo José Malagairba</t>
  </si>
  <si>
    <t>Diez</t>
  </si>
  <si>
    <t>Gaceta de Madrid n.º 214</t>
  </si>
  <si>
    <t>io se.tr^aJarán provisionalmente i DiUngen , h«st* qne ei cornejo de Estado de Mut Pres burgo ig de junio. nich haya decretado una nueva divisiuQ del reina Diez y seis regimientos (Ja mayor parte hún­ de Baviera. garos ) han tenido orden de marchar á Ja* frontera» WJESTFALIA. de Turquía. A los oficiales se les ,ha mandado qon…</t>
  </si>
  <si>
    <t>Diez, Aniceto</t>
  </si>
  <si>
    <t>Aniceto Diez</t>
  </si>
  <si>
    <t>e V¡- ros, á D. Fó ix Ramírez, tonsurado. llacalbiel. Para el di V “ga Cerneja, vacante por muerte Para el de Saeiices del Rio , vacante por muer- de D. Aniceto Diez , á D. Pablo Laiz Fernandez, te de D. Cristóbal Paniagua , á D. Juan Manuel tonsurado. Perez, presbítero , cura de Salió. Y para el de Oreonagar vacante por muer…</t>
  </si>
  <si>
    <t>Diez, Diego</t>
  </si>
  <si>
    <t>Diego Diez</t>
  </si>
  <si>
    <t>emedio 'para tantos males como han D. Josef Mario. causado una lucha desigual, y la inmoralidad de D. J i'.ef Prieto Moreno. los que aun la fomentan. D. Diego Diez. D. Mariano Cordon y Robles. Madrid 4 de noviembre. S. M ha expedido los decretos siguientes: Subtenientes. Esrracto de las minutas dé la secretaría de Es­ . D. R-…</t>
  </si>
  <si>
    <t>Diez, Faustino</t>
  </si>
  <si>
    <t>Faustino Diez</t>
  </si>
  <si>
    <t>D. Bernab S María de Faez , D. Angel Salazar y Aldao, D. José Pereyra, D. Blas Peinador, D. Antonio Rubín, D. Ra­ món Momeo , D. José Benito Perez , D. Faustino Diez , D. To­ mas Rodríguez, D. Bernardo Guallar, D. Antonio Carril, Di Cos­ me Sancho, D. Alonso Sanjurjo ,y D. Fulgencio Ayalai También se ha servido S. M. conferir…</t>
  </si>
  <si>
    <t>Diez, Francisco</t>
  </si>
  <si>
    <t>Francisco Diez</t>
  </si>
  <si>
    <t>ontenegro. D. Fulgencio de la Riva. Agüero. D. Ignacio de la Torre. D. Mana' 1 Calderón. El marques de Cusano. Subtenientes. D. Benito Prado y Ulloa. D. Francisco Diez. El conde de S o Rafael. D. Francisco García. Marques de la Cerrezuela. D. Manuel Palomera. D. Vicente Navajas. j D. J&lt;vef Fernandez Caso. D. Antonio G.rcía Va…</t>
  </si>
  <si>
    <t>te, á por la constitución del estado» REI de las Espa— abanderado. ñas y de las Indias. Décimo, batallón. Hemos decretado y decretamos lo qne signe : D. Francisco Diez, subteniente, á teniente de articulo i. »,Con arreglo á nuestro decreto de la tercera compañía. 19 de abril último se formarán en los pueblos qué D. Josef Marí…</t>
  </si>
  <si>
    <t>Diez, Patricio</t>
  </si>
  <si>
    <t>Patricio Diez</t>
  </si>
  <si>
    <t>........................... 4»oco lar id........................................... . 4+000 D oña Josefa Larrea.............................. 291K1 6 D. Patricio Diez. Porrua, id. de tri- - D. Santos Ortíz.................. 6oc-5'i ’ 6 hitarlos calzados............................... 44000 - ' Doña Victoria Gadea.............…</t>
  </si>
  <si>
    <t>Dihens</t>
  </si>
  <si>
    <t>Gaceta de Madrid n.º 21</t>
  </si>
  <si>
    <t>ue debía exhortaros á la sumisión, A la entrada del G'ronda ha naufragado el ba- respeto y fideliJad; y que vue tra de gracia era vío el Eugenio , so capitán Dihens , que venia de consiguiente si no escuchabais ia voz de la razón y la isla d« Francia, y solo Se han salvado tres ma­ de la prudencia. Gu npli , en quanto estuvo …</t>
  </si>
  <si>
    <t>Dijeon</t>
  </si>
  <si>
    <t>­ cias , amenazándolas con pena de muerte si no les gó á la Roca con la brigada de los dragones del hacían volver, estas amenazas no producían ningún general Dijeon, los enemigos quisieron aventurar efecto Scc. &amp;c. En fin, se queja al marques de la un ataque contra ia cabeza de la coluro; pero ei 17.* Romana de la junta por h…</t>
  </si>
  <si>
    <t>Dijtrichstein</t>
  </si>
  <si>
    <t>destruir los franceses poco antes de su sa­ Se ha publicado en Estockolmo un estado ofi­ lida. cial relativo á los gastos de la última guerra; sus El conde Dijtrichstein, mariscal de los estados resultados son los siguientes: los subsidios de In­ del Austria inferior, ha hecho un iuforroe mui cir­ glaterra pagados en Suecia e…</t>
  </si>
  <si>
    <t>DINAMARCA</t>
  </si>
  <si>
    <t>de* dc Wallis ha de— dáver del difunto Príncipe Real. p clarado expresamente al eatraéenel ministerio qne seguirá, en on -todo los plises’ de Mr." ti conde DINAMARCA. . Odonell. Esto ha servido de mueha satisfacción en Ja coyuntura en que nos hallamos, porque todo* Copenhague a 8 de julio. conocen mui bien el- mérito y sabidu…</t>
  </si>
  <si>
    <t>Dio</t>
  </si>
  <si>
    <t>partido de Tiripitio , compuesto de menestrales y jornaleros, 186, 5., Varios vecinos de la ciu­ dad de Valladolid 516,2. El subdelegado de Apacingan D. Dio­ nisio Fernandez de la Torre i®. Ei intendente de Valladolid y varios vecinos de esta ciudad 5 750 , y ademas 300 anuales. Los xefes y oficiales del regimiento de infante…</t>
  </si>
  <si>
    <t>DippifiOfMe</t>
  </si>
  <si>
    <t>Á¿ x.\vi¿. v.u-'j SnAlfiWWté» D._ Antonio ViHalóm .r-„ ' j Compañía dt^t£esfna.de a IOOplazas. ART. 11. Para k tormacion de estas qqmpapías Capí rao, D. DippifiOfMe^ía.: ^ : X&gt; concurrirán los pueblos cón el púrnerV &amp;e "indMTeniente, D. DVíihing^ Joiejf HnertaLy duos’-qrie segnn sn,'población se liaya. aijígnado á SubtcQÍ&gt;.n^…</t>
  </si>
  <si>
    <t>Diputación, Antonio</t>
  </si>
  <si>
    <t>Antonio Diputación</t>
  </si>
  <si>
    <t>r la ciudad : D. Josef María Araoz, las diputaciones siguientes: maestrante de Sevilla, regidor perpetuo; D. Vi­ cente Argamasilla, regidor perpetuo; D. Antonio Diputación de la ciudad y clero de Gtiadix. Argamasilía , maestrante de Sevilla. Diputados por la ciudad :D. Antonio López» Por el clero: El Dr. D. Pedro Alvarez,dign…</t>
  </si>
  <si>
    <t>Disdier</t>
  </si>
  <si>
    <t>gefss franceses acerca de esta empresa , y que la causa verdadera de su entorpecimiento es la sórdida avaricia de Sebastiani* que mancomunado con el gobernador Disdier, y con .el pirata Seriólo, su ahijado , distrae para la ganancia particular de los tres, los medios que Soult quiere se destinen á otros fines, mas insensatos …</t>
  </si>
  <si>
    <t>Disdier, Henrique</t>
  </si>
  <si>
    <t>Henrique Disdier</t>
  </si>
  <si>
    <t>831</t>
  </si>
  <si>
    <t>los gefes no hall podido e torbar que lo sepa el común de los soldados.—Nuestro quartel general sigue en el Montijo. CARTAS Y PARTES INTERCEPTADOS de D. Henrique Disdier d Sebastiani.' Excmo. Sr.: Remití á V- E, el parte y papeles públicos que le da­ rán ideas de la situación de la provincia. Mucho da que entender la au­ senc…</t>
  </si>
  <si>
    <t>DJort</t>
  </si>
  <si>
    <t>ran número de mi- yos cayeron en un foso, donde han quedado en­ queletes á las ^ropas de línea, esperaba con estos terrados por no poder sacarlos. El coronel DJort refuerzos y una multitud tan considerable de hom­ fae herido de un sablazo en el brazo izquierdo. bres acabar con la división del general Souham. La caballería ene…</t>
  </si>
  <si>
    <t>Djran, Antonio</t>
  </si>
  <si>
    <t>Antonio Djran</t>
  </si>
  <si>
    <t>utar de la cisco R-che, D. Juan Monta ni cr , D, Ventura amable presencia de sus augustos Soberanos. Jáuregui, D. Luis Guillen , D. Lorenzo Oy ,rdo y D. Antonio Djran; subtenientes 3 D. Ma ¡ano París 14 de mayo. R -xas, D. Fernando Anglada , L&gt;. Juan Fiscal y Acaba de llegar de Petersburgo el príncipe D. Juan Andrade. A!ex.md…</t>
  </si>
  <si>
    <t>Dmloupeiarán</t>
  </si>
  <si>
    <t>portancia. Quau- jero de Estado; el general Dumas-du- Pnlatd ; Maldo sea tiempo de publicarlos , mis pueblo^ los apfe- ebus, consejero de Estjtdo; el coronel Dmloupeiarán ea todo su valor, y presagiarán las mas fe­ Verdun , edecán del Reí ; el coronel Legras ; el ca­ lices consecuencias. Mis provincias, divididas en pitán Bla…</t>
  </si>
  <si>
    <t>Dmting</t>
  </si>
  <si>
    <t>Ei Licenciado D. Basilio Arrillíga , 100. D; Manuel García del Duque, capitán de dragones provinciales de Queretaro, 100 ; ademas de 25 men­ suales. D. Dmting s Colonia, 100. El oidcr D. Francisco Xavier de M en dieta:,¡:5 o.. D. Juan Bautista Perez, 25. D. Mariano Do­ mínguez , 15. La cofradía del santísimo Sacramento de la …</t>
  </si>
  <si>
    <t>Dnrand</t>
  </si>
  <si>
    <t>do de la embarcación , por haber bebido gran nha cedido un poco esta mañana.” cantidad de vino de Tenerife. Rcinolds &amp;c. &amp;c. Del 27. Del 22. El señor barón Dnrand, ministro plenipoten­ El quartel general del exército ingles de Por­ ciario cerca de la corte de Stutigardt, ha sid*</t>
  </si>
  <si>
    <t>Dnrango, Andrés Saiz</t>
  </si>
  <si>
    <t>Andrés Saiz Dnrango</t>
  </si>
  <si>
    <t>dalgo. D. Josef lbárreta. D. Pedro Batelú. D. Manuel Negueruela. D. Antonio Bailo. D. Ramón Rites. D. Manuel Toro. D. Josef Castro. D. Antonio Rubio. D. Andrés Saiz Dnrango. Batallón del quartel de S. Francisco. D. Jo sef Antonio Molina. Capitanes. D. Josef Garai. D. Andrés Perez. Subtenientes. D. Julián Pombo. D. Fermín Alfa…</t>
  </si>
  <si>
    <t>do Barca, Miguel Calderón</t>
  </si>
  <si>
    <t>Miguel Calderón do Barca</t>
  </si>
  <si>
    <t>iroga........................................ D. Manuel Gomes. J.‘.......... .......................... ................. . D. Juan Manuel Vaienzueu. D. Miguel Calderón do Barca. 6a• »«• D. Gervasio López Faodo........................ ................................... D Sebastian Loche. fc” .................................…</t>
  </si>
  <si>
    <t>do D, An</t>
  </si>
  <si>
    <t>An do D</t>
  </si>
  <si>
    <t>Nombramos para la primera sa­ servante D. Rafael Perez. cristía de la villa de Berja al ex-merccnario calza­ Y para la deS. PfedrO al ex-fraücíScáno D. An­ do D. picolas Vázquez. drés de la Bermeja. Para lá segunda de la misma iglesia al ex-do- art. ii. Si de la liquidación ‘dél valor de di­ minicb D. Francisco de Paula Manza…</t>
  </si>
  <si>
    <t>do VII, Fernan</t>
  </si>
  <si>
    <t>Fernan do VII</t>
  </si>
  <si>
    <t>a, á la participación del exercicio del poder soberano , y por el real decreto de 22 ¿e ene­ ro declaró á nombre y en voz de nuestro amado rey el Sr. D. Fernan­ do VII, el número de vocales que debían completar el cuerpo augus­ to , á quien,la nación habla confiado el supremo Gobierno^del rey-no. No satisfecha con esto la sup…</t>
  </si>
  <si>
    <t>do Yo, Ines</t>
  </si>
  <si>
    <t>Ines do Yo</t>
  </si>
  <si>
    <t>Gaceta de Madrid n.º 85</t>
  </si>
  <si>
    <t>pte* krt los tUios de la instrucción pública en España. «entará por la compañía española la comedia en tres ac­ tos titulada Reinar después de morir, Doña Ines do Yo también, Sr. D. M., soi del número de los afi­ Castro, y b opereta del Engañador engañado. ActoTe* cionados á la educación; también he escrito algo sobra en la c…</t>
  </si>
  <si>
    <t>Dócio, Cristóbal</t>
  </si>
  <si>
    <t>Cristóbal Dócio</t>
  </si>
  <si>
    <t>rincesa el empleo de tenien­ te coronel á D. José María Bonieelli ; el de sargento mayor, k D. Juan de Dios Alguer ; compañías á D. Francisco Sapena, D. Cristóbal Dócio, D. Manuel Bausa, D. Juan Doz, D. Jayme Perj, D. Juan Nioa , D. Juan Vasadre, y D. Pablo Baliñani; ayudantías, á D. Francisco Valdés, y D. Félix Camarasa ; te…</t>
  </si>
  <si>
    <t>Doczi</t>
  </si>
  <si>
    <t>, primer teniente de la ce estas basas es la revocación de las órdenes del guardia noble alemana, con 12 oñciales de la mis­ consejo. ma guardia; del teniente coronel Doczi, primer El dia 5 de marzo salió la fragata John Adame quarrelmacstre de la guardia noble húngara , con 12 eon pliegos del señor Piocknei relativos á las p…</t>
  </si>
  <si>
    <t>Dods, Jóhtt</t>
  </si>
  <si>
    <t>Jóhtt Dods</t>
  </si>
  <si>
    <t>tres palos, el Mér­ mala y de Londres , de cerca de 400 toneladas de porte, armado áe 16 carroñadas y de 2 cañones, .. / . , TBATXOS. v»ánd3dó1pbrrél capitán Jóhtt Dods, cdh 17 Hom­ bres dfe tfipuláciort'y14 pasageros, entre ellos úna En el del Príncipe ,\á lis kiete de la noche, sr re­ tnúger. ‘Esrfe -bd^ué había’ sáfiidó-el…</t>
  </si>
  <si>
    <t>Dodti</t>
  </si>
  <si>
    <t>1 Emperador visitó línea, de dos Fragatas y de dos lanchas cañoneras, al dia siguiente todos los establecimientos públicos y tq^ndada por el teníante capitán Dodti, se diri­ de esta ciudad y de los Alrededores. S- A. I. la ar­ gió hácia la' fortaleza de Schum-kale, situada eo chiduquesa María dexó allí á sus augustos padres, …</t>
  </si>
  <si>
    <t>DoisQn</t>
  </si>
  <si>
    <t>ivisiones Lotson y Mordí and. La primera hizo un ataque sobre la derecha del camino que conduce^ al convento de Busaco, y otro sobre la izquierda. El general DoisQn, viéndose obligado á trepar por una montaña muy escar­ pada para llegar al camino real, lo consiguió después de gran­ des esfuerzos ; pero aun no había tenido tie…</t>
  </si>
  <si>
    <t>Dol</t>
  </si>
  <si>
    <t>la semana al principe de Scnvvartzehberg, ministro .del emperador dé Austria. —El horror centra el tai'Caüráiñcdnft es tsñ ¡grande , qué habiendo la princesa Dol.... te­ nido fcdñyersacTSñésmuy vlokntás contra, él públicamente, se quejó cómo, agraviado al emperador,, ¡quien se contentó con dar á entender á La princesa qué. ño…</t>
  </si>
  <si>
    <t>Dolarea, María Josefa</t>
  </si>
  <si>
    <t>María Josefa Dolarea</t>
  </si>
  <si>
    <t>eros..................... . 2808 sef Frechj............................................. 1370 D., Antonio de Siles........................... . 5505- Doña María Josefa Dolarea.,................ 2C9$ D. Miguel Maderna............................ . 1826.. 8! D. Nicolás Barsanti, como- apoderado D.íjosef Hermosa.................…</t>
  </si>
  <si>
    <t>Dolgorouki</t>
  </si>
  <si>
    <t>ceremonias, y presen­ capitán y edecán del conde de Niepperg. tada por la condesa de Brignole. Por SI E. el príncipe Kourakin, embajador de Rusia, el príncipe Dolgorouki, teniente general, ESPAÑA. ministro de Rusia en la corte de Holanda; el prín­ Madrid a de Julia. cipe Boris Kourakin, gentilhombre, y el conde de Zotoff, gen…</t>
  </si>
  <si>
    <t>Dolgorouski</t>
  </si>
  <si>
    <t>la esquadra del capitán baxá. Por otra parte la El 9 ha llegado aquí de Amsterdan el teniente navegación del mar Negro es mui peligrosa en 1 a eneral príncipe Dolgorouski, ministro qoe fue de estación que va á entrar. SLosia cerca de la corte de Holanda. Hace algunos días qne han llegado i esta capi­ tal el señor conde de Sto…</t>
  </si>
  <si>
    <t>Dollard</t>
  </si>
  <si>
    <t>onel del quinto de cazadores , á Prado del Rey en la dirección de Ourique con un des­ tacamento de su cuerpo. Los insurgentes, echados de allí por el coronel Dollard , tuvieron la temeridad de venir á atacarlo (5). Una descarga que (3) Calculo bato. El fruto de una expedición que ha llenado su objeto perfectamente , es la pér…</t>
  </si>
  <si>
    <t>Dolz, Miguel</t>
  </si>
  <si>
    <t>Miguel Dolz</t>
  </si>
  <si>
    <t>Gaceta de Madrid n.º 344</t>
  </si>
  <si>
    <t>do ; se las mezcla perfectamente; se las hume­ dece; se las da la forma de jciiindros; se dividen estos cilindros en porciones, pequeñas , que se re­ D. Miguel Dolz, profesor de matemáticas, y dondean con la mano, y se dexan á la temperatu­ catedrático de la academia pública que con real ra del agoa hirviendo el tiempo necesa…</t>
  </si>
  <si>
    <t>Dombrowiki</t>
  </si>
  <si>
    <t>tiene de fuerza 60Q hombres, se distribuirá en ade­ Leipsick 4 de diciembre. lante en dos divisiones. El general Zdonczek man­ dará la primera, y el general Dombrowiki la se­ Se ha mandado fortificar la ciudad de Wittemgunda. Ahora consta este exército de 26 regimien­ berg, y piensan en hacer una fortaleza de primer tos de in…</t>
  </si>
  <si>
    <t>Domin</t>
  </si>
  <si>
    <t>lso. Ya Joaquín del Riégo; y para las tres plazas de alcal­ está abierta la navegación desde Dole á Dijon: las des dei crimen que resultan vacantes á D Domin­ obras se hallan en el día entre Dijon y el puente go dd Reí, D. Josef Guadalupe y Palacios y Don de Pany, entre el Yónne y S. Florentin. Josef Fernandez Haro. «Se han a…</t>
  </si>
  <si>
    <t>Domín, Cristóbal</t>
  </si>
  <si>
    <t>Cristóbal Domín</t>
  </si>
  <si>
    <t>chivero, 15. D. Francisco Garavilla , escribiente, 10. D. Julián Zubia, idem, 10. El auditor de guerra D. Mariano Herrera, 100. El ayudante inspector D. Cristóbal Domín­ guez , 100. — Compañías militares, patios. Capitán D. José Francisco Zozaya, 184. y 6 rs. Teniente D. Nicolás Tarín, 50. Id. D. Pedro Armendariz, 10. Alférez…</t>
  </si>
  <si>
    <t>Domín, Miguel</t>
  </si>
  <si>
    <t>Miguel Domín</t>
  </si>
  <si>
    <t>e D. Pedro Viilare»! ; ayudantía á D. Vicenta Blanco, y esta resulta al capitán graduado D. José María d# Aguilar; en el 2.a de Lusitania ayudantía i D. Miguel Domín­ guez, teniente del de caballería de Borbon , y empleo de aifere* al capitán graduado D. Berfiardino del Valle, cabaiiemo-de cam­ po de S. M. i y en el de perseg…</t>
  </si>
  <si>
    <t>Domingo</t>
  </si>
  <si>
    <t>den Real de España ballo para Madridejos. ¡ Oxalá llegue qnanto antes Los Señores e! tiempo de que libres los pueblos oprimidos y ti­ Agüero y Neira (D. Domingo), presidente de la ranizados puedan gozar en perfecta paz de la vista junta criminal extraordinaria. de tan benéfico Soberano para cicatrizar las llagas Aldamar (D. J…</t>
  </si>
  <si>
    <t>........... 3f 18'. 6 D.- Jorge Similier.-............ ■ 25629 16Í D. Francisco deVárgas.,,....'3753"20! D. Juan Malnéro;.;...-..........: ••■57061 i D. Domingo de-Vengoa jao98.'24T D. Edmundo Bourke............'..s.f;.;i¡Ui; • 97333 25Í D. Joaquín Calvo..........n.i. ..... .46217) D. Juan Andureó;..................itoib 17 L…</t>
  </si>
  <si>
    <t>¿VISO*. estas medidas lineales da la medida elemental de capacidad , asi para áridos como para líquidos; el Vales correspondientes á la instancia de D. Domingo peso del agua destilada contenida en este mismo de Ventados, que habiendo sido remitidos á Bilbao, fueron interceptados. cubo es la unidad de peso: asi pnes reposando …</t>
  </si>
  <si>
    <t>dicador y meten. Muí pronto se- verán reducidos á la mayor confesor. miseria. Nuestro exército se ha visto en la cruel Para la de la villa de Zujar á D. Domingo aecesidad de recurrir á lo que de ordinario se usa Olaya, de la misma órden, lector, guardián y en las retiradas, que es talar el’pais qne se dexa. examinador sinodal…</t>
  </si>
  <si>
    <t>cisco Xavier Chaves, 10. Varios individuos 169-y 3- ts-, — yuta HéV Jüqtnhre de Djp$¿ D. Jijan: Amonio Yandiola^ 5a íy&amp; Jasé Antonioi^o-1 pena,; 59. ,D. Domingo., Sarácho , 10. Ramón; Gár&amp;y^lio. D. Freií-; ci$co Antonio Saenz, 25*. D. Bernardo Fernandez ,-2-5". DrPedro Colfófftes, 10. D. Juan Miguel Lavayen, 25. .D. Berharcío…</t>
  </si>
  <si>
    <t>Domingo, Ignacio</t>
  </si>
  <si>
    <t>Ignacio Domingo</t>
  </si>
  <si>
    <t>os del apos­ tadero de marina de Montevideo. Zumaca Carlota. Oficiales mayores. D. Pablo Guillem, segundo pi­ loto, ,3o- D. Juan Canosa, capellán zo. D. Ignacio Domingo, cirujano segundo , 50. —Idem de mar, de sueldo fixoy temporal. Amador Ponsada, primer guardián, 26. Eduardo Finch', práctico, 25. Nicolás Ardil, primer carpi…</t>
  </si>
  <si>
    <t>DomingoGarcíá</t>
  </si>
  <si>
    <t>estro consejo de M&amp;± D. Pedro, Ferrerp Ku*4 20 . tado, ; i D. Julián María. BUzquez................. 27040 Hemos decretado y decretamos lo siguiente" D. DomingoGarcíá....¿.,..;................ 39372 3* articulo i. „ Se declaran acreedo- • .&lt; Doña Bernarda, pjaz,...... 21900 res del Estado al Monte pió de reales —-—B‘. , rV¿, …</t>
  </si>
  <si>
    <t>Domínguez, Francisco</t>
  </si>
  <si>
    <t>Francisco Domínguez</t>
  </si>
  <si>
    <t>scribano de millones. sueldo. D. Francisco de Cárdenas, idem de alcabala*. D. Josef María Moñiz, ídem. D. Alexo de Navas , ídem. Tesorería principal. D. Francisco Domínguez, ídem. D. Josef Bfitran . ídem. D. Pedro Díaz de Casso, tesorero principal. D. Miguel de la Oliva, meritorio sin sueldo. D. Vicente Díaz de Casso, oficial…</t>
  </si>
  <si>
    <t>Domínguez, Josef</t>
  </si>
  <si>
    <t>Josef Domínguez</t>
  </si>
  <si>
    <t>Ocho marjales de riego, ert\cl parrales, en el pago de Lan- Mascuñar, linde con Cristó­ tin, término de Torrox, linde bal Nalvaez y Francisco Me­ con D. Josef Domínguez, el na, arrendados á Josef Guer­ rio y barranco de Guerra, que ra Sánchez en......................... I70 204a lo tiene en arrendamiento An­ Quatro marjales d…</t>
  </si>
  <si>
    <t>Domínguez, Pedro Josef</t>
  </si>
  <si>
    <t>Pedro Josef Domínguez</t>
  </si>
  <si>
    <t>erte ,, Dios, guárde í V. mochos años. Córdoba ie D.Bartolomé Caballero Duran:, al ¿Jiesbítero ex¿ x.° de'mayó de i3io.=?El gobernador general uguhr.-D. Pedro Josef Domínguez, o, Dessalle. := Señor corregidor de......" {Correo polí­ Para el de la parroquial de Znheros, vacante tico? militar de Córdoba del &lt;T de mayo. } por mu…</t>
  </si>
  <si>
    <t>Domínguez, Pedro Segando García</t>
  </si>
  <si>
    <t>Pedro Segando García Domínguez</t>
  </si>
  <si>
    <t>26100 Doña Gerónim* .Magdonell.......... . 3000 D. Francisco Rodríguez Puente....... 2700o D. Carlos Aupetit...................... .......... 833111 D. Pedro Segando García Domínguez. 38:60 D. Miguel López............................ 4098 ic(&gt;. D. Josef Manuel de; lzaguirrc.......... 108000 D. Francisco Rodríguez de la Huerta…</t>
  </si>
  <si>
    <t>Domínguez, Tomas García</t>
  </si>
  <si>
    <t>Tomas García Domínguez</t>
  </si>
  <si>
    <t>iego. D. Ramón Vartureu. D Macuel Alevio. D. Diego Castro. D. Juan Lecanda. • D. Josef Casalc. D. Plácido Ffexalde. D. Ramón Pando. D. Cj i*o Garc.a. D. Tomas García Domínguez. D Nicolás Herencia. Batallón del quartel de S. Martin. D. Gervasio Fernandez Izquierdo. Capitanes. D. León de Montenegro. D. Fulgencio de la Riva. Agü…</t>
  </si>
  <si>
    <t>Dominici, Miguel Pascual</t>
  </si>
  <si>
    <t>Miguel Pascual Dominici</t>
  </si>
  <si>
    <t>carmelitas descalzos...... . 22000 Villegas por............................. ........ 76500 Doña María Ignacia de Recalde....... 54000 2.498110.. 29 D. Miguel Pascual Dominici............. 85500 D. Vicente Ferrer Cabrera........ *.... 113400 Que á una suma importan 2.498110 reales y ao Doña María Antonia Portería por sn marav…</t>
  </si>
  <si>
    <t>Domiogo, Luis</t>
  </si>
  <si>
    <t>Luis Domiogo</t>
  </si>
  <si>
    <t>comandante de las Arsd (D. Felipe de), comandante de batallón del armas en la villa de Lora del Rio. regimiento núm. 7.* infantería de línea. Feraud (D. Luis Domiogo), administrador gene­ Auchard (D. Jo*ef), músico del regimiento de ti­ ral dei real me n age. radores de nnestra guardia real. Fienri (D. Josef) , cabo de granad…</t>
  </si>
  <si>
    <t>Don</t>
  </si>
  <si>
    <t>rregidor y de to­ dos los espectadores. Y de todo este acto soiemne He aquí de que jiez son los lenitivos con que dió fe en debida forma el susodicho secretario Don la ]unta de Sevilla quiere suavizar la noticia de la Juan Villa y Olier. paz de Austria, que tanto trab-jo ha costado el ar­ rancarle. Con esta patraña quiere rem…</t>
  </si>
  <si>
    <t>choa, na­ La gazeta del sábado último publica la relación tural tic Luyan Jo, y Francisco de Larracoechea,del de oñcio , que contienen las cartas del general Don, valle de Llodio, y su suerte inevitable, para que de sir Richard Strachan, y del conmódoro Owen los buenos descansen so6re la protección de las le­ sobre la evacuac…</t>
  </si>
  <si>
    <t>D. Jacinto Sobijana, subteniente D. Rafael Hidalgo , otro ,.D. Hilario Crespo. Núm. Extracto de unos pliegos remitidos Primera compañía de fusileras. Capitán Don al secretario de Estado Mr. Canning por Mr. Joaquín Romero, teniente D. Rafael Saez, otro, Benjamín Bathurst, enviado de Inglaterra, en la D. Florencio Barcena , sub…</t>
  </si>
  <si>
    <t>l orden IX. No ha y ningún exérci- á los generales de los exércitos nacióto español fuera del de S. Af. C. nales, á los capitanes generales de las el rey Don yosé Napoleón; provincias, gobernadores de plazas, á así todas las partidas que exis- todos los gefes de cuerpos, colimas motan en las provincias, qual- vibles, destacam…</t>
  </si>
  <si>
    <t>Dónele, Enrique O</t>
  </si>
  <si>
    <t>Enrique O Dónele</t>
  </si>
  <si>
    <t>122</t>
  </si>
  <si>
    <t>solo inuta&amp;te de la división. — D.cs guarde ¿ V. E. muchos añes. — Vilb.fr&amp;nca 16 de mayo d« 18 LO. — Exc&amp;m. Sr. — Honorata de Ffcures. — Exorno. Sr. D. Enrique O Dónele” EL general en gefe, mi* fecho dé ia bizarría , distinguido va­ lor y patriótica" constancia ds e*£os heroicos imitadores de se* hermanos y compañeras de arm…</t>
  </si>
  <si>
    <t>Donell, O</t>
  </si>
  <si>
    <t>O Donell</t>
  </si>
  <si>
    <t>galeras cargadas de trigo y 805) reales que conducían á Méri­ da de las contribuciones que imponen á los pueblos. Las partidas de observación, que el general O- Donell desta­ có á Alcuescar y Mirandilla en las inmediaciones de Mérida el dia del ataque de Truxillo , hicieron prisioneros á 4 dragones con sus caballos : avisan q…</t>
  </si>
  <si>
    <t>Donoso, Juan Ximencz</t>
  </si>
  <si>
    <t>Juan Ximencz Donoso</t>
  </si>
  <si>
    <t>para la instrucción de la ju­ dos á ios comisarios de guerra franceses nombra­ ventud militar en el rompimiento de yna guerra, por dos á este efecto. D. Juan Ximencz Donoso, teniente coronel de infan­ art. vi. Todos los planos y papeles de la tería, é ingeniero en segundo de los Reales exército». plaaa^seran remitidos al coma…</t>
  </si>
  <si>
    <t>Dor, Jaime</t>
  </si>
  <si>
    <t>Jaime Dor</t>
  </si>
  <si>
    <t>........... 9274..!5 matrimonio de S. M. el Emperador, D. Pedro Baille y compañía............ 182105.. 2 i El Reí de Baviera estará‘todavía por algún D. Jaime Dor:.................................... 128527..12 tiempo en esta capital; pero la-Reina su esposa sal­ Doña Isabel Cortés de Taranco........ 36666.. 16 drá , según di…</t>
  </si>
  <si>
    <t>Doral, Juan Bautista</t>
  </si>
  <si>
    <t>Juan Bautista Doral</t>
  </si>
  <si>
    <t>Patria á los tenientes coroneles D. Aíexandro de Horé y D. Igna­ cio Balanzat: el de teniente coronel-del-de Truxií:o, a] teniente coronel 'agregado D. Juan Bautista Doral; y en el regimiento de- infantería de Murcia compañías ¿í D. Francisco VVarleta y D: Jaime Lafons; ayundantías á D. Rafael María de-la Peña y D: Teodoro Vi…</t>
  </si>
  <si>
    <t>Dorronsoro, Andrés</t>
  </si>
  <si>
    <t>Andrés Dorronsoro</t>
  </si>
  <si>
    <t>el estado; lo expuesto por nuestro ministro D. Roque de Avila............1.............. 1263.. 17 de Hacienda , y oido á nuestro consejo de estado , D. Andrés Dorronsoro........... ............... 3068.. t-7 Hemos decretado y decretamos lo que sigue • D. A-ndres Bardon................................... 7310 articulo-1. ,,Se…</t>
  </si>
  <si>
    <t>Dorsenne</t>
  </si>
  <si>
    <t>an de pasar SS. MM. está ya organi­ se han distinguido mas de acó individuos. El ge­ zada la guardia de honor. SS. MM. presenciarán neral de división conde Dorsenne, que se aprovecha urbanidad es agasajado á su vez; bien que el Convidado miente un solo instante. Es el D. Juan uno de los hom­ de piedra, mas duro de consiguient…</t>
  </si>
  <si>
    <t>DortorofF</t>
  </si>
  <si>
    <t>a tropa que estaba tendida desde el arco hasta sometido y rendido vasallage á la Rusia. el palacio. El regimiento de húsares polaco acom­ El teniente general DortorofF ha sido nombrado pañó al Rei desde Gerniakow hasta una legua de general de infantería, en recompensa de los servi­ aqui. El príncipe Poniatowski, que había vue…</t>
  </si>
  <si>
    <t>Dot, Jaime</t>
  </si>
  <si>
    <t>Jaime Dot</t>
  </si>
  <si>
    <t>París y el coronel Dupeiroux , á Dendoat, hermanos.................................... 51=33 ri pesar de sus recientes herid is, marcharon con gran­ D. Jaime Dot............................................... 25702 16 de actividad ai frente de L&lt; tropas. El enemigo 19. Santiago Gavirati................................. 2c45 1…</t>
  </si>
  <si>
    <t>Dot, Juan</t>
  </si>
  <si>
    <t>Juan Dot</t>
  </si>
  <si>
    <t>ici­ medecerá un poco, y después se frotará con él la palidad de ella á D. Juan Manuel de Gaona , i parte, sea qual fuere, manos, lanceta ó utensilio D. Juan Dot, á D. Julián Viejo, á D. Gregorio que haya tocado persona ó parte infestada, á cuya García , á D. Antonio Mediano y á D. Juan de maniobra seguirán unas quantas lavac…</t>
  </si>
  <si>
    <t>os. Los vientos impe­ art- vni. En la milicia cívica de la cindad de tuosos que hati reinadn eo los dias 9 y 10, y en la Guadalaxara quedan nombrados D. Juan Dot pa­ noche deí io al 11, deben de haber ocasionado gran­ ra comandante de las quatro compañías ; D. Josef des'daños, y acaso machos naufragios en estos Bonfanti para …</t>
  </si>
  <si>
    <t>Douba</t>
  </si>
  <si>
    <t>e dando providencias severas para levantar tro­ pas en los parages Ubres del enemigo ; y añade que por entonces pasaban ya de 1Q0 los alistados.«— El general Douba’t, goberna­ dor de la parte de dicho reyno , ocupada y destruida por loa f an­ ceses , acaba de imponer k los desgraciados pueblos una contribu­ ción de dos millon…</t>
  </si>
  <si>
    <t>Douglas</t>
  </si>
  <si>
    <t>tase , y de disciplina, y su espíritu pacífico, causan admira­ DO volver hasta adquirir noticias sobre su paradero. ción á nuestros conciudadanos. El doctor Douglas escribe también desde Sier­ Breskens 2¡ de mayo. ra-Leona con fecha del mes de marzo último, di­ S. M. el Emperador llegó aquí el dia rS á las ciendo que ha visto…</t>
  </si>
  <si>
    <t>r el teniente coronel Wallace, por el regi­ miento nüm. 4&lt;5 , mandado por el teniente coronel Meade y el regimiento portugués nüm. 8 , mandado por el teniente coronel Douglas, todos á las órdenes del mayor general Picton. Es­ tos tres regimientos embistieron con bayoneta calada, y desal&lt;¡¿aron la división enemiga del terreno …</t>
  </si>
  <si>
    <t>: La brigada 9 y 21 al mando del coronel Champalimaud, y después que este Aúé herido, del teniente coronel Sutton ; el regimiento 8 , mandado por el teniente coronel Douglas, la brigada 1: y 16 de línea, y el quarfco batallón de cazadores, á las órdenes del general Pack; la brigada 7 y 19 , y cazadores num. 2, á las órdenes d…</t>
  </si>
  <si>
    <t>Doumerc</t>
  </si>
  <si>
    <t>viige de Anacarsisla prefiriese en cierto modo i la El barón Tousard, el barón Barbanegre, el suya: un tomoá 20 rs. en rústica.-—La esclavina robada barón Doumerc, Dumoulim y el barón K¡¿ter, ge­ y los petardistas. En este opúsculo satírico se ridiculi­ nerales de brigada. zan las modas exageradas, y se reprehende con chiste …</t>
  </si>
  <si>
    <t>Downie, Juan</t>
  </si>
  <si>
    <t>Juan Downie</t>
  </si>
  <si>
    <t>uertos, entre ellos un cadete del regimiento del general y un paisano; igualmente hemos tenido 10 heridos, entre los que contamos al comisario ingles D. Juan Downie, que se halló de aficio­ nado en las avanzadas de Sta. Encracia. Las guerrillas de infantería y caballería se han portado con la mayor bizarría, y han manifestado…</t>
  </si>
  <si>
    <t>Doy</t>
  </si>
  <si>
    <t>799</t>
  </si>
  <si>
    <t>s los que se pasan. Se ha presentado k un negocian­ te de esta ciudad una letra de cambio de mas de 5000 libras esterlinas (300000 rs.) girada por el general Doy le en Tarrago­ na , cuyo importe, como se expresa en ella misma, está desti­ nado para vestir y alimentar á los de-ertores del exército fran­ cés que han entrado al …</t>
  </si>
  <si>
    <t>1 GDI Con noticia de este movimiento nuestro general, ponién­ dose de acuerdo con el general Doy le y el capitán Codringíoa del navio ingles Mache que se hallaba á la vista, dispuso que se .embarcasen á.su bordo los batallones , tercero de caza­ dores de Orihaela y. según lo de linea de Vaien ia, al mando del sargento mayor d…</t>
  </si>
  <si>
    <t>Doy, Carlos Guillermo</t>
  </si>
  <si>
    <t>Carlos Guillermo Doy</t>
  </si>
  <si>
    <t>Gazeta de la Regencia de España e Indias n.º 95</t>
  </si>
  <si>
    <t>pliegos* p r los quales se saben las fuerzas qu -tiene el enemigo en estos contornos Dia SI. Ayer k laura, y media entró en esta plaza, c-1 ge­ neral D. Carlos Guillermo Doy le. y á pesa r de la ter i ble caí ­ da que din en ti camino, e-tmptándo; e el pecho y brazo iz­ quierdo, fué á. visitar los hospitales y las frrtabzas,y…</t>
  </si>
  <si>
    <t>Doyle</t>
  </si>
  <si>
    <t>29- Al anochecer de ayer se dirigió desde el castillo Una bomba á las Roquetas, y otra esta mañana, ambas i 1 en as de exemplan s de una proclama del general Doyle en castellano* francés, italiano y polaco, convidando á ’a deserción. — Al mediodía ?e han visto venir de la parte de Ultdecona unos 10Ó coraceros em migí s con mu…</t>
  </si>
  <si>
    <t>Doz, Fermín</t>
  </si>
  <si>
    <t>Fermín Doz</t>
  </si>
  <si>
    <t>Federico-Henrique á á D. Manuel de Campos y Rosal: comandante de quatro leguas de aquí. El general Fauconnet, go­ esquádron de caballería de línea á D. Fermín Doz: bernador de Ambéres, escribe queSS. MM. llegarán subteniente de cazadores á caballo , núm. t.°, á aquí á media noche , y que hartan su viage por D. Joaquín Pessino…</t>
  </si>
  <si>
    <t>Doz, Juan</t>
  </si>
  <si>
    <t>Juan Doz</t>
  </si>
  <si>
    <t>el á D. José María Bonieelli ; el de sargento mayor, k D. Juan de Dios Alguer ; compañías á D. Francisco Sapena, D. Cristóbal Dócio, D. Manuel Bausa, D. Juan Doz, D. Jayme Perj, D. Juan Nioa , D. Juan Vasadre, y D. Pablo Baliñani; ayudantías, á D. Francisco Valdés, y D. Félix Camarasa ; te­ nencias, á D. Manuel Sainz, D. Juan…</t>
  </si>
  <si>
    <t>Drígets, Jorge</t>
  </si>
  <si>
    <t>Jorge Drígets</t>
  </si>
  <si>
    <t>incipal de la misma ciu­ Chamborán; capitanes á D. Hilario Féiix y á Don dad , firmada por el señor general García Conde, Andrés Russi; subteniente á D. Jorge Drígets comandante superior. subteniente del regimiento de Castilla, i.° de in­ La puerta principal del fuerte se entregará in­ fantería ligera, á D. Ramón Mattali: sub…</t>
  </si>
  <si>
    <t>Dromcoot</t>
  </si>
  <si>
    <t>Gaceta de Madrid n.º 1</t>
  </si>
  <si>
    <t>­ do, al: mismo tiempo, el conceder; en cestos sión han sido O-Gorman, Sculli, -Hussei, establedir/fentos plazas gratnitas ¿ ios.hijos O-Conneíl y el doctor Dromcoot.. Aprobar de--los .que nos hubiesen hecho servicio», da driábimemente la representación don Us cooto.la mas noble ymas digna recompen­ enmiendas, Mr. O-Counell h…</t>
  </si>
  <si>
    <t>Dronet</t>
  </si>
  <si>
    <t>Gaceta de Madrid n.º 314</t>
  </si>
  <si>
    <t>*4q8 „Esforzados trabajadores militares : babels cum­ Parts rp de oetnbre. plido vuestros deberes á presencia del enemigo. La El general Dronet, com ndante del noveno ciudad de Ambéres, de la que sois como sus hijos cuerpo del exército de E:paña, ha comunicado con adoptivos , os manitiesta el mayor reconocimien­ fecha del 10 …</t>
  </si>
  <si>
    <t>Drouet</t>
  </si>
  <si>
    <t>ña un espléndido banquete de 800 duce los prisioneros; y la persona que ha dado es­ cubiertos, haciendo los honores el cuerpo munici­ tas noticias al general Drouet le habia dexado en pal que daba esta función. Ademas de los trabaja­ Viseo. dores militares fueron convidados algunos sargen­ ,,E1 exército francés de Portugal go…</t>
  </si>
  <si>
    <t>145</t>
  </si>
  <si>
    <t>entrada. Estos dos momentos fue­ ne que caminar coa los prisioneros á marchas re­ ron anunciados con un repique general de campa­ gulares , envió al general Drouet un porrngaes de nas. La guardia nacional hizo el servicio todo el los que están empleados en mi intendencia, sugetiempo que duró esta ceremonia solemne. Luego to i…</t>
  </si>
  <si>
    <t>e asegura que el general Seras, que ocupaba á Benavente y sus contornos, se ha encaminado con algunas tropas á Valiadolid á sustituir á Kellerman. El general Drouet es el que manda el 9 ° cuerpo del exército francés que ha baxado de Navarra y Vizcaya, y ocupa actualmente á Salamanca, Ciu­ dad-Rodrigo y Zamora. Se comp -ne de …</t>
  </si>
  <si>
    <t>Dtieñasp, Domingo</t>
  </si>
  <si>
    <t>Domingo Dtieñasp</t>
  </si>
  <si>
    <t>nte por la de Avila: D. Fran­ cisco Eguía, jupíente por el señorío de Vizcaya: D. Evaristo Perez de Castro , suplente por la provincia de Valladolid: D. Domingo Dtieñasp suplente por la de Granada: D. Francisco de Sales Rodríguez de Barce­ na .suplente por la de Sevilla: D. Francisco Escudero , suplente por la de Navarra : D.…</t>
  </si>
  <si>
    <t>Düarte, Juan Gil</t>
  </si>
  <si>
    <t>Juan Gil Düarte</t>
  </si>
  <si>
    <t>todos los pueblos por donde han pa­ bítero ex-regular: para una ración de la catedral sado SS. M.\l. desde Ambéres hasta esta ciudad han de Málaga á D. Juan Gil Düarte, cura de la par­ sido recibidos coa el mayor entusiasmo y repetidas roquial de S. Juan de Velez; y para una canongía aclamaciones. de ia colegial de S. Hipólit…</t>
  </si>
  <si>
    <t>Dubois, Agustín</t>
  </si>
  <si>
    <t>Agustín Dubois</t>
  </si>
  <si>
    <t>o y Hemos decretado y decretamos lo que sigue: demostraciones de amor á nuestros augustos Sobe­ articulo 1. ,, La partida del fallecimiento de ranos. D. Agustín Dubois se arrancará del libro parro­ S. M. ha admitido hoí á su audiencia á las au­ quial del Sagrario de la santa patriarcal de la igle­ toridades del país, y en seg…</t>
  </si>
  <si>
    <t>Ducka</t>
  </si>
  <si>
    <t>hecho en esta ciudad el el Emperador no ha hecho mas qoe admitir en el dia aniversario de la batalla de Wagratn para so­ número de sus consejeros ai general Ducka, albacorrer á los inválidos y á los habitantes de Esslrng ron de Hingeoau , vicepresidente d=l gobierno Je y de Wagram ha producido una gran cantidad de Stiria , y …</t>
  </si>
  <si>
    <t>Duff, Diego</t>
  </si>
  <si>
    <t>Diego Duff</t>
  </si>
  <si>
    <t>ier, i®. E.í señor D. Tomas Withington, i®. El señor D. Carlos O’Gorman, i@¡. El sensor D. Tomas Barber, 10. El señor D. Cárlos Vaughan, i®. El señor D. Diego Duff, cónsul de S. M. B., 5©. El señor D. Andrés Archdekin, yice-cónsul de S. M. B., 2©. El señor D. Duncan Shavv, 3©. El señor D. Tomas Goddard, t®. El señor D. Jacobo…</t>
  </si>
  <si>
    <t>DufF, Diego</t>
  </si>
  <si>
    <t>Diego DufF</t>
  </si>
  <si>
    <t>1000. El Sr. D. Tomas Goddard, 2000. El Sr. D. Guillermo Branscomb , 2000. El Sr. D. Carlos Vaughan , 2000. Ei Sr. D. Alexaúdo Briarly , 1000. El Sr. D. Diego DufF, cónsul dé S. M. B. , 3000. El Sr. D. Gedeon Cranstoun , 2000. El Excmo. Sr. D. Enrique Wellesley , 5000. El Sr. D. Joaquín de Villanueva , 1000. El Sr. D. F. M. H…</t>
  </si>
  <si>
    <t>Dufoo, Francisco</t>
  </si>
  <si>
    <t>Francisco Dufoo</t>
  </si>
  <si>
    <t>qoellada......... D. Manuel Canuco.............. . D. Francisco Saochcs Moa9/. dragon. D. Antonio Laredó. 10. Segundo batallón. Pata ayudante primero D. Francisco Dufoo» para ugundo D. Manuel Alevio» y para abande­ rado D. Carlos Abancini. D. Tomas Garda Suelto...... D. Tullan González Saes, D. Ceferino Casas. El Marques de l…</t>
  </si>
  <si>
    <t>Dufóo, Francisco María</t>
  </si>
  <si>
    <t>Francisco María Dufóo</t>
  </si>
  <si>
    <t>las Doblas. En nuestro palacio de Madrid á 16 de mayo Batallón del quartel de la Plaza. de i8ro. D&lt;m Josef Napoleón por la gracia de Dios y Cápitan , D. Francisco María Dufóo. por la c-nistnucion del estado, REI de las Espa- Teniente, D. Eustasio Villaseñor. ñas v de las Indias. Subteniente* D. JoSeí Gamarra y Cambronero. ■ .…</t>
  </si>
  <si>
    <t>Dufour</t>
  </si>
  <si>
    <t>lo que se necesite para él). TITULO TERCERO. Del gobierno de Navarra. — Tercer gobierno. (La provincia de Navarra se llamará gobierno de Navarra. El general Dufour sera gobernador do Navarra, y conduci­ rá alia los quatro Tegumentos de su división; y en quanto á su autoridad y manutención del exército, lo mismo que lo dicho r…</t>
  </si>
  <si>
    <t>Düjardín, Juan Armando</t>
  </si>
  <si>
    <t>Juan Armando Düjardín</t>
  </si>
  <si>
    <t>.................... p. Rufino Ballestea. ................................................. D. Luis María Z.Vala. D. Fcrmin Aifaro................... D. Juan Armando ‘Düjardín. D. Manuel CarriJo....................................... ............................ D. Miguel Antonio Ib.ruz.......... .............. .V.J..... ..y.…</t>
  </si>
  <si>
    <t>Duka</t>
  </si>
  <si>
    <t>el mariscal de la dieta. Bannato y en la Sirmia. También se dice que el mando en gefe de est^s tropas se ha confiado al te­ ALEMANIA. S niente feld- mariscal Duka, cuyo quartel general le establecerá en Temeswar. Hamburgo 23 de abril. EÍ general Esten, gobernador de la Pomerania ‘ SAXONIA. sueca, ha mandado que las tropas de …</t>
  </si>
  <si>
    <t>668</t>
  </si>
  <si>
    <t>de inscribirlos rntntre loe rusos y tuteos. El maído detestas tropas br.-s de los que coupong n la guardia cívica, y se ha confiado al teniente feid-mariscal Duka, que deci iir sobre l.¡s representaciones de txé cion del por..irá su quartel general en Tcines'War. servicio ordinario. Los que cb eng.-rn estas dispen­ S gun las …</t>
  </si>
  <si>
    <t>asegura que dentro de unos días se abrirá al quJa. ^ ............ póblicp la galería de hs' pinturas , de qne somos Ha regresado á esta provincia el general Duka, deudores á la munificencia de nuestro Soberano, comandante en gefe del B.nnato, donde ha visita­ para lo-que se están haciendo ya preparativos en la do ios principa…</t>
  </si>
  <si>
    <t>i eo el pL en circu­ co numeroso, destinado,: según las circunstancias, lación. para acometer por el flanco al exército ruso .que - El teniente fe Id-mariscal Duka ha sido nom-</t>
  </si>
  <si>
    <t>Dumonceau</t>
  </si>
  <si>
    <t>ue lleve á la posteridad el objeto de la execración y de Amsterdan 13 de febrero. las maldiciones de todos los españoles amantes de Se asegura que el general Dumonceau ha mar­ su patria ; y los inocentes pueblos engañados no chado á París. prostituirán los de aquellos que han deseado su bien Después de la entrada de los franc…</t>
  </si>
  <si>
    <t>Dumont, Josef Luis</t>
  </si>
  <si>
    <t>Josef Luis Dumont</t>
  </si>
  <si>
    <t>general eri gífj del tercer cuerpo del ejér­ y D. G.ispar Crohon subtenientes; á D. Lamberto cito imperial de España, gobernador general de Dupont, á D. Josef Luis Dumont y á D. Hipó­ Aragón =cosoe SucHET- lito Pereillon subtenientes: en el regimiento nú­ £1 fuerte de Garden de Lérida acepta la mis­ mero 1.° de la brigada irl…</t>
  </si>
  <si>
    <t>Dumoustier</t>
  </si>
  <si>
    <t>nterceptadas del general Thouvenot, gobernador de Vizcaya, al mariscal duque de Dalmacia. I. S. Sebastian 10 dé julio de. 1810,; “ Señor mariscal: El general Dumoustier lia salido cíe Vitoria él 7 con los babado­ res de la Guardia , dirigiéndose; á Nestosa por Viibnaséda. — Un parte que acabo de recibir del general Avril con …</t>
  </si>
  <si>
    <t>Dupas</t>
  </si>
  <si>
    <t>aun acantonados en las Del i$. v r , iamediaeiqoes de-Rastadt y de Ettlingen. Auuqtie 5. M. la Enfper&amp;trix no'se.balla ente­ ; El qu¿rtel gañera! del general Dupas está en ramente restablecida de so indisposición-, no dexa Rastadt ¿’el derjjenéral Jarri e*n Badén, y el gene­ de salir alguna vez á tomar el aire, y en estos dia…</t>
  </si>
  <si>
    <t>neral conde Lauristcn. Strasburgo 29 de marzo. Del &lt;T. Acaban de Ucg r varios regimientos de la divi— Se dice que SS. MM. permanecerán en Comlion del general Dupas, que estaban acantonados ptegne hasta fines de este mes ó principios del si­ en el gr^n chicado de Badén, y se dirigen á lo in­ guiente. terior del imperio. S. M. …</t>
  </si>
  <si>
    <t>^ Dicen que trae otros dos regimientos, que vienen.de Rastadt, per­ el ere irgo de hacer á nuestro gobierno proposicio­ tenecientes á la división del general Dupas. nes de paz. Esta noticia ha ii,fluido en los fondos Del 4 de abril. públicos , qne han subido uno y medio por too. ,, El oficial fr.mces no es, como algunos han M…</t>
  </si>
  <si>
    <t>Duperre</t>
  </si>
  <si>
    <t>nus y teniente en el regimiento de Toledo , 2de línea, del Windham. La fragata de S. M. la Beiona, su á D. Josef Martínez: subteniente del regimiento capitán Duperre, que había salido de Francia qua- de Madrid, i.° de línea, á D. Juan Vázquez: tro meses hacia, pertenecía á esta división, y es­ subtenientes en el regimiento de…</t>
  </si>
  <si>
    <t>Dupont-Chaumont</t>
  </si>
  <si>
    <t>38</t>
  </si>
  <si>
    <t>12 á 15 tiros por hora. El enemigo correspondió al principio, aunqOe débil­ Ndpoles 11 de julio. mente, y al cabo de mui pocas horas cesó entera­ El general Dupont-Chaumont, inspector de in­ mente so fuego. fantería , ha llegado á Nápoles para pasar revista á / A las quatro de la tarde el general Rut! , colos regimientos fran…</t>
  </si>
  <si>
    <t>Dupui</t>
  </si>
  <si>
    <t>dicho dia el general Suchet te­ nia ya en so poder 6® prisioneros, 300 oficiales, kota. , En la gazeta de ayer 11 de mayo, ar­ &amp; coroneles, al mayor general Dupui, 8© fusi­ tículo de Madrid, pág. 548, donde dice para sa­ les, 3 cañones y 3 banderas. El campo de batalla far trigo del que tenemos en tierra de Cares, de­ «staba …</t>
  </si>
  <si>
    <t>94</t>
  </si>
  <si>
    <t>ese que tres dias há hubo en Messina una . que la colocase sobre el fe'retro de este ilustre conmoción con motio de haberse oido algunos guerrero. El coronel Dupui, comandante de la co­ cañonazos en las costas, é inmediatamente se .ex­ mitiva, la ha colocado sobre el catafalco que se tendió por la ciudad la voz de un desembar…</t>
  </si>
  <si>
    <t>Dupúi, Juan Baiirista</t>
  </si>
  <si>
    <t>Juan Baiirista Dupúi</t>
  </si>
  <si>
    <t>Josef JLarbanois capitán Bo$c c'ofxíaH'dante^ dé ¿squadroh ; á D. Leopoldo de la compañía de inválidos provinciales hábiles de Ber’tolet ¿u^itárt;'i-D. Juan Baiirista Dupúi ay«-i Granada. . * . - —— * — ____________din'te ífiáy&lt;ir Julio Moritreñil, I&gt;.' Mauricio ’ 1 * 't. . k Ch.ipiíe , D. "Gabriel. Blranger y D,. Juan. Allar…</t>
  </si>
  <si>
    <t>Duran, Antonio</t>
  </si>
  <si>
    <t>Antonio Duran</t>
  </si>
  <si>
    <t>las cepas y mañana, para celebrar junta general de acreedores á lo* estribos de su puente; pero la pequeña altura que bienes intervenidos del difunto D. Antonio Duran, tenían, que sólo era de 16 pies, fue causa de que maestro que fue de coches de la real casa; y se les ci­ se ¡ntroduxese el agua, é impidiese que la mani­ ta á…</t>
  </si>
  <si>
    <t>Duran, Estiban</t>
  </si>
  <si>
    <t>Estiban Duran</t>
  </si>
  <si>
    <t>dos bergantines han sido tan maltratados, que ración de la de Segovia, vacante por fallecimienta se hao necesitado 18 embarcaciones para llevarlos de D. Estiban Duran :á D. Felipe Sanz del Agua­ sal, presbítero, para otra media-ración de la de i remolque. Hemos perdido una barca napolitana que se Valladr/id, vacante por muert…</t>
  </si>
  <si>
    <t>Duran, Francisco</t>
  </si>
  <si>
    <t>Francisco Duran</t>
  </si>
  <si>
    <t>tro se­ das y de las Indias. cretorio de Estado = Firmado= Mariano Luis de ,,Nombramos á los consejeros de Estado Don Urquíjo.” Bernardo de Iriarte y D. Francisco Duran para qoe asistan á ios remates de los bienes mandados vender por nuestro decreto de jó del corriente. = VARIEDADES. Firmado = YO EL REI. = Por S. M. el minist…</t>
  </si>
  <si>
    <t>Duran, Joaquín de Torres</t>
  </si>
  <si>
    <t>Joaquín de Torres Duran</t>
  </si>
  <si>
    <t>Pizarro, y los caballeros regidores, alguacil mayor D. Manuel Hernaiz, alcalde mayor provincial Dr. D. Franc:sco Marcos Santaelía: fiel executor Dr. D. Joaquín de Torres Duran: Licenciado D. Juan An­ tonio Mexía, D. Vicente Becerra, D. José María Dáviía, y el caba­ llero síndico procurador general D. Francisco Sauri: no concu…</t>
  </si>
  <si>
    <t>Duran, Lnis</t>
  </si>
  <si>
    <t>Lnis Duran</t>
  </si>
  <si>
    <t>ia objeto con arreglo á los establecimientos navales. Mendiberri, D. Manuel Mandli, D. Dionisio Lasart. iii. Nuestro ministro de Marina queda serra , D. Lnis Duran, D. Josef Jáuregui, D. Auun gran chasco el no hacerlo asi. te que su estilo puede confundirse con el de Mayer. En la cabatina que canta el tenor, el primer tiempo …</t>
  </si>
  <si>
    <t>Duran, Luis</t>
  </si>
  <si>
    <t>Luis Duran</t>
  </si>
  <si>
    <t>epulcros^ieS. Dionisio. Mr. Avrígní, aotor.del quinta compañía del. primer batallón en la vacante viage de' íh Perouse y tie varias odas sobre las de D. Luis Duran. campañas del Emperador, ha merecido la primera D. Dionisio de Lacerra á teniente de la tercera mención honorífica. La tercera clase no ha pro­ compañía del mismo …</t>
  </si>
  <si>
    <t>Duran, Manuel Fernandez</t>
  </si>
  <si>
    <t>Manuel Fernandez Duran</t>
  </si>
  <si>
    <t>Ortiz de Zárate, por un El mismo............í................................. . 11998..24 vale de tesorería mayor...................... 308431.. 15 D. Manuel Fernandez Duran , marques D. Josef García Abella, por réditos de que fue de To'osa......................... . \ 59204-28 su capital.....................................…</t>
  </si>
  <si>
    <t>Duran, Mariano</t>
  </si>
  <si>
    <t>Mariano Duran</t>
  </si>
  <si>
    <t>pañía D. Mariano D uran; se hicieron 16 prisioneros , y se cogieron 93 caballerías y va­ rios efectos. Se distinguieron en esta ocasión los oficiales D. Mariano Duran , D. Jua,n Obrador , D. José Roure y D. Sal­ vador Frígola. — El 15 de mayo acometió el mismo Fábregas</t>
  </si>
  <si>
    <t>874 mediatos al Xer, y al pi$: del monte de S. Julián á media le­ gua de Gerona, dispuso que 150 hombres de las compañías de Fábregas mandadas por D. Mariano Duran, salivasen á sorprehender la guardia quedo custodiaba, marchandovel mismo Clares para sostenerlos en caso necesario. Á las 3 de la tajvv de encontraron los nuestro…</t>
  </si>
  <si>
    <t>Durañona, Manuela</t>
  </si>
  <si>
    <t>Manuela Durañona</t>
  </si>
  <si>
    <t>in. 2 64c o Doña María Concepción Echevarría. 4i3 8| D. Frutos Alvaro Benito..................... 16:07- 5 Memori s de D. Francisco Rodrigurz. 180 17 Doña Manuela Durañona.................... 4202 2 5 D. T-m&lt;s Reguyer................................ 20272 17 D. Si non del Villar.............................. 19210 ~ *&gt; La tes…</t>
  </si>
  <si>
    <t>Duraod</t>
  </si>
  <si>
    <t>atacó de frente en uerto» salió de las islas de Hieres el 9 de setiem- la posición que había tomado sobre una colina es­ re último i las órdenes del capitán Duraod. El 18 carpada , y lo arrojó en los precipicios que rodeadel mismo mes conduxo al puerto de Biserta dos bao esta posición. presas inglesas» la una procedente de Za…</t>
  </si>
  <si>
    <t>Duro, Manuel</t>
  </si>
  <si>
    <t>Manuel Duro</t>
  </si>
  <si>
    <t>rones Alberola. D. Joaquín Manuel de Villalba. Tenientes. D. Juan Manuel Valenzuela. D. Francisco Flores. D. Josef Antonio Rivas. D. Ramón Fernandez. D. Manuel Duro. D. Manuel Andrés. D. Francisco Lefebre Daraur. D. Juan de S. Juan. D. Josef Aleson. D. Matías López de Para. Batallón del quartel de Afligidos. D. Fernando Ruiz …</t>
  </si>
  <si>
    <t>Duroc</t>
  </si>
  <si>
    <t>úblicos , qne han subido uno y medio por too. ,, El oficial fr.mces no es, como algunos han Muchos generales y oficiales superiores qu? asegurado, el mariscal Duroc. Los pliegos que ha acaban de ilegar á esta ciudad del exército de Ale­ (raido son dos cartas, la una dei Emperador Napo­ mania, están aguardando las órdenes del …</t>
  </si>
  <si>
    <t>gas y contradictorias. El MarningDINAMARCA. chronide afirma positivamente que el oficial tran­ Copenhague 21 de marzo. ces que ha ido á Douvres es el mariscal Duroc : el Correo desmiente esta noticia, y la gradúa de ab­ Nuestros corsarios han dado caza á dos fraga­ surda ; y en seguida añade : ,, Lo que sí se dice en tas ingl…</t>
  </si>
  <si>
    <t>Dusemplea</t>
  </si>
  <si>
    <t>clase ? El señor oficíale* los señores Grand, River, Contenceau , y Richard ocupa él solo de 14 á ijQ obreros, y el sargento mayor Duva, asi como el capitán Dusemplea, hace algunos años, rodos sus esfuerzos sek de los baxos Pirineos, se han distinguido de para criar y fomentar el cultivo del algodón , no ün modo honorífico. s…</t>
  </si>
  <si>
    <t>Dusmet, Manuel</t>
  </si>
  <si>
    <t>Manuel Dusmet</t>
  </si>
  <si>
    <t>as »llá de ¡as puer­ Tiradores. Capitán D. Fernando Campero, sub­ tas el señor comisario regio, el reverendo obispo, teniente D. Josef Pastor , orro, D. Manuel Dusmet. el cabildo, y otras personas principales. La guar­ art. ii. Asimismo quedan nombrados para el dia nacional estaba formada en los p.tim d pala­ •egu&lt; &lt;io esquad…</t>
  </si>
  <si>
    <t>Duverger</t>
  </si>
  <si>
    <t>nen mas que llenar los huecos , habiéndolas for­ corte. S. M. ha dado una audiencia par ticular al mado de acuerdo con el encargado de Negocios señor general Duverger, enviado extraor dinario de de S. M. el Rei de Dinamarca, que por su parte S. M. el Rei de Baviera , quien ha com unicado á las bafá publicar en los ducados.” n…</t>
  </si>
  <si>
    <t>e D, Manuel Francisco de Aguiguerre</t>
  </si>
  <si>
    <t>Manuel Francisco de Aguiguerre e D</t>
  </si>
  <si>
    <t>....... . 32ii4-.a6 poseedor de la memoria que fundó D. Frutos Alvaro Benito, por rs. vn... 150000 Doña Paula María de Garibai......... ; 2922..13 .. D. Manuel Francisco de Aguiguerre é ■ ’ D. Juan Teran, como marido de Do- ~hijos.-;....-....... .................................... 120000 -ña María'Teresa de Anoz........... .…</t>
  </si>
  <si>
    <t>e Falo, Jo</t>
  </si>
  <si>
    <t>Jo e Falo</t>
  </si>
  <si>
    <t>s voluntarios de Cádiz. También se ha servido promover en el real cuerpo de Ingeniero&gt;, á coronales, los tenientes coroneles D. José de Santa Cruz, y D. Jo é Falo; á tenientes coroneles, los sargentos ma­ yores de brigada D. Francisco Serrallac , D. José Veiarde, y D. Joaquín Grandona ; á sargentos mayores de brigada, los cap…</t>
  </si>
  <si>
    <t>ÉacMary</t>
  </si>
  <si>
    <t>1047</t>
  </si>
  <si>
    <t>n cuerpo de caballería, com­ puesto de 4 regimientos que destacó el enemigó con dirección á Coimbra, viendo que aquellai ciudad estaba ocupada por el general ÉacMary se ha vuelto otra vez al puesto que ocupaba en la retaguardia del ala derecha de su exército.—Me es su­ mamente sensible tener cjue participar á V. E. la muerte …</t>
  </si>
  <si>
    <t>Eaval</t>
  </si>
  <si>
    <t>1025</t>
  </si>
  <si>
    <t>distinguir si iban cargados. El conde de Alacha , gobernador de la plaza, pasó en es­ te dia al general francés el oficio siguiente. “ Vuestro atento general Eaval (que Dios baya) hizo saber á esta plaza, cele­ braba con salva ios dias de su emperador Napoleón; y para corresponder á este aviso, es noticio que mañana 14 cumple…</t>
  </si>
  <si>
    <t>Eblé</t>
  </si>
  <si>
    <t>pe , á las ocho de la noche , se re­ par* observar y contener los exércitos del lórd presentar! por la compañía española la comedia en Wellington. El general Eblé, comandante en gefa un acto titulada los Rechazos, y la opereta del Criado de la artillería, ha dirigido coa grande acierto to­ fingido. Actores en la comedia: Sras…</t>
  </si>
  <si>
    <t>Echabeguren, Ignacio</t>
  </si>
  <si>
    <t>Ignacio Echabeguren</t>
  </si>
  <si>
    <t>nombre y de los demas comandantes de este corso que se hallaron en la acción mandando las colunas, y fueron D. Gregorio Cruchaga, Don Lucas Gorriz y D. Ignacio Echabeguren, se sirva dirigirlo á la suprema Junta de Gobierno* Dios guarde á V. E. muchos años. Campo de honor 29 de julio de 1810.—Francisco. Espoz y Mina.,— Exorno.…</t>
  </si>
  <si>
    <t>Echaetea, Ramón</t>
  </si>
  <si>
    <t>Ramón Echaetea</t>
  </si>
  <si>
    <t>rtel de Afligidos. D. Fernando Ruiz Mazo. Capitanes. D. Isidro de Mata y Serna. D. Joaquín Onis. D. Josef Fernandez Zúñiga. D. Josef María Monserrat. D. Ramón Echaetea. D. Gaspar Soiiveres. Subtenientes. D. Juan Ncpomuceno Rosales. D. Josef Vargas. D. Julián Castañou. D. Diego Giraldo. D. Juan Crespo. D. Andrés Almarza. D. An…</t>
  </si>
  <si>
    <t>Echandia, Femando</t>
  </si>
  <si>
    <t>Femando Echandia</t>
  </si>
  <si>
    <t>ece la patria se des­ tínez , tejiente D. Joaquio Qjintano, subteniente pertaría en sus pechos, y restituirían á la nación D. Francisco Escaño, otro, D Femando Echandia. la paz y el sosieg que tanto necesita. Tercera ídem. Caoitan D. Candido Manuel de La Cabolería francesa esperaba á S. M. á una S. Martin , táñente D. M nuel …</t>
  </si>
  <si>
    <t>Echavarri, Jcsef</t>
  </si>
  <si>
    <t>Jcsef Echavarri</t>
  </si>
  <si>
    <t>rc«ca, Hemos decretado y decretamos lo siguiente': D. Antonio Rubio, D. Juau Ahumada, D. Fran­ articulo i. ,,Hemos nombrado y nombramos cisco Vargas, D. Jcsef Echavarri, D. Andrés Or­ á nuestro consejero de Estado y teniente general tega, D. Juan Montemayor. de marina D. Pedro Obregon para entender en ios Tenientes. D. Jaime …</t>
  </si>
  <si>
    <t>Echavarria</t>
  </si>
  <si>
    <t>envuelto por la caballería enemiga; y ha­ biéndose rendido los españoles, fueron inhumanamente pasa­ dos á cuchillo : sin embargo pudieron escapar su comandante Echavarria y algunos oficiales. Almeyda 15 de junio.—Ayer llegaron k esta plaza 14 de­ sertores: 3 eran franceses,y los de&amp;as de otras naciones. Hoy han llegado otros…</t>
  </si>
  <si>
    <t>Echevarría</t>
  </si>
  <si>
    <t>honor y la dignidad de su nación anua-, quantos hombres se encontraban dentro, matándole ciando que tenia una comisión, que no tenia (4 hasta 200. El general Echevarría escapó eo camisa, realidad. dejando abandonados todos sus electo», su corres­ No hai cosa afgana que no manifieste los pro­ pondencia y su arquilla. yectos de…</t>
  </si>
  <si>
    <t>Echevarría, José Ignacio</t>
  </si>
  <si>
    <t>José Ignacio Echevarría</t>
  </si>
  <si>
    <t>Ros, 1000. D. Tomas Isturiz, 4000. D. Ildefonso Ruiz del Rio, 4000. Duque del Infantado, 4000. D. Blas del Hierro, 500. Don Manuel Saez A y lien, igo D. José Ignacio Echevarría, 40. D. Barto­ lomé deLopetedi, 100. D. Cecilio Zaldo , 600. D. Juan.Labargé, 20a. D. Juan Antonio Garaso, ioco. Conde de Maulé D. Nicolás de la Cruz,…</t>
  </si>
  <si>
    <t>Echevarría, María Concepción</t>
  </si>
  <si>
    <t>María Concepción Echevarría</t>
  </si>
  <si>
    <t>7 Doña Xaviera de Yoldi......................... 4CCCO Doña Xa viera de Osmj........................ 722 Doñ 1 M^ria Manuela O-liz Je Azorin. 2 64c o Doña María Concepción Echevarría. 4i3 8| D. Frutos Alvaro Benito..................... 16:07- 5 Memori s de D. Francisco Rodrigurz. 180 17 Doña Manuela Durañona..................…</t>
  </si>
  <si>
    <t>Echeverría, Manuel</t>
  </si>
  <si>
    <t>Manuel Echeverría</t>
  </si>
  <si>
    <t>s de S. Lorenzo , 40. Los de Non o a va , 13.— Batopilas. El subdelegado D. Angel Bustamante, loco. D José María Soróndo, 25;. D. Feliciano Arce,,25. D Manuel Echeverría^, ^o.iD. jiian Mi­ guel Gil, 30 , D. Blas A-yarez, 52. D¿ CriscóbailPerez, 15Ó:• D^abriel rez, 25. D. José ..Suarez, 13. D. Vicente: Rodríguez , 10 Dájosé Án…</t>
  </si>
  <si>
    <t>Ede</t>
  </si>
  <si>
    <t>para la fcntrega. . Quatro coches-tirados igualmente por 6 caballos Cerca del pueblo de S. Pedro, y á una legna cada uno, en los quales ¡bao el señor conde Ede— de aqui, se h.bia constiuido una casa con ties linck, mayordomo mayor; y los señores gentiles* grandes Salones y dos entrada»; una por el lado de hombres conde Eugeni…</t>
  </si>
  <si>
    <t>Eduardo</t>
  </si>
  <si>
    <t>hombre de cámara. Huici (D. Martin), director de la compañía dé D. Amado Lucotte, teniente general, y nuestro Filipinas. ^ primer mayordomo. Hussei (D. Eduardo), comandante de batallón D- Benito Pardo de Figueroa, teniente general, y del regimiento núm. i.°, brigada irlandesa. nuestro ministro en S. Petersburgo. Lanz (D. Jose…</t>
  </si>
  <si>
    <t>berto Felipe de Ealdrich : empleo de alférez de granaderos á Don Esteban Pagcs de Bañüls: ídem de fusileros á D. Benito Liinas, D. An­ tonio de Fort, D. Eduardo dé ¿ilva y D. José Clemente de Bueren. CADIZ: EN LA IMPRENTA REAL.</t>
  </si>
  <si>
    <t>(D. Francisco), cabo de tiradores de nnes* Jarri Bouffermou (D. Francisco), teniente de na­ tra guardia real. vio de nuestra real armada. Contreras (D. Eduardo de), tesorero de la ad­ Keotz (D. Francisco), soldado de caballería ligera ministración central de hospitales militares del de nuestra guardia real. ' reino. Kasler (D…</t>
  </si>
  <si>
    <t>Eemandr</t>
  </si>
  <si>
    <t>erdad es que los Reyes hicieron alguno, esfuerzo* m los 2/ dictados, en uno de los quales ca'noniza ó to- para atajar estos males, y en España el Sr. D. Eemandr* » dos los papas sus antecesores y sucesores , afirmando el Católico remeció mucho cían su constante oposición u que una vez sentados en ia silla de S-n Pedro,.sí In-…</t>
  </si>
  <si>
    <t>Efe</t>
  </si>
  <si>
    <t>■ .... pií. .• Mrí. miembro del consejo de Estado,’y presidente da la sección de Guerra, el señor eonde Ándreosi. Los reales hospicios de Madrid y El conde Efe jean, primer inspector de ingenie-' ros, el conde Fontanes, grao maestro de la univer­ D. Josef Luís Sapé.................. 129000 sidad , el vice-almiranteThevcnard, …</t>
  </si>
  <si>
    <t>Eguaguirre, José María</t>
  </si>
  <si>
    <t>José María Eguaguirre</t>
  </si>
  <si>
    <t>, comandan­ te del batallón de voluntarios de Molina y mayor general deesta división, el capitán D. Domingo Oto, los tenientes Don Francisco Utrera y D. José María Eguaguirre, los subte­ nientes D. Valero Aguilera y D. Manuel Layner, todos del mismo'batallón; el capitán del regimiento provincial de Soria D. Manuel García, y e…</t>
  </si>
  <si>
    <t>Eguía, Francisco</t>
  </si>
  <si>
    <t>Francisco Eguía</t>
  </si>
  <si>
    <t>los dos reales decretos siguientes: I. „ Para servir la secretaría de estado y del despacho de la guerra que ha quedado vacajite por nombramiento de D. Francisco Eguía á decano del consejo supremo de la guerra , y para que no padezcan atraso los asuntos del real servicio, ha venido el rey nuestro señor don Fernando vii , y en…</t>
  </si>
  <si>
    <t>263</t>
  </si>
  <si>
    <t>arlo para el mismo á S. M‘. — Dios guarde á V. E. muchos año*. Ciudad-Rodrigo 14- de mayo de ISiQi— Excmo. Señor. — Andrés de Herraste. —Eterno. íúr. D. Francisco Eguía.* Apenas se recibieron en la ciudad de Charcas las primeras no­ ticias de lo ocurrido en esta península , quando el M R. arzobis­ po de aquella iglesia metrop…</t>
  </si>
  <si>
    <t>Eguía, Pedro Antonio</t>
  </si>
  <si>
    <t>Pedro Antonio Eguía</t>
  </si>
  <si>
    <t>y Canadell, icoo. D. Manuel Jesús Fernandez , 300. D. Francisco Díaz , 2CQ. D. Benito de la Plaza, 160. D. Mateo Lobo, 320. D Gerónimo Martínez, 300. D. Pedro Antonio Eguía, 520. F. B., 100. J. S. , ico. Buch, hermanes y compañía, ¿co. Marques de Belgida , 3C0. Un apasionado de D Juap Martin por medio del lord Macduff, icoo. …</t>
  </si>
  <si>
    <t>Eíanos, Cárlos González</t>
  </si>
  <si>
    <t>Cárlos González Eíanos</t>
  </si>
  <si>
    <t>de granaderos á D. Irádro Mon­ tero y Idem 'de cazadores; a D. José de Reart, ídem de fusileros á Don l uis Viladomar , D. Pedro Rocabruna y Ardena, D. Cárlos González Eíanos, D. Diego Guillen de Boussereau, D. Joaquín Ruiz y Abreu y D. Alberto Felipe de Ealdrich : empleo de alférez de granaderos á Don Esteban Pagcs de Bañüls…</t>
  </si>
  <si>
    <t>EIdes</t>
  </si>
  <si>
    <t>do esta plaza si hubiese sido dable „E1 batallón tercero de cazadores portugueses, socorrerla ; pero eran tan superiores las fuerzas del al mando del teniente coronel EIdes, ha tenido enemigo, que no había esperanza ninguna de po­ también ocasión de manifestar su firmeza durante der salir bien. Las tropas empleadas en este si…</t>
  </si>
  <si>
    <t>Eieuterio</t>
  </si>
  <si>
    <t>n del mundo civilizado. tinadas , sainetes groseros, tonadillas uecLs y escanda­ El mil ayo está mas cerca de su verdadero carácter. losas , formó un D. Eieuterio: de muchas mugeres sabi- Esto era también nías fácil; y asi es que el resultado ha drllas v fastidiosas una Doña Agustina: de muchos pe­ íido menos malo. dantes er …</t>
  </si>
  <si>
    <t>Eíguezabal, Juan</t>
  </si>
  <si>
    <t>Juan Eíguezabal</t>
  </si>
  <si>
    <t>eira, 50. D. Sabino de la Pedrueza, 33. D. Rafael Zubia , 20. D. Justo Madariaga, 20. D. Francisco J íuregui por 3a casa de D. Francisco Eíguea , 30. D. Juan Eíguezabal, 50. £). José Perez Ruiz, 22. D. Lepe de Vega, 20. D. Miguel de la Huerta, 20. Doña Plácida Mingura, 12. D. Juan José Atenas, 50. D. Santiago Abren, 30. D. Ju…</t>
  </si>
  <si>
    <t>Ein</t>
  </si>
  <si>
    <t>que los esfuerzos del archiduque palatino y de los de barcas. otros señores húngaros , que habiaa sido llamados Todavía permanece en esta capital el conde Ein- á Viena para comunicarles de parte del g¿(tierno siedel, embaxador de Saxonia cerca de nuestra cor­ las instrucciones relativas á este particular , surti­ te , y nombr…</t>
  </si>
  <si>
    <t>Einsidiel</t>
  </si>
  <si>
    <t>ad. y acaso mui pronto se nos dará la orden de mar­ El conde Zamoiski continúa todavía aquí, y char adelante , y es regular que á la mitad del ca­ ti conde Einsidiel está en sos haciendas. mino nos encontremos con los franceses , cuyas baviera. fuerzas son superiores á las nuestras. Se ha publi­ cado una proclama, en la que s…</t>
  </si>
  <si>
    <t>Einsiedei</t>
  </si>
  <si>
    <t>llegado ya siete buques americanos á fte- Se ha publicado aquí de oficio el articulo si­ ▼el y á Puerto-báltico. guiente : Todavía permanece aqoi el conde Einsiedei» », Los ingleses han tenido la audacia de hacer 'embax. dor de SoXonia , que ha sido nombrado por tm desembarco en nuestras costas. Ayer noche sus su corte para l…</t>
  </si>
  <si>
    <t>Eizaurdi, Manuel Antonio</t>
  </si>
  <si>
    <t>Manuel Antonio Eizaurdi</t>
  </si>
  <si>
    <t>CánCartagena. . . . J dido Montero de la’ ¿orlcha. Ciudad-Rodrigo. D. Antonio López. Córdoba............. Señores Barcia , padre é hijo. Coruña. .... D. Manuel Antonio Eizaurdi. Cuenca. .... Señores viuda de Escolar , No riega é hijo. Granada. .... D. Francisco- Unzaga, ó el que le represente. Jaén.. ... . . D. Ramón María Mo…</t>
  </si>
  <si>
    <t>EJlwand, Guillermo</t>
  </si>
  <si>
    <t>Guillermo EJlwand</t>
  </si>
  <si>
    <t>Andrés Archdekin, yice-cónsul de S. M. B., 2©. El señor D. Duncan Shavv, 3©. El señor D. Tomas Goddard, t®. El señor D. Jacobo Glass, 3©. Él se­ ñor D. Guillermo EJlwand, menor, 1 ®. El señor D. Tomas Richards, i®. El señor D. Federico Grellet, 3©. El señor D. Archibaldo Turnbull, 10. El honorable J. H. Frere, 5©. El Excmo. s…</t>
  </si>
  <si>
    <t>el Cruel, Pedro</t>
  </si>
  <si>
    <t>Pedro el Cruel</t>
  </si>
  <si>
    <t>1306</t>
  </si>
  <si>
    <t>oenae fercula nostrete piedad, y nimio y exacto en materia de usos, no haya Malitn convivís quam placuisse coquis. considerado que Alfonso vi, vm, ni D. Pedro el Cruel, Lo peor es que se resienten muchos de que en la re­ se vistieron tan almidonadamente, ni se usó en España presentación ha querido vmd. introducir, y en efecto…</t>
  </si>
  <si>
    <t>el Excmo, Juan Manuel de Cárdeoas Fernandez de</t>
  </si>
  <si>
    <t>Juan Manuel de Cárdeoas Fernandez de el Excmo</t>
  </si>
  <si>
    <t>pro­ sejo de la Orden." visor eclesiástico D. Joaquín de Torres; al mar­ ques de Tous y la Cueva; D. Juan María Saave- ■ Madrid IJ&gt; de febrero. dra y D. Juan Manuel de Cárdeoas Fernandez de El Excmo. Sr. general gobernador de esta vi­ Villavicencio» comandantes de la milicia cívica de lla hizo saber anteayer á las tropas la s…</t>
  </si>
  <si>
    <t>el Gran-Visir, Kam'enski y</t>
  </si>
  <si>
    <t>Kam'enski y el Gran-Visir</t>
  </si>
  <si>
    <t>o . que la corte de Rusia. — Cartas posteriores de Petersburgo de 51 de agosto dicen que se hallan muy adelantadas lasnegor ciaciones de paz entre el general Kam'enski y el Gran-Visir , y que de resultas se han levantado los sitios de Schumla y Rudschuck. Añaden que ya se ha verificado la mutación del ministerio ruso $ que el…</t>
  </si>
  <si>
    <t>el Hombre, Valero Ripol y Alonso</t>
  </si>
  <si>
    <t>Valero Ripol y Alonso el Hombre</t>
  </si>
  <si>
    <t>rila , k que se habían agregado las de D. Valero Ripol y Alonso el Hombre , componiendo entre todas 230 infantes y 12 caballos, atacó en la mañana del 21 del pasado el castillo dé Samper de Calanda en Aragón , ocupado por los enemigos. El castillo domi­ na por su</t>
  </si>
  <si>
    <t>el Ignacio, Mi</t>
  </si>
  <si>
    <t>Mi el Ignacio</t>
  </si>
  <si>
    <t>El Si\ gobernador intendente D. Carlos de Urrntia, 400 pesos. El teniente corenel 1&gt;. Joaquín del Castillo , 200. I). Francisco de Arrillaga , 1000. D. Mi­ ‘ el Ignacio -o Miranda1, 200. D. José Mariano Al mansa , 200. D. Juan Tomas de Migueleña, 200. I). Miguel José de íriarte , 200. D. Angel Gonzá­ lez, 400. I). Juan Lobo 2…</t>
  </si>
  <si>
    <t>el M, Alberto y</t>
  </si>
  <si>
    <t>Alberto y el M</t>
  </si>
  <si>
    <t>denes, han cogido Oliscaras que hubo en esta cepita!. T..mS¡en han remesas considerabas de algodón que traían de la estado el archiduque C irios , el duque Alberto y el M.icedonia, y debían conducirse a Hung ía por la qnciano príncipe de Ligne. Bosnia; pero no se ha continuado ;Sta noticia. Los archiduques Roñería, Luis, Rodu…</t>
  </si>
  <si>
    <t>el Príncipe, Cristiano de Augustembur</t>
  </si>
  <si>
    <t>Cristiano de Augustembur el Príncipe</t>
  </si>
  <si>
    <t>nte é invencible...... ” ALEMANIA. * BA VIERA. Jlamburgo de febrero. Munich 8 de febrero. En los periódicos de Copenhague se lee el dis­ curso que él príncipe Cristiano de Augustembur- El Príncipe Real salió ayer noche para Hildgo dirigió á los noruegos guando salió para Suecia. burghausen. También han salido para Saltzburgo …</t>
  </si>
  <si>
    <t>el REI, Pedro An Firmado YO</t>
  </si>
  <si>
    <t>Pedro An Firmado YO el REI</t>
  </si>
  <si>
    <t>ministro de Guerra queda do Pío Arenzana, D. Manuel Romero y Rei­ encargado de la execucion del presente decr.to. es na , D. Vicente Gregorio Moreno, D. Pedro An­ Firmado= YO EL REI. = Por S. M. su ministro dino , D. Ramón de Cáceres, D. Mannel de Si­ secretario de Estado Mariano Luis de Urquijo.” les , D. Josef Saenz de Ramí…</t>
  </si>
  <si>
    <t>Elbracht</t>
  </si>
  <si>
    <t>Príncipe Real, mandado por el coronel Elbracht, dadqr..,No,pjpede roanos de notarse la gran diferen­ qoe estaba acantonado poco hace ea li* frontera* cia qué hái del-estado en que sé halla én la actua­ del Tirol , ha pasado á su antigua</t>
  </si>
  <si>
    <t>Elefante</t>
  </si>
  <si>
    <t>acaban príucipe Cristiano Augusto.” de ser disueltos definitivamente. S. M. ha nombrado caballero de la órden del A consecuencia del plan de reforma general Elefante al príncipe Federico de Hesse , y bailío que prescribe en Austria la asombrosa pobreza de de la diócesi de Aggershuus al señor de Rosen- la real hacienda , se va…</t>
  </si>
  <si>
    <t>Elejalde, Lázaro</t>
  </si>
  <si>
    <t>Lázaro Elejalde</t>
  </si>
  <si>
    <t>h y. Truxillo, 400. D. Juan Palau, 1000. D. Esteban Fernan­ dez de León, 1000. D. P. M. V., 100. Doña Rosalía de Córdoba, 20. D. Benito de Labra, 40. D. Lázaro Elejalde, 1000. D Lorenzo Rodrí­ guez Sánchez, 1000. Costello, hermanos, iooo. D. Manuel Ortiz de Muga y su muger 60. D. Pasqual Moreno de Mora, 600. D. Miguel Riva, 5…</t>
  </si>
  <si>
    <t>Elellesley, Enrique</t>
  </si>
  <si>
    <t>Enrique Elellesley</t>
  </si>
  <si>
    <t>956</t>
  </si>
  <si>
    <t>aría Puig Samper. — En la real Isla de León á 19 de noviembre de 1810.'” — A D. Eusebió Bardaxi y Azara. El Sr. Ministro de estado ha dirigido al Sr. D. Enrique Elellesley, ministro de Inglaterra, copia del decreto anterior con el ofi­ cio siguiente: ,,Muy Sr. mió: Tengo el honor de incluir á V. S. por orden del Consejo de Re…</t>
  </si>
  <si>
    <t>Elexaga, Bernardo</t>
  </si>
  <si>
    <t>Bernardo Elexaga</t>
  </si>
  <si>
    <t>o­ D. Hipólito Serrano............................... 37672 22 derado de D. Francisco Elexaga ... 1985 J7 Doña María del Rosario Reinoso....... 23687 D. Bernardo Elexaga............................. 1453° 8f D. Cristóbal Olmedo.............................. 90068 17 D. Andrés Martínez............................... 1994 5 8| …</t>
  </si>
  <si>
    <t>784. sí, para que nunca se confunda una medida con Quatro vales de 150 pesos de setiembre de 1808 otra: el primero es el que hemos expuesto, y que de D. Bernardo Elexaga, núms. 172263, 171307, podemos llamar científico; y el otro es el que se 169942 y 202977. sigue en todo el imperio francés desde cl ano de Un vale de 600 pes…</t>
  </si>
  <si>
    <t>Elexaga, Francisco</t>
  </si>
  <si>
    <t>Francisco Elexaga</t>
  </si>
  <si>
    <t>onio Zazo.................................... D. Domingo de Vcntade', como apo­ D. Hipólito Serrano............................... 37672 22 derado de D. Francisco Elexaga ... 1985 J7 Doña María del Rosario Reinoso....... 23687 D. Bernardo Elexaga............................. 1453° 8f D. Cristóbal Olmedo.......................…</t>
  </si>
  <si>
    <t>Elexaga, Juana</t>
  </si>
  <si>
    <t>Juana Elexaga</t>
  </si>
  <si>
    <t>Antonia Alvarez de Faria......... II202 25 D. E ustbio Sai z Manteca.................... 11010 17 D. Fernando de Beingoechea............... 10479 17 Doña Juana Elexaga.............................. 12003 «f D. Eiías Pascual Ronda..... .................. 8700 D. Fulgencio de la Riva Agüero........ 2597 D. Euscbio Pareja.......…</t>
  </si>
  <si>
    <t>Elexaga, María</t>
  </si>
  <si>
    <t>María Elexaga</t>
  </si>
  <si>
    <t>l Pérez................................. 1520 20 D. Manuel Félix Fernandez............... 270 25I D. Matiuel de Santayara...................... 73000 Doña María Elexaga.................. ........... 9**37 8f D. Francisco García de Rozas............ 56000 D. Josef Lidon....................................... 45 1 8f D. Fernand…</t>
  </si>
  <si>
    <t>Elguero, Manuel</t>
  </si>
  <si>
    <t>Manuel Elguero</t>
  </si>
  <si>
    <t>la Lausa , 200. D. Domingo Madariaga, 25. D. Juan Manuel Muñoz , 200. D. Joaquin Micon , 100. D. Jo­ sé Domingo Couto , 100. D. Mariano Pasquel, 100. D. Manuel Elguero , 100. D. Juan Antonio Leunes , 100. D. Francisco Magarola , 50. D. Francisco Guer­ ra , 50. D. Francisco Torres y Juyol, 25. D. Bartolcmé Muriel, 25. D. José …</t>
  </si>
  <si>
    <t>Elias</t>
  </si>
  <si>
    <t>de In­ de iarirud, y en un parage en que el señor Buch fantes , io.° de infantería de línea. notó que su termómetro subía estando expuesto á Estapo (D. Elias), soldado del regimiento suizo, los rayos del sol á media noche, el terreno estaba Frinhhertz (D. Marcelino), mayor del mismo cqhierro de plantas en una elevación de 210…</t>
  </si>
  <si>
    <t>Elias, Rafael</t>
  </si>
  <si>
    <t>Rafael Elias</t>
  </si>
  <si>
    <t>z, 25. D. Rafael Morales, 150. D* Martin Zuviria, ico. D. Miguel Morales, 50. D. Gabriel Padilla, 20. D&gt; Ignacio Serrano, 45 Doña Gertrudis Bravo, 15 D. Rafael Elias, 25. D Ignacio Perez, 20. Varios individuos, 29 y 3 rs—Real de Alamos. ÍL' .sub­ delegado D. Tomas Pelayo, 50.'El cura D. Juan Nicolás de Quinos * ico. El presbí…</t>
  </si>
  <si>
    <t>Eligió, Manad</t>
  </si>
  <si>
    <t>Manad Eligió</t>
  </si>
  <si>
    <t>Salcedo.,,4783’ 8f D. Nicolás de 4os Heros............... 424T 2^4 D. Agustín RatrintiPiteir*.*13700 8| Doña'Teresa Geferiua Ramonel....... 9009: 30’ D. Manad Eligió.»»............................ '2346 17 Doña Ana Brai.. Doña Juána Aogo'M-lea lí j&gt;.. •• - - '-■7444. Di Pedro Rubio...;....... ...............64bb: ’ E D. Manue…</t>
  </si>
  <si>
    <t>Eligió, Manuel</t>
  </si>
  <si>
    <t>Manuel Eligió</t>
  </si>
  <si>
    <t>Gerónimo. Comandante, el marques de Santiago. Madrid a o de mayo. Ayud-nte, D. Mariano Herranz. S. M. ha expedido el decreto siguiente : Abanderado, D. Manuel Eligió. Extracto de las minutas de la secretaría de Estado. Batallón del quartel de S. Isidro. En nuestro palacio de Madrid i 19 de mayo Comandante , D. Manuel Alonso. …</t>
  </si>
  <si>
    <t>cente Ferrer y Fous.... D. Mariano Fabre. D.Blas Bczares........ .............. Di josef García pchábüra. Octave Batallón. .. ¡ Para ayudante primero D. Manuel Eligió, para legando D. Josef Díaz Avilés, y para abanderado D. Felipe Gallarza. ' D. Joan Francisco Pallasar. D. Estiban Blanco de Alba. ........ ............... ....…</t>
  </si>
  <si>
    <t>Elisa</t>
  </si>
  <si>
    <t>da en este puerto, el Se espera aquí de un dia á otro á S. M. el Re¡ infrascrito avisa á todos los habitantes que los que de Ñápales, y á S. A. I. la princesa Elisa, gran tuviesen algunos créditos contra individuos rusos, duquesa de Toscana. se presenten en el término de ocho días al, pom- SS. A A. II. el vireiy la vireina.de…</t>
  </si>
  <si>
    <t>, Emperador de cesa Hortensia , Reina de Holanda , la princesa Ca- »los franceses, Rei de Italia , y S. A. I. y R. la talina, Reina de Westfalia , la princesa Elisa , gran ««archiduquesa María Luisa están unidos en matriduquesa de Toscana, la princesa Paulina, la prio- •&gt; monio.” res las fuerzas físicas del cuerpo, es mui cie…</t>
  </si>
  <si>
    <t>prefecto cumplimentará á SS. MtVL * quie­ -—lauda; la princesa -Catalina, Reina ¿Te Westfidia; nes en seguida harán ni. entrada en la capital. Las la princesa Elisa, gran duquesa de Toscana, v la tropas de la .guarnición estarán formadas eri dos fi­ ptincesa Páuiíña. las por toda la carrera; habrá ^repique general de Detrás d…</t>
  </si>
  <si>
    <t>r obispo asisten­ cesa Hortensia., Reina de. Huianda;la princesa Ca­ te , precedido de un maestro y de un ayudante de talina , Reina de VVesUalia; 1a princesa Elisa, gran ceremonias , 1 evará el evangelio al Emperador y á duquesa de Tr ican.:; ia princesa Paulina ; la prin­ Ja Irinperatriz p..ra que le besen, y luego incensa­…</t>
  </si>
  <si>
    <t>inero en las caxas espera también de un momento á otro á SS. AA. el públicas, del destino de los buques que llegasen virei y vireinade Italia, y á la princesa Elisa , gran pertenecientes á la compañía ó á los particulares, duquesa de Toscana. y en fin sobre la conducta del gobernador , de los Del oficiales y de los empleados,…</t>
  </si>
  <si>
    <t>¿ a por 100 de descuento. El banco de Inglaterra del párroco y de todo el clero de la corte. La según lo qne se ha oido decir desea contribuir á to­ princesa Elisa, hija mayor de SS. MM., ha sido la das las providencias que se tomen para alivio del madrina. comercio en general; pero se halla firmemente con­ vencido de los mal…</t>
  </si>
  <si>
    <t>n ettor- biertas de pieles. * -bar sus operaciones, mas de 200 cañonazos desde Delgo. mui cerca; pero él las ha despreciado. Las baterías S. A. I. la princesa Elisa , gran duquesa de Tosde tierra y una fragata también le han tirado, cana , ha salido algunos dias há para Italia. aunque en vauo. Ei capitán Bausan ha recobrado M…</t>
  </si>
  <si>
    <t>Elisa, María Ana</t>
  </si>
  <si>
    <t>María Ana Elisa</t>
  </si>
  <si>
    <t>ehensor, y el hospital mas inme­ tender una acta qae conteste el nacimiento de la diato, ó por mitzd, uo habiendo deiator. princesa, hija de S. A. 1. Doña María Ana Elisa, En caso de reincidencia será ia multa doble. gran duquesa y gobernadora general de los depar­ ART. tt. Los individuos de qnalquicra corpo­ tamentos de la T…</t>
  </si>
  <si>
    <t>Elizalde, Bernardo</t>
  </si>
  <si>
    <t>Bernardo Elizalde</t>
  </si>
  <si>
    <t>.. Señoras Casson y compañía. Badajoz............. D. Francisco Fernandez de la Peña y S. Miguel. Cádiz................ D. Benito de la Piedra. n . í D. Bernardo Elizalde, y en su ausencia D.CánCartagena. . . . J dido Montero de la’ ¿orlcha. Ciudad-Rodrigo. D. Antonio López. Córdoba............. Señores Barcia , padre é hijo.…</t>
  </si>
  <si>
    <t>Elizondo, Pedro</t>
  </si>
  <si>
    <t>Pedro Elizondo</t>
  </si>
  <si>
    <t>894</t>
  </si>
  <si>
    <t>rioAe la Plata. D.Juan deFerrér, ministro de apos­ tadero, 200. D. José Gómez Soriano, oficial segundo, 50. Id. quarto, D. Ignacio de la Corcova, 60. D. Pedro Elizondo, oficial quinto, 25. Id. graduado, D. José Villegas, 25. D. José Battlé y Carreo, asentista de víveres de Montevideo, 150. Id. de Buenos-Ayres, 100. Dependient…</t>
  </si>
  <si>
    <t>Ellera, Tomas</t>
  </si>
  <si>
    <t>Tomas Ellera</t>
  </si>
  <si>
    <t>le aprieta , y , . . Quarto batallón. ¡\ el fin de fiesta el Café. Actores en la comedia de figu­ rón: Señoras' María García, 'Ramos'y Virg. Señores D. Tomas Ellera , sargento primero» á tabee*- Poñce;'Suáíez; Avecilla’,'' Oros , Casanova, Contador, ájente de la novena compañía. , 1 Fabiani y Justo Mas. . ;c ¡ Sexto batallón.…</t>
  </si>
  <si>
    <t>Elley</t>
  </si>
  <si>
    <t>l capitán Bull con 2 piezas de artiHería, y continué la retirada en buen orden á Leiria según mis instrucciones. Se distinguieron en esta ocasiona el teniente coronel Elley , y el capitán marques de Trondall.-—P. D. Ea&gt; vio 3 oficiales y 20 dragones prisioneros con sus caballos. Quinta de la Torre 9 de octubre. Ayer quando me…</t>
  </si>
  <si>
    <t>Elñsiston</t>
  </si>
  <si>
    <t>personalmente , y el que tiene ma­ yor odio al sistema político A'iexandro-Romanzpvv.” — “La hor­ rible , la atroz con iucta del gobierna ruso con el capitán Elñsiston (ingles) ha indignado la marina rusa. Lo que ha pasado con .aquel oficial será, ma teria de una carta adhoc-, se necesita una carta expresa para manifestar tod…</t>
  </si>
  <si>
    <t>Eltímton</t>
  </si>
  <si>
    <t>­ ropa de este asunto , á fin de que los extrangeros sepan lo que les espera en Ruda. La relación de las estúpidas, atrocidades co­ metidas contra el capitán Eltímton , será tai vez una señal color cala en un escollo para alejar á los exírangeros de un pais en que (i) Quanio qualquiera nación gime baxo un gobierno débil, que …</t>
  </si>
  <si>
    <t>Emcrian</t>
  </si>
  <si>
    <t>de tripulación y 30 pasa- autores nacionales , ofrece á los médicos una obra geros. útil y apreciabte por una cronología bien seguida El corsario la Condesa Emcrian, después de de las enfermedades contagiosas que han devastado haber conducido á Cette el barco apresado, vol­ la España; obra que ninguna otra nación posee, vió á…</t>
  </si>
  <si>
    <t>Emerian</t>
  </si>
  <si>
    <t>go del Bál­ Cette 94 de setiembre. tico. P:ro como aquí ha sido mui abundante la co­ secha , podemos esperar que el precio de los granos La goleta la Condesa Emerian, mandada por barrará pronto. el capitán Itic, que salió de este puerto el día 6 S M. ha nombrado á sir Roberto Gordoo go­ del corriente, armada con 3 cañones y 1…</t>
  </si>
  <si>
    <t>és perdió causas, los síntomas con que se bao presentado, también un hombre de su tripulación. los medios empleados para su curación , y los efec­ La Condesa Emerian volvió á entrar el 24 de tos qué se hau conseguido; y al mismo tiempo da setiembre en Cette con otros dos barcos apresados, una idea de la influencia que han ten…</t>
  </si>
  <si>
    <t>Emeriatt</t>
  </si>
  <si>
    <t>uatro buques que habían reco­ Pero este estudio no siempre ha sido conocido de brado. los modernos, apartándose con demasiada frecuen­ El corsario la Condesa Emeriatt, que salió de cia de este precepto. No podrá ser reconvenido en Cette el 5 de setiembre último, dió caza el 12 del esta parre el autor de la obra, cuyo análisis…</t>
  </si>
  <si>
    <t>Emeriau</t>
  </si>
  <si>
    <t>ste pueblo el dia antes, y lo qae Tolon a 7 de octubre. halló en su lugar fue al regimiento de Burgos, compuesto de 800 á 900 hombres. El corsario el general Emeriau, que en su pri­ El señor Kruse marchó al enemigo con solo mer crucero había hecho ocho presas »de lasqualés 350 soldados de infantería , lo persiguió hasta obli­…</t>
  </si>
  <si>
    <t>Emilio</t>
  </si>
  <si>
    <t>su­ mismo. primidas son dueños de toda su ropa y de todos Gaist (D. Jaime), capitán en el Real Irlandés. los muebles que adornan sus celdas. Giudice (D. Emilio), subteniente del Real Exart. v. Los religiosos y religiosas que no ¡go­ trangéro. zan todavía pensión, la cobrarán en adelante con Gorda (D. Pablo), sargento de tirad…</t>
  </si>
  <si>
    <t>Emparan</t>
  </si>
  <si>
    <t>onmoción de los pueblos del tránsito, los asesinasen á todos. De la Guayra sa­ lieron en un bergantín mercante, con destino que se ignora, el cápitan general Emparan , el subinspector de artillería Don Agustín García, los oidores D. Felipe Martínez y D. Anto­ nio Julián Alvarez , y el teniente coronel D. Joaquín Osorno. -El i…</t>
  </si>
  <si>
    <t>Emper</t>
  </si>
  <si>
    <t>chma miembros de la comisión especial encargada uñó para S. M. d Emper ador y Reí , y otro pa­ dei examen dei proyecto de senado-consulto. ra S. M. la Emperatriz y Reina.” Los miembros de la comUion se retiran para £1 senado pide que se vote por escrutinio ia deliberar. a</t>
  </si>
  <si>
    <t>En, Jo</t>
  </si>
  <si>
    <t>Jo En</t>
  </si>
  <si>
    <t>e las doce hasta la primero, y á JL&gt;..Maridé! Rodrigue* de Toro se­ una , los memoriales qoe sepresenten. gundo teniente. En la infantería de línea.á D. Jo- En los miércoles y sábados » desde las doce has­ téf Raimiifidó B^rdés Piler capí tan, y á D. Josef ta las dos, se dará razón del estado de las solici­ Lálger tériiértéá.…</t>
  </si>
  <si>
    <t>En, Juan</t>
  </si>
  <si>
    <t>Juan En</t>
  </si>
  <si>
    <t>uzguen necesarios á su seguridad, D. Fernando Barrientos, D. Juan de Lara, D. Lo­ defensa y protección del comercio. renzo Pomar, D. Francisco Milla, D. Juan En­ art. 11. Nos propondrá por nuestro minittr® tero. de Marina quanto crea conveniente para llenar este Subtenientes. D. Joaquín Sotelo, D. Antonia objeto con arreglo á…</t>
  </si>
  <si>
    <t>e la Alcudia, para que en el preciso término de 15 dias, contados desde el citado 22 de mayo, com­ pitán. parezcan ante $. S., y por la escribanía de D. Juan En el real cuerpo de artillería. D. Antonio de Raya, por sí ó por medio de procurador con poder su­ Hoces á capitán segundo. ficiente á usar de su derecho; previniéndose…</t>
  </si>
  <si>
    <t>En, Luis Juan</t>
  </si>
  <si>
    <t>Luis Juan En</t>
  </si>
  <si>
    <t>008, 184939, ma de numeración, se reducen sus operaciones á 183521, 181793 y *78411. las de los números enteros. Un vale de 600 pesos de setiembre de D. Luis Juan En qoanto á la nomenclatura del sistema se Elexaga, nú ni. 133537. pueden seguir dos partidos: el uno, aquel en que Dos vales de 300 pesos de enero de 1809 de Doña …</t>
  </si>
  <si>
    <t>En, Manuel</t>
  </si>
  <si>
    <t>Manuel En</t>
  </si>
  <si>
    <t>por desgracia las ciencias ma­ carmelita descalzo D. Miguel Rogter. temáticas están tan atrasadas y tan mal enseñadas. Para la de Veas al eX-geróoimo D. Manuel En efecto los eiementos de D. Benito Bails no tie­ de Mata. nen ni plan, ni órden, ni métcdS: su aritmética Para la de Valor al ex-franciscano D. Josef es un hacinamie…</t>
  </si>
  <si>
    <t>En, Miguel</t>
  </si>
  <si>
    <t>Miguel En</t>
  </si>
  <si>
    <t>ques, que han sido conducidos a Amsterdan. nota. En la gazeta del 12 de este mes , página Cotnmerci 75 de julio. 1006, donde dice haber sido nombrado D. Miguel En un lugar de nuestro departamento ha ocur-1 Antonit Jbañez para teniente de la 7 11 compañía ti do una escena divertida. Ha muerto una jóven del octavo batallón de l…</t>
  </si>
  <si>
    <t>Encabo, Juan Antonio</t>
  </si>
  <si>
    <t>Juan Antonio Encabo</t>
  </si>
  <si>
    <t>gran duque , el qual ha recibido á los di­ ro, para una canongía de la santa ig'esia de Bur­ putados con ta bondad y afabilidad que le son na­ gos: á D. Juan Antonio Encabo, canónigo electo turales , y los ha convidado después á comer á su de la catedral de Patencia, para una canongía de mesa. S. A. R. visitará la semana próx…</t>
  </si>
  <si>
    <t>Encinas, Francasco</t>
  </si>
  <si>
    <t>Francasco Encinas</t>
  </si>
  <si>
    <t>individuos , 63. — Tesopaco.- El presbítero B. Ignacio Lorenti , 8. I). Victoriano Gil, 100. D. Nicolás Amarillas, 15. D. Hermenegildo La pisco , 10. D. Francasco Encinas , 15. Varios individuos , 21 pesos y 4 reales. •—- Barot/eca. El cura D. José Villegas, 50. D. Bernardo Veloz200. j&gt;. José López, 100. D. Tiburcio Toledo, 5…</t>
  </si>
  <si>
    <t>Engelhardt</t>
  </si>
  <si>
    <t>do al amanecer esta fiesta» que ha principiado por una solemne función de iglesia; Antes de ayer, ai tiempo de entrar en esta ca­ y conclaida esta el general Engelhardt ha dado un pital el convoí fúnebre del difunto Príncipe Real, espléndido banquete , á que han asistido todo* ios fue apedreado en la calle Nueva el coche de g…</t>
  </si>
  <si>
    <t>Enjuto, Josef</t>
  </si>
  <si>
    <t>Josef Enjuto</t>
  </si>
  <si>
    <t>o. gimiento á D. Josef Gutiérrez: para tenientes á ■ r. D. Francisco Villaescusa, D. Bernardo Alarcon, Es la noche del dia 19 del corriente se abrió, D. Josef Enjuto, D. Luis Gatcía Tribiáo, D. Jo­ en obsequio de los días de nuestro augusto Sobera­ sef de Cárdenas y D. Juan García Tribiñoj y pa­ no, una escuela de dibuxo y de…</t>
  </si>
  <si>
    <t>Enric</t>
  </si>
  <si>
    <t>tar que se fixen y divulgen. — Dios guarde á V. muchos años. Madrid 14 de mayo de 1810. —Ar-&gt; cribas. — Al comisario de policía de Granada. ? * V. De D. Enric¡tte Disdipr al conde, de Sebastiani. •r . •• Exorno: Sr.: Efectivamente muchos de los relacsos van doblando'fu cuello á las circunstancias, y van dando paso á la opinió…</t>
  </si>
  <si>
    <t>Entine</t>
  </si>
  <si>
    <t>501</t>
  </si>
  <si>
    <t>cuidados, ni vigilias, ni dinero: él mismo re­ Se ha vuelto á nombrar comandante .de Riga al compensa á los profesores y á los discípulos según mayor general Entine, comandante de la 14. di­ los méritos de cada uno; convida todos los jueves visión ; al mayor general barón de Rosen se le ha á comer con él á los profesores, y l…</t>
  </si>
  <si>
    <t>Entrena, Antonio</t>
  </si>
  <si>
    <t>Antonio Entrena</t>
  </si>
  <si>
    <t>edro Zubiaga...................... 65 *42 8£ D. Gabdel Gómez................................. 5 0400 D- Alariano Luis de Urquijo................ 8664 D. Antonio Entrena............................... 32760 D Nicolás Alonso de T^ejada.............. 3220 D. Miguel Maderna................................. 133631 1 2 3 6 3 1 26 D…</t>
  </si>
  <si>
    <t>Entrene, Josef</t>
  </si>
  <si>
    <t>Josef Entrene</t>
  </si>
  <si>
    <t>ido recibido con las cerril , corregidor; D. Lorenzo de Basabru , D. Ra­ 'demostraciones mas vivas de regocijo por sus habí fael de Tena , regidores: D Josef Entrene, D. Jo— tantes. Se han presentado á S. M. diputaciones de set Ruiz, D. Rafael Morales, jurados; D. Josef los dos cabildos eclesiásticos: e] de la catedral ¡'tese…</t>
  </si>
  <si>
    <t>Eoutelou, Esteban</t>
  </si>
  <si>
    <t>Esteban Eoutelou</t>
  </si>
  <si>
    <t>las alas de color pardo» y el Desde el 18 de setiembre, á las 10 y media de la resto del cuerpo de color roxizo: la hembra es de tnañana, continuará D. Esteban Eoutelou, profesor de un verde gris; tienen el pico fuerte y encorvado» agricultura y economía rural del real jardin botánico, y se encaraman á qualquier parte como io…</t>
  </si>
  <si>
    <t>Eraso, Miguel</t>
  </si>
  <si>
    <t>Miguel Eraso</t>
  </si>
  <si>
    <t>1026</t>
  </si>
  <si>
    <t>se halla en estado de sitio. Nuestro general ha sabido por conducto fidedigno y por oficios del segundo comandante general de Navarra y Pro­ vincias D. Miguel Eraso, que el 9 del corriente después de haberse reunido en Agreda dicho comandante con las tropas de Espoz y Mina, emprendieron junios su marcha hacia Tarazona, adonde…</t>
  </si>
  <si>
    <t>Erdo</t>
  </si>
  <si>
    <t>de esta ca­ de i® hasta 7© florines. Ei doctor II-pfen com­ pital, en la qual se dice que los franceses se habían pró uno que le costó i63, y aan el conde Erdo— ido de las orii.as del Pinel, y cruzado el Coa por di, gran canciller de Hungría, le ofrecía por él varias partes, diximos que ,,á pesar del silencio 2^0 florines dos…</t>
  </si>
  <si>
    <t>Ermoiow</t>
  </si>
  <si>
    <t>que ha manifestado el coronel conde Orourk, el mos tenido un oficial y 72 toldados heridos. qual, hallándose rodeado de fuerzas enemigas su­ El mayor general Ermoiow, que manda un periores en número , logró abrirse paso . batirlas y cuerpo de observación delante de Giurgewo, se derrotarlas. (JExtracto del diario del Norte.) a…</t>
  </si>
  <si>
    <t>Erranz, Éosebto</t>
  </si>
  <si>
    <t>Éosebto Erranz</t>
  </si>
  <si>
    <t>á que den de mano ri tádb'espíriru de ' 'Capitán de eSfá! compañía, D.' Ánton¡o Fauche. partido, á que se retinan al ‘redédbr déltfoíio de Teniente , D. Éosebto Erranz. " su verdadero monarca , á qué manifitsten' ál uni­ Subtcnieote, D. Lorenzo Jósef Dávila." ^ verso entero que no tiene 'súbditos’nías leales y fieles que «us …</t>
  </si>
  <si>
    <t>Eruchaga, Gregorio</t>
  </si>
  <si>
    <t>Gregorio Eruchaga</t>
  </si>
  <si>
    <t>1027 D. Gregorio Eruchaga de un sablazo que recibió en la cabe­ za ¿ y hubiera perecido á manos de 6 húsares que le rodeaban, sino le hubiera librado el valor de dos de sus soldados. El co­ mandante de infantei ía Gorriz sacó el caballo herido, y á su ayudante mayor D; Miguel Sarasa le mataron</t>
  </si>
  <si>
    <t>Es, Eufemiano</t>
  </si>
  <si>
    <t>Eufemiano Es</t>
  </si>
  <si>
    <t>o Manchtño á juez del tri­ Xerez de la Frontera, bunal criminal extraordinario de Xerex de la Fron­ A D. Manuel Beunza, oidor decano de Sevi­ tera, á D. Eufemiano Es tremerá. lla , presidente. r.° Juez á D. Juan Eugenio Calzadilla, oidor AVISO. del mismo tribunal. 2. a A D. Juan Antonio de Aldama, alcalde El dia 1 del present…</t>
  </si>
  <si>
    <t>Es, García</t>
  </si>
  <si>
    <t>García Es</t>
  </si>
  <si>
    <t>1380</t>
  </si>
  <si>
    <t>a á Antonio Poley...... 495 3960 Otra, calle de Sta. Anay ar* Otra, calle del Horno wdév'o, rendada á Manuel. Chacón.......... 220 . 1760 arrendada á Doña García Es- ............... “ ' - Otra en id., arrendada á,Cr¡s* ‘ 1. * ' /’ 1 836®') T rjg , ....... A) Otra en id., arrendada á-Fran- Otra,-calle de Alamos, arrea-.. .7*5 …</t>
  </si>
  <si>
    <t>Es, José</t>
  </si>
  <si>
    <t>José Es</t>
  </si>
  <si>
    <t>do Martínez ofre­ ce entregar en caxas reales el costo que tenga un soldado én España des­ de ei dia en que se declaró la guerra hasta su conclusión. D. José Es­ parza ofrece 50 pesos en cada año por el tiempo que dure la guerra. CADIZ: EN LA IMPRENTA REAL.</t>
  </si>
  <si>
    <t>Esca, Francisco</t>
  </si>
  <si>
    <t>Francisco Esca</t>
  </si>
  <si>
    <t>y decretamos lo que sigue: tínez de Morel, D. Antonio Garai , D. Diego Sua- articulo i. ,, Está nombrado comandante del rez, D. Francisco Rodríguez, D. Francisco Esca- 4.0 batallón de milicia cívica D. Manuel Raquejo. rena , D. Francisco Xavier Guillen, D. Josef Ma­ art. 11. Nuestro ministro de la Guerra queda ría Pardo , D. …</t>
  </si>
  <si>
    <t>Esca, Juan Vicenoz</t>
  </si>
  <si>
    <t>Juan Vicenoz Esca</t>
  </si>
  <si>
    <t>ta le esperaba el Exento. Sr. arzobispo de de Donadío, coronel del exército. esta santa iglesia con todo el clero, y conducido Por el estado general: D. Juan Vicenoz Esca­ baxo de palio hasta el presbiterio, asistió baxo el lona, médico. dosel al solemne Te Deum, que entonó el prelado, Por lo militar: D. Josef Salazar, marisc…</t>
  </si>
  <si>
    <t>Escageda, Alexandro</t>
  </si>
  <si>
    <t>Alexandro Escageda</t>
  </si>
  <si>
    <t>entos, cabos y sol­ dados, 1575. — Carrizal. Capitati1 D. Alberto Maynez, 40. Teniente D..Valentín Moreno, 40. Alférez D. Gregorio Fernandez, 10. Id. D. Alexandro Escageda , y. Capellán Fr. José Sastre, 20. Sargentos, cabos y soldados, 406. — S. Elecearto. Capitán D. José Manuel de Ochoa, 50. Teniente D. Félix Colomo , 15. Al…</t>
  </si>
  <si>
    <t>Escalona, José</t>
  </si>
  <si>
    <t>José Escalona</t>
  </si>
  <si>
    <t>y 5 rs. Varios individuos del real de la Aduana, 147. Los habitantes de los ranchos de Gerocoa y Cockibampo, 57 y 4 rs. D. Juan de Dios Hurtado, 10. D. José Escalona, 10. Varios individuos, 15 y ¿ rs. Don Víctor Soto, 14. D. Juan Miguel deAyala, 13. Quatro individuos, 28.— CADIZ : EN LA IMPRENTA REAL.</t>
  </si>
  <si>
    <t>Escando, Domingo</t>
  </si>
  <si>
    <t>Domingo Escando</t>
  </si>
  <si>
    <t>rtimati, 200. D. Pedro de Sierra Diaz, 100. D. Juan Bautista Garaycochea , 100. D. Tomas Barbadillo , 200. D. Mateo Batidlo , vecino de Xalapa, 200.. D. Domingo Escando» , 200». .IX Pablo Fray le , 200. D. Juan José Morillo , 200. D. Imancisco Luis SeptitímA-200. D. Pedro Pandero , asesesor de la Intendencia, 200. D. Francisc…</t>
  </si>
  <si>
    <t>Escandon</t>
  </si>
  <si>
    <t>549</t>
  </si>
  <si>
    <t>enemigos á las orillas del Piqueña y del Narcéa sobre el puente S. Martin, matándoles 18 hombres , y cogiéndoles muchos fúsiles y otros efectos. — El coronel Escandon se halla ocupando la villa del Infiesto , al oriente de la provincia , y con su cuerpo persigue al enemigo á todas horas, llegando algunas de sus partidas á tir…</t>
  </si>
  <si>
    <t>acia Potes, habiéndose procurado fácilmente carros y caballos bastantes para transportar todo su equipage. En este dia esperaba que se le reuniese el general Escandon, quien se dice tiene cerca de 1300 hombres, y en seguida con las fuerzas unidas hallar­ se bastantemente fuerte para contener á lo menos al enemigo, y molestarl…</t>
  </si>
  <si>
    <t>605</t>
  </si>
  <si>
    <t>enos dos dias, se adopto el plan, á la verdad mas sabio, de poner antes en seguridad todas sus municiones,'armas y bagages, y después de unido con el general Escandon em­ prender sus ataques con esta fuerza adicional, y no me que­ da duda de que serán coronados del mas próspero suceso.” Noticias de Asturias. El coronel de Can…</t>
  </si>
  <si>
    <t>stante pérdida de gente. . / . Después de estos sucesos pasó Porlier á Asturias para obrar de acuerdo con los brigadieres Barcena y Castañon y con el coronel Escandon , y destruir los enemigos que infestan el prim cipspilo. En Linares de Comeilana fueron atacados el 15 de agosto por el brigadier Barcena 600 franceses , de los…</t>
  </si>
  <si>
    <t>e había ido á Burgos á solicitar refuerzos, entró de vuelta el 19 en Villaviciosa, sin haber podido conseguirlos. — o En 23 de setiembre dió parte el coronel Escandon á esta jun­ ta del feliz arribo y desembarco del cargamento de artillería, municiones y armas que se le habia remitido. El 17 recibió avi­ so del capitán D. Mat…</t>
  </si>
  <si>
    <t>Escandon, Tadeo Sánchez</t>
  </si>
  <si>
    <t>Tadeo Sánchez Escandon</t>
  </si>
  <si>
    <t>no se ha cobrado, 9906. D. José Looez, 1®. El desechado, 200. D. Gregorio VVindel, 20. A. B., 100. D. Benito Herrera, zoo. D. Ri­ cardo Meade, 2000. D. Tadeo Sánchez Escandon, 60. Marques de las Hormazas, 3000. D. José Alvareda é hijos, 300. D. José Fernandez de Oiarte, 120. D. Ricardo Meade en nombre de varios americanos, 12…</t>
  </si>
  <si>
    <t>Escaño, Francisco</t>
  </si>
  <si>
    <t>Francisco Escaño</t>
  </si>
  <si>
    <t>pasión de los males que padece la patria se des­ tínez , tejiente D. Joaquio Qjintano, subteniente pertaría en sus pechos, y restituirían á la nación D. Francisco Escaño, otro, D Femando Echandia. la paz y el sosieg que tanto necesita. Tercera ídem. Caoitan D. Candido Manuel de La Cabolería francesa esperaba á S. M. á una S. …</t>
  </si>
  <si>
    <t>Escario, Santiago</t>
  </si>
  <si>
    <t>Santiago Escario</t>
  </si>
  <si>
    <t>conferir la sargentía mayor del batallón de voluntónos de Valencia al coronel D. José de Viliaba; compafi a. en el regimiento de infantería de Jaén a D. Santiago Escario; y en el regimiento de infantería de Irlanda, subtenencia ai sar­ gento 1 Q D. Pcsqual Coinpany. A i nisrxio se ha servido S. M. conferir en el 2.° batallón …</t>
  </si>
  <si>
    <t>Esclarmonda, Sebastian</t>
  </si>
  <si>
    <t>Sebastian Esclarmonda</t>
  </si>
  <si>
    <t>722 D. Pedro Anselmo Marchal................ 39242 10 D. Sebastian Esclarmonda................... 536 D. Josef Pelaez....................................... 9876 D. Rafael Diez de Vega.................... . 1127 1 D. josef Rodríguez................................ 381</t>
  </si>
  <si>
    <t>Escobar</t>
  </si>
  <si>
    <t>tallón de-in­ fantería de Canarias se traslada mañana á Gime ha, parai prote­ ger las correrías que debe hacer en los campos de Alcalá la partida del teniente coronel Escobar , compuesta de Y50 pa­ triotas montados. — Es quanto puedo participar á V. E. por ahora. — Dios guarde, &amp;c.” NUM. IV. 21 dé junio, “ Excmo. Sr. — Por la…</t>
  </si>
  <si>
    <t>Escobar, Agustín</t>
  </si>
  <si>
    <t>Agustín Escobar</t>
  </si>
  <si>
    <t>ntonio Valderas ; y subte­ nencias , á D. José Perez , D. Jorge Bertolld , D. José Fernandez, D. Miguel Henriquez , D. Blas Marín, D. Antonio Ferrer, D. Agustín Escobar . D. Miguel Federico, D. Francisco Blanco , D. Bartc lomé Blanco D. Joaquin Gómez, D. José Flaquer, D. Lean­ dro Rubira , D. José Velasco, D. Joaquín Velasco,…</t>
  </si>
  <si>
    <t>Escobar, José Antonio</t>
  </si>
  <si>
    <t>José Antonio Escobar</t>
  </si>
  <si>
    <t>Ncpomuceno Flores , 88. El Dr. D. Pedro Puglia, 50. D. José. Antonio Carbajal , tesorero interino de Veracruz , su esposa , hijos y cria­ dos , 250. D. José Antonio Escobar, 100. D. José Miguel de Musques, 20. Doña María Gertrudis y Doña María Francisca Musques y Lariz, 12 pesos , y otra tanta cantidad anualmente. D. Francisc…</t>
  </si>
  <si>
    <t>Escobosa, Francisco</t>
  </si>
  <si>
    <t>Francisco Escobosa</t>
  </si>
  <si>
    <t>, 12: D. Vicente H¡aojoso, 10. Varios individuos, 104. — Orcasitas. D. Ma­ nuel del Campillo, 20. D. Victor Aguilar, 20O. D. Dionisio de Aguilar, 25. D. Francisco Escobosa, 20. D Juan Contreras, 12. Varios in­ dividuos , 16$. Altar. El teniente coronel D. José Saenz Rico, 24. D. Francisco Ortiz, 30. D. Francisco Robledo, 25. …</t>
  </si>
  <si>
    <t>Escobosa, Rafael</t>
  </si>
  <si>
    <t>Rafael Escobosa</t>
  </si>
  <si>
    <t>. Lscroix, que ha merecido la Para la primera sacristía de la colegiata de Mo­ aprobación de casi toda la Europa. Este laborioso tril al ex-capuchtno D. Rafael Escobosa. sabio había experimentado por sí mismo, y visto Para h segunda de la misma iglesia al ex fran- prácticamente en sus discípulos la absoluta necesi­ ciscano ob…</t>
  </si>
  <si>
    <t>Escribano, Juan Antonio</t>
  </si>
  <si>
    <t>Juan Antonio Escribano</t>
  </si>
  <si>
    <t>105 149945 167495 211463 . .|[8 de 158605 —* 79679 *92*64 1S8446 155388 /1Ó2357 . 1 jo pesos de setiembre. 175214 1495x4 169008 215641 185585 -ioxóoi D. Juan Antonio Escribano. 22901J 1 de 15 o pesos de enero, *39397 x de 600 pesos de setiembre Z&gt;. Ramón Salas. 80449 85952 108034 84492 68895 109543 I1? de 93599 83725 119989 1…</t>
  </si>
  <si>
    <t>Escribe, José</t>
  </si>
  <si>
    <t>José Escribe</t>
  </si>
  <si>
    <t>uestro señor D. Fkiu* an­ eo vii una junta interina en esta ciudad , compuesta de los profesores D Pedro José Bermudez, boticario de cámara de S. M., D. José Escribe, honorario de la misma dase , D. Alberto Monge y D. Juan Silvestre Rodríguez Sánchez , individuo supernumerario , para examinar á los que quieren revalidarse en …</t>
  </si>
  <si>
    <t>Escrita</t>
  </si>
  <si>
    <t>Gaceta de Madrid n.º 23</t>
  </si>
  <si>
    <t>su afec­ l qué ciudad resistirá quando Gerona no ha podido tísimo amigo = Salvador Sánchez.” resistir ? Sin embargo, por hacer algo , y porque el P. D. Escrita ya esta carta , hemos tenido aquí pueblo no los arrastre por traidores, los militares una grande alerta. Una persona de la Gineta ha fortifican á Tarragona, y han pues…</t>
  </si>
  <si>
    <t>Escudero, Antonio</t>
  </si>
  <si>
    <t>Antonio Escudero</t>
  </si>
  <si>
    <t>de Biarhaben........................ 1895 8f D. Josef López de Arcos..................... 171057 18 D. Juan Bautista de Ibarra................. 216 6 D. Antonio Escudero............................ 115038 8 D. Josef Cándano.................................. 180 17 La condesa viuda de Sanafé................. 136846 D. Tomas Ga…</t>
  </si>
  <si>
    <t>Escudero, Francisco</t>
  </si>
  <si>
    <t>Francisco Escudero</t>
  </si>
  <si>
    <t>la provincia de Valladolid: D. Domingo Dtieñasp suplente por la de Granada: D. Francisco de Sales Rodríguez de Barce­ na .suplente por la de Sevilla: D. Francisco Escudero , suplente por la de Navarra : D. Francisco González, suplente por la de Jaén: D. Esteban Palacios, suplente por la de Caracas: D. Fermín de Clemente, supl…</t>
  </si>
  <si>
    <t>Escudero, Jorge</t>
  </si>
  <si>
    <t>Jorge Escudero</t>
  </si>
  <si>
    <t>Boan. 6.*.......... D. Pedro Real D. Eugenio Fourdioier. D. Josef Trasvina.................... D. Josef Batalon. S.\.. D. J uan de Ribera y Céspedes. D. Jorge Escudero. D. Julián Apartci................... D. Gabriel Fe rnaodez de Ol­ mos. lo.*. D. Josef Joaquio Várela. Séptimo batallón. Para avadante primero D, Pedro Ferrar,…</t>
  </si>
  <si>
    <t>Escudero, Teotino</t>
  </si>
  <si>
    <t>Teotino Escudero</t>
  </si>
  <si>
    <t>L REI. = Por S. M. su mini' tro SccrCtu rio de Estado Mariano Luís de Ur- ARTICULO II. quijo.” Sevilla. Extracto de las minutas de la secretaría de A D. Teotino Escudero, gobernador del cri­ Estado. men en la audiencia de la misma ciudad, presi­ Real alcázar de Sevilla á 13 de abril de 1S10. dente. Don Jáoef Napoleón por la g…</t>
  </si>
  <si>
    <t>Eseaño, Antonio</t>
  </si>
  <si>
    <t>Antonio Eseaño</t>
  </si>
  <si>
    <t>abel Simón de Palacios, 100. Duque de Veragua, 1000. D. An­ tonio Seoane, 100. B. L. , 100. Marques de Castelar, ioco., D. To­ mas de Urrutia , 1000. D. Antonio Eseaño , ioco. D. Jayme Mendiberri, So. Marques de Salas, 5C0. D. Francisco Parlado , toco. D. Pedro Benito Michel, 40. D. Mariano Matali, Soo. TJr.á bisabuela , zoco…</t>
  </si>
  <si>
    <t>Eseo, Vicenta Perez</t>
  </si>
  <si>
    <t>Vicenta Perez Eseo</t>
  </si>
  <si>
    <t>ipriano Salinero................. ............. 711 D. Manuel de Ramos Zafra , apoderado D.' Manuel de Moya.............................. 1Ó24..17 de Doña Vicenta Perez Eseo.... ....... 448* Doña Ana María Henriquez de Luna. 2ÍÓ¿ D. Manuel López de Cerrcdo............... 17122..17 Doña Juana Lopezí............................…</t>
  </si>
  <si>
    <t>Eseovedo, Pedro</t>
  </si>
  <si>
    <t>Pedro Eseovedo</t>
  </si>
  <si>
    <t>. José ig nació Gómez de Teran. Asimismo se ha servido S. M. conferir en el prepio cuerpo compañía de cazadores á D. Pasqual Liñan id. de fusileros á D. Pedro Eseovedo, I). Rafael Meneos y D. Vicente Diez Sánchez ; primera ayundantía mayoF á D. Ignacio Morales; primeras tenencias de granaderos al marques de Casatreviño y ai c…</t>
  </si>
  <si>
    <t>Esnaola, Manuel</t>
  </si>
  <si>
    <t>Manuel Esnaola</t>
  </si>
  <si>
    <t>o y B. Francisco Salcido , 20. Varios individuos , 37. Los vecinos de Fronteras, 74 y 2. rs.— Rosario. B. Rafael Rendon , IO. D. José Castañeda , 25. D. Manuel Esnaola, 25. B. Rafael Sauceda y B. Bernardo Briugas , 100. D. Francisco Alvarado, 15. B. Urbano Niebla y B. Ignacio Murua , 20. El presbítero B. José Gómez , 10. Doña…</t>
  </si>
  <si>
    <t>Esparza, José</t>
  </si>
  <si>
    <t>José Esparza</t>
  </si>
  <si>
    <t>Don Pedro Barraza, 12. D. Rafael Lara, 5. D Rafael Sánchez A varez, 12. V^ios individuos, 63. — Cuencamé. El subdelegado D. José María Du­ ran., 50. D. José Esparza, 100. D. José Horna, 6. D. Juan Bautista Bonifaq, 5. D. José Joaquín Lugo, 5. D. Julián Rivas, 5. Manuel Frayre, 5. D. Vicente Valdes, 10. Silverio Fabela, 10 Ant…</t>
  </si>
  <si>
    <t>Espejo, Antonio</t>
  </si>
  <si>
    <t>Antonio Espejo</t>
  </si>
  <si>
    <t>dián y examina­ ginal de San-Simón, la elevación natural y sabro­ dor sinodal. sa de Voltaire » y la fuerza y previsión de Duelos. Para la de Dolar á D. Antonio Espejo, ex- No ha hecho diligencia alguna para descubrir 1» franciscaao, lector y examinador sinodal. explicación, ó poner en claro la verdad de los he­ Para la de Gu…</t>
  </si>
  <si>
    <t>Espejo, Manuel</t>
  </si>
  <si>
    <t>Manuel Espejo</t>
  </si>
  <si>
    <t>aduado de capitán D. Joaquín de Montene­ gro , á D. Ramón de Cucalón , y á D. Cristóbal de Reyna graduado de capitán : á tenientes á los subtenientes D. Manuel Espejo , á Don Vicente González Yebra , graduado de capitán , *y al subteniente de artilleros á caballo D. Domingo Ulzurrutn. Igualmente se ha servido conferir la coma…</t>
  </si>
  <si>
    <t>Espetillo, Manuel Zavala</t>
  </si>
  <si>
    <t>Manuel Zavala Espetillo</t>
  </si>
  <si>
    <t>el Rio. D. Josef Ramón de Aguiar. D. Domingo Prieto. “•••i D. Pedro Soler. D. Fermín Lumbreras. Batallón del quartel de Maravillas. D. Josef Osteret. D. Manuel Zavala Espetillo. Capitanes. D. Rafael Fleuriot. D. Francisco Xavier Berindoaga. D. Benito Angulo. D. Juan Oden y Meneses. D. Antonio San Germán. D. Juan Puente. D. Ma…</t>
  </si>
  <si>
    <t>Espi, Josef Partas</t>
  </si>
  <si>
    <t>Josef Partas Espi</t>
  </si>
  <si>
    <t>inéz. 1 ^ik^alBía ’Ík mÑ$orñ WWt Capitán , D.; A^tts'fitr'Górsfllííe ^kmé.'1 ;'X‘í '" •;3 \ 9ináin:M'itj¿ Tenie^efeMcittío'Wdtóifó. t&gt;*«*“?* Capitán, D Josef Partas Espi.iosa. SubttnicfliV'^jPH^FiitAcfti.tr SwnliiGííiíjíifJi , Teniente, Di, JotíCsÉAWS^ «V. j.\üt.usvX&gt; So^ÍWÍW PgU»%|nQ!., ncjiqiO ' Compañíade^’PPdWd^ef^d^'d y$…</t>
  </si>
  <si>
    <t>Espinos, Manuel Sixto</t>
  </si>
  <si>
    <t>Manuel Sixto Espinos</t>
  </si>
  <si>
    <t>npfel María Tovar...........;».‘..:Lí. - 75c 3 2| D. Fernando Perez Rico^...... 46..... 88000 •' Doña Catalina Fornier............ ....... ...i - t$? D. Manuel Sixto Espinos»....w.......... 45060 '■ . D. César González...................i: ; -3743/ 20I Di Manuel Fermín Casado................. 1077571.22 ¡ D,"Francisco Xavier …</t>
  </si>
  <si>
    <t>Espinosa, Antonio</t>
  </si>
  <si>
    <t>Antonio Espinosa</t>
  </si>
  <si>
    <t>lase de males. Asi es que a pesar de la con­ cipal D. Antonio Zorrilla, y el subteniente del ducta que observó esta capital del reino luego que mismo D. Antonio Espinosa, dadores de esta, pa­ recibió los avisos de acercarse el quarto cuerpo del ra que con una partida de confianza sean conduci­ exércitp, imperial y real, lejos…</t>
  </si>
  <si>
    <t>Espinosa, J-isef</t>
  </si>
  <si>
    <t>J-isef Espinosa</t>
  </si>
  <si>
    <t>otros á los intendentes. de Areco, coronel, D. Vicente Herris , teniente co­ art. xix. Nuestros ministros de lo Interior ronel graduado de coronel, y D. J-isef Espinosa, y de Guerra quedan encargados de Ja. exetu- cuperiateudeote de la fabrica del tabaco. cior» del prese ite decreto. = Firmados: YO EL REI. =sPor $. M. su mini…</t>
  </si>
  <si>
    <t>Espinosa, Josef</t>
  </si>
  <si>
    <t>Josef Espinosa</t>
  </si>
  <si>
    <t>presentó á S. M. en Cór­ doba la diputación de la villa de B*ena, compues­ ta de D. Melchor G ¡mez de Ceialla , corregidor TEATROS. .y alcalde mayor; D. Josef Espinosa, regidor, y En el del Príncipe, á Jai ocho de la noche, te re­ D, Josef Villareal, síndico peiscuero , por ti ayun­ presentar í por la compañía española la com…</t>
  </si>
  <si>
    <t>Espinosa, Manuel Cayetano</t>
  </si>
  <si>
    <t>Manuel Cayetano Espinosa</t>
  </si>
  <si>
    <t>de Palacio, 150. D. Nicolás Alfaro, 10. D. Manuel Anguiz, 50. D. Joan Manuel de Ortiz, 300. D. Antonio Aunada, 150. D. Toribio de Mateo y Ramos, 300. D. Manuel Cayetano Espinosa, 150 D. Antonio de Cevallos, 200. D. Manuel Campoy, 10. D. Jasé Ignacio Ruiz, 10. D. José Urquides, 10. D. Ignacio Campoy, 20. D. Pedro Quirós, 10. D…</t>
  </si>
  <si>
    <t>Espinosa, Manuel Sixto</t>
  </si>
  <si>
    <t>Manuel Sixto Espinosa</t>
  </si>
  <si>
    <t>ligeras y singulares rasgos his­ las , D. Manuel María Cambronera , D. Vicente tóricos para recreo del espíritu y adorno del entendi­ González Arnao, D. Manuel Sixto Espinosa y miento, sacado de varios autores é idiomas. Véndeso D. Ignacio Muzquiz. en la librería de Gómez, calle de las Carretas: un to­ mo en 8.° de marca, á 9…</t>
  </si>
  <si>
    <t>e Alba Ruiz............. ................ 1 2 ;o3 28 Los hijos menores de D. Matías de Oli­ Doña Ramona Manuela Pérez............ 11503 28 ven. ia, y D. Manuel Sixto Espinosa. 5 57 2 D- Josef de Ansjulo.............................. . 3 5',ii *7 D. Josef Trota........................................... -413* 7 D -ña Ana de Ar…</t>
  </si>
  <si>
    <t>e Gravenreuth, consejero de Estado y gentilhom­ D. Martin Fernandez Navarrete......... 30819.. 6 bre; el barco de Gravenreuth, oficial de artillería; D. Manuel Sixto Espinosa................... 6 91.. 1 el barón de Dos-Puentes, teniente general,'y el D. Juan Estiban de Trido.................. 21806.'. 16 barón de Freiberg , g…</t>
  </si>
  <si>
    <t>. Imp. Aug. ,, Hemos nombrado y nombramos director ge­ Monumenturn. Belli. Germanici. neral de bienes nacionales ai consejero de Estado Anno. mdcccv. D. Manuel Sixto Espinosa. Trimestti. Spatio. Ductu. Sao. Profligatí. N uestro ministro de Hacienda queda encarga­ Ex aere capto. do de la execucion del presente decreto. =: Firm…</t>
  </si>
  <si>
    <t>Esquerra, Joaquín</t>
  </si>
  <si>
    <t>Joaquín Esquerra</t>
  </si>
  <si>
    <t>or de los franceses» según costumbre, la abertura anual de los estudios Re i de Italia, protector de la confederación del R ¡n» reales de esta corte. D. Joaquín Esquerra , cate­ mediador de la confederación sniza &amp;c. &amp;c. Scc. drático de sintaxis latina » y substituto de poética, Oido el informe de nuestros ministros de Ha­ le…</t>
  </si>
  <si>
    <t>Esquiva, Domingo</t>
  </si>
  <si>
    <t>Domingo Esquiva</t>
  </si>
  <si>
    <t>......... 23207 22 seguirán el exemplo del de Reding. D. Hemeterio de Soria.................... 0204 4 ,,Se han hallado en Sevilla Inmensas provisio­ D. Domingo Esquiva........................ liteo 25 Jnes de todas clases; mas de 300 cañones, y 3go2J D. Julián López de Mena................ 1263 17 libras de pólvora Un cuerpo…</t>
  </si>
  <si>
    <t>Esreto</t>
  </si>
  <si>
    <t>por el señor general de división Lava!, D. Joseí García Aoe.Ia............................ 558 19 alcanzó el 11 en Illueea 3 la vanguardia de Fidel: D. Esreto.-.n de la Torre........................... 164295 30 nn ataque de los volteadores y 15 coraceros bastó Sr. Marques Caballero.............................. 12312 30 para…</t>
  </si>
  <si>
    <t>Essea</t>
  </si>
  <si>
    <t>de carbón de piedra S. A.R. el príncipe de Pontecorvo llegará mui qne se han descubierto poco ha cerca de Fünskirprouto á territorio de Dinamarca. El general Essea chen, el lago Baiaton, la hermosa península Tchani, y el mariscal Adlerswaerd han venido á Helsing— y las obras qne ce han empezado á construir en el borg para rec…</t>
  </si>
  <si>
    <t>Essébaú</t>
  </si>
  <si>
    <t>lería ligera, Fuente Obrares (marques de), alguacil mayor de ídem. ' la audiencia de Aragón/ Beanx ( D. Pedro), eapitao de granaderos, ídem. Gámbaro (D. Essébaú ), gefe de música del regi­ Berthol (D. Juan), cabo del mismo regimiento, Ídem. miento de granaderos de nuestra guardia real. Bertholet (D. Leopoldo ) , capitán de ca…</t>
  </si>
  <si>
    <t>Essen</t>
  </si>
  <si>
    <t>iberg, de las adua­ fortaleza de Ibraii se rin.tió por capitulación el 3 nas de Trieste , y de las; salinas de Hailein en el de diciembre ai teniente general Essen. Los rusos país de Saltzburgo y de Wiliczka en la Gallitzia, kan encontrado en esta plaza bastanre artillería y comprehendiendo lo que pagaban las provincias munic…</t>
  </si>
  <si>
    <t>rticularmente del Marning-chr anide , del Morning-post y del Cor­ Strahund 21 de marzo. rea , según los quaies parece cierto haber llegado á El señor conde Essen lia expedido una circular, Douvres un oficial francés con pliegos que inmedia­ en la qual, después de notificar que ha tomado po- tamente se han remitido á Londres á…</t>
  </si>
  <si>
    <t>250</t>
  </si>
  <si>
    <t>y las ratificaciones se cangearán en Paris en el término de 50 dias, ó antes si se puede. Paris 6 de enero de 181Ó.— Champagni, duque de Cadore.-— El conde Essen. — Gust. barón de Lagerbielke.” (1) SS. Mi\l. el emperador y la emperatriz se habrán avistado hoy en las tres magníficas tiendas de campaña que se han dis­ puesto pa…</t>
  </si>
  <si>
    <t>os hasta llegada del Príncipe Real. Esta noticia invariable el volverse á sus hogares al principiar el tiene algnoa verosimilitud. invierno. S. E. el conde Essen , que había recibido or­ Presburgo • de octubre. den de exercer interinamente las funciones de ma­ riscal de la dieta , y que había sido confirmado ea Se asegura que…</t>
  </si>
  <si>
    <t>Esta</t>
  </si>
  <si>
    <t>eis-ettendi tenga algu­ ton, que se acababa de descubrir un déficit de 13 na relación con estos proyectos. millones en las cuentas del Sr. Gallatin , secretario Esta ciudad disfruta de la mayor tranquilidad; de Estado. Este empleado ha vendido , según se y en estos últimos dias se ha hecho el pago de los dice, varias posesion…</t>
  </si>
  <si>
    <t>l REI nuestro Señor barón de Marinviile, gentilhombre y guardaropa una representación, snplic.ndo á S. M. la conser­ de S. M. el Reí de Wescfalia: el príncipe Esta­ ve en aquel mando á su padre, á su amigo el co­ nislao Zablonwoki, senador del ducado de Var- ronel barón de Sehwitter, y que en retribución «ovia: el señor Veiss…</t>
  </si>
  <si>
    <t>urgo. lares qoe hubiesen de llevar su dinero á las casas Ha llegado á Paris el conde de Ogínski, sena­ de moneda. dor y consejero secreto de S. M. ei Emperador Esta consideración me sugiere qne» no podien­ de Rusia. do ser la diferencia en .la refundición del oro sino El tribunal civil de Verdnm ha condenado í de 600 i 700^ f…</t>
  </si>
  <si>
    <t>Esta, Benito Tello de Albornoz</t>
  </si>
  <si>
    <t>Benito Tello de Albornoz Esta</t>
  </si>
  <si>
    <t>Blas de Fiúa y Llano. be y-posee.bíerjés raíces* b«xo aterra pensión que Tenientes. debe pagar cada año al qne se llanta dueño del dominio directo.. D. Benito Tello de Albornoz* ■ Esta cesión ú enagenacfon iio es perpetna sino D. Miguel Guerrero. temporal, y no transmite al enfiréuta mas dominio D. Tomas Alvarez Díaz* que el …</t>
  </si>
  <si>
    <t>Estarripa, Nicolás</t>
  </si>
  <si>
    <t>Nicolás Estarripa</t>
  </si>
  <si>
    <t>ique ,á su regreso de los altos va­ D. Francisco Iru ta.................................... 70Ó9 lles de Aragón , con el batallón del 64.“ y otro del D. Nicolás Estarripa.................................. 43320 114.0, dió con las bandas errantes y dispersas del Doña María Regil....................................... 722 salte…</t>
  </si>
  <si>
    <t>EstaviLlo, Manuel</t>
  </si>
  <si>
    <t>Manuel EstaviLlo</t>
  </si>
  <si>
    <t>ez, 1 xa.--Valle de S. Bartolomé. Don Estéban Mata, 10. Doña María y Doña Juana Urquidi, 50. D. Juan Ignacio Oliden, 40. D. José Ignacio Cordero, 20. D. Manuel EstaviLlo, 10. D. Francisco Díaz Velarde, 40. D. Joaquín Maynez , 10. Don Agustín Soto, 20. D. José Ramón Luxan, 10. Fr. Juan Cnacon , 25. D. Eugenio Perez, 30. D. Mar…</t>
  </si>
  <si>
    <t>Estéban</t>
  </si>
  <si>
    <t>stra guardia real. Parraud (O Juan Bautista), sargento de tiradores Vario ( D. Noel), subteniente de húsares, idem. de nuestra guardia real. Villate (D. Estéban), tirador, idem. Pastor (D. Ju&gt;m Francisco) » capitán agregado al Virio (D. Juan Bautista de), cónsul general eo est.do mayor de la placa de Madrid. Hambargo. Patrás …</t>
  </si>
  <si>
    <t>Esteban, Félix</t>
  </si>
  <si>
    <t>Félix Esteban</t>
  </si>
  <si>
    <t>„ 1..17 33 catelares, de 2 fan. y 6 celem., linde á El de los Llanos........... ................................ 281..17 ' 6193 oriente con tierra de D. Félix Esteban £1 prado Ccrburial...................................... . 300 6600 Zazo.......................... ................................ 3*-1/ 7*5 Otra á dicho sitio…</t>
  </si>
  <si>
    <t>Esteban, Juan</t>
  </si>
  <si>
    <t>Juan Esteban</t>
  </si>
  <si>
    <t>.......................... 1582 6 D. Rodrigo Sánchez.............................. t-'OÍ D. Juan Berteviu.................................... 2606 8} D. Juan Esteban 1 ricio........................ 160 JI 37 D. Francisco de Irusta.......................... 1083 D.a Juana de Urqttio, u'mo totora y D. Guillermo Eloi Go.izdez...…</t>
  </si>
  <si>
    <t>EstébaüCdeiTiiciP, Juan</t>
  </si>
  <si>
    <t>Juan EstébaüCdeiTiiciP</t>
  </si>
  <si>
    <t>víde Ribera; • 45000 D. Agustín Feitc,........................ 8533^; rí P. Manuel SineFípirto*!,™.,-»-—.. 43700 B. Lucas de CminM..... . 291661 líí. D. Juan EstébaüCdeiTiiciP!. *•*# •-*•••*»» »&lt;ík j, 120416 16 D. Agustín Gapeda............................» 69^0: ; í D.:FranciiQo López.Nuñe*....... 105000 El conde de Montarco…</t>
  </si>
  <si>
    <t>Estefanía</t>
  </si>
  <si>
    <t>í&gt;. M. Hoi han tenido el honor de ser presentadas! la SS. A A. el gran duque heredero de Badén, y Emperatriz, y de prestar el juramento en sUi ma­ la princesa Estefanía su esposa, han pasado por nos, los oficiales y las damas de la servidumbre de aqui para París , adonde llegarán antes que la Em— S. M. que no la habían acompa…</t>
  </si>
  <si>
    <t>, el gran duque Los dos caballerizo;, de servicio, de Wurtzburgo, la princesa Augusta, vireinu de Los quatro gentiíeshombres de servicio, Italia , la princesa Estefanía , gran duquesa here­ El edecán de servicio, dera de Badén, el gran duque heredero de Badén , el El gobernador del palacio, príncipe architesorero , el prínci …</t>
  </si>
  <si>
    <t>de Ñapóles ;el gran duque ele rá á Si. MM. YVurtzburpo; !a princesa Augusta, vireina de Ita­ Después del ofertorio se sentará el ministro ce­ bo ; la princesa Estefanía, gran duquesa heredera lebrante: un ayudante de ceremonias saludará el dc-E dcíi. Los ministros y los grandes oficiales del altar, el Empnador y el Re¡ de H t…</t>
  </si>
  <si>
    <t>Esten</t>
  </si>
  <si>
    <t>est^s tropas se ha confiado al te­ ALEMANIA. S niente feld- mariscal Duka, cuyo quartel general le establecerá en Temeswar. Hamburgo 23 de abril. EÍ general Esten, gobernador de la Pomerania ‘ SAXONIA. sueca, ha mandado que las tropas de la provincia ocupen las costas pura impedir toda especie d« Dresde 18 He abril. contraban…</t>
  </si>
  <si>
    <t>Estenaz, Martín</t>
  </si>
  <si>
    <t>Martín Estenaz</t>
  </si>
  <si>
    <t>Gaceta de Madrid n.º 193 (suplemento)</t>
  </si>
  <si>
    <t>lla de Fuentes. nardo. La de Pepino. La de Marchámalo. La del de Sama Catalina de Sena. La de Almonacid. La de Val de Averuclo. La capilla públic. de D. Martín Estenaz. La de Mañosa. La de Cabanillas del Campo. La parroquia de Alcovendas. La de Valdaracete. La de Viliahueva de la Torre. La del despoblado del Encía. PROVINCIA …</t>
  </si>
  <si>
    <t>Estepar, Santiago</t>
  </si>
  <si>
    <t>Santiago Estepar</t>
  </si>
  <si>
    <t>mo Peironet....................... 20628.. 7 D. Benito de la Mata Linares............... ,3*49 D. Gabriel Luquet.......;........................ 2250 D. Santiago Estepar................................. 3527 P. Julián Alfonso López.................... 6120 D. Nicolás Barsami................................ 180.. 17 D. Manuel …</t>
  </si>
  <si>
    <t>Esterhazh</t>
  </si>
  <si>
    <t>uchos esquadrones de coraceros que vuelven de Alemania. Ñápales 21 de marzo. Del &lt;T. En poco tiempo hemos perdido dos literatos Ha pasado por aqui el príncipe Esterhazh con ■preciables por sos talentos, el señor Felipe Can- dirección á Paris. lini, naturalisra muí estimado en Europa, y el sefior marques de San Angelo, autor d…</t>
  </si>
  <si>
    <t>Esterhazi</t>
  </si>
  <si>
    <t>egocios ex­ Amstercian 2 8 de enero. tranjeros ei barón Sentí!- Pihach. Se sabe por noticias de oficio que el 24 de este Se espera en esta capital al conde Esterhazi co­ mes han entrado en Breda y Bergopzoom dos bri­ mo embaxador de Austria. gadas del exército francés del Norte, y que per­ Los.pri ñeros cuerpos de nuestro exé…</t>
  </si>
  <si>
    <t>Gaceta de Madrid n.º 100</t>
  </si>
  <si>
    <t>ido con Las ceremonias civiles del matrimonio de S,. M. la mayor ostentación i su llegada al territorio aus­ se executarán en Saint-Cloud. tríaco. El príncipe Esterhazi cumplimentó á S. A. Se asegara qne el Emperador saldrá el martes en nombre del Emperador» y le ha acompañado próximo para Compiegne. hasta Viena. Varios cuerp…</t>
  </si>
  <si>
    <t>quete á todos los gefes y otros varios mili­ baxador de S. M. el Emperador de Austria, los tares de la guarnición, ai corregidor, y á una di­ señores príncipe Esterhazi; el-conde Josef de Met- putación del cabildo eclesiástico y á otra del secu­ ternich , gentilhombre; el conde de Welmóden, lar. Los concurrentes tuvieron el h…</t>
  </si>
  <si>
    <t>s. El señor barón Oxenstiern , embalador de Sue­ cia cerca de nuestra corte, ha llegado aqui, y ayer Del 4. fue presentado á la audiencia de b. M. El príncipe Esterhazi está nombrado embaxador de S. M. cerca de la corte Je Dresde: el conde AUSTRIA. Zichi, que ha estado u.tunamente en aqueiia corte, irá á Amsterdan con el mism…</t>
  </si>
  <si>
    <t>erá á Toeplitz para continuar su cura­ la mayor actividad. ' ción , y desde allí volverse á Viena. Extracto de una carta del exército. De uu S. £. el príncipe Esterhazi, embaxador de Aus­ dia á otro esperamos que haya una acción general, tria, acaba de llegar ahora mismo á esta ciudad. y acaso mui pronto se nos dará la orden …</t>
  </si>
  <si>
    <t>Esterhazi, Pablo</t>
  </si>
  <si>
    <t>Pablo Esterhazi</t>
  </si>
  <si>
    <t>Gaceta de Madrid n.º 24</t>
  </si>
  <si>
    <t>go al Austria algunos llington de Badajoz á Portugal. No podemos, aci—; miles de hombres. - \ — nar con la causa ds este movimiento; sin duda se-f El príncipe Pablo Esterhazi, antiguo embaxa- rá para proporcionar al eré re: te us campamente dor en Londres , va á la corte de Amsterdan con mas saludable. ( Extracto del Star. ) …</t>
  </si>
  <si>
    <t>levados del videnciar un registro general dentro y fuera de los Monarca .'y del padre mas afectuoso. pueblos para descobrir lar armas que se hayan EL príncipe Pablo Esterhazi salió ayer para re­ ocultado, y por quienes. cibir y cumplimentar al príncipe de Neufchatel á art. v. Las personas que las hayan ocultado la entrada del…</t>
  </si>
  <si>
    <t>Esteve, Rafael</t>
  </si>
  <si>
    <t>Rafael Esteve</t>
  </si>
  <si>
    <t>posteridad su ¡nié­ admitidas á peso» á voluntad del portador» en el gen por medio del pincel D. Francisco Goya, y con cambio, de este modo: su buril D. Rafael Esteve. Se hallará en la librería de Las.de 48 y las de 24 libras i razón de 3094 Escribano, calle de las Carretas, y en el puesto de es­ francos y 43 céntimos el kild…</t>
  </si>
  <si>
    <t>Estevez, Benito</t>
  </si>
  <si>
    <t>Benito Estevez</t>
  </si>
  <si>
    <t>­ tadero de 'marina de Aíontevideo. Bergantín Belen, alias S. Nicolás. D. Gerardo Bordas, capitán, primer piloto, 35. Id. segundo, D José Moreno, 50. D Benito Estevez, segundo - ciruj&amp;no habilitadoy 30. D. Angel Mille , encargado de víveres, iz. - - Oficiales de mar de sueldo Jixo y tentporaf. Francisco C&amp;rdenss'i segundo gua…</t>
  </si>
  <si>
    <t>Estiban</t>
  </si>
  <si>
    <t>govia, Lissa, cerca de las costas de la Dalmacia, es ti úni­ Chacón (D. Francisco), brigadier. co punto que han conservado los eternos enem'gos Cops (D. Estiban ) , cirujano mayor del regimien­ del continente; pero no nos falta vino, pan y ví­ to i.° de infantería ligera. veres, que llegan en abundancia por mar; y los in­ Esc…</t>
  </si>
  <si>
    <t>Estiban, Casimira</t>
  </si>
  <si>
    <t>Casimira Estiban</t>
  </si>
  <si>
    <t>641 306343 f 275868 *46555 237368' 275969 275084 254656 .............J 428564 439331 441318 449897 450003 456231 456524., 458922 462043 475789 483426 Doña Casimira Estiban. 340841 ............................... . x de 1 jo pesos de enero. 42860* 407012 453035 461474 472618 472810 489425 7 de 300 pesos de mayo. D. Juan Suarez…</t>
  </si>
  <si>
    <t>Esto, Blaí'e</t>
  </si>
  <si>
    <t>Blaí'e Esto</t>
  </si>
  <si>
    <t>gó d los franceses d evacuar la provincia , continuó engrosándose, y actualmente se halla en movimiento sobre el reyno de Grana­ da á las órdenes del general Blaí'e* Esto hace ver si se disolvieron ó no por si mismas aquellas reuniones. (5) Sin embargo toda su parte oriental está armada por la causa espa­ ñola, y el reyno de …</t>
  </si>
  <si>
    <t>Estockolmo, Manoel</t>
  </si>
  <si>
    <t>Manoel Estockolmo</t>
  </si>
  <si>
    <t>dé LiukOping, 6 la Ostrogotia, 15 8057 ; de Níkoping, dicha órden. ó la mayor parte de la SuderiUaniá, 96547 ; de Para la de Sedella al ex-cápuchino D. Manoel Estockolmo 96280; de Westeras, ó Ja WestmaImpetiali.. ' nia, 86583 ; de Upsala, ó la mayor parte de la ' Para ta de Canillas de Aceituno al ex-fráncis- Uplanda, 81131; …</t>
  </si>
  <si>
    <t>Estrada, Aniceto</t>
  </si>
  <si>
    <t>Aniceto Estrada</t>
  </si>
  <si>
    <t>El capitán D. José Ron­ quillo por el tiempo de la guerra, 15 pesos cada mes. El sargento José Velarde durante el mismo tiempo, 6 pesos cada mes. El soldado Aniceto Estrada por igual tiempo , 2 pesos cada mes. D. Bernardo Martínez ofre­ ce entregar en caxas reales el costo que tenga un soldado én España des­ de ei dia en que …</t>
  </si>
  <si>
    <t>Estrada, Francisco Tomas</t>
  </si>
  <si>
    <t>Francisco Tomas Estrada</t>
  </si>
  <si>
    <t>no. D. Juan Lacre, 110 D Ma­ nuel Laiglesia, nd.—Idem de fragata. D. Joaquín SUgasri , 80. I jem D. Manuel Villodas,-3o. JlI contador oficial quarto D Francisco Tomas Estrada, cedió la mitad del sueldo en donativo de 28 de junio de 188#, y en el presente da la mitad del resto, que son 100. RE SU ME iY. Fragata Proserpina. . :…</t>
  </si>
  <si>
    <t>Estrada, Luis</t>
  </si>
  <si>
    <t>Luis Estrada</t>
  </si>
  <si>
    <t>1094</t>
  </si>
  <si>
    <t>1094 cívicos Pedro Alamo, D. Luis Estrada, y D Pa­ porción del edificio, ya sea en qnanto á la difi­ tricio de Alhar» escribano público y de cabildo, cultad de su servicio y asistencia, ya sea en quanson los que mas se baa señalado</t>
  </si>
  <si>
    <t>Estremera, Francisco</t>
  </si>
  <si>
    <t>Francisco Estremera</t>
  </si>
  <si>
    <t>eriores á las del enemigo, pues si hemos de dar Para el de la de Benamocarra, vacante por crédito 4 la proclama de Massena, su exército as­ muerte de D. Francisco Estremera, á D. Pedro ciende á no0 hombres. Bueso, presbítero ex-regalar. Las últimas noticias de oficio son del 19 del Para el de la de Benadalid, vacante por pro­…</t>
  </si>
  <si>
    <t>Ettexbazi</t>
  </si>
  <si>
    <t>la ciudad y de lo* arraba­ biemas é inscripciones, sobresalían las del embaxanX les en la noche de la función dei imtri.mpo.io de dor de Francia, del príncipe Ettexbazi, del conde,S. M. la Emperatriz de los franceses .eran ¿fe las. Pal ti , la casa de la ciudad , la actúan? y el puentes; mas vistosas, y formaban una perspecti…</t>
  </si>
  <si>
    <t>Eugenio</t>
  </si>
  <si>
    <t>130</t>
  </si>
  <si>
    <t>gamos á nuestro pri­ mo el príncipe archicanciller os las manifieste.” — A conti­ nuación del mensage se leyó el decreto de cesión á favor de di­ cho príncipe Eugenio , que concluye así. ,.E1 Gran-ducado de Francfort será hereditario en la descendencia recta, natural y legítima de nuestro caro hijo el príncipe Eugenio Napoleó…</t>
  </si>
  <si>
    <t>El Emperador y la Emperatriz se colocarán en pe vice-condestable; el príncipe archi-canci.ler; el SU trono, y el resto de la comitiva en el orden que príncipe Eugenio, virei de Iraiia; ei príncipe Joa­ sigue: quín Napoleón , R&lt;-i de Ñapóles ; el príncipe Bor- A la derecha del Emperador, m-s abaxo del gbese, duque de Guastala;…</t>
  </si>
  <si>
    <t>a servido promover en eí real cuerpode: Ingenieros, á teniente coronel á D Manuel Orermin : :í sargentos mayo­ res de brigada , á D. Mariano del Rio, D. Eugenio lraurgu;, D Jcsé ■ Iglesias Bárantes y D Manuel Morete: á capitanes, á D.' Miguel Ruano, E).-JNicolás. Sedaño, D Francisco Corres, D José Montero, D. Fei;x Arb’izu y …</t>
  </si>
  <si>
    <t>Eugenio, Joaquín</t>
  </si>
  <si>
    <t>Joaquín Eugenio</t>
  </si>
  <si>
    <t>d de abad de santa Cruz, y canónigo de Osma. En nuestro palacio de Madrid á 7 de raer* Naghten ( D. Juan), antiguo coronel de Irlanda. de 1810. Ouis (D. Joaquín Eugenio), oficial primero del</t>
  </si>
  <si>
    <t>Eugenio, Manuel</t>
  </si>
  <si>
    <t>Manuel Eugenio</t>
  </si>
  <si>
    <t>D. Ja fian Vie jo. al procurador de este juzgado D. Baltasar Marco, 3 D. fíónífício Zaldivar. cuya ihstanch» en 13 del corriente por el Sr. D. León ; D. Manuel Eugenio. 1 de Sagasta, caballero de la Orden Real de España, del art. iii. En tos diez batallones de milicia cí­ conbejó de S. M., juez de primera instancia de esta di…</t>
  </si>
  <si>
    <t>Eulalia</t>
  </si>
  <si>
    <t>Gaceta de Madrid n.º 169</t>
  </si>
  <si>
    <t>fté y calle'Vque se con­ Jb'hac»sirrtnpre- como el crítico supone. Ni estoi mal suele cdn el ctn'a ,y-que abr»ed1jf1t0ífci a ttí iíijg/ A liftílá caA Doña Eulalia y con el cuta,. porque no han ido 4 de nb ie está- bien ni tanta '&lt;ík:cltfttKÍciort, no tarnos pa­ avisar al médico y í la justicia. Ésta Altimi ocurrencia roxismos…</t>
  </si>
  <si>
    <t>‘elocuencia del vera^iy qiyfosu^aasádtefrle parece deimsiado benigno; i- cura • no debía: triunfar de is obstipaciart rodé D. Pedro, fa que, respondo Doña Eulalia haca ando mil tílogiós del y xoneste objdto preparé dk' antemanoc la. salí da que es­ cyra_, y pintánd°l° con todoa los caractéres de un cí-; te ha du dar á Ias;r;i…</t>
  </si>
  <si>
    <t>er es­ * Me dimito por ahora á estas observaciones generales, túpido y brutal! .• - : • , J l' y me abstengo de;examinar el mérito de cada actor enSi Doña Eulalia es una míigér fr-'a y sin carácter, particular, ni mucho menos me atreveré á pronosticar ¿cómo hará la actriz-para dar”catdr .y'-fisóhómía á su: lo que podrán ser e…</t>
  </si>
  <si>
    <t>EuStb</t>
  </si>
  <si>
    <t>u cumplim ento. -- Pe­ dro de Agar , presidente — El marques del Cas te lar. — &lt;é María pu&lt;g 7 En la real Islá de León á i.° de noviembre cíe 1810.—A D. EuStb o ce Bardaxí y Azara --Habí» n^o resuelto el Consejo de Regencia de España é Indias en nom­ bre del Rey nur stio Señcr D. Fernando vii , habibrar para d'-'escarbo* y fi…</t>
  </si>
  <si>
    <t>Extracto</t>
  </si>
  <si>
    <t>as de sus partidas, y mandado Madrid 7 de enero de z8ro. pasar por las arma! á varios de sus caudillos , seña­ ladamente á Verdugo y á Mariano. Dicho general Extracto de las minutas de la secretaría de Milhaud ha pasado va mas allá de San Clemente y Estado. del Provencio. Es probable que el dia de hoi haya En nuestro palacio …</t>
  </si>
  <si>
    <t>GRAN BRETAÑA. Estockolmo 17 de julio. . El teniente coronel Holst ha ido á Sleswicti Londres a o de julio. con una carta de nuestro Soberano para el duque Extracto de una carta del general Armstrong al de Augusremburgo, hermano del difunto Prínci­ señor Smith , fecha en París el 4 de abril de pe Real de Suecia. Se sabe que el…</t>
  </si>
  <si>
    <t>Extracto, Josef</t>
  </si>
  <si>
    <t>Josef Extracto</t>
  </si>
  <si>
    <t>r S. ,M. su ministro ce, D. Antonio Rniz, D. Antonio Meneses, Don secretario de Estado Mariano Luis de Urquijo.” Jotef Cepeda, D. Cayetano de Várgas, D. Josef Extracto de las minutas de la secretaría de Estado. Vrquiaga y D. Antonio Aguilera. En Itálica á 8 de febrero de 1810. Ayudantes. Don Josef Napoleón por la gracia de Di…</t>
  </si>
  <si>
    <t>Extracto, Manuel</t>
  </si>
  <si>
    <t>Manuel Extracto</t>
  </si>
  <si>
    <t>drid jo de junio. $ franciscano descalzo D. Buenaventura Fcrnui.dez, S. M. ha expedido los decretos siguientes í predicador y confesor, por mitad con D. Manuel Extracto de la minutas de la secretaría dtf Ruiz y Sdes, predicador y confesor de la misma Estado. orden: para la de Haetor y Cazar .1 ex francis­ En nuestro palacio d…</t>
  </si>
  <si>
    <t>Extracto, Manuel Iñiguez</t>
  </si>
  <si>
    <t>Manuel Iñiguez Extracto</t>
  </si>
  <si>
    <t>arnejí: para la de Conchar dos Firmado = Mariano Luis de Urquijo.” al ex-carmelita descalzo D. Anronio Bermudez: pa­ ta la de Durcal al ex-capitchino D. Manuel Iñiguez Extracto de las minutas de la secretaría de de Valdeorera: para la de Gete, Orivar y Lentegi Estado. al ex-cap.h hiño D- Francisco Lozano: para la de En nuestr…</t>
  </si>
  <si>
    <t>Ezcario, Joaquín</t>
  </si>
  <si>
    <t>Joaquín Ezcario</t>
  </si>
  <si>
    <t>e ayudante primero al teniente coronel D. Agustín Poncerot, y de ayudantes segundos á les capitanes D. Antonio Quiróga, graduado de teniente coronel, D. Joaquín Ezcario, D. Agustín Salazar , D. Luis Cepeda , D. Pedro Eguiá y D. José Revesr, al ayudan-' te D. Nicolás Sanz, y al teniente D. Angel García de Borunda. Prospecto de…</t>
  </si>
  <si>
    <t>Ezpekta, Jacinto</t>
  </si>
  <si>
    <t>Jacinto Ezpekta</t>
  </si>
  <si>
    <t>­ exáspera mas que nunca su encono; ahora que el miento de ¡ínea núm. 3.°, denominado de Sevilla, á parlamento va á examinar lo acertado de estas ex­ D Jacinto Ezpekta: capitán del regimiento n. n.° pediciones, á pagar su costo, y á deliberar sobre de infantería, denominado de Toledo, á D. Anto­ los sucesos pasados y los veni…</t>
  </si>
  <si>
    <t>Ezquerra, Joaquín</t>
  </si>
  <si>
    <t>Joaquín Ezquerra</t>
  </si>
  <si>
    <t>ente S. M. se ha ella , para la dignidad de tesorero. servido nombrar asistentes del consejo de Estado A D. Diego Josef Benitez, canónigo magistral á D. Joaquín Ezquerra, teniente de infanteiú; á de la misma, para el arcedianato de Ronda. D. Manuel Pando, su page mas antiguo, y á Don A D, Manuel de Elizalde, capellán de la re…</t>
  </si>
  <si>
    <t>Ezquerra, Josef</t>
  </si>
  <si>
    <t>Josef Ezquerra</t>
  </si>
  <si>
    <t>1043</t>
  </si>
  <si>
    <t>as variaciones de un período diario que rina D. C sme Churruca, D. Dionisio Galiano, es constante y recular, y de otro que puedella­ D. Tomas Ugarte, D. Josef Ezquerra, D. Francis­ marse anuo. El primero Je causa el viento de la co Alcedo y D. Juan Henrtque de la Rigada; de­ mar, que sopla mientras dura la fuerza del sol so­ …</t>
  </si>
  <si>
    <t>F, Antonio</t>
  </si>
  <si>
    <t>Antonio F</t>
  </si>
  <si>
    <t>Fermín Marquioa, D. Próspero Morrola. x *...... «a*« D. Benigno Brian..... D. Gregorio Gamboa, i........ D. M.rtin Azcué...... D. Pedro Simón Puerta. D. Antonio F.beirac. D. Camilo Gonsalex. $•"* El conde de Isla............. ....... D.,Manuel Gomes......... D. Marcos Pedrero, 6*. D. Francisco Monta leo y Ta­ 1- D. Antonio Sa…</t>
  </si>
  <si>
    <t>F, Carlos</t>
  </si>
  <si>
    <t>Carlos F</t>
  </si>
  <si>
    <t>á visitarla en su tránsito, y S. M. accedió á esta Batallón del quartel de AJligidos. súplica. El recibimiento fue el de hijos contentos Comandante. D. Carlos F.‘ Serdaes. con ver á un padre por quien ansiaban. Los vivas Ayudante, D. Francisco Zegers. resonaban por toda la‘carrera, y los habitantes ten­ Abanderado , D. Julián…</t>
  </si>
  <si>
    <t>Fábela, José Trinidad</t>
  </si>
  <si>
    <t>José Trinidad Fábela</t>
  </si>
  <si>
    <t>­ ticia y vecinos de S. Miguel de las Bocas, 33. Varios individuos, 58.— Indee. El cura D. Diego Bruno, 25. El subdelegado D José María Cor­ ral, 50. D. José Trinidad Fábela, 10. D Francisco A-ean, too D. Vi­ cente Sitveira, 20. D. Fernando de la Cimpa y D. Francisco Noriega, 100. Doña Ignacia de León, 20. D. Teodoro Csneros,…</t>
  </si>
  <si>
    <t>Fabelrac, Antonio</t>
  </si>
  <si>
    <t>Antonio Fabelrac</t>
  </si>
  <si>
    <t>S. M;, el ministro D. Joan de Rivera y Céspedes, teniente, á secretario de Estado = Firmados Mariano Luis de Capitán de lá quinta compañía. Urquijo.” D. Antonio Fabelrac , subteniente, á teniente de la novena compañía. Don Josef Napoleón por la gractar de Dioí y D. Mariano García de la Cruz, subteniente, á por la constitución…</t>
  </si>
  <si>
    <t>Fabian</t>
  </si>
  <si>
    <t>6§i ,. . , ARTICULO II. - ' ! ' . ■ i. Jueces. * . l.*&gt; D. Fabian .Sánchez de la-Faente. Toledo. : 1 -■ 2.0 D. Josef Saavedru y Basadre. í'-‘. í f:1 •• * -’w Queda nombrado presidente de tu lanía D,. Pa­ ; 3.0 ; Di Josef María Gírate. blo Ayala y Colon, oi</t>
  </si>
  <si>
    <t>Fabier, Mateo</t>
  </si>
  <si>
    <t>Mateo Fabier</t>
  </si>
  <si>
    <t>513</t>
  </si>
  <si>
    <t>o que correspondía al primer tercio del con­ trato ya cumplido 5 pero al mismo tiempo dirigió el ordenador en g_fe del exército imperial de Andalucía D. Mateo Fabier á este comisario regio D. Joaquín María Sotelo, un oficio en que recordando la contri­ bución mensual de los 333333 rs. va. pedia los 666666 correspondien­ tes á…</t>
  </si>
  <si>
    <t>Fabre, Mariano</t>
  </si>
  <si>
    <t>Mariano Fabre</t>
  </si>
  <si>
    <t>...... .................................. D. Jo.quin Piao^rjonF. D. Modesto Palacios..'...... . D. Francisco Mauricio^ * D. Vicente Ferrer y Fous.... D. Mariano Fabre. D.Blas Bczares........ .............. Di josef García pchábüra. Octave Batallón. .. ¡ Para ayudante primero D. Manuel Eligió, para legando D. Josef Díaz Avilés…</t>
  </si>
  <si>
    <t>Fábrega</t>
  </si>
  <si>
    <t>on á 4, sin que hubiera la menor desgra­ cia de nuestra parte. El dia 2 de febrero, quatro compañías atacaron á los franceses apostados en Besalú, el comandante Fábrega por la parte del puente de dicha villa, y Oliveras por la de Argelagucr. El no poderse fá­ cilmente vadear el rio JLliera retardó un tant© la llegada de este …</t>
  </si>
  <si>
    <t>Fabrega, Juan</t>
  </si>
  <si>
    <t>Juan Fabrega</t>
  </si>
  <si>
    <t>or.—Los continuos trastornos que ha sufrido este pais, no me han da­ do lugar para tras-adar ios partes y relaciones que me lian pasa­ do los señores D. Juan Fabrega , y D. Ccsme Oliveras, coman­ dantes de las compañías de somatenes organizadas, y apostadas en la parte superior del corregimiento de Gerona, lo que verifi­ co s…</t>
  </si>
  <si>
    <t>Fábregas</t>
  </si>
  <si>
    <t>que por un extravío accidental habian dexado de publi­ carse , y que no es j usfco queden sepultadas ere el olvido. — El 12 de marzo sorprehendió el comandante Fábregas, cerca del lugar de la Mata,, una guerrilla de 25 hombres y un oficiad que iban de Bañólas á Gerona con algunas acémilas; mató TV apresó 15 , y solo se escapa…</t>
  </si>
  <si>
    <t>Fació, Antonio</t>
  </si>
  <si>
    <t>Antonio Fació</t>
  </si>
  <si>
    <t>arejo, D. José de las Cuevas, D. Ramón de Zuluaga, D. José María de Vergara , D. Francisco Xavier Villarino, D. Juan de Vargas, D. Bernabé Sánchez, y D. Antonio Fació. En el batallón de infantería de gastadores de Aragón, la comandancia al teniente coronel D. Juan Sánchez Cisneros; la sargentía ma­ yor D. Juan Muñoz ; compañí…</t>
  </si>
  <si>
    <t>Fació, José Antonio</t>
  </si>
  <si>
    <t>José Antonio Fació</t>
  </si>
  <si>
    <t>eo Miranda y Mon, D Miguel Lacy, D. Ven­ tura Escario, D. Juan Nepomuceno Heredia , y D. José María dé Mena ; y empleos de alféreces de granaderos, á D. José Antonio Fació, y D. Ramón de Zuloaga ; y de cazadores , á D. José Ma­ ría Casasoia. En el reg' miento de infante'.--! i de Aragón se ha servido con­ ceder compañías á D.…</t>
  </si>
  <si>
    <t>Fajardo, Joaquín</t>
  </si>
  <si>
    <t>Joaquín Fajardo</t>
  </si>
  <si>
    <t>cuerpo se com­ amados vasallos hacia su real Persona sou mas enér­ pone de los señores siguientes: gicos en razón á su mayor proximidad al centro de D. Joaquín Fajardo , corregidor , caballero de la la tiranía de la junta insurreccional. No se oyen orden de Carlos m. por todas partes mas que imprecaciones contra los D. Pedro …</t>
  </si>
  <si>
    <t>Falcon, Antonio</t>
  </si>
  <si>
    <t>Antonio Falcon</t>
  </si>
  <si>
    <t>429</t>
  </si>
  <si>
    <t>nuestra parte con la mayor bizarría, rechazando las avanzadas francesas. A las 11 estaban ya empeñadas todas las fuerzas de las dos subdivisiones de D. Antonio Falcon v •/ D. Cárlos Liberati, ganando siempre terreno sobre el enemi­ go. Este intentó un movimiento sobre su izquierda, amagan­ do envolver nuestras posiciones de l…</t>
  </si>
  <si>
    <t>Falcon, Francisco</t>
  </si>
  <si>
    <t>Francisco Falcon</t>
  </si>
  <si>
    <t>de dicho ministerio, donde liai un oficial espe­ En infantería de línea. D. Manuel Eduardo Go- cialmente encargado de comunicarla. xostiza á capitán; D. Francisco Falcon á subte­ niente. D. Juan Bautista Guítart, del consejo de S. M., juta En el regimiento núm. i.# de cazadores i ca­ de primera instancia, por auto dado en a 2…</t>
  </si>
  <si>
    <t>Falloi</t>
  </si>
  <si>
    <t>os hombres. ^ guíente: „ Luego que llegó á esta ciudad la noticia dél Berna. S. E: el landamanrr de la Suiza, dipu­ desembarco » se puso en marcha el coronel Falloi* tado. EL consejero I'iy li^r óe CerUer. , consejero con el segundo batallón deJL. contingente para salir de diputación ; el consejero Mutach , id. al encuentro d…</t>
  </si>
  <si>
    <t>Fanc</t>
  </si>
  <si>
    <t>Tarragona 19 de setiembre de 1810. — Enriqu O-Donell. P. D. Debo manifestar igualmente á V. E. la atención y cuidado que he merecido no tan solo del capitán Fanc de la fragata de S. M. B. la Cambrian en los dias de navegación que he empleado desde Palamós á este puerto, sino también de toda la ofi iali lad , tropa y marinería…</t>
  </si>
  <si>
    <t>fragata Diana, envió una par­ tida de su bordo, la que participó de las fatigas y peligros del dia con suma complacencia. — V. conoce el carácter del capitán Fanc, omitiendo repetirle quanto le debo en este dia: pero no puedo dexar de decirle , que no obstante el estado de su quebrantada salud, no me fué posible.lograr que de…</t>
  </si>
  <si>
    <t>ropa española que atacó á Palamós , refiriéndome al parte de su bizarro gefe D. Tadeo Aldea; pero me es preciso noticiar á V. la valiente entrada del capitán Fanc con los botes de su fragata y de los faluchos de guerra españoles, sosteniendo un fuego vivísimo y des­ tructivo sobre los enemigos : uno. de los botes ingleses fué…</t>
  </si>
  <si>
    <t>Fando, Gerónimo López</t>
  </si>
  <si>
    <t>Gerónimo López Fando</t>
  </si>
  <si>
    <t>l del Barquillo, S. M. ha expedido los decretos siguientes: Capitán, D. Josef Caballo y Goitia. Extracto de las minutas de la secretaría de Teniente, D. Gerónimo López Fando. Estado. Subteniente, D. Rafael de las Doblas. En nuestro palacio de Madrid á 16 de mayo Batallón del quartel de la Plaza. de i8ro. D&lt;m Josef Napoleón po…</t>
  </si>
  <si>
    <t>Fane</t>
  </si>
  <si>
    <t>ren. Lord Wellinglon los sigue con tedas ?‘ís fuerzas. El general HUI, que bebía pasado el Tajo, lo vuel­ ve á pasar para juntarse con Wcllington. El general Fane en­ tró en Ábranles con su división para coger por el flanco á los franceses : estos no han podido pasar el Zezere. Hasta ahora no se ha publicado cosa alguna de of…</t>
  </si>
  <si>
    <t>Spencer y por la quinta división de infantería man­ dada por el mayor general Leith. — El 17 del corriente re­ cibí los pliegos que enviaba el mayor general Fane de de la orilla izquierda del Tajo, participándome que el enemi­ go habia construido otro puente sobre el Zezcre, por haber­ se llevado las avenidas el primero que h…</t>
  </si>
  <si>
    <t>francés debe aumentarse al les &lt;-n Samaren y en Barguinha para construir un mismo tiempo que la cL-l irig es no puede menos de puente. He enviado al general Fane con caballería disminuirse. L, suerte de las b.tiius no es tan fu­ 6 infantería á la orilla ¡zquLrd., del Tajo, y espe­ nesta á los exéccitos como la de los campos. …</t>
  </si>
  <si>
    <t>Fanrdinier, Micaela</t>
  </si>
  <si>
    <t>Micaela Fanrdinier</t>
  </si>
  <si>
    <t>956 28 - D.’María Magdalena López CaD: Benito Padilla............. ......... ........... 1689 1 brejas......... .............................14364 30 Doña Micaela Fanrdinier..................... 577+ D. Estéban de la Torre..'.....i. f.-....'..... 5 48 28 D. Juan López....................................... 6510 : El mismo....…</t>
  </si>
  <si>
    <t>Faodo, Gervasio López</t>
  </si>
  <si>
    <t>Gervasio López Faodo</t>
  </si>
  <si>
    <t>........ D. Manuel Gomes. J.‘.......... .......................... ................. . D. Juan Manuel Vaienzueu. D. Miguel Calderón do Barca. 6a• »«• D. Gervasio López Faodo........................ ................................... D Sebastian Loche. fc” ...................................................... D. Joaquín Mana…</t>
  </si>
  <si>
    <t>Farcrehs, Fran Agustín</t>
  </si>
  <si>
    <t>Fran Agustín Farcrehs</t>
  </si>
  <si>
    <t>z, mes, se cita y llama á las personas que se conceptúen conocido por el catatan, de 24. años de edad; y con derecho á heredar los bienes del difunto D. Fran­ Agustín Farcrehs, entendido por el flamenco, de cisco Victoriano Gí!, cura párroco que fue de dicha villa, y natural de la de Midrid, pira que comparez­ 21 años, ambos …</t>
  </si>
  <si>
    <t>Farfan, Rodrigo</t>
  </si>
  <si>
    <t>Rodrigo Farfan</t>
  </si>
  <si>
    <t>r de San-Marcel; Orestes, á D. Ventura Blanco , que lo fue de dragones de por el señor Dumesnil j y la batalla de Hastbzgs, Sagunto, y subtenientes á D. Rodrigo Farfan , ca­ ó la Inglaterra conquistada , por el señor Dorion. dete que lúe del regimiento de caballería de Far- Y aun de estos los dos primeros son tan pobres de ne…</t>
  </si>
  <si>
    <t>Fariñas, Josef</t>
  </si>
  <si>
    <t>Josef Fariñas</t>
  </si>
  <si>
    <t>nto sas fuerzas para obligar por Para el de la de Competa, vacante por muerte este medio al enemigo á concentrar las suyas , y de D. Joan de Navas, á D. Josef Fariñas, presbí­ que de este modo le fuese mas difícil proporcionar­ tero ex-regolar. se'víveres. Para el de la de Sayalonga, vacante por muer­ Las cartas particulares …</t>
  </si>
  <si>
    <t>Fariñas, Juan</t>
  </si>
  <si>
    <t>Juan Fariñas</t>
  </si>
  <si>
    <t>26- j8ó8 nandez.................................. ' 'il« . S80 Otra, calle de Pulgora, que :vi- , .. „ Otra, calle del Pilar de S. Agus-- - ■■ ; . ve D. Juan Fariñas.....v.;v.;;:s;— *53 2024 tin, arrendada á Juan de la • , - : * t Otra , calle de Trascampanario, ' Paz.......................................... 236 .. : 1888 ar…</t>
  </si>
  <si>
    <t>Farinne</t>
  </si>
  <si>
    <t>. Los vecinos del décimo quartel de esta capital Esta expedición, que hace el mayor honor al se­ han organizado en el arrabal de S.- Germán , por ñor coronel Farinne, solo nos ha costado qu -.tro medio de una subscripción voluntaria , un estableci­ hombres; y el Excmo. Sr. mariscal duque de Bemiento gratuito de educación para…</t>
  </si>
  <si>
    <t>Farril, Gonzalo de O</t>
  </si>
  <si>
    <t>Gonzalo de O Farril</t>
  </si>
  <si>
    <t>ra Señora de la Consolación , que neral Viilast y oficialidad de su estado mayor, de fue' del convento de los cx-regulares Mínimos. los Excmos. Sres. D. Gonzalo de O Farril, minis­ art. ir. Concedemos á esta iglesia de las ro- tro de la Guerra, y conde de Montarco, del con­ ias que tiene en depósito de los conventos de su sej…</t>
  </si>
  <si>
    <t>Farsante, Francisco</t>
  </si>
  <si>
    <t>Francisco Farsante</t>
  </si>
  <si>
    <t>n á ver las funciones que han de celebrarse aqui en el presente mes. Capitán , D. Carlos Reboul. Teniente , D. Ramón Berrera. ESPAÑA. v Snbtenienre , D. Francisco Farsante. Madrid a a de mayo. Batallón del quartel del Barquillo, S. M. ha expedido los decretos siguientes: Capitán, D. Josef Caballo y Goitia. Extracto de las min…</t>
  </si>
  <si>
    <t>Fauco</t>
  </si>
  <si>
    <t>qne lo fueron menso. También han asistido á ella los prefectos de en el ataque del 27, han sido conducidos al hospi­ la marina y del departamento; el general Fauco- tal de Viseo, y lo mismo los enfermos: entre unos net, comandante de armas, con su estado mayor; y otros no llegan á 500 hombres. Mr. Lair, coronel de los trabaja…</t>
  </si>
  <si>
    <t>Fauconnet</t>
  </si>
  <si>
    <t>apitán de infantería de línea desembarcará junto al fuerte Federico-Henrique á á D. Manuel de Campos y Rosal: comandante de quatro leguas de aquí. El general Fauconnet, go­ esquádron de caballería de línea á D. Fermín Doz: bernador de Ambéres, escribe queSS. MM. llegarán subteniente de cazadores á caballo , núm. t.°, á aquí á…</t>
  </si>
  <si>
    <t>Faujas</t>
  </si>
  <si>
    <t>168</t>
  </si>
  <si>
    <t>er general Wale , y ei mayor es Mr. Henderson, de los cazadores de Yorck, cuyo regimiento ha per­ dido 80 hombres. La capitulación fué firmada por el coronel Faujas, comandan­ te de las tropas francesas, caballero del imperio, el teniente coro­ nel A la yin are, el general ingles Harcourt y ci conmodoro Ballard. Una extraña p…</t>
  </si>
  <si>
    <t>Faus</t>
  </si>
  <si>
    <t>do S. M.. pro­ mover á alférez ai exento D. José Azeutia: á brigadier ai sub-brigadier D. José Olea : á sub-brigadieres á les cadetes D. Juan Talero, D. Faus­ tino Guillen y D. Joaquín Tuquet: y á cadetes á los guardias 1&gt;. Roque Torres, D. Francisco VaIdcs, D. Manuel Pardo y D. José Sierra. Ei rey nuestro Sr. D. Fernando víi…</t>
  </si>
  <si>
    <t>práctica de algunas operaciones, sin entrar en Ruiz Tejero. la esencia de ellas, y sin desentrañar las ideas qué Para la de Nigííela* al ex-domtnico D. Faus­ encierran y qne las sirven de base,* y son verda­ tino de Céspedes. deramente los principios metaftsicos de esta len­ Pira la de Yégeo al ex-carmelíta descalzo Dofl gua.…</t>
  </si>
  <si>
    <t>Faustino</t>
  </si>
  <si>
    <t>decidir por sí solo al papa Zósímo, el qual mandó instaurar de nuevo la «obre este asunto, sino que acudió á los Emperadores causa de Apiario ante el obispo Faustino y dos presbí­ del oriente y dol occidente para que con su poder y au­ teros, se escandalizaron los padres del concilio sexto toridad se juntase un concilio gener…</t>
  </si>
  <si>
    <t>Fautrier, Santiago</t>
  </si>
  <si>
    <t>Santiago Fautrier</t>
  </si>
  <si>
    <t>a'rWá. 2 1 60 D.a María Teresa Montero de la Concha. 7503-14 D. Cayetano Luis Maeso...l.9000 Boulade y Casadavant.......................... ' 3OO78 ' D. Santiago Fautrier......‘iU.'.v../.. 4707. Doña Dionisia de Urrochi.. ■21600 D. Josef Joaquin, Doña María--Jé- - - : L D. Angel de Urruchi............................. •234OO …</t>
  </si>
  <si>
    <t>Faxardo, Joaquín</t>
  </si>
  <si>
    <t>Joaquín Faxardo</t>
  </si>
  <si>
    <t>mi­ . . . Erija 2_9 de enero. sión , pidieron á S. M. la confirmación de sus em­ El REI nuestro Señor. D. Josef i, ai pasar por pleos : el corregidor D. Joaquín Faxardo puso en la Carlota viniendo de Córdoba., fue recibido coa sus reales-manos la erbz que tenia de la Órden de las mas vivas áclamacioaes por sus habitantes. El …</t>
  </si>
  <si>
    <t>Faxardo, José</t>
  </si>
  <si>
    <t>José Faxardo</t>
  </si>
  <si>
    <t>e coronel conde de Buñol, comandante agregado al regimiento de cazadores, de la Real Maestranza de Valencia ; y de teniente co­ ronel de infantería á D. José Faxardo, sargento mayor del regi­ miento 1.* de Córdoba.</t>
  </si>
  <si>
    <t>a particularmente le bizarría de la tropa y oficialidad, como también de los comandantes de patriotas que estuvieron baxo sus órdenes, principalmente D. José Faxardo , D. "Lo­ renzo Acevedo, D. Antonio Ximenez y I). Gregorio Valiente. Todo lo que pongo en noticia de V. E. para que se sirva elevarlo á la de S. M., y. merezcan …</t>
  </si>
  <si>
    <t>Fcrcada, Juan</t>
  </si>
  <si>
    <t>Juan Fcrcada</t>
  </si>
  <si>
    <t>te Una ganancia permitida. Según la insinuación de Y. E. á las casas de comercio mas acreditadas de esta ciudad, quales son la de D. Joaquín Daodeya, D. Juan Fcrcada, D. Juan Manuel García de T.xada, Dofia Francisca Ribera de Martínez, y la viuda é hijo de Damas, solici­ tando me facilitasen el todo ó parte de la cantidad que…</t>
  </si>
  <si>
    <t>Fcrnui, Buenaventura</t>
  </si>
  <si>
    <t>Buenaventura Fcrnui</t>
  </si>
  <si>
    <t>e se ESPAÑA. expr. s.n a los cX- regulares qoe siguen : Para ia sacristía de la villa de las G vias ai ex­ Madrid jo de junio. $ franciscano descalzo D. Buenaventura Fcrnui.dez, S. M. ha expedido los decretos siguientes í predicador y confesor, por mitad con D. Manuel Extracto de la minutas de la secretaría dtf Ruiz y Sdes, p…</t>
  </si>
  <si>
    <t>Fe, Gabriel</t>
  </si>
  <si>
    <t>Gabriel Fe</t>
  </si>
  <si>
    <t>D. Josef Trasvina.................... D. Josef Batalon. S.\.. D. J uan de Ribera y Céspedes. D. Jorge Escudero. D. Julián Apartci................... D. Gabriel Fe rnaodez de Ol­ mos. lo.*. D. Josef Joaquio Várela. Séptimo batallón. Para avadante primero D, Pedro Ferrar, para segundo D. Fraocisco Lcftbre Dabaos, y para abande­…</t>
  </si>
  <si>
    <t>Fe, Santa</t>
  </si>
  <si>
    <t>Santa Fe</t>
  </si>
  <si>
    <t>MADRID DEL DOMINGO 27 DE MAYO DE 1810. AMERICA MERIDIONAL. mino, se volvió al instante á la ciudad , y Tecibió í S. M. á la puerta de la catedral. La Emperatriz Santa Fe, en la Nueva-Granada, jrp de agosto viuda volveiá á Petersbargo dentro de pocos dias, de i8o&lt;¿. y se cree qne la princesa de Oidemburgo acompa­ Acaba de fall…</t>
  </si>
  <si>
    <t>Febnanbo</t>
  </si>
  <si>
    <t>s circunstancias dei tiempo, y por conso­ lidar la unión de estos dominios con los demas que reconocen la sobelama de nuestro augusto soberano el Sr. D. Febnanbo vii , resolver la jura de aquel supremo Gobierno, así como en la duda de su existencia, y con noticias menos auténticas, se adoptaron medidas, que si no eran ajustad…</t>
  </si>
  <si>
    <t>Fede, Carlos Angosto</t>
  </si>
  <si>
    <t>Carlos Angosto Fede</t>
  </si>
  <si>
    <t>787</t>
  </si>
  <si>
    <t>y del cargamento, los qualcs permanecían secúesrrádos to^ Stuttgardt i.° de junio. davía el día 9 de abril. Por otra carta de la misma El cadáver del príncipe Carlos Angosto Fede­ fecha, escrita en Nneva-Yorcfc» sé sabe que el rico ha sido trasladado al palacio de su padre, y congreso americano debía rendirse el 23 de abril; …</t>
  </si>
  <si>
    <t>Federic, Francisco</t>
  </si>
  <si>
    <t>Francisco Federic</t>
  </si>
  <si>
    <t>Fernando Pmango ; y en el de Voluntarios de la Patria , co?npañías á D. Pedro Al­ cántara Rute , D. Francisco de Cárdenas , D. Antonio Labrandero , y D. Francisco Federic ; ayudantes, á D. Diego Zapata y D. J¡ a i Diestre; tenencias, á D. Fernando de Prado, D. Manuel Sa­ ladar, D. Félix Aznar , D. Dionisio Angulo , D. Enrique…</t>
  </si>
  <si>
    <t>Federico</t>
  </si>
  <si>
    <t>cirujano mayor gregaciones regulares de hombres ymugeres en los del regimiento Real Irlandés. departamentos de Géoova», de los Apeninos , de Bianchi (D. Federico), subteniente de tiradores Montenotte y de ¡los. Alpes marítimos; y por con-, del mismo cuerpo, ' siguiente quedan revocados todos los decretos ( le­ Buman (D. josef…</t>
  </si>
  <si>
    <t>r á campaña. En una nota dirigida á todos fiana SS. AA. recibirán los parabienes en el pala­ los ministros extrargeros residente* en Coostanricio del príncipe Federico, que es el que van á ha­ nopla, el gobierno turco ha dado por motivo de bitar. Con motivo de esta fiesta fa guardia de á pie la prohibición de exportar grana* …</t>
  </si>
  <si>
    <t>Federico, Miguel</t>
  </si>
  <si>
    <t>Miguel Federico</t>
  </si>
  <si>
    <t>ubte­ nencias , á D. José Perez , D. Jorge Bertolld , D. José Fernandez, D. Miguel Henriquez , D. Blas Marín, D. Antonio Ferrer, D. Agustín Escobar . D. Miguel Federico, D. Francisco Blanco , D. Bartc lomé Blanco D. Joaquin Gómez, D. José Flaquer, D. Lean­ dro Rubira , D. José Velasco, D. Joaquín Velasco, D. Caytt no Vico, D.…</t>
  </si>
  <si>
    <t>Fei</t>
  </si>
  <si>
    <t>io lraurgu;, D Jcsé ■ Iglesias Bárantes y D Manuel Morete: á capitanes, á D.' Miguel Ruano, E).-JNicolás. Sedaño, D Francisco Corres, D José Montero, D. Fei;x Arb’izu y Alava 3 D José GEaido , D. Pedro. Hermosilla y D Diego To-"losa. Igualmente se. ha servido promover-en el propio real cuerpo a sar-</t>
  </si>
  <si>
    <t>Feiinando</t>
  </si>
  <si>
    <t>726</t>
  </si>
  <si>
    <t>su integridad la nación española, y no omitir medio para libertarla de sus injustos opresores ? ¿Juráis conservar á nuestro muy amado soberano el Sr. D. Feiinando vn todos.sus dominios, y en su defecto á sus legítimos sucesores, y hacer quantos esfuerzos sean posibles para sacarla del cautiverio y colocarlo en el trono? ¿Jurá…</t>
  </si>
  <si>
    <t>Féiix, Hilario</t>
  </si>
  <si>
    <t>Hilario Féiix</t>
  </si>
  <si>
    <t>e se ha concedido hoi 14 de ma­ batallón á D. Mariano De!és y á D. Francisco yo de 1S10 al castillo principal de la misma ciu­ Chamborán; capitanes á D. Hilario Féiix y á Don dad , firmada por el señor general García Conde, Andrés Russi; subteniente á D. Jorge Drígets comandante superior. subteniente del regimiento de Castill…</t>
  </si>
  <si>
    <t>Feitc, Agustín</t>
  </si>
  <si>
    <t>Agustín Feitc</t>
  </si>
  <si>
    <t>...... *1569] .C\ D. Josef Clemente de.Lujar.». fip*&lt;ii«kp ;, v 67200 D. Antonio Hernández............. a7í# DoñaMaría ManuelaPtavíde Ribera; • 45000 D. Agustín Feitc,........................ 8533^; rí P. Manuel SineFípirto*!,™.,-»-—.. 43700 B. Lucas de CminM..... . 291661 líí. D. Juan EstébaüCdeiTiiciP!. *•*# •-*•••*»» »&lt;ík …</t>
  </si>
  <si>
    <t>Feito, Agustín</t>
  </si>
  <si>
    <t>Agustín Feito</t>
  </si>
  <si>
    <t>á un baile de paloteo, con varios grupos nuevos. quín de la Hormaza...................... 71079 u En el de los Caños del Peral, á las siete de la no­ D. Agustín Feito................ 13013 23 che, se representará por Ja compañía italiana la ópera D. Antonio Vanhaleo...................... 13086 19 bufa »n dos actos titulada el…</t>
  </si>
  <si>
    <t>Feixoo, Sebastian Rodríguez</t>
  </si>
  <si>
    <t>Sebastian Rodríguez Feixoo</t>
  </si>
  <si>
    <t>ciudad se ha publicado chura sin sustos ni arrumacos, al cabo de tantos boi el artículo siguiente: meses que no sabíamos aquí si V. S. y mi ama vi­ ,,D. Sebastian Rodríguez Feixoo, vecino de la vían ó morían. Ya me habían dicho por seguro que villa de Mora, y D. Santiago del Campo, presbí­ le habian quitado á V. S. todo lo qu…</t>
  </si>
  <si>
    <t>Féjrñañdo</t>
  </si>
  <si>
    <t>sos por si acaso no hu­ biesen llegado á sus manos, y con la misma súplica, esperando de su zelo por ios intereses dé nuestro augusto soberano ei Sr. D. Féjrñañdo vii, tendrá todo el efecto que se desea. — Dios guarde á V. E. muchos años. Buenos-Ayres y junio 6 de 1810.—Excmo. Sr. — Manuel de Velasco. — Manuel José de Reyes. …</t>
  </si>
  <si>
    <t>Felhe, José</t>
  </si>
  <si>
    <t>José Felhe</t>
  </si>
  <si>
    <t>pais , y conducen ei pueblo á la insurrección, se citan : el licenciado D. José Anuesto, habitante de Beade de Ferreyra , ó de la puebla de Broilon ; D. José Felhe , habitante de Eire (es D. Juan) ; el corregidor de la Ulloa (D. N. Uarela) ; el cura de Gundivós UD. Manuel Gay) ; ei cura de 3a Pénela (D. Miguel Olloniego) ; el…</t>
  </si>
  <si>
    <t>Feli</t>
  </si>
  <si>
    <t>si convendrá excluir para siempre ó ront‘r- bía reservado el romano pontífi e , conio.itambién cómo s.var ei tribitssal de la nunciatura. El señor.. D. Feli­ y en qué términos deban practicarle estás reservaciones, pe v encargó también á la junta que discurriese y le suspendido y dificultado el recurso ¿ quien las La he-, pro…</t>
  </si>
  <si>
    <t>Felipe</t>
  </si>
  <si>
    <t>ayor de las voltea­ M Los comandantes ée los acantonamientos de dores de la guardia real. Belchite, la A* muñía y Borja han rechazado tam- ^ Carpeña (D. Felipe), capitán de arti'l.-ría. bien á los foragi*ios,y han inserto un buen núme­ Casavilíareal (marques de), regidor de Granada. ro de ellos. Centeno ( D. Manuel Josef), ma…</t>
  </si>
  <si>
    <t>ballero qne fa® ges y castellanos harán esta organización tan com­ de la órden extinguida de Cárlos ni. pletamente como la de los andaluces. Zarxana (D. Felipe), caballero qne fue de la or­ La de la guardia cívica de esta corte esta bas­ den extinguida de Malta. tante adelantada. art. n. Nuestros gran canciller y gran re tore…</t>
  </si>
  <si>
    <t>836</t>
  </si>
  <si>
    <t>ausas eclesiásticas, sin necesidad pues ya- no era tiempo de mas disimular. de ir á Roma; que los espolios y frutos de sedes vacan­ Hallándose el Rei D. Felipe u en Lisboa por los tes no los llevara su Santidad, comq habia sucedido años de 1582, escribió al cardenal de Granvela, presihasta entonces; y que el nuncio expidiese …</t>
  </si>
  <si>
    <t>arredrasen eytos temores, El pape! núm. ‘7° de la colección, que contiene una sus escritos nó podían servir de gran provecho, median­ carta del Re-i D. Felipe tv, su fecha en Madrid á 10 de te que eran -recogidos luego que salían á la luz pública. abril de 1Ó34, Ttvnitid-i-al citado señor cardenal de También conseguía la curi…</t>
  </si>
  <si>
    <t>es imposible hacer ninguna especie favorable. Al llegar al extremo de la isla de Pago año de 1709, sea que le acomodase mas el que conti­ que el Rei D. Felipe usaría, para las defensas de su co­ nuase ocupando este trono uno de Jos príncipes de ia rona y monarquía , y para manifestar la nulidad, injus­ casa de Austria, sea qu…</t>
  </si>
  <si>
    <t>de Jesucristo cada apóstol tenia por SEXTO EXTRACTO. diócesi no menos que e! mundo .entero. Pero aunque todos recibieron ' inmediatamente da El señor D. Felipe r, deseoso de acertar en sus re­ Cristo no solo !a po.testid de órden, sino también la da soluciones para mantener lo* derechos de su dignidad y la espiritual jurisdic…</t>
  </si>
  <si>
    <t>eral, á las ocho de la no­ excesos de la dataría: estos crecieron en tanto grado, che, se exccutarS por la compañía italiana la ópera en que el señor D. Felipe v, movido de las continuas que­ dos actos titulada Ja Molinera , intermediada con el bo­ jas y reclamaciones que se le hacían , determinó repri­ lero. mirlos ; y para …</t>
  </si>
  <si>
    <t>la eentura loe siones y otras vanas causas, en el término de dos meses ministros seculares, que hicieron anotar y después ahor­ después que el señor D. Felipe v permitió la comuni­ car al eclesiástico que se habla rebelado á su Soberano„ cación con aquella corte, mas de 8oe¡? ducados de ore y que están llenas las historias y …</t>
  </si>
  <si>
    <t>artillería de núes* Arpin (D. Pedro), cabo de la gendarmería esco­ tra guardu real. gida ) ídem. Faxardo y Henao (D. Juan ) , comandante de las Arsd (D. Felipe de), comandante de batallón del armas en la villa de Lora del Rio. regimiento núm. 7.* infantería de línea. Feraud (D. Luis Domiogo), administrador gene­ Auchard (D. J…</t>
  </si>
  <si>
    <t>Feliu, Ramón</t>
  </si>
  <si>
    <t>Ramón Feliu</t>
  </si>
  <si>
    <t>por Santa Fe: D. José Mexia, suplente por idem: D. Dionisio Inca Yupangui, suplente por el vireynato del Perú: D. Vicente Morales, suplente por idem: D. Ramón Feliu, suplente por idem: D. Antonio Suazo, su­ plente por idem: D. Joaquín Leyba, suplente por Chile: D. Miguel Riesco, suplente por idem: D. Francisco López Lispergue…</t>
  </si>
  <si>
    <t>Félix</t>
  </si>
  <si>
    <t>o; porque décia que nunca había oído que ciende. i Con qué en nada contribuye ni el casamiento un personage pidiese un vaso de agua á un criado, y de D. Félix, ni su muerte desastrada al desenlace? ¡Y siempre se pasaban todos ri ó mas horas sin comer ni quería que ¿1 pobre traductor fuese á separar los comba­ dormir (1). Dexe…</t>
  </si>
  <si>
    <t>iguel Maderna............................ . 1826.. 8! D. Nicolás Barsanti, como- apoderado D.íjosef Hermosa..................... ............ 1083 de D. Félix, D; Luis y D. Juan MiD. Diego Ortega—*............................... 1083 r quelozzi...................................... 4680 D. Pedro Baille y .compañía...;........…</t>
  </si>
  <si>
    <t>nidas en su carta sellada,, princesa, hija de S. A. I. la princesa María Ana que está en nuestras manos, recibió Jos nombres Elisa, y de S. A. I. "el príncipe Félix , recibiese de Gerónimo Carlos; .. . los nombres de E isa N.-poleon. Y nos el secretario de Estado de la familia im­ De todo lo qual, como secretario de Estado pe…</t>
  </si>
  <si>
    <t>sca Zegers, para segando D. Angel Groadoaa , y para abanderado D. Mjgnel de Zerralde. i*. D. Mannel Zavala................. D. Cándido Palacios. a.*. D. Félix lzaguirre.................. D. Gerónimo Sobrado. D. Mannel Gonzalo del Rio. D. Gabriel Sobrado. D. Josef Zerralde. D. Antonio Boan. 6.*.......... D. Pedro Real D. Eugen…</t>
  </si>
  <si>
    <t>Gaceta de Madrid n.º 236</t>
  </si>
  <si>
    <t>dos fragatas armadas. res con las mismas gracias dimanadas de las mismas in­ Castilla en vez de dirigirse á Sevilla , ¿qué distraccio­ consecuencias. D. Félix, que es el primero que indica nes no bace esperar quando él mismo figure en el teatro? la distracción de Fernando, la exagera tanto desde lue­ Y este último rasgo de di…</t>
  </si>
  <si>
    <t>Antonio ), comandante de batallón de lbarroia (D. Manuel Vicente de), canónigo de la la guardia cívica de Madrid. santa iglesia de Toledo. Caballero (D. Félix ), eapitao de inválidos hábiles Idrac (D. Santos), trompeta de artillería á caba­ de Sevilla. llo de nuestra guardia xeal. Chacón (D. Josef), capitán de miqneletes de N…</t>
  </si>
  <si>
    <t>Félix, Anselmo</t>
  </si>
  <si>
    <t>Anselmo Félix</t>
  </si>
  <si>
    <t>enito (D. Antonio), gefe de división del miulf- para la recepción de S. M. terio de la ticia. Las justicias y pueblos, que se han apresurado Briones (D. Anselmo Félix de), caballero que fue en todo el camino á salir al encuentro de S M., - de la extinguida orden de Malta. han tenido la satisfacción de que se parase á hablar­ …</t>
  </si>
  <si>
    <t>Feliz</t>
  </si>
  <si>
    <t>í ente parte del segundo ayudante marques de Villacampo. ¿enera!: Al punto de auqcliscer * viendo que el enemigo reforsab» las peñas Je la Alberca de D. Feliz, destaqué dos guerrillas de iufauterh.</t>
  </si>
  <si>
    <t>Fenwicke</t>
  </si>
  <si>
    <t>otra parte del pais , porque tocio está en poder de nuestras tropa?. — Las, guarniciones: de Peniche y Oblaos, cuyo último pueblo ocupó hace poco el capitán Fenwicke , oficial al servicio portugués, baxo las órdenes del brigadier general Bluni , así como la caballería británica, con­ tinúan manteniendo una guerra destructora …</t>
  </si>
  <si>
    <t>Fenzvick</t>
  </si>
  <si>
    <t>ra vez al puesto que ocupaba en la retaguardia del ala derecha de su exército.—Me es su­ mamente sensible tener cjue participar á V. E. la muerte del capitán Fenzvick, comandante que era de la villa, de Obidos. Durante estos dos últimos meses había entrado mas de 20 ve­ ces en acción, con ías partidas que enviaba á forragear …</t>
  </si>
  <si>
    <t>Fer</t>
  </si>
  <si>
    <t>eircias á D. Litis Ramos , D. Ma­ nuel Saez , ID. Francisco Hidalgo , D. Redro Oniz , D. Manueil Hidalgo , D. Joaquín Hidalgo, D. Francisco Dacosta , D. Fer­ nando Barbolla, IV José CansLo, D. Fernando Teruel, D. José A-mat, IV A*gu¡»tin Amat, D. Pedro Aívarez, y D. Víctor Alvarez. Por él Excmo. Sr. D. Francisco de Egura, Sec…</t>
  </si>
  <si>
    <t>directa ó indirectamente se dirija á separar esta provincia, sus ayuntamientos y de­ más pueblos sujetos á ella del vasallage que tiene jurado al Sr. D. Fer­ nando Vil y á sus legítimos sucesores de la casa de Borbon. DE DA CIUDAD DE VADDADOLÍÍ) DÉ MECHOACAN, Protesta solemnemente desde ahora para siempre contra todo acto</t>
  </si>
  <si>
    <t>151</t>
  </si>
  <si>
    <t>n caso de ser S. M. acaba de conceder títnlos de nobleza í el reino atacado por una patencia extrangera se le­ los dos hijos naturales de S. A. R. el príncipe Fer­ vante una reserva de 50® hombres, y que estos nando de Prusja, que murió en la batalla de Jena. sean agregados en los regimientos de línea. S. M. Ies ha mandado qu…</t>
  </si>
  <si>
    <t>a al citado coronel O. Fran­ cisco Cabrera, contra quien no resultaba la adhesión al partido francés y desafecto á nuestro legítimo soberano el señor D. Fer­ nando víi que se le atribuía; y que en su consecuencia se le pusiese en absoluta libertad, dándole la correspondiente certifi­ cación. Enterado de todo el Consejo de Reg…</t>
  </si>
  <si>
    <t>484</t>
  </si>
  <si>
    <t>irano y salvar la patria, siendo el principal la instalación del supremo Consejo de Re­ gencia , que gobernará á nombre de nuestro amado réy el señor D. Fer­ nando vii. —Este tribunal que ha dado muchas pruebas de su patrio­ tismo , aplaude como debe el de esos beneméritos individuos que compo­ nen su junta, y lisonjeándose d…</t>
  </si>
  <si>
    <t>ar, y que- se ha propuesto despreciar á todo» los y es á la verdad terrible que después de haber sosteni­ hombres, le sirve de contraste. Un amigo de D. Fer­ do este papel durante muchas años, venga i parar en nando 1« ha pedido por, gracia que hable al hermano de</t>
  </si>
  <si>
    <t>ncia de todos á los alumnos D. Eulogio Carrascoso , D. José Andrés , D. Anastasio Navas , D. Juan Senovilla, D. M anuel Rodríguez, D. Pedro González, D. Fer­ nando López , D. Santiago Pereyra, D. Cándido María Rosa­ da ; y para mayor estímulo les recordé al mismo tiempo las obligaciones que les imponía tan singular distinción…</t>
  </si>
  <si>
    <t>ONORA. \ T¡'-¡ t _rr .fl[ qbisp4 PrFrancj$qq .Rouset, 416 y 5 jrs. D.José Marcos de Ibarra .y tí jqsé,j[qaqúm rCa¥o, ióó- tí- Miguel María Espinosa y D. Fer­ nando Rabágo, iob.* B. Carlos Rentería, ¿y. D. Pedro Timoteo Vega, 56. "O. Domirígó Gómez, 25* El gobernador intendente D. A’exo Gar­ cía Conde, *00. El ayudante inspect…</t>
  </si>
  <si>
    <t>Fer, Antonio</t>
  </si>
  <si>
    <t>Antonio Fer</t>
  </si>
  <si>
    <t>1800</t>
  </si>
  <si>
    <t>bienes y honores, y En la gazeta de Midrid de! 4 de abril de 1800 tratados por el REI con tanta benignid ad'co no si se publicó de órden del Rei que D. Antonio -Fer­ constantemente !e hubiesen sido leales. Quizá no nandez, cirujino de la real familia , y ag egadó al podran pe^ualirse de tanca bondad; pero oigan á laboratorio …</t>
  </si>
  <si>
    <t>Fer, Augusto</t>
  </si>
  <si>
    <t>Augusto Fer</t>
  </si>
  <si>
    <t>Gaceta de Madrid n.º 221</t>
  </si>
  <si>
    <t>cia con S. A., i saber: el klemburgo-Strelitz , y la Reina llegó el 26 á la coronel Holst y el camarero Juel, han convenido misma ciudad. S. A. R. el príncipe Augusto Fer­ eu sus declaraciones con las de los suecos. La chan- nando salió tambieu el 26 para Garlsbad. AEBMD1CB A XA GAZETA DB XADK1P» «que deducidas también Jas co…</t>
  </si>
  <si>
    <t>Fer, Francisco</t>
  </si>
  <si>
    <t>Francisco Fer</t>
  </si>
  <si>
    <t>atacar al enemigo por la espalda. Por nues­ tra parte hemos tenido de 10 á 11 muertos y de 19 á 20 he­ ridos : de los primeros fueron el subteniente D Francisco Fer­ nandez y el teniente D. Antonio Cancio ; y'«de los segundos el capitán, de Salas D. Bartqlomé Fernandez; y ■el'subtfeniente Don Blas Bermejo.* Distinguiéfome tam…</t>
  </si>
  <si>
    <t>Fer, Luis</t>
  </si>
  <si>
    <t>Luis Fer</t>
  </si>
  <si>
    <t>s productos de la Se sabe que S. M. ha declarado nobles á los dos industria de los dos departamentos. Se tormará una hijos naturales que ha dexado el príncipe Luis Fer­ junta de siete miembros encargados de hacer uq nando » el qual murió en Saalfeld. S. M. les ha da­ informe sobre el mérito de ¡os objetos manifesta­ do el per…</t>
  </si>
  <si>
    <t>Fernan</t>
  </si>
  <si>
    <t>os de esta guardia se cos­ D. Vicente Villavicencio, D. Josef María Gar­ tearán su vestuario, caballo y montura. cía , D. Manuel de Aguí lar y Cueto, D. Fernan­ art. vr. Nuestro ministro de Guerra queda do Pío Arenzana, D. Manuel Romero y Rei­ encargado de la execucion del presente decr.to. es na , D. Vicente Gregorio Moreno,…</t>
  </si>
  <si>
    <t>que en todas ocasiones ha mostrado el ardiente zelo que le anima en defensa de los sagrados dere­ chos da la nación y de su legítimo monarca el señor D. Fernan­ do vil, ha tenido noticia segura deque José Bonaparte ha en­ viado á los Estados-unidos emisarios encargados de pasar desde aquel pais aL nuestro para atizar el fuego…</t>
  </si>
  <si>
    <t>Fernán</t>
  </si>
  <si>
    <t>iguel Valerdr, 70. D. Ignacio. Posadas , 12. D. Basilio Gutiérrez, 'io?* D. José María, Ponce, 10. D. Francisco Cienfuegcs, 30. D. José Crivelli, 35, D. Fernán-, do Maynez , 8. D. Juan Ceballos, 20. D: Francisco Oírnos i SO V. Fran­ cisco Xavier Chaves, 10. Varios individuos 169-y 3- ts-, — yuta HéV Jüqtnhre de Djp$¿ D. Jijan…</t>
  </si>
  <si>
    <t>Fernan, Augusto</t>
  </si>
  <si>
    <t>Augusto Fernan</t>
  </si>
  <si>
    <t>extendió aqui la vos de que dia 23 á esta ciudad desde el sitio de Pntsdam á te habia avistado cerca de Skagen una esquadra, cumplimentar á su tio el príncipe Augusto Fernan­ que se presume fuese la del almirante Saumarez, do con motivo de ser el día de so cumpleaños. Di­ compuesta de ocho oavíos de línea, seis fragatas, cho …</t>
  </si>
  <si>
    <t>Fernan, Esteban</t>
  </si>
  <si>
    <t>Esteban Fernan</t>
  </si>
  <si>
    <t>D. Tomas de la Cuesta, 500. Don Alexandro de la Parra, 500. D. Fermin Ramón Barrera, 500. D. Fran­ cisco Buch y. Truxillo, 400. D. Juan Palau, 1000. D. Esteban Fernan­ dez de León, 1000. D. P. M. V., 100. Doña Rosalía de Córdoba, 20. D. Benito de Labra, 40. D. Lázaro Elejalde, 1000. D Lorenzo Rodrí­ guez Sánchez, 1000. Costel…</t>
  </si>
  <si>
    <t>Fernan, Juan</t>
  </si>
  <si>
    <t>Juan Fernan</t>
  </si>
  <si>
    <t>eresa Vázquez, ió. Doña Fran­ cisca Vázquez, 7. Varios individuos, 154 y 6 rs. ■—Aíulatos. D. Do­ mingo Goyenecnea, 200. Fr. Dionisio O iederra , 20. D. Juan Fernan­ dez, 200. D. Rafael Valenzuela, 100. D Felipe Siquerios, 40. D. José Vazqu z, 40. D. Manuel Sistiaga, 20. D Juan Valenzuela, 20. D. Fran­ cisco Valenzuela, 10 D.…</t>
  </si>
  <si>
    <t>Fernandez, Antonio</t>
  </si>
  <si>
    <t>Antonio Fernandez</t>
  </si>
  <si>
    <t>or, á Don Manuel de Bayona ; compañías , á D. Ramón Díaz, y D. Pedro Payo; ayudantías á D. Alberto Nazarre, y D. Francisco Mo­ ren za ; tenencias , á D. Antonio Fernandez, D. Fernando Azevedo , y D. Francisco Venegas; y subtenencias, á D. Patricio Auge, D. Tomas Manzanares, y 1). José María de Otero ; y en el batallón de tira…</t>
  </si>
  <si>
    <t>Tomasa Guerra............................ 20010 32 D. Andrés Saez de Azofra.................. 13718 Doña Pascuala de Trotiaga................. 4762 6 D. Antonio Fernandez........................ 180 17 D. Andrés Saez de Azofra................... 13808 7 Doña María Francisca Navarro......... 1083 El mismo Azofra...............…</t>
  </si>
  <si>
    <t>tos cchenta y^mmil trescientos cincuenta y un rea­ Doña Magdalena Mónzoro.................. 64t6 18 les y'diez y siete y medio maravedís de vellón. . D. Antonio Fernandez......................... 2666 20 art. ir. Sceutregarán á estos’ inleresado'- lás D. Josef Mercado y D. Lorenzo Mer­ : t1 cédulas hipotecarias correspondient…</t>
  </si>
  <si>
    <t>ntes de establecer el Inyección mercurial alcanforada (vulgo colirio de método que causa en el dia la prosperidad de su Fernandez), perfeccionada por D. Antonio Fernandez* establecimiento, han tenido qne hacer largos y cirujano de la real familia &amp;c., su autor. Véidesc en costosos ensayos para reformar las ¡deas de los quí­ l…</t>
  </si>
  <si>
    <t>roi*ipa.,,vacanterjx&gt;r falleci­ «rago de-aqúelia ciudad , ¡ vacante* por muerte' de; miento de D.‘Pedro Domínguez Troyano, á Don D. Antonio Moruna, á D. Antonio Fernandez,¿ Ffancitctode la Rosa^presbítero. - ^ : 1 "7 presbítero, éx-reghlar. . 5 bí&gt; o:v._ --'.r ' rBitavl medio beneficio de laparroqnia de Alo­ t Para otro dé la…</t>
  </si>
  <si>
    <t>Fernandez, Baltasar</t>
  </si>
  <si>
    <t>Baltasar Fernandez</t>
  </si>
  <si>
    <t>eres...»..................................59$6 17 D. Josef de Bono.............................,,1 6190 4 D. Ramón Gil.Gallo,.......*........... 3610 D Baltasar Fernandez...,,,....,. 3315 i Doña Nicasia de Cañas...... ................. 5234 *7’ P-. Josef Masart D. Juau Pablo.Malnero,...... ............... 7S8i D. Gonzalo Du*.…</t>
  </si>
  <si>
    <t>Fernandez, Bartqlomé</t>
  </si>
  <si>
    <t>Bartqlomé Fernandez</t>
  </si>
  <si>
    <t>0 he­ ridos : de los primeros fueron el subteniente D Francisco Fer­ nandez y el teniente D. Antonio Cancio ; y'«de los segundos el capitán, de Salas D. Bartqlomé Fernandez; y ■el'subtfeniente Don Blas Bermejo.* Distinguiéfome tambienniotablemente lós cápitanes De Francisco Toral y D. Pedro Díanos 5 el capitán del núm. 5 D. A…</t>
  </si>
  <si>
    <t>Fernandez, Basilio</t>
  </si>
  <si>
    <t>Basilio Fernandez</t>
  </si>
  <si>
    <t>.......... 1500 40514.. 7 78913.. 3 5333r.. 7 D, Esteban de la Torre........................ 22000 D. Manuel López de Cerrcdo............... 27609-28 D. Basilio Fernandez.............................. 170.-25! D. Guillelmo Peironet....................... 20628.. 7 D. Benito de la Mata Linares............... ,3*49 D. Gabriel L…</t>
  </si>
  <si>
    <t>Fernandez, Basilio Ramón</t>
  </si>
  <si>
    <t>Basilio Ramón Fernandez</t>
  </si>
  <si>
    <t>J. Pedro Baille y compañía................. 25000 tesorero D. Josef Diaz de Ribera.... 23 107.. 2 2 D. Félix Martínez de Tejada................ 15000 D. Basilio Ramón Fernandez.............. 11903-28 los directores de la compañía de Po­ D. Joaquin de Eguiarrcta, por su apo­ zuelo......................... .....................…</t>
  </si>
  <si>
    <t>Fernandez, Benito</t>
  </si>
  <si>
    <t>Benito Fernandez</t>
  </si>
  <si>
    <t>otro de tres fanegas, que lin­ da con los trinitarios extinguidos de dicha villa : otro de tres fanegas, que linda con tierra del mayorazgo que goza D. Benito Fernandez: otro de dos fanegas, donde dicen la Tablilla, linde tierras de Antonio López; y otro de una fanega al camino de Madrid, linde tierra de Doña Angela de Córdob…</t>
  </si>
  <si>
    <t>Fernandez, Bernardo</t>
  </si>
  <si>
    <t>Bernardo Fernandez</t>
  </si>
  <si>
    <t>patrocinio iban á respirar después de tan Primera de fusileros. Capitán D. Francisco dilatadas calamidades como habían padecido. ¡OxaZitus, teniente D. Bernardo Fernandez, subte­ lá los pocos que prolongan todavía una lid tan des­ niente D. Felipe Ximcnez, otro, D. Francisco igual como sangrienta hubieran visto este dia los R…</t>
  </si>
  <si>
    <t>p$¿ D. Jijan: Amonio Yandiola^ 5a íy&amp; Jasé Antonioi^o-1 pena,; 59. ,D. Domingo., Sarácho , 10. Ramón; Gár&amp;y^lio. D. Freií-; ci$co Antonio Saenz, 25*. D. Bernardo Fernandez ,-2-5". DrPedro Colfófftes, 10. D. Juan Miguel Lavayen, 25. .D. Berharcío «Mires, 3a D. José Hilario Rodríguez, 10. D. Andrés de írazabal, 30-. D. Francisc…</t>
  </si>
  <si>
    <t>Fernandez, Domingo</t>
  </si>
  <si>
    <t>Domingo Fernandez</t>
  </si>
  <si>
    <t>adornan el caraznn de V. M. o» hacen , Seficr , el El predicador D. Domingo Fernandez, ex-reguíar mas amable de los Reyes; y la posteridad colocará de S. Francisco , después de representar las virtu­ á V. M.'' entre aquellos grandes Monarcas que na­ des y elogios del santo P</t>
  </si>
  <si>
    <t>Fernandez, Faustino</t>
  </si>
  <si>
    <t>Faustino Fernandez</t>
  </si>
  <si>
    <t>olás Antonio Martin para el de Daacrecentamiento de la población de su vasto impe­ ganzo de. arriba. rio se interesan sobremanera en la adopción de A D. Faustino Fernandez para el de Zorita de este rrécodo. Ha mandado que se le interinase de los Canes. Ir* obstáculo* que en algunos distritos pudieran to­ A D. Manuel Antonio G…</t>
  </si>
  <si>
    <t>9Í2 D.Jjan. Pedro Iiurralde, $o. D. José Binito Fernandez i£&gt;. D. José An­ drés Vázquez, io. D. Faustino Fernandez, 30. D. Pedrtf Collantes, 15. D. Juan Bautista Machinena, 30. Los dueñ s de la hacienda de S. Juan Bautista, 20. Varios individuos 35 —— Coy ame. Timoteo Franco, 14. Mariano Morales, 32. Ma</t>
  </si>
  <si>
    <t>Fernandez, Francisco</t>
  </si>
  <si>
    <t>Francisco Fernandez</t>
  </si>
  <si>
    <t>34 También se lia servido conferir en el ba*alJon de voluntario* de Campo-mayor empleo de capitán primevo á D.Cristóbal Orboñez ; primera ayudantía á D. Francisco Fernandez; empleos de capitanes segundos á D. Juan Quintanilla, D. Cayetano Miranda, D. Francisco de Paula Miranda, D. Francisco Sacue, D. Juan Ma­ tos, y D. Claudi…</t>
  </si>
  <si>
    <t>Fernandez, José</t>
  </si>
  <si>
    <t>José Fernandez</t>
  </si>
  <si>
    <t>amón Sánchez , D. José Goyti, D. Domingo Angulo , D. Andrés Martínez y D. Antonio Valderas ; y subte­ nencias , á D. José Perez , D. Jorge Bertolld , D. José Fernandez, D. Miguel Henriquez , D. Blas Marín, D. Antonio Ferrer, D. Agustín Escobar . D. Miguel Federico, D. Francisco Blanco , D. Bartc lomé Blanco D. Joaquin Gómez, …</t>
  </si>
  <si>
    <t>Fernandez, José Binito</t>
  </si>
  <si>
    <t>José Binito Fernandez</t>
  </si>
  <si>
    <t>9Í2 D.Jjan. Pedro Iiurralde, $o. D. José Binito Fernandez i£&gt;. D. José An­ drés Vázquez, io. D. Faustino Fernandez, 30. D. Pedrtf Collantes, 15. D. Juan Bautista Machinena, 30. Los dueñ s de la hacienda de S. Juan Bautista, 20. Varios individuos 35 ——</t>
  </si>
  <si>
    <t>Fernandez, Josef</t>
  </si>
  <si>
    <t>Josef Fernandez</t>
  </si>
  <si>
    <t>ece el liceo, que con ar­ yor, D. Rafael Montalvo, D. Manuel Díaz Pi­ reglo a) real decreto de S. M. de 26 de octubre del mienta, D. Bartolomé Perez, D. Josef Fernandez, año próximo pasado, debe haber en cada ana de las D. Diego de Lara, D. Santiago Aguado, D. Ra­ capitales de provincia, se prepare la de Córdoba á fael Navarr…</t>
  </si>
  <si>
    <t>Fernandez, Juan Antonio</t>
  </si>
  <si>
    <t>Juan Antonio Fernandez</t>
  </si>
  <si>
    <t>.Lian Francisco de Abarca , 100. D. Melchor de Aja­ ría, 100. B. Juan José de Iraeta , 100. D. Antonio Zúñiga, 100. D. Mar­ tin Sánchez Serrano, 100. D. Juan Antonio Fernandez, 200. D. Félix de Águirre, 400. D. Pedro del Paso Troncoso, 100. D. Prudencio Gutiérrez, 100. D. Pedro Francisco de Anza , 100. D. Juan de Dios Troncos…</t>
  </si>
  <si>
    <t>Fernandez, Juan Sánchez</t>
  </si>
  <si>
    <t>Juan Sánchez Fernandez</t>
  </si>
  <si>
    <t>isco Bordalonga al que las fuerzas del brick consistían en 16 picz«s de de S. Miguel de la mi-ma. cañón, 4 culebrinas deá ia y too hombres de .tri­ A D. Juan Sánchez Fernandez, presbítero, pa­ pulación.” ^ • ra el de Sra. María de Fondas ^vacante por prorno— ’cion de D. Ahtonio CarlosrSoler al de Sta. María IMPERIO FRANCES. d…</t>
  </si>
  <si>
    <t>Fernandez, Lope</t>
  </si>
  <si>
    <t>Lope Fernandez</t>
  </si>
  <si>
    <t>undo. El talón, transformado en capilla, Coca Coellar (D. Juan), corregidor de Bnjalance. tiene dos órdenes de tribunas al rededor; las pri­ Córdoba (D. Lope Fernandez de), capitán retira­ meras, levantadas lo pies del suelo, están ador­ do de artillería.. nadas con colgaduras de seda azul celeste con fran­ Morales Sacristán …</t>
  </si>
  <si>
    <t>Fernandez, Manuel</t>
  </si>
  <si>
    <t>Manuel Fernandez</t>
  </si>
  <si>
    <t>. La cofradía del santísimo Sacramento de la parro­ quia do Santo Toma»; 50. D. Baltasar Pombo, 25. Ei administra­ dor de rentas unidas dei Fresnillo D. Manuel Fernandez , 50. El interventor deid. D. Francisco Xavier Valiejo, SO. El guarda de id. D.Tcíix González , 20. Varios individuos de Acapetlahuacao, 49 pesos :!■§ rs. D.…</t>
  </si>
  <si>
    <t>Fernandez, Manuel Félix</t>
  </si>
  <si>
    <t>Manuel Félix Fernandez</t>
  </si>
  <si>
    <t>.......................... *5 3f D.. Antonio Soldevilla........................... 902 *7 D. Cristóbal Pérez................................. 1520 20 D. Manuel Félix Fernandez............... 270 25I D. Matiuel de Santayara...................... 73000 Doña María Elexaga.................. ........... 9**37 8f D. Francisco Garcí…</t>
  </si>
  <si>
    <t>Fernandez, Manuel Jesús</t>
  </si>
  <si>
    <t>Manuel Jesús Fernandez</t>
  </si>
  <si>
    <t>pañía , 1500. Don Juan de Vega , 60 D. Ignacio Victoria, 20. Doña María de Vega, 2oDoña María Salas, 60. Conde de Talara, 6co Dones y Canadell, icoo. D. Manuel Jesús Fernandez , 300. D. Francisco Díaz , 2CQ. D. Benito de la Plaza, 160. D. Mateo Lobo, 320. D Gerónimo Martínez, 300. D. Pedro Antonio Eguía, 520. F. B., 100. J. S…</t>
  </si>
  <si>
    <t>Fernandez, María</t>
  </si>
  <si>
    <t>María Fernandez</t>
  </si>
  <si>
    <t>una fan. y 3 Otra en la Coxa, de 3 fan., incorporada en celem., incorporada con otra de la c;peotra de la capellanía mayor de Loyola, que ll.tnía de Doña María Fernandez, linde í linda por mediodia con mayorazgo de Soto. ¿6 3 * 496 mediodia con 1a vereda de lJlcscas á ValOtra de :§ fan. en el camino y cuesta de demoro........…</t>
  </si>
  <si>
    <t>Fernandez, Pablo Laiz</t>
  </si>
  <si>
    <t>Pablo Laiz Fernandez</t>
  </si>
  <si>
    <t>x Ramírez, tonsurado. llacalbiel. Para el di V “ga Cerneja, vacante por muerte Para el de Saeiices del Rio , vacante por muer- de D. Aniceto Diez , á D. Pablo Laiz Fernandez, te de D. Cristóbal Paniagua , á D. Juan Manuel tonsurado. Perez, presbítero , cura de Salió. Y para el de Oreonagar vacante por muerte de Para el de San…</t>
  </si>
  <si>
    <t>Fernandez, Pascual</t>
  </si>
  <si>
    <t>Pascual Fernandez</t>
  </si>
  <si>
    <t>a, la Bahusia Scc. );de Carlstad, ó el Wermeland, Fernandez, de ta citada ¿rden. - 135438; de Oerebro, ó la Nericia, 950025 ; de Para la de Salares á D. Pascual Fernandez, dé LiukOping, 6 la Ostrogotia, 15 8057 ; de Níkoping, dicha órden. ó la mayor parte de la SuderiUaniá, 96547 ; de Para la de Sedella al ex-cápuchino D. Man…</t>
  </si>
  <si>
    <t>Fernandez, Pedro</t>
  </si>
  <si>
    <t>Pedro Fernandez</t>
  </si>
  <si>
    <t>4050 ito D. Gabriel Gómez.................;..... ... 2520 El real colegio de cirogíadc&amp;Gárlos. Albert é hijos......................;;;;........ 1100 D. Pedro Fernandez • 118o; D. Joáef Antonio Girard.....2025 D. Joan Antonio Ma«ao........i.'...... ‘ ; 935 D.Francisco María‘Dufooi.;;;.';.V.......i 8576'23,' D. Andrés, y D.. la…</t>
  </si>
  <si>
    <t>d. D; Rodrigo Tavira, 25. D. Joaquín Ugar-te ,aiferez de navio., y primeripiloro , 42. Contador, el oficial quarto, D. Manuel Riquelme de Murcia, 30. D. Pedro Fernandez , capellán, 20. D.- Manuel Loaces, tercer piloto , 30. IdemÁe mary sueldo fixoy temporal. Rafael Perez, segundo contra­ maestre, 34. Francisco Seriado, primer…</t>
  </si>
  <si>
    <t>Fernandez, Rafael</t>
  </si>
  <si>
    <t>Rafael Fernandez</t>
  </si>
  <si>
    <t>te interino, 320; y a gunos de sus individuos, 255 anualmente durante la guerra. D. Francisco José de U/rutía, 300. Ei oidor D. Miguel Bataller, 300. D Rafael Fernandez, dei comer­ cio áe Tula, 2 50 ; y ademas «¿tros 250 anuaímente. El presbítero D. Alexaudru.Joroan, 200. D. José María Rodaliega, 200. Ei al­ calde del ciíoien…</t>
  </si>
  <si>
    <t>de Zelayeta......................... 1689 *4‘ El monte pió de reales oficinas............ 909518 13 Doña María Luisa Maturana.............. 56985 20 D. Rafael Fernandez.............................. 9064 II D. Miguel Azpiroz,..,........................... 17500 D. Santiago Manuel Garrido............... IO945 El marques de Baj…</t>
  </si>
  <si>
    <t>Fernandez, Ramón</t>
  </si>
  <si>
    <t>Ramón Fernandez</t>
  </si>
  <si>
    <t>Mari. D. Estéban Corones Alberola. D. Joaquín Manuel de Villalba. Tenientes. D. Juan Manuel Valenzuela. D. Francisco Flores. D. Josef Antonio Rivas. D. Ramón Fernandez. D. Manuel Duro. D. Manuel Andrés. D. Francisco Lefebre Daraur. D. Juan de S. Juan. D. Josef Aleson. D. Matías López de Para. Batallón del quartel de Afligidos…</t>
  </si>
  <si>
    <t>Fernando</t>
  </si>
  <si>
    <t>cillaron á Selma man su grabado, aquel saber levantar á tiempo el on crédito no vacilante. No bien aconsejado apuró buril del cobre. Desde esta época D. Fernando en las estampas del poema de la música, y en las Selma no debe esquivar la concurrencia con los que se le repartieron para la gran edición del Qui- corifeos de su pr…</t>
  </si>
  <si>
    <t>de la Or­ ques se halla en Trieste, y otra en Venecia. Las den Real de España á los señores tripulaciones rusas han marchado ya á su país, y Aranda (D. Fernando de), teniente coronel gra­ los franceses han tomado posesión de los buquer. duado. Es. increíble lo satisfecho que se halla el comercio Beaufort (D. Jayme), capitán d…</t>
  </si>
  <si>
    <t>repitosos gen nuestras antiguas comedias. Je ha proporcionado versos de algunas obras de nuestros tiempos, y véase la nna nueva victoria. El papel de D. Fernando en el Pa­ diferencia. Me dirán que Moreto, Lope, Calderón, Sareado en la corte pide mucha soltura, y no poco cono­ lazar y otros poetas de entonces no eran menos hin…</t>
  </si>
  <si>
    <t>ia semejanza con Y audaces fortuna juvat. un ral D. Lope, hijo de D. Pedro de Luxan, hace que este buen hombre crea con la seguridad mas terca y bon­ D. Fernando. dadosa que ha encontrado á su hijo, de quien no tenia IQuieres creer que no me atreva? la menor noticia hacia ya muchos años. Tacón (asi se Que yo de poder me holga…</t>
  </si>
  <si>
    <t>gunos oficiales pará la organización de los alarma­ cia de Extremadura, á nombre de S. M. el señor dos; y que se hacia preciso me,dirigiese una orden D. Fernando vn, qae Dios guarde-, por la presen­ para sacar trigo del que tenemos encierra de Ca­ te confiere la mas amplia comisión , con todo el ros, pues era absolutamente im…</t>
  </si>
  <si>
    <t>fue de la pañías de escopeteros bien dotadas, y compuestas orden extinguida de Malta. de jóvenes ágiles y vigorosos , para recorrer los ca­ Guillent (D. Fernando), teoieute del regimiento minos, y limpiarlos de los bergantes ó guerrillas de línea núm. 2.0 que interceptaban y robaban á los caminantes , y Mazarredo (D. Lope). s…</t>
  </si>
  <si>
    <t>as para celebrar en ella con el entusiasmo que reyna entre sus ha­ bitantes el di-a del glorioso nombre de nuestro, cautivo y amado soberano el señor D. Fernando vii , y renovar en unión verda­ deramente fraternal los ardientes votos y sacrosantos juramentos de romper con sus manos vencedoras las cadenas que le oprimen, y rep…</t>
  </si>
  <si>
    <t>273</t>
  </si>
  <si>
    <t>to que desde el fatal instante en que su­ po la vií traición y enorme perfidia con que fué arrebatado dei señó desús ainados vasallos nuestro adorado rey Fernando, se unió por tm tfecto de su acendrada fidelidad y religión á esa metrópoli «i ma­ dre patria con los estrechos vínculos de ínteres , honor y caridad, prometiendo y…</t>
  </si>
  <si>
    <t>, el pueblo salvo, la ini­ quidad enemiga castigada., y libre de su injusto cautiverio el ungido del Señor y padre universal de estos pueblos nuestro rey Fernando. Puerto-Rico r 6 de abril de i'Bro. —- Señor. — Salvador Melendez. — Fernando Dávila. — Juan José de Llobes. — Vicente Piz2rro. —Ma­ nuel Hcrnr.1. — Doctor Francisc…</t>
  </si>
  <si>
    <t>ue hayan su­ frido, pues se oyeron varios quejidos, sin que por nuestra parte hayamos tenido ia menor desgracia, cadiz 7 de junio. El rey nuestro Sr. D. Fernando vii, y en su real nombre el supremo Consejo de Regencia de España é Indias, enterado de que el banco nacional de S. Carlos se hallaba con crecidos fondos en parages …</t>
  </si>
  <si>
    <t>'ancism Gallardo...................... . ’! ií 20 bre la liquidación de la deuda del estado. El conde de Monurco.......................... 4Í (Va- 15 D. Fernando l’crtz Rice...................... 3^5 Rs. vn. Mrs. D. Josef Ro.-l-s........................................ J' - ,3 14 D. Josef Pelaez...,............. .............…</t>
  </si>
  <si>
    <t>300 D. Fernando vtt, que Dios guarde &gt;y su bízarríaenlas acciones con los enemigas,, como lo ha hecho ea las cinco en que se hajfió, habiendo sido herido -en. Ja última $ y que preguntado por el general engefe</t>
  </si>
  <si>
    <t>e España sobre que se lee ep el nútti. *.? de esta coleccióny que. conr las controversias con la corte de Roma. El testimonio tiene una carta del Rei D. Fernando el Católico at conde de Cano es tanto mas irrecusable en estas materias, de Ribagorza. su virei en Ñapóles, sobre-ciertas'pre-, quanto se sabe el empeño con que en s…</t>
  </si>
  <si>
    <t>de Goyeneche, y el exército que manda en las provincias interiores del vireynato de Buenos-Ayres, del particular amor que profesan al rey nuestro Sr. D. Fernando vir, é ínteres que toman en proporcionar auxilios para la defensa de la pa­ tria , han necho el donativo de 4 tejos de oro del valor de 10© pesos fuertes, que ha con…</t>
  </si>
  <si>
    <t>ido imprudencia intolerable dar armas á un pueblo que tan poco merece llevarlas. • v • , &lt;t CADIZ 16 DE JULIO. : /. * ■ i ; « '• . El rey nuestro Sr. D. Fernando vir, y en su real nombre el Consejoí dé Regencia de ^España é Indias, se ,h&amp; servido conferir en el regi­ miento dy repíea. guardias Walonas el empleo de comandante …</t>
  </si>
  <si>
    <t>emio; á que son acreedores, si se separan de prestarlos á los franceses ; ha resuelto ofrecerles como desde luego les ofrece á nombre de S. M. el Sr. D. Fernando vil y del su­ premo Consejo de Regencia de España é Indias que lo re­ presenta , abonar el sueldo 6 salario que disfruten en la fá­ brica á todo el que emigre desde …</t>
  </si>
  <si>
    <t>za­ Gonzdcz y otros no me hubiera detenido estos' dores al teniente de cazadores D. Jo«ef Causquin; ‘ pocos días. y teniente en el mismo regimiento á D. Fernando.. „ Mi familia está «rt Gibraltar, pues su gobierno Chorno, que lo era de la compañía de C'Z&lt;,cf&gt;res me dispensa los mayores favores, al mismo tiempo de montaña de G…</t>
  </si>
  <si>
    <t>483</t>
  </si>
  <si>
    <t>cion de esa junta superior de gobierno, y el establecimiento de un Consejo supremo de Regencia que gobernase á&gt; nombre de nuestro ama­ da rey el Sr.. D. Fernando vn, me acompaña V. E- uo exemplar de la proclama eti que poniendo de manifiesto los notables sucesos que han ocur­ rido , se exhorta á todos á que reuniendo sus volu…</t>
  </si>
  <si>
    <t>de Cádiz, de cuya energía nos-prometemos la restauración de la integridad de la monarquía, y la restitución de nuestro• descadúimo soberano el señor D. Fernando vn, damos á Dios las mas reverentes gracias por habernos dispensado este consuelo en medio de tartos aflic­ ciones que nos cercan por los infortunios de esa península…</t>
  </si>
  <si>
    <t>des­ pués de instruida en el manejo de las armas , se una á ios exércitos de esta península que defienden los derechos de nuestro,, soberano el señor D. Fernando vii , ofreciendo jurar solemnemente no separarse de los peligros hasta dexarlo colocado'en su trono, y hacer el transporte de su cuenta y del general patriotismo de …</t>
  </si>
  <si>
    <t>se habían apoderado de todos los puntos incluso Cádiz. { así se explicó en aquel momento) : protestó cíe la inmutable fidelidad de aquel pueblo á su rey Fernando vil y §us legítimos suceso­ res : dixo que el actual Gobierno de Caracas engañaba al pú­ blico con noticias* falsas, v ocultaba el verdadero estado de las cosas : qu…</t>
  </si>
  <si>
    <t>403</t>
  </si>
  <si>
    <t>stituir una soberanía provisional en esta capital para ella y los demás puebles de esta provincia que se lé unan con su acostumbrada fidelidad al Sr. D. Fernando vii: y la proclamó pública y generalmente el 19. de este mes^, depositando la suprema au­ toridad en el muy ilustre ayuntamiento de-esta capital y varios diputados q…</t>
  </si>
  <si>
    <t>404</t>
  </si>
  <si>
    <t>ros felices trabajos , y acaso lograremos la satisfaccion.de ver presidir en el destino glorioso de estos pueblos á nuestro muy amado soberano el Sr. D. Fernando víi. — Caracas 20 de abril de 1810. —José de las Lla­ mos as~ Martin Tovar Ponte. (1) No falta , no 'ha faltado nunca, esc centro. Vosotros lo sabéis, 1Mas aun qmin'…</t>
  </si>
  <si>
    <t>98</t>
  </si>
  <si>
    <t>iformar sus operaciones con las «.pe en él observa, por ser inffactorias del voto y juramento que solemnemente ha pres arlo a su le­ gítimo 'soberano D. Fernando vii, su dinastía y suprema Regencia de gobierno, que ha conceptuado y coneeptna legítima, obedeciéndola y respetándola á semejanza de los'demas cabildos v jumas prov…</t>
  </si>
  <si>
    <t>o Guillen y D. Joaquín Tuquet: y á cadetes á los guardias 1&gt;. Roque Torres, D. Francisco VaIdcs, D. Manuel Pardo y D. José Sierra. Ei rey nuestro Sr. D. Fernando víi, y en su } real nombre , el Con­ sejo de Regencia de España é Indias , se ha servido conferir la co-; manda acia del tercer batallón del regimiento de reales gua…</t>
  </si>
  <si>
    <t>o, y no hay voces sufi­ cientes para expresar el alborozo, ternura y entusiásíno con que todos los circunstantes juraron reconocer por réy al se­ ñor D. Fernando vi i , y los afectuosos vi vas del pueblo qué ocupaba la antesala, los corredores, el patio y la plaza deí real palacio, pidiendo que se le armase para sostener tan …</t>
  </si>
  <si>
    <t>las ciudades t 's se estableciese un* gobierno provincial, qual con­ venia á la integridad del territorio y conser'vaciqp, de los derechos del señor D. Fernando vil. Se hallaba ya junto el pueblo para tomar la resolución conveniente en negocio de tanta gra­ vedad, quando llegó á este puerto el bergantin Filipina con la agrada…</t>
  </si>
  <si>
    <t>624</t>
  </si>
  <si>
    <t>principios que respecto de dios rigen la opinión y conducta de los buenos españoles, y del gobierno legítimo que representa á nuestro monarca el Sr. D. Fernando vií. Dice así: A los habitarles de los pueblos invadidos por Jos enemigos. ctEL objeto en que con mayor empeño apuran nuestros'enemigos to­ das las artes de su fecund…</t>
  </si>
  <si>
    <t>FERNANDO</t>
  </si>
  <si>
    <t>ones para fomentar los zelos entre los europeos y los criollos, y para emplear toda clase de medios sin excepción , aunque sea el de tomar la voz del rey FERNANDO, y exagerar los senti­ mientos de fidelidad con tal que de qualquier manera que sea se logre el intento. Ay amente £9 de agosto. Con noticia que hubo de que en,</t>
  </si>
  <si>
    <t>fati­ ga, y á hablar del buen trato que reciben los que se pasan. CADIZ 10 DE SETIEMBRE. Se ha expedido el real decreto siguiente: El rey nuestro Sr. D. Fernando vi i , y en su real nombre eí Con­ sejo supremo de Regencia de España é Indias, atendiendo á la necesi­ dad y urgencia de establecer un tribunal de cuenta donde se e…</t>
  </si>
  <si>
    <t>1761</t>
  </si>
  <si>
    <t>que llegue a noticia de todos , y á fin de que le sirva de satisfac­ ción al mismo interesado. Respuesta de D. Benito Soler, cónsul de S. M. él señor D. Fernando vh en Smirnci, al pretendido encargado de negocios de España en Constantinopla D. Constantino I&gt;eval. cc Muy señor mió: amor y fidelidad constante á nuestro rey Don …</t>
  </si>
  <si>
    <t>654</t>
  </si>
  <si>
    <t>Isla de León nombró un Consejo supremo de Regencia, que gobernase la monarquía en nombre y representación de nuestro augusto y amado soberano el Sr. D. Fernando vii, instalado con universal rego­ cijo en 2 del mismo febrero. Este cuerpo, que tan acreditada tiene su inalterable fidelidad, su no­ ble patriotismo, su unión estre…</t>
  </si>
  <si>
    <t>mor propio .la decadencia de cuentran en. el Dosden con ti Dtsdtn de. D. Agustín sus triunfos y de su séquito. En la vejez « qué suerte las 1 Morcto. D. Fernando, que es el primer galan, enamora espera ? O la sola execucion de los papeles que í su á tpdaslas mugeres, sin querer á ninguna. Su conduc­ edad corresponden , ó el f…</t>
  </si>
  <si>
    <t>fusiles, pistólas , bayonetas, balas, y inu-* Leonor para tener la dicha de legrarla por esposa ; y Encuéntrame en esta comedia algunos diálogos hai* D. Fernando, siguiendo su natural inclinación , y no tante felices. La fluidez del leñguage podrán conocer­ ha.¡e.ido gran caso de las obligaciones que ia amistad la los que no …</t>
  </si>
  <si>
    <t>sta le exponga francamen­ te lo que considere que debe execurar. Las incertidumbres acerca de la representación legitima del poder so­ berano del Sr. D. Fernando vit, causaron la discusión publica que se tu­ vo en esta ciudad con expreso permiso del gobierno; y su resultado fué subrogar el mando del señor virey en esta junta,…</t>
  </si>
  <si>
    <t>rcunstancias extraordinarias , y necesidad de consolidar estos dominios con los demas que reconocían la soberanía de nuestro au­ gusto monarca el Sr. D. Fernando vii. Acercándonos mas á la cuestión del dia , vemos que el Excmo. Sr: D. Baltasar Hidalgo de Cisneros recibió gazetas en que se comunicaba el Consejo de Regencia eri…</t>
  </si>
  <si>
    <t>ro quando se dirigen á la unión impenetrable de las provincias baxo un legitimo y sabio Gobierno en representación de nu siró augusto Soberano el Sr. D. Fernando vii, le­ jos de temer un arbitrio de seducción, debemos oir en ellos la voz Ilus­ trada de la nación, que baxo unos principios sólidos y estables conduce Muestra ace…</t>
  </si>
  <si>
    <t>741</t>
  </si>
  <si>
    <t>ito»,á felicitar á S. M., seguro de que las tropas que tengo el honor de mandar, de­ sean de todos modos manifestar su patriotismo y amor á nues­ tro Rey FERNANDO , cuyos derechos debemos defender, y de­ fenderemos hasta derramar la última gota demuestra sangre.— Renazca la esperanza de la salvación de la patria, que segu­ ra…</t>
  </si>
  <si>
    <t>nstancia y fidelidad ele la nuestra, que ni aun en sus mayores apuros conoce ni qu»ere reconocer á otro rey, que a su cautivo y amado soberano e) Sr. D. Fernando vi i de Borbon.</t>
  </si>
  <si>
    <t>793</t>
  </si>
  <si>
    <t>bernativa deí reynb ha trasmitido á ese Con­ sejo de Regencia el poder soberano con que gobernaba el re7110 en nombre de nuestro amado monarca ei Sr. D. Fernando vir, y que instalado en 31 del propio, tomo las riendas del gobier­ no para promover con el mayor acierto la felicidad de los pue­ blos que se le han confiado , y op…</t>
  </si>
  <si>
    <t>ura propio de la parroquia de Moclinejó.7' villa déCoin, vacante-por muerte de D. Rodrigo ■ Para otro vacante en la- misma &amp; D. Francisco Peralta , á D. Fernando; Romero Barca.Maldonado , cora de la Torre del Mar. Nuestro ministro interino de Negocios eclesiás­ Para otro; de la misma,'vacante por muerte de ticos? queda encarg…</t>
  </si>
  <si>
    <t>hacerlo así, que lo remitan á disposición de Belliard, porque semejantes gentes son tan enemigos y mas de los que defienden la justa causa del señor D. Fernando vil, como de los que siguen la de José. Del 8. El 6 por la noche se supo que el convoy francés que salió de aquí para Andalucía el 18 del pasado, y aun per­ manecía e…</t>
  </si>
  <si>
    <t>e riego, en el pa­ Siete marjalcs.de riego, en el go de Pontil, linde con la ace­ Mascuñar, linde con D. Ma­ quia del pueblo y D. Anto­ teo Anguita y D. Fernando nio Ariza, arrendados á Sal­ Perez , arrendados á Josef E*vador Mundo en.......... ......... 120 144® paña en.................................... IXO 1329 Cinco marj…</t>
  </si>
  <si>
    <t>egencia. —Dios guarde á V. E. muchos años. Quartel general de Castillejos 15 de octubre de 1810. — Ex ciño. Sr. — Francisco de Copons y Navia CORTES. D. Fernando vii , por Iá gracia de Dios rey de España y de las In­ dias , y en su ausencia y cautividad el Consejo de Regencia autorizad© interinamente , á todos los que las pre…</t>
  </si>
  <si>
    <t>eneral de arti­ ge del conde de Gottorp y de sus proyectos; y llería. como estos se dirigen contra la Suecia , se cree que Anteayer fue presentado el príncipe Fernando se suspenderá el pago de la pensión que el reino le de Wurtemberg, como comandante general del habia concedido. Austria, al consejó supremo de Guerra y 4 la gu…</t>
  </si>
  <si>
    <t>889</t>
  </si>
  <si>
    <t>l precede el siguiente oficio. ¿,M. P. S. — Si todas las ciudades de este vasto continente deben ma­ nifestar su lealtad á nuestro amado rey y Señor .D. Fernando vii (que Dios guarde), ¿ quánto mas obligado lo estará Tiascaía, que como la primera de ellas ha sido con frecuencia regraciada por la piedad de nues­ tros soberanos…</t>
  </si>
  <si>
    <t>ad y obediencia al soberano Consejo de Regencia de España c Indias, en representación de la augusta real persona de nues­ tro muy amado monarca y Sr. D. Fernando vii de borbon el católico. “Señor gobernador presidente.—Nu ha olvidado ni olvidará jamas Táscala el feliz dia 23 de setiembre de 15eri que dando á todo el orbe evid…</t>
  </si>
  <si>
    <t>1409</t>
  </si>
  <si>
    <t>ido suprimidas las al­ echados enteramente del territorio de los servios. querías inglesas que h.ibia antes en este pais , se Se asegura que S. A. el príncipe Fernando de haiLn en la actualidad sin uso muchos instrumen­ Wurtemberg , comandante de esta capital , se ca­ tos de agricultura que se habían traído de Ingla­ sará con…</t>
  </si>
  <si>
    <t>llegue a notic ia de codos», y sirva de satisfacción á los contribuyentes. ' ; ' ' ^ !—-——IllL-— ________________ _____ í ' ■ - ■ / ' / /'‘CORTES. . D. Fernando vti por la gracia de Dios, rey de España y de las Indias; y en su ausencia y cautividad ei Consejo de Regencia, autorizado interinamente, á todos los que las pre­ sen…</t>
  </si>
  <si>
    <t>Regencia á D. Gabdel C.scar, secretario que era de estado y del despacho ae marina ; ha venido el C onsejo de Regencia en nombre del rey nuestro Sr. D. Fernando vrr. en habilitar para la firma y despacho de los negocios de la sec-eraría de marica á D. 3 sé Vázquez Figueroa , oficial mayor dé la nfsma secre?ada. Tendreislo ent…</t>
  </si>
  <si>
    <t>pa­ do ; expresando que no debe entrar jamas en él como enemi­ go , ni salir del portugués, sin ser requerido por los gefes es­ tablecidos por el Sr. D. FERNANDO vil, para evitar qualqirera guerra civil ó desordenes contra la autoridad legitima. El ministro de España ha dirigido ccpia de esta orden ala real audienciíi de Buen…</t>
  </si>
  <si>
    <t>armas, dinero, tropas y navios desde el primer momento en que las provincias levantaron el grito de la independencia y de la fidelidad á su legítimo Rey Fernando vii, vilmente engañado, atropellado y preso por el usurpador del trono de la Francia., Napoleón Bonaparte.*, decretan que se erija un monumento público a Jorge iii e…</t>
  </si>
  <si>
    <t>mas hasta haber-asegurado su independencia, la integridad absoluta de la monarquía en ambos mundos, sin la mas mínima desmembración, y recohiado á su rey Fernando vii, obrando siempre de acuerdo y con la mas perfecta unión con el rey de la Gran-Bretaña, en conformidad de la estrecha amistad, perfecta é indisoluble alianza sol…</t>
  </si>
  <si>
    <t>nLa Reina saldrá el íúnes próximo para Eíto- tonadas en la Austria superior. ................. ckolmo, y el Reí partirá definitivamente el martes. El príncipe Fernando^. germano de S. M. la SS. MM. qnieren hallarse en la capital para quan- Emperatriz de los franceses, ha acompañado al do llegue el Príncipe heredero. Xa 'dieta…</t>
  </si>
  <si>
    <t>emperador Napoleón; y para corresponder á este aviso, es noticio que mañana 14 cumple años el bien deseado augusto monarca de España é Indias el Sr. D. FERNANDO vil ( que Dios guárde), y portal habrá es­ te dia entre otros regocijos salva triple.—La inseparable com­ pañera del verdadero y noble valor, es la humanidad. Soy es­…</t>
  </si>
  <si>
    <t>Fernando, Don</t>
  </si>
  <si>
    <t>Don Fernando</t>
  </si>
  <si>
    <t>mirnci, al pretendido encargado de negocios de España en Constantinopla D. Constantino I&gt;eval. cc Muy señor mió: amor y fidelidad constante á nuestro rey Don Fernando vii (que Dios guarde ) , al gobierno que lo representa y á la patria hasta sacrificar la vida en sa defensa, son los sentimientos</t>
  </si>
  <si>
    <t>Fernando, Josef</t>
  </si>
  <si>
    <t>Josef Fernando</t>
  </si>
  <si>
    <t>aliados, lejos de ayu­ especialmente de táctica y subordinación.=Firma­ dar, se retirabaa: combine vmd. estas cosas : todo do =sLa condesa du V.**= A D. Josef Fernando*. esto» la poca actividad que observo» la debilidad Valencia.*’ del gobierno, y las ocurrencias de América, me ha­ „Mi querido Luis: seguimos buenos» aunqoe ce…</t>
  </si>
  <si>
    <t>Ferran, José María</t>
  </si>
  <si>
    <t>José María Ferran</t>
  </si>
  <si>
    <t>stillo , quedando la trinchera enteramente des­ truida. Por nuestra parte hubo en esta ocasión 7 muertos y 15 heridos, incluso el teniente de Tortosa D. José María Ferran que lo está de gravedad : la pérdida de los enemigos no baxa de 140 hombres. Distinguiéronse en esta ocasión los tiradores de Doyle y el teniente coronel D.…</t>
  </si>
  <si>
    <t>Ferraniiz, Carlos</t>
  </si>
  <si>
    <t>Carlos Ferraniiz</t>
  </si>
  <si>
    <t>, y perfección de estilo en la execulos Supino y D. Luis Perez; á tenientes á los sub­ cíod , tales son las principales prendas tjue lo ca­ tenientes D. Carlos Ferraniiz, D. Mariano Villa- racterizan. El que publicase un pouna que las nueva, D. Joaquín Fuentes y D. Antonio Rusi, reuniese todas, llamaría con tanta fuerza la at…</t>
  </si>
  <si>
    <t>Ferre, Juan</t>
  </si>
  <si>
    <t>Juan Ferre</t>
  </si>
  <si>
    <t>Juez á D. Antonio de la Parra, alcalde del nio Aidama á juez en el tribunal criminal extraor­ crimen en Granada. dinario de Xerez de Ik Frontera , á D. Juan Ferre2.0 A D. Mariano La-Fnente, alcalde en el ra, teniente de asistente cd Utrera: para la alcal­ mismo tribunal. día mayor de Xerez de la Frontera, vacante por 3.0 A D.…</t>
  </si>
  <si>
    <t>Ferrer, Antonio</t>
  </si>
  <si>
    <t>Antonio Ferrer</t>
  </si>
  <si>
    <t>rés Martínez y D. Antonio Valderas ; y subte­ nencias , á D. José Perez , D. Jorge Bertolld , D. José Fernandez, D. Miguel Henriquez , D. Blas Marín, D. Antonio Ferrer, D. Agustín Escobar . D. Miguel Federico, D. Francisco Blanco , D. Bartc lomé Blanco D. Joaquin Gómez, D. José Flaquer, D. Lean­ dro Rubira , D. José Velasco, …</t>
  </si>
  <si>
    <t>Ferrer, Juan Manuel</t>
  </si>
  <si>
    <t>Juan Manuel Ferrer</t>
  </si>
  <si>
    <t>24 L Calderón, alministrador de tabacos y correos del pueblo de ia Burea, i®. D. Juan Manuel Ferrer, vecino de Sombrerete, l®. Ei marques de S Miguel de Aguayo , y la condesa de S. P^dro del Alamo, 2© por mitad; ofi ece adornas dicho marques las ren­ tas liquidas de sus mayorazgos de Nava</t>
  </si>
  <si>
    <t>s y. arbitrios, 200. El contador de la real lotería, su muger , hijos y .domésticos, 130. El gefe y depen­ dientes de Ja contaduría de retazos , 276. D. Juan Manuel Ferrer* colector de la lotería en Sombrerete, 100. La provincia de Agustinos de Mechcacan , 10,000. Varios vecinos de la ciudad de la Puebla y sus inmediacio­ nes…</t>
  </si>
  <si>
    <t>Ferrer, Raymumio</t>
  </si>
  <si>
    <t>Raymumio Ferrer</t>
  </si>
  <si>
    <t>dias españolas , que se con­ sidera va ¿ante por hallarse nombrado gobernador interino de Tortcsa el brigadier conde de Alacha, al de la propia clase D. Raymumio Ferrer, capitán de granaderos del mismo cuerpo; y esta resulta al agrega­ do £&gt;. José ig nació Gómez de Teran. Asimismo se ha servido S. M. conferir en el prepio cue…</t>
  </si>
  <si>
    <t>Ferrer, Raymundo</t>
  </si>
  <si>
    <t>Raymundo Ferrer</t>
  </si>
  <si>
    <t>as espa­ ñolas , que se considera vacante por hallarse nombrado gobernador in­ terino de Tortoti el brigadier conde de Alacha , al de la propia clase D. Raymundo Ferrer, cápitan de granaderos del mismo cuerpo $ y, esta resulta al agregado D. José Ignacio Gómez de Tersn. # . • fin atención á los servicios y méritos de D. Franc…</t>
  </si>
  <si>
    <t>Ferrer, Vicente</t>
  </si>
  <si>
    <t>Vicente Ferrer</t>
  </si>
  <si>
    <t>Josef Mayora. D. Esteban Bains. D. Modesto faLcios. Tenientes. D. Juan Paredes. D. Agustín Ugarte. D............................... D. Antonio Arias. D. Vicente Ferrer. D. F rancisco Sagasta. D. Mariano de la Cuesta. Batallón del quartel de S. Gerónimo. D. Zacarías Camant. D. Manuel Saez de Prado. Capitanes. D. Vicente Romero…</t>
  </si>
  <si>
    <t>Ferrero, Pedro</t>
  </si>
  <si>
    <t>Pedro Ferrero</t>
  </si>
  <si>
    <t>iquez y Don Ambrosio de Alcosta á tenientes. AVISOS. En las compañías de cazadores de montaña de Todas las personas que diesen memoriales á , Xucena, D. Pedro Ferrero á ayudante: D. Josef S. M. sobre asuntos pertenecientes al ministerio de - Barrilado á teniente; y D. Juan del Marmol á sub- Policía general, sabrán su resoluci…</t>
  </si>
  <si>
    <t>Ferriere</t>
  </si>
  <si>
    <t>de Negocios mente por milagro. extraogeros. También se dice* que el general TarLas mercancías inglesas, que no necesitamos, rere, edecán del Reí, el general Ferriere, y el se­ están sobrantes; pero al mismo tiempo estamos ra­ cretario Intimo el señor Henri, han sido nombrabiando de hambre. Este es un nuevo azote que des­ brad…</t>
  </si>
  <si>
    <t>Ferriol, Ignacia</t>
  </si>
  <si>
    <t>Ignacia Ferriol</t>
  </si>
  <si>
    <t>. 11147‘19 Doña Feliciana Barra...;............... 864 Doña Francisca de Ocaña.........i...... 5825)27 Doña Claudia Antuñano............... 13.56- 41 Doña Ignacia Ferriol........................... . 1084 14 Doña María Manuela Ortiz de Azurin. 5168 26 D. Estéban de la Torre............... . • 4837" D. Lorenzo de Palacio y Gor…</t>
  </si>
  <si>
    <t>Fersen</t>
  </si>
  <si>
    <t>l resultado de esta victoria ha sido el junio ultimo no ha habido ningún muerto entre los restablecer las comunicaciones con ios servias. criados del conde Fersen ni de la condesa Piper; Créese que el plan de los rusos es doblar la po­ y que de quatrO semanas á esta parte no ha habi­ sición del monte Hemus, pasando por una es…</t>
  </si>
  <si>
    <t>e consiguiente á qúallos que descubran i los autores del motiu de 20. quiera de nuestros súbditos que quisiese cooservar de junio y deí asesinato del conde Fersen, y mantener semejantes relaciones, se le confitcariaa Una parte dé nuestra esquadrilla se ha reunido sus mercancías: previendo el caso en que por con­ cerca de Soed…</t>
  </si>
  <si>
    <t>Fersen, Áxel</t>
  </si>
  <si>
    <t>Áxel Fersen</t>
  </si>
  <si>
    <t>co, es decir, 1250 millones de francos. Los ha publicado _en un suplemento muchas cartas del otros impuestos darán otro tanto ; de suerte que difunto conde Áxel Fersen al Reí Gustavo Adolfo, el estado sacará por este, medio 13; mi i iones de flo­ escritas quando acompañaba á esté Príncipe por la rines. No entra en este cálcul…</t>
  </si>
  <si>
    <t>Feruandezi, Rafael</t>
  </si>
  <si>
    <t>Rafael Feruandezi</t>
  </si>
  <si>
    <t>planda, 81131; deGefle,ó la Gestrícia , 85260; cano descalzo D. Juan de Navas. ■ &lt; de Jabinn, ó la Dalecatlia , 122624; de HernoPara la de Alcaucin á D. Rafael Feruandezi sand , qne comprehende la Angermania , él Mede!ex-franciscano observante. ad y lalemtia, 84500; de Ornea, que comprePara la de Alfarnare y Alfaruatejo á D. …</t>
  </si>
  <si>
    <t>Fesch</t>
  </si>
  <si>
    <t>de se hallaban también otros dos de sus reyes.esclavos, á saber el de VVurtemberg y el de Saxonia, recibió los houienages mas sacrilegos de su tío el cardenal Fesch y demas individuos del clero y adictos ya servilmente á su corte. Después de esta farsa re­ ligiosa, pasó al cuerpo legislativo, y pronunció en. medio de'aquel cu…</t>
  </si>
  <si>
    <t>s del Imperio el que el sacerdocio esté unido á la soberanía temporal, y así daba por nulo la determinación que el principe Primado había hecho en el cardenal Fesch nombrándole por succesor suyo. Pero en con­ sideración de los grandes servicios hechos k la Francia por el príncipe Primado , quería que continuase en el dominio …</t>
  </si>
  <si>
    <t>Gaceta de Madrid n.º 268</t>
  </si>
  <si>
    <t>o mas cruel y directo S. M. la Emperatriz, acompañada de las damas de del linage humano: el que sus síntomas, trámites su servidumbre , á S. Erna, el cardenal Fesch , l¡— y crisis difieren especialmente de las demas enfer­ . tnosnero mayor del Emperador , y secretario gene­ medades , y también los medios que se emplean ral de…</t>
  </si>
  <si>
    <t>Ffexalde, Plácido</t>
  </si>
  <si>
    <t>Plácido Ffexalde</t>
  </si>
  <si>
    <t>os. D Vicente Per^ti. Tenientes. D. Gregorio Simón de Diego. D. Ramón Vartureu. D Macuel Alevio. D. Diego Castro. D. Juan Lecanda. • D. Josef Casalc. D. Plácido Ffexalde. D. Ramón Pando. D. Cj i*o Garc.a. D. Tomas García Domínguez. D Nicolás Herencia. Batallón del quartel de S. Martin. D. Gervasio Fernandez Izquierdo. Capitan…</t>
  </si>
  <si>
    <t>Ffrnaneo</t>
  </si>
  <si>
    <t>DECISION. Buenos-Ayres 8 de junio de 1810. Estando sobradamente asegurados los derechos d&amp; la autoridad que exerza la representación soberana del Sr. D. Ffrnaneo vii nuestro au­ gusto monarca, por el juramento que esta junta prestó al tiempo de su instalación, de obedecer á la representación soberana que existiese le­ gítimam…</t>
  </si>
  <si>
    <t>Fiacre</t>
  </si>
  <si>
    <t>e. radores de nnestra guardia real. Fienri (D. Josef) , cabo de granaderos de nuestra Bardiiloo ( D. Pedro), granadero, ídem. guardia lea i. Baudri ( D. Fiacre), sargento de tirador**, ídem. Fúurnitr (D. Francisco), granadero, idem. Baznier ( D. Daniel) , .capitán de caballería ligera, Fuente Obrares (marques de), alguacil ma…</t>
  </si>
  <si>
    <t>Fian</t>
  </si>
  <si>
    <t>ger tériiértéá. fin e! regimiento de Castilla , i.°dt tudes; y para la facilidad en tas contestaciones se infantería ligera, i tí. Vicente-Jaques y á D Fian- presentará ana esquela.con el nombre del interesa­ Cisco Meaddia ten tea tes. Etícl 4.0 regimiento de do, é indicación de ia-solicitud. iio produxo efecto-ninguno saluda…</t>
  </si>
  <si>
    <t>FidaRo, Joaquín Francisco</t>
  </si>
  <si>
    <t>Joaquín Francisco FidaRo</t>
  </si>
  <si>
    <t>de D. Jorge Joan sobre la fábri­ obra tan importante á los capitanes de fragata Don ca y uso del quarto de círculo, tanto mas apreciaCosme Churruca y D. Joaquín Francisco FidaRo, ble para los astrónomos y marinos, qnanto es útil ' con arreglo al plan é instrucción que detalladamen­ y frecuente la aplicación y uso de-este inst…</t>
  </si>
  <si>
    <t>Fierra, José</t>
  </si>
  <si>
    <t>José Fierra</t>
  </si>
  <si>
    <t>Todos los oficiales y tropa que se hallaban á mis órdenes, inclusas las partidas del regimiento de la Rey­ na , mandada la primera por el subteniente D. José Fierra, y D. Joaquín Aiarran , teniente de Imperiales de Toledo , acreditaron también su espí­ ritu y serenidad, como igualmente los ayudantes de V. S., los capitanes D.…</t>
  </si>
  <si>
    <t>Fifi</t>
  </si>
  <si>
    <t>del enemigo en estos movimientos , causándole bastante daño.— E te destacamehtó dé tropas enemigas sé compone de las que salieron dé Portugal éoii el general Fifi.r , él qual siguió para París; de las pertenecientes á los tres cuerpos del exércitó dé Porfitgát</t>
  </si>
  <si>
    <t>Figueroa, Antonio</t>
  </si>
  <si>
    <t>Antonio Figueroa</t>
  </si>
  <si>
    <t>Francisco Muñoz Belerma , y para sub­ Nota. Mañana viernes á las quatro y media en el referido teatro se executará la comedia en tres acto* teniente D. Antonio Figueroa. titulada El mayor valor del mundo poruña muger ven­ Para capitán de la tercera compañía á D. Ro­ cido, Sansón, con todas sus decoraciones y ruina del drigo d…</t>
  </si>
  <si>
    <t>Figueroa, Lázaro</t>
  </si>
  <si>
    <t>Lázaro Figueroa</t>
  </si>
  <si>
    <t>quín Sojo. D. Antonio de Uribarri. Nuestros ministros de lo Interior y de la Guer­ D. Josef Binuesa. ra quedan encargados de la execucion de este de­ D. Lázaro Figueroa. creto. = Firmado — YO EL REI. = Por S. M. su D. Vi cente Delgado Sedeño. ministro secretario de Estados Firmado Mariano D. Antonio Sancha. Luis de Urquijo.” …</t>
  </si>
  <si>
    <t>Finkensteim</t>
  </si>
  <si>
    <t>a. S. M. el Emperador de Rusia. El barón de Schlottheim, embaxador y minis­ BA VIERA. tro plenipotenciario deWestfalia, presentó el 3 las suyas, y el conde Finkensteim tuvo sn audiencia Inspruck 3 de noviembre. de despedida; y en seguida el barón de Humboldr, El dia i.° de este raes han sido secuestradas ed ministro de Estado…</t>
  </si>
  <si>
    <t>Fino</t>
  </si>
  <si>
    <t>en que vive. Dicen también que habien­ tras comedias originales modernas___ Y dígame vmd., do en España tantos D. Claudios, deben los poetas sa­ Sr. D. Fino , y : las antiguas : :No sabe vmd. que pue­ carlos á relucir, para que no haya quien desee imitar­ de haber finura y urbanidad en las comedias, aunque ha­ los. Dicen tamb…</t>
  </si>
  <si>
    <t>Fiorez, Juan Nepomuceno</t>
  </si>
  <si>
    <t>Juan Nepomuceno Fiorez</t>
  </si>
  <si>
    <t>partido, 219 y un real. D. Francisco Ccrvcra, 50. I). José Vicente María de Paz y Mendoza, 100, y 500 anualmente. Su ahijado D. Juan Nepomuceno, 100. D. Juan Nepomuceno Fiorez , te­ niente retirado, 36. El vecindario de los pueblos de Tacotalpa y Xalapa, de Tabasco , 534 y 4 rs. El vecindario de los pueblos de Cundoacah , Mac…</t>
  </si>
  <si>
    <t>Fíosler</t>
  </si>
  <si>
    <t>e ayer á la* y de la sorero Stokan, de Schaffnousa; al consejero _de Es­ mañana al palacio de Herrenháusen, y ayer al tado-Morell , de Turgovia; y al consejero Fíosler, medio día hicieron so entrada solemne en esta cío-' de Zurich. dad. SS. MM. se apearon en el palacio real; y el Reí-* habiéndose presentado en el salón del tr…</t>
  </si>
  <si>
    <t>Firmadi, Ramón de Ar</t>
  </si>
  <si>
    <t>Ramón de Ar Firmadi</t>
  </si>
  <si>
    <t>o de la Guerra queda ría Pardo , D. Joaquín Moralez , D. Juan Marques encargado de la execucion del presente.decreto.s: Barroso, D. Candido González, D. Ramón de Ar­ Firmadi.= YO EL REl. = Por S. ,M. su ministro ce, D. Antonio Rniz, D. Antonio Meneses, Don secretario de Estado Mariano Luis de Urquijo.” Jotef Cepeda, D. Cayeta…</t>
  </si>
  <si>
    <t>Fischer</t>
  </si>
  <si>
    <t>precipitadamente de resultas de un ataque súbito y vigo­ roso hecho sobre su flanco por el segundo batallón de infante­ ría ligera á las órdenes del teniente coronel Fischer.— Ha­ biendo observado el mayor general Campbell esta irresolución, avanzó con el regimiento 21 y el tercero de alemanes á U pla­ ya, y consigo iócortar …</t>
  </si>
  <si>
    <t>Fischert</t>
  </si>
  <si>
    <t>pital el día 28 acompañado del general Fischert. dos de la corte han asistido á esta ceremonia, en S. A. rovo una audiencia de S. M. inmediatamen­ la qual se han hallado también presentes casi todas te que llegó. Dentro de pocos dias lle</t>
  </si>
  <si>
    <t>Fita, José</t>
  </si>
  <si>
    <t>José Fita</t>
  </si>
  <si>
    <t>arlo, igualmente que las for­ nituras y demab ? Ofrézcanos vmd. á S. E. y mande k su afectísimo amigo y compañero. — Juan Agustín Ezterripa,. — Señor D. José Fita, xefe de división del ministerio de lá secretaría de estado. Para que ninguna persona pueda dudar de la autenticidad áe estos documentos, el comandante general ha t…</t>
  </si>
  <si>
    <t>Fitscher</t>
  </si>
  <si>
    <t>aiatowski, ministro de la Guer­ llegado á la edad de 160 años cumplidos. ra, y general en geie dei exército polaco, pasó ayer por aquí acompañado del general Fitscher, y SUECIA. se dirigen á Dresde. Estockolmo r&lt;5~ de febrero. VALAQUIA. El regimiento de Engelhrechten sale hoi para Pucharest 23 de enero. Ipsal, de donde se dir…</t>
  </si>
  <si>
    <t>Flaquer, José</t>
  </si>
  <si>
    <t>José Flaquer</t>
  </si>
  <si>
    <t>l Henriquez , D. Blas Marín, D. Antonio Ferrer, D. Agustín Escobar . D. Miguel Federico, D. Francisco Blanco , D. Bartc lomé Blanco D. Joaquin Gómez, D. José Flaquer, D. Lean­ dro Rubira , D. José Velasco, D. Joaquín Velasco, D. Caytt no Vico, D. Manuel Aranda , D. Antonio Sánchez Navarro , D. José Ocaña, y D. Miguel Larraz. …</t>
  </si>
  <si>
    <t>Flclcher</t>
  </si>
  <si>
    <t>uedes estaba, dispuésto. á traer al enemigo á un punto, y obligarlo á retirarse, si ruque se aventurase nada en el ataque; debo, haciendo justicia al teniente coronel Flclcher y k la ofi­ cialidad de los reales ingenieros, llamar ia atención de V. E. sobre la pericia y diligencia con que fortificaron dichas posi­ ciones de ta…</t>
  </si>
  <si>
    <t>Flebraa, Antonio</t>
  </si>
  <si>
    <t>Antonio Flebraa</t>
  </si>
  <si>
    <t>............................................ D. Felipe la Torre. D. Felipe Colmenares. .............................................................. D. Antonio Flebraa. ..... D. Ramón Fernandez de Quiroga........................................ D. Manuel Gomes. J.‘.......... .......................... ................. . D. …</t>
  </si>
  <si>
    <t>Fleming</t>
  </si>
  <si>
    <t>diendo al mismo tiempo al prime­ ro la subinspeccion del departamento de Lima. Antes de ayer fondeó en este puerto el navio de guerra ingles huirte 9 capitán Fleming , que conduce de Veracruz y la Habana para el rey y pe. rt i cala res 3 65,0*64^ ps. ís., 3® fusiles, 450 quintales de pólvo­ ra , 632 ^ id. de balas de fusil, 6…</t>
  </si>
  <si>
    <t>Fletvher</t>
  </si>
  <si>
    <t>ro no creo que pueda ni. tenga en su ma­ no traer contra rio- r ír s tales fuerzas, que puedan hacer du­ dosa la contienda. Debemos estas ventajas al teniente coronel Fletvher y á la oficialidad del real cuerpo de ingenieros , en­ tre los quales debo en particular mencionar ai capitán Chap­ ina n , que tiene coníraidos otros …</t>
  </si>
  <si>
    <t>Fleuriot, Rafael</t>
  </si>
  <si>
    <t>Rafael Fleuriot</t>
  </si>
  <si>
    <t>mingo Prieto. “•••i D. Pedro Soler. D. Fermín Lumbreras. Batallón del quartel de Maravillas. D. Josef Osteret. D. Manuel Zavala Espetillo. Capitanes. D. Rafael Fleuriot. D. Francisco Xavier Berindoaga. D. Benito Angulo. D. Juan Oden y Meneses. D. Antonio San Germán. D. Juan Puente. D. Manuel Carranza. D. Jnan Verdes Montenegr…</t>
  </si>
  <si>
    <t>.................... 0 Josef Agustín Míret. D. Juan Cutáneo de la Cruz......................................................... D. Bartolomé Torrado. D. Rafael Fleuriot.............................................................................................................................. Sexto batallón. Para ayudante pr…</t>
  </si>
  <si>
    <t>Florentino</t>
  </si>
  <si>
    <t>cc De Bilbao. V. E. su mas atento seguro servidor = WelliogVitoria ( D. Ramón Policarpo). ton. = A la junta suprema de la provincia de Ex­ Zarachaga (D. Florentino), intendente de Ciudad tremadura.” Real. art. it. Nuestros gran canciller y gran teso­ Si después de tantas pruebas como haa dado rero de la Orden quedan encargado…</t>
  </si>
  <si>
    <t>Flores, Francisco</t>
  </si>
  <si>
    <t>Francisco Flores</t>
  </si>
  <si>
    <t>EL marques dei Valle de la Paloma. D. Mariano Mari. D. Estéban Corones Alberola. D. Joaquín Manuel de Villalba. Tenientes. D. Juan Manuel Valenzuela. D. Francisco Flores. D. Josef Antonio Rivas. D. Ramón Fernandez. D. Manuel Duro. D. Manuel Andrés. D. Francisco Lefebre Daraur. D. Juan de S. Juan. D. Josef Aleson. D. Matías Ló…</t>
  </si>
  <si>
    <t>Flores, Joan de la Cruz</t>
  </si>
  <si>
    <t>Joan de la Cruz Flores</t>
  </si>
  <si>
    <t>x-mínimo. genios tutelares de las ciencias exáctas, Mrs. LaPara la de Vilíanueva, Mesía y Moraleda á grange y Laplace, descender desde las mas subli­ D. Joan de la Cruz Flores, de la misma órden. mes investigaciones sobre el sistema del mundo i Para la de Lanxal al ex-franciscano descalzo explicar tas verdades elementales de …</t>
  </si>
  <si>
    <t>Flores, Juan Ncpomuceno</t>
  </si>
  <si>
    <t>Juan Ncpomuceno Flores</t>
  </si>
  <si>
    <t>rs. Va­ rios vecinos de los pueblos y haciendas de ia jurisdicción de Acapulco, lili y 2 rs. y medio. D. Juan de Ara zaga , 100. El teniente retirado D. Juan Ncpomuceno Flores , 88. El Dr. D. Pedro Puglia, 50. D. José. Antonio Carbajal , tesorero interino de Veracruz , su esposa , hijos y cria­ dos , 250. D. José Antonio Esco…</t>
  </si>
  <si>
    <t>Flores, Leonardo</t>
  </si>
  <si>
    <t>Leonardo Flores</t>
  </si>
  <si>
    <t>. Mariano Garvizo, 12. D. Cayetano López, 25. D. Juan Ba.rrera, 200. Don Tomas del Campo, 25. Don Juan Ventura Ga~ ray, ro. Varios pobres, 25 y 4 rs. D. Leonardo Flores, 20, D. Pedro Rábago 24 y 4 rs. D. Juan Femando Ceballos, 40. D. José Antonio Lorina, 50. D. Manuel Orendain, 25c D. Cirios de Arriaga, 100. Don Francisco Ant…</t>
  </si>
  <si>
    <t>Flores, Miguel</t>
  </si>
  <si>
    <t>Miguel Flores</t>
  </si>
  <si>
    <t>pe Neri, 10. D. Ignacio García Saenz , ademas de servir sin sueldo como espitan del regimiento provincial de infantería de Toluca, 10 El pres­ bítero D. Miguel Flores , vecino de Poto í , 10. D. Mariano de Zúñiga y O n tiveros, 10. El capitán de milicias sueltas D. Fran­ cisco Servando Muñoz , ademas de ceder sus sueldos , 10…</t>
  </si>
  <si>
    <t>Floristas</t>
  </si>
  <si>
    <t>ica, náutica Ico. Fabricantes de mantas y colchas, con un solo teiar. Fabricantes de pez y cola, Fabricantes de tirantes. Figoneros, - 300 240 180 60 d Floristas. Guanteros. Limoneros. Ma^tros texedores de paños, con un sojo telah Mo/neroi. Ncnarios y escribanos de diligencias. Notarios de los reinos. Panaderos. Plumistas. Pr…</t>
  </si>
  <si>
    <t>Flotafcs, Ignacio</t>
  </si>
  <si>
    <t>Ignacio Flotafcs</t>
  </si>
  <si>
    <t>e cadáveres. Por nuestra parte hubo 6 muertos, incluso el teniente de granaderos provinciales I&gt;. Tomas Fer­ nandez , y algunos heridos , entre ellos D. Ignacio Flotafcs, subteniente del propio cuerpo, y D. Juan Palacios,‘teniente de Granada. i __ ^ Madrid 18 de julio. — El domingo 8 dél corriente hizo •él gobernador Belliard…</t>
  </si>
  <si>
    <t>Fnmel, Josef</t>
  </si>
  <si>
    <t>Josef Fnmel</t>
  </si>
  <si>
    <t>Strasborgo quando pasó por allí S. M. la Em­ Subteniente, D. Estéban Tomé. peratriz. Batallón del quartel de. Afligidos. París i.° de mayo. Capitán, D. Josef Fnmel. Uno de nuestros periódicos dice que Mr. Mac­ Teniente, D. Pedro Real. ícenle, enviado de S. M. británica , y Mr. Williams Subteniente, D. Manuel Zavala. Ki‘ton , …</t>
  </si>
  <si>
    <t>Foirest, Juan Jacobo</t>
  </si>
  <si>
    <t>Juan Jacobo Foirest</t>
  </si>
  <si>
    <t>, sindicada ya por varios de no to M aria de Siria gobernador político y militar poder sostener una competencia con la antigüedad, de dicha ciudad; á D. Juan Jacobo Foirest coman­ fue precisamente por haberse dedicado á leer , no­ dante del 2.a esquadron del regimiento núm. i.° de tar é imitar ias piezas maestras que esta nos…</t>
  </si>
  <si>
    <t>Fon, Femando</t>
  </si>
  <si>
    <t>Femando Fon</t>
  </si>
  <si>
    <t>.. -40 *4 como mari io de Doña Josefa Ra­ D Antonio Dimingo Poi.ier............... 5 2'6 ij pos ■"&gt; y Panlagua................................. 19845 D. Femando Fon!.................................. 4~- e D. Mi gu-4 de Lizarjzu........................... 4-95^ D. Joaquin l: z 32136 216so Doña Vicenta García Bravo............…</t>
  </si>
  <si>
    <t>Fonds, Antonio</t>
  </si>
  <si>
    <t>Antonio Fonds</t>
  </si>
  <si>
    <t>istro secretario de Estado Doña Antonia Quadrado................ 2000 Mariano Luis de Urquijo.” D. Pedro del Rio........................... 140443 28 D. Antonio Fonds............. ................ 4002 25 Madrid 12 de febrero. Doña Xaviera Yoldi....... .................. i6r86 Ti. Diego del Riw............... ............... …</t>
  </si>
  <si>
    <t>Fonseca, Fernando</t>
  </si>
  <si>
    <t>Fernando Fonseca</t>
  </si>
  <si>
    <t>esta clase han recibido á las Por el clero: D. Vicenta Bernardo efe Qnirós, tropas francesas como i amigos que iban á resti­ abad de la colegiata , y D. Fernando Fonseca, ca­ tuirles *t sosiego y la seguridad. A mería y Uxíjar nónigo de la misma. han enviado ya diputaciones para ofrecer á Jos pies Nota. Como la ciudad y clero…</t>
  </si>
  <si>
    <t>Font, Fernando</t>
  </si>
  <si>
    <t>Fernando Font</t>
  </si>
  <si>
    <t>... 46080 D. Pedro Ponte................... 6095 .. Doña Mafia Teresa..Montero. d« la P. Miguel Herrero ■ ««•«•i* • «**&gt;**! 7569! 8- Concha-,...... . D. Fernando Font.................... .......... . 0201 &gt; / ( P. MígueL Castellanos,,...,............ 75600 D, Bernardo A16&gt;ztu.r.......................... 804 23 L Paña VitJénta…</t>
  </si>
  <si>
    <t>Fontanelli</t>
  </si>
  <si>
    <t>Gaceta de Madrid n.º 347</t>
  </si>
  <si>
    <t>ges italianos para in­ troducirlas luego en-Italia. El «virei ha mandado SUIZA. ocupar aquellos bailiages por una división italiaua á las órdenes de1 general Fontanelli. Serna 2 r de octubre. En Mcndritio, uno de estos bailiages que está, Los informes sobre el instituto del seftor Pes- se puede decir, á las puertas de Milán, …</t>
  </si>
  <si>
    <t>Fontanes</t>
  </si>
  <si>
    <t>residente da la sección de Guerra, el señor eonde Ándreosi. Los reales hospicios de Madrid y El conde Efe jean, primer inspector de ingenie-' ros, el conde Fontanes, grao maestro de la univer­ D. Josef Luís Sapé.................. 129000 sidad , el vice-almiranteThevcnard, los consejeros ; Sr. Marques Caballero................…</t>
  </si>
  <si>
    <t>Fontcla, Manuel</t>
  </si>
  <si>
    <t>Manuel Fontcla</t>
  </si>
  <si>
    <t>. D. Fulgencio de Exea, oficial quinto, conta­ dor, 25. El segundo cirujano D. Juan Gutiérrez Moreno, 30. El cape­ llán D. Gabriel Liobregat, 20. Id. D. Manuel Fontcla, 20. El tercer piloto D. José Morales, 15. Oficiales de mar , de sueldo fixo y temporal. Primer contramaestre, D- Pedro Villar López, 45. Segundo id. Pedro Ram…</t>
  </si>
  <si>
    <t>Fontoneüe, Josef</t>
  </si>
  <si>
    <t>Josef Fontoneüe</t>
  </si>
  <si>
    <t>podamos alistar con facilidad en qualquiera de Sr. D. Luis Marcelino Pcreira.............. 7°37 27 elids; pero pronto veremos qué exactitud y verdad 'D. Josef Fontoneüe................................... 22 hai en esta aserción gramatical. D. Joaquín del Riego............................... 19+$ Los nombres ó denotan las cosa…</t>
  </si>
  <si>
    <t>Forastier</t>
  </si>
  <si>
    <t>cupó y guarneció la ca­ ballería de Cuenca la orilla izquierda, en cuyo estado perma­ necían las cosas hasta el 14. Por otra parte me escriben que el Coronel Forastier, que manda la columna volante de Ta­ rancon , llamó en su auxilio la del Tajona, y que en efec­ to se le esperaba reuniese al dia siguiente para intentar por t…</t>
  </si>
  <si>
    <t>Forjaz, Miguel Percyra</t>
  </si>
  <si>
    <t>Miguel Percyra Forjaz</t>
  </si>
  <si>
    <t>nes en grande, y ¡lian contribuido á em­ peorar la situación de Massená. Extracto del oficio del Exento. Sr. lord vizconde Wellingtojt, al Excmó. Sr. D. Miguel Percyra Forjaz, relativo á los dias anterioras á la acción de Busacó. „ •. El segundo cuerpo del exército enemigo, &amp; las órdenes del general R'egnier, paso Otra vez ha…</t>
  </si>
  <si>
    <t>Forjaz, Miguel Pereira</t>
  </si>
  <si>
    <t>Miguel Pereira Forjaz</t>
  </si>
  <si>
    <t>Inglaterra por tropas: los dias anteriores han llegado otros con alguna de caballería y de artillería de marina. Del 17. OJicio del lord Wellington á D. Miguel Pereira Forjaz. &lt;e Cértaxo 15 de diciembre de 1810. —Ninguna alteración ha hecho el enemigo en la posición que ocupa enfrente de este exército después* de mi ultima ca…</t>
  </si>
  <si>
    <t>Forjaz, Miguel Pereyra</t>
  </si>
  <si>
    <t>Miguel Pereyra Forjaz</t>
  </si>
  <si>
    <t>84</t>
  </si>
  <si>
    <t>IA DE ESPAÑA É INDIAS DEL SABADO 20 DE OCTUBRE DE 1810 PORTUGAL. Lisboa 8 de octubre. Oficios del Exeme. Sr. Lord, vizconde Wellington, al Ereme. Sr. D. Miguel Pereyra Forjaz. “ limo, y Excmo. Sr.: Luego que el enemigo avanzo de Celorico y Troncoso sobre Viseo, las diferentes divisiones de milicias y paisanage maniobraron sob…</t>
  </si>
  <si>
    <t>o de los muertos y heridos del exéreito aliado en el discurso de los días 25 * 26 y 27. Tengo la honra* de ser &amp;c. Wellingten. — limo, y Excmp. Señor D. Miguel Pereyra Forjaz.—Quartei general de Coimbra SO de setiembre de 1810. Muertos , heridos y extraviados en el exéreito aliado : Eh los dias 25 y 26 de setiembre, 2 oficial…</t>
  </si>
  <si>
    <t>815</t>
  </si>
  <si>
    <t>nuestras tropas partió para Mciicorvo, aproximándose al Duero. Lisboa 8 de octubre. Nuestro gobierno ha publicado el oficio que ha recibido el señor D. Miguel Pereyra Forjaz del general Beresford escrito en el-quartel general de Coimbra k 30 de setiembre , para que se sepan los cuerpos portugue­ ses que mas se distinguieron e…</t>
  </si>
  <si>
    <t>87</t>
  </si>
  <si>
    <t>• . PORTUGAL. . , c- 1 1 . P'-;-- ' 'i ;; '■ , cd, .* .. &gt;. &gt;&gt;-5 Lisboa 17 de octubre. Oficio del Excmo. Sr. !ord: vizconde' Wellington ai Excmo. Sr. D. Miguel Pereyra Forjaz. • ?iEl exército continuó su retirada por- los caminos de Alcobazá y Ri O -Mayor, - y el cuerpo del mando del teniente generál Hill por el de Santárem: …</t>
  </si>
  <si>
    <t>931</t>
  </si>
  <si>
    <t>DE ESPAÑA E INDIAS DEL JUEVES 29 DE NOVIEMBRE DE 1310. PORTUGAL. Lisboa 16 de noviembre. Oficio del mariscal general lord Wellington al Excmo. señor D. Miguel Pereyra Forjaz. Pero-Negro 3 de noviembre de 1810.— ccNo he observado alteración alguna en la posición que ocupa el enemigo , ni tampoco en su número, desde que escribí…</t>
  </si>
  <si>
    <t>Forjaz, Miguel Ptryra</t>
  </si>
  <si>
    <t>Miguel Ptryra Forjaz</t>
  </si>
  <si>
    <t>1035</t>
  </si>
  <si>
    <t>iados de orden de Napoleón á la fortaleza de Fcne¡jtrelas en S^bi&gt;ya.. PORTUGAL. Lisboa 15 de diciembre.. Extracto de un oficio de lord JVellington é D. Miguel Ptryra Forjaz. *'Cartaxo 8 de diciembre de 1810. Ninguna alteración de impoi tancia; i a habido en la pooLin! de las tropas del enemi­ go después del IF del corriente,…</t>
  </si>
  <si>
    <t>Forner, Juan Pablo</t>
  </si>
  <si>
    <t>Juan Pablo Forner</t>
  </si>
  <si>
    <t>tiene so peso hasta o,or tos, trasladadas de las que' escribió en latín Juan Bude grano, ó medio- miiígrama: se’sabe quanto oxí­ chardo Menkenio: por D. Juan Pablo Forner, un to­ geno ha sido necesario para transformarla en agua mo en 8.°, í;4 rs. en rústica. 4&gt;e hallará en la librería y ácido carbónico , puesto que esta cant…</t>
  </si>
  <si>
    <t>Fornier, Bárbara</t>
  </si>
  <si>
    <t>Bárbara Fornier</t>
  </si>
  <si>
    <t>es.;;...;:;;..;...................... 3000 1 , D. Pedro.del R\o.........----------- -xíxjC^I''' $' £fc¡ Pédroí Rubio....v..;........... . 114056 24 . Doña Bárbara Fornier........... ni.-.; ;.... ’ iaaO ^ D;xJdád Bautista Irribarren , conio Doña M¿W Jo&amp;fn de.AguiláriL...... 89X4Í/J t administrador‘délas memorias funDoña^íajía …</t>
  </si>
  <si>
    <t>Fornier, Catalina</t>
  </si>
  <si>
    <t>Catalina Fornier</t>
  </si>
  <si>
    <t>20Ó 1 Doña Paulina GilTerreros......;,78082:126 D. Manpfel María Tovar...........;».‘..:Lí. - 75c 3 2| D. Fernando Perez Rico^...... 46..... 88000 •' Doña Catalina Fornier............ ....... ...i - t$? D. Manuel Sixto Espinos»....w.......... 45060 '■ . D. César González...................i: ; -3743/ 20I Di Manuel Fermín Casa…</t>
  </si>
  <si>
    <t>Foronda, Fausto</t>
  </si>
  <si>
    <t>Fausto Foronda</t>
  </si>
  <si>
    <t>D. Antonio Herrera. Subtenientes. D. Joaquín de b Paliza. D. Juan Manuel Montero. D. Fausto Foronda. D. Estéban Moreno. D. Fermín María Uria y Nafarrondo. D. Jacinto Perez de la Torre. D. Josef de las Barcenas., D. Gnillelmo González Saez. D. Claüdio Larrañaga. D. Santiago Larramendi. D.</t>
  </si>
  <si>
    <t>Fossa, Francisco</t>
  </si>
  <si>
    <t>Francisco Fossa</t>
  </si>
  <si>
    <t>z de Ulloa; el caballero de En nuestro palacio de Madrid á 16 de junio E lauri; el caballero Cia , auditor en el consejo de Estado de S. M. católica; D. Francisco Fossa, de 1810. Don Josef Napoleón por la gracia de Dios y agregado á la embaxada del señor duque de Santa por la constitución del estado, REI de las EspaFe; D. Ale…</t>
  </si>
  <si>
    <t>Fouché</t>
  </si>
  <si>
    <t>599</t>
  </si>
  <si>
    <t>En los pueblos del estado pontificio se notan señales de descontento que han obligado á los franceses á aumentar sus guarniciono* y vigilancia. El ex-ministro Fouché que habia salido para Roma á ser­ vir su destino de gobernador, ha recibido en e1 camino orden</t>
  </si>
  <si>
    <t>Foudras, Alexandro</t>
  </si>
  <si>
    <t>Alexandro Foudras</t>
  </si>
  <si>
    <t>e 1810. Don Josef Napoleón por la gracia de Dios y agregado á la embaxada del señor duque de Santa por la constitución del estado, REI de las EspaFe; D. Alexandro Foudras, ídem , y el caballero ñas y de las Indias. Enderiz, idem. Vistas las consultas de la comisión de líqnidaPor S E. el duque de Campo Cbiaro, emba- sion de la…</t>
  </si>
  <si>
    <t>Fouinicr, Juan</t>
  </si>
  <si>
    <t>Juan Fouinicr</t>
  </si>
  <si>
    <t>Gaceta de Madrid n.º 243</t>
  </si>
  <si>
    <t>86</t>
  </si>
  <si>
    <t>mente en el dia 3 I de di­ ciembre de 1810. Se entregan en Madrid en casa del tico; pero de eita asusacion puede en parte dis-. director el expresado D. Juan Fouinicr, y en París en culparse. El hablar por sentencias no es en la tra­ casa de los señores Baquon'au.lt y compañía, banqueros. gedia de los Templarios afectación , …</t>
  </si>
  <si>
    <t>Fourcroi</t>
  </si>
  <si>
    <t>s pura. Por manera , que «i la comisión hubiera &amp;ín embaigo , no podemos disimular que el se­ tenido que asignar esto* premios antes que el señor ñor conde Fourcroi ha tratado demasiado superfi­ conde Lagrange hubiese publicado sus investiga- cialmente la teoría general de las afinidades, que ciones, y en el tiempo en que se …</t>
  </si>
  <si>
    <t>ede , publicó una Ais torta He muí honorífica del sistema de los conocimientos los reptiles , apreciable por el gran número de es» químicos del señor conde Fourcroi, y de la his­ pecies que describe, y por lo metódico de sus c!a* toria de los peces del señor conde de Lacepede, silicacioncs; pero se conoce que esta obra fue es…</t>
  </si>
  <si>
    <t>FourEn, Josef</t>
  </si>
  <si>
    <t>Josef FourEn</t>
  </si>
  <si>
    <t>Madrid jo de setiembre,. produzca los efectos mas ventajosos para la mejo­ ra en la administración de las provincias. ' S. M. se ha servido nombrar á D. Josef FourEn la actualidad se trabaja ya en la organiza- eade subteniente del regimiento de Castilla , i,° de don de las escuelas i i tricas, que parece se ban de — infanterí…</t>
  </si>
  <si>
    <t>Fox</t>
  </si>
  <si>
    <t>. Ya muchas ve- mos (i).=WellÍ!igton. jpes hejues dicho antes de shora que e! permanecer De! 2 2. oucstro ^xdfcító en su campo dorante todo el in­ Ei doctor Fox, médico de Bristol , que se ha vierno nos Sfcfia ItáYí fatal como una derrota , y es-* dedicado particularmente a cui.tr i.t enf'er n.ed.ui paramos que no nos veremos…</t>
  </si>
  <si>
    <t>Foy</t>
  </si>
  <si>
    <t>Gaceta de Madrid n.º 346</t>
  </si>
  <si>
    <t>mbién el Emperador, el ministro secretario de Estado = se ha encontrado mucho ganado. Firmado = H. B. duque de Bassauo.” Según las noticias que da el general Foy es in­ concebible la conducta de los ing.eses en Portu­ Del 22. gal. Ellos han devastado enteramente, quctnido ó Carta del mariscal príacipe de Essling á S. A. S. de…</t>
  </si>
  <si>
    <t>Fracisco</t>
  </si>
  <si>
    <t>' 1 YA gente mayor de' brigada supernumerario én la -división ¿e Indias, al ca­ pitán D. Fracisco; XúneneZ'de la Isla. La necesidad de corregir los abusos, que en perjuicio de la humani­ dad puedan cometer los profesores de farmacia, y de-evitar'que sé ejer­ za ilegalmente esta facultad</t>
  </si>
  <si>
    <t>Fragoso, Juan de Matos</t>
  </si>
  <si>
    <t>Juan de Matos Fragoso</t>
  </si>
  <si>
    <t>a cumbre mas al­ meses de intervalo; y á pesar de, todos estos defectos ,el ta del Parnaso. .Macbeth es una -obcá,sublime. Los franceses, llevados de D. Juan de Matos Fragoso merece acaso mayor cen­ una delicadeza y .sensibilidad acaso,afectadas, claman s:n sura que los dos. poetas «jranváticos de que acabo de ha­ cesar contr…</t>
  </si>
  <si>
    <t>Fraiícisco</t>
  </si>
  <si>
    <t>Capitaatííi'P.T^dro Migáel de'Cabriádáy Pon * Capitán.,JP. B'aj Ramos. , Tsniente, D. Gregorio Aicobendas. Joí!4IíW&gt;'0' i t.V.; 'v¡ .Ai Subteniente, D. Fraiícisco .Lopez Fernairidezí. TenientesD Juan íA-nt°D‘°i^Carrasco yDon Aotonk JXlgadfc^' r^'l-'- V ' v Compañía de Almoñacid de d loo' pinzas. Subteniemc*jü-JEstAsaa, dft. t…</t>
  </si>
  <si>
    <t>Framis, José</t>
  </si>
  <si>
    <t>José Framis</t>
  </si>
  <si>
    <t>otal......... . O 1...... 4..... 91...... 3........ 17 rLos tres oficiales heridos de Campo Mayor son , los capitanes primeros D. José Díaz Moroso, y D. José Framis, y el tenien­ te D. Claudio González; y los dos contusos, el capitán primero Don Joaquín Aleonada, y el subteniente Don José Benitez : el oficial herido de volunt…</t>
  </si>
  <si>
    <t>Fran</t>
  </si>
  <si>
    <t>ados, doa, doctoral de esta santa iglesia catedral, Don y que obraban por la fortaleza de sus conciencias, Manuel Arjona , penitenciario en ella, y á D. Fran­ permanecieron fieles. cisco Armenia , D. Josef Roncaü y D. Francisco Una nueva guerra continental y los socorros de Muñoz de Colmena, prebendados de la misma.— la Ingla…</t>
  </si>
  <si>
    <t>á en el esta­ Tafdlla, D. Ignacio Valcarcel, D. Silvestre de do mas bridante, y entonces los ingenios sevillanos Ib.rra y Gaündo, D. Ditgo Hidalgo, y D. Fran­ recobrarán aquel grado de esplendor y gloria qoe cisco Bucareli, canónigos de esta iglesia catedral; . tanto los distinguieron en otro tiempo* al mariscal de campo D. E…</t>
  </si>
  <si>
    <t>as con el á las islas de los Amigos, y fondearon en la deBapéndulo invariable. A tan preciosos elementos para bao, en el puerto que llamó del Refugio D. Fran­ trazar las cartas se reunieron en la dirección los que cisco Maurelle, que fue el primero que las visitó han suministrado los diarios y noticias de varios con la fragat…</t>
  </si>
  <si>
    <t>ún consta del incluso oficio.” Dios guarde á V. E. muchos años. Principal de la línea 20 de mar­ zo de 1810. —Excmo. Sr. — Adrián Jácome.— Excmo. Sr. D. Fran­ cisco Eguía. Parte 1.°' Torremolinos 13 de marzo de 1810. El comandante de la partida de descubridores da parte al segundo comandante general JD. José de Valdivia de ha…</t>
  </si>
  <si>
    <t>segunda , que zones de todos los fieles. Dido cn ]a ciudad de los sagrados dogmas de nuestra santa religión, la Máiagt á 20 de febrero de itfio.sDr. D. Fran­ pioral del evangelio aparezcan en toda su sublimi­ cisco JÉatier Asen jo.”. dad y pureza. S. M. dexa á disposición dé lo» or­ dinarios el eiegir el número de templos de …</t>
  </si>
  <si>
    <t>nte­ ñas y de las Indias. ría, el conde de Guadiana, D. Manuel Brc«ca, Hemos decretado y decretamos lo siguiente': D. Antonio Rubio, D. Juau Ahumada, D. Fran­ articulo i. ,,Hemos nombrado y nombramos cisco Vargas, D. Jcsef Echavarri, D. Andrés Or­ á nuestro consejero de Estado y teniente general tega, D. Juan Montemayor. de m…</t>
  </si>
  <si>
    <t>AA. los duques L.&lt; Ai:-tria ha perdido en poco tiempo muchos de Meckienburg 1- Strelitz y de Schwerin han sa­ de sus gei. :a es, entre ellos el feld mariscal Fran­ lido el dia 17 aquella provincia para restituirse cisco de J ¿Hachich, los generales de caballería 4 sus estados respectivos. T«'Jo lo que pertenece al Kospoth y L…</t>
  </si>
  <si>
    <t>nfantería de línea. Emperador Napoleón con la archiduquesa de Aus­ - Una parte de las tropas francesas que están ac­ tria María Luisa, hija mayor del Emperador Fran­ tualmente acantonadas en la Francpoia ha recibi­ cisco. Esta noticia ha causado aqni sumo contento do órden de marchar , y dentro de pocos dias pa­ en todas las …</t>
  </si>
  <si>
    <t>176</t>
  </si>
  <si>
    <t>de 25 de marzo último desde Lérida participa á la junta superior de Aragón lo siguiente: cr Ayer llegaron aquí un oficial y 84 prisioneros hechos por D. Fran­ cisco Xavier de Mina en la viila de Lumbier j y esta tarde ó mañana entrará otra porción mas, que quedaron en su poder de resultas de una . acción reñida y ventajosa á …</t>
  </si>
  <si>
    <t>nel E. Juan de Veíasco. S. M. ha promovido á coroneles de los regimientes pro­ vinciales de Logroño, León y Tuy , al brigadier D. Francisco Manglano, D. Fran&lt;is¿ o Corrales y 1&gt;. Pedro Guerrero , tenien­ tes coroneles, el primero del de Oviedo, el segundo del mismo de León, y el tercero del de Lugo : á tenientes coroneles de …</t>
  </si>
  <si>
    <t>a deu­ Francisco Xavier Cienfuegos /avellanos, canónigo; da pública sea satisfecha con la brevedad y religio­ i D. Juan Bautista Morales, canónigo; á D. Fran­ sa puntualidad qué conviene. cisco Patricio de Berguizas, canónigo; á D. Fran­ art. 11. Quedan autorizados los mismos pre­ cisco de Bahamonde, canónigo; á U. Josef Garc…</t>
  </si>
  <si>
    <t>sas de oro y plata á reales y maravedís de vellón , di­ vidido en li tablas, demostrando en cada una, con la de ias dos compañías de este esquadron á D. Fran­ mayor exactitud, su valor desde uno hasta mil conse­ cisco Gallardo y D. Alfonso Aparicio Penüla : pa­ cutivamente, ventaja que le hace preferible á todas las ra tenien…</t>
  </si>
  <si>
    <t>os individuos de Puebla, y de otros lugares pertenecientes á su intendencia, 3 9231. D. Juan Gonzá­ lez del Cabo-Franco, y su hermano D. Miguel, 100. D. Fran­ cisco Villalva 9 vecino de Tepey aguaico , 100. D. Peiro Ascoifi, y D. Juan Gránela , de S. Juan de los Llanos, 100. Por el subde­ legado de Ciiautla de la Sal se recog…</t>
  </si>
  <si>
    <t>os de todas cla­ var; ayudantes á D. Josef Pedrera y D. Ju¡n ses compiten en zelo y ardor para demostrar la sa­ OLog'.hui; tenientes á D. Juan Rain , D. Fran-. tisfacción y vivos deseos de ver y disfrutar de la cisco R-che, D. Juan Monta ni cr , D, Ventura amable presencia de sus augustos Soberanos. Jáuregui, D. Luis Guillen …</t>
  </si>
  <si>
    <t>lez, D. Valentín Rivas, D. José Félix Sosa; D. José María Blanco, D. Dionisio Palacios, D. Juan Ger­ mán Rossio, D[ Juan Ascanío, D. Pablo González , D. Fran­ cisco Xavier Ustariz, D. Silvestre Tovar, D. Nicolás A usóla,' D. José Félix Rivas, D. Fernando Key, D. Linó dementé. Los ministros son los individuos: de"la misma Ross…</t>
  </si>
  <si>
    <t>oras se­ ción entera de la misma iglesia , vacante por talleguidas , sin que el enemigo consíguie'e marinar ni cimiento de D. JosefJoaquín Máznelo: á D. Fran­ siquiera una embarcación i pesar de su grande su­ cisco del Castillo y Camacho, presbíteio y ex-serónimo, para la media-ración que dexa GarriJotá perioridad. La ílorill…</t>
  </si>
  <si>
    <t>e, el vizconde deQuintanillá, D; LorenzoBónifaz, D. Sebastian Jócano, D. Fráncisco.Cas­ tañedo y D. José García de la Torre; que la delación dada por D. Fran­ cisco de Noceda de que tenían como 300 baúles dé oro y plata era ca­ lumniosa; que según declaraciones dé varios individuos empleados en la: fragata , los baúles eran d…</t>
  </si>
  <si>
    <t>ediaciones de Momblanch á una partida enemiga de 50 hombres, de que mató 30 3 é hizo 10 prisioneros. El congreso provincial l ha recibido un narte de D. Fran1. cisco Borras desde Poboleda con fecha de 2S de agosto en que comunica que reunidos algunos somatenes el 25 de di­ cho mes ocuparon los puntos del Coll cié Porrera y de…</t>
  </si>
  <si>
    <t>uan Clímaco Quintano , suplente por la de Palencia: Q. Gerónimo Ruiz, Suplente por la de Segovia: D. Francisco de la Serna, suplente por la de Avila: D. Fran­ cisco Eguía, jupíente por el señorío de Vizcaya: D. Evaristo Perez de Castro , suplente por la provincia de Valladolid: D. Domingo Dtieñasp suplente por la de Granada: …</t>
  </si>
  <si>
    <t>l 4 ide julio, supo que en In­ fantes tenian^90-, hombres de infantería y ,50 de caballería, que dos di as antes ge liabian. batido con la partida de D. Fran­ cisco Abad. A consecuencia-se presentó delante de} pueblo ei dia 7 » y á pesar, de que eran superiores los enenugos,,,huyeron sin . querer me ¿ir Jas. armas. Los nuestr…</t>
  </si>
  <si>
    <t>án en Tomar á Para el de la parroquial de Jubrique, vacante las órdenes del general Leith, á excepción de nn por fallecimiento de D. Alonso García, á D. Fran­ regimiento que ha quedado eu Lisboa. Los regi­ cisco Ranedo, clérigo diácono. mientos 79.0 y 94.° han salido ya de Cádiz para ve­ Para el de S. Andrés de Coin , vacante…</t>
  </si>
  <si>
    <t>Román, 100, D. M. D. D., 320. D. Fermín de Elizalde, 3000. D. Tomas de la Cuesta, 500. Don Alexandro de la Parra, 500. D. Fermin Ramón Barrera, 500. D. Fran­ cisco Buch y. Truxillo, 400. D. Juan Palau, 1000. D. Esteban Fernan­ dez de León, 1000. D. P. M. V., 100. Doña Rosalía de Córdoba, 20. D. Benito de Labra, 40. D. Lázaro …</t>
  </si>
  <si>
    <t>lír.T. I M 31 I^tl el medio beneficio dé la parroquial de la Pata el beneficio de la parroquia de S. Juan de villa de Gomares , vacante por muerto do D. Fran-; la propia ciudiidVva'canté pór- muerte de E&gt;. Fran­ ciscó-Santos Aguila* '} á:D. Joan de Campos , cura cisco de Verges, al presbítero.O. GailleimopUo- ecónoúioüdéOlías…</t>
  </si>
  <si>
    <t>dados Quince marjales de riego, en á D. Josef Antonio'Tomé en.. 1Ó9 1920 Zamora, linde con Antonia . Nueve marjales dé riego, en 1* Medina y Martin y D. Fran­ cuesta de Correa, linde con cisco Bendícho, arrendados á t Josef Segovia y barranco de Josef Molina en...................... 909 ’ XOSOO Planos, arrendados A D. Agus­ C…</t>
  </si>
  <si>
    <t>1382</t>
  </si>
  <si>
    <t>eros de vacuno.................... 2l6..22 2600 El Soto de Roma..................... 75000® 9.000000 Una bodega, calle de Sevilla, linde con casas de D. Fran­ cisco Martin......................... 12094.-29} 96759 PROVINCIA Otra , solar, en la plaza de San Andrés, esquina á la calle de DE EXTREMADURA. Caraquel................…</t>
  </si>
  <si>
    <t>pitular del palacio de la muy Roble, insigne y siempre leal ciudad de Tlascala la procla­ ma deí Excmo. é limo. Sr. vire y, que fue de este reyno Dr. D. Fran­ cisco Xavier de Lizana, fecha 24 de abril del presente año de 1810, dió á nombre del ilustre ayuntamiento y su provincia , D. Juan Tomas Altamirano , gobernador de natu…</t>
  </si>
  <si>
    <t>de dicha compañía, 35. S. Carlos. Capitán D. Pedro María de AUan.de, 100. Teniente D. Mi­ guel Díaz de Luna, 25. Alférez D. Gaspar de Ochoa, 35. Id. D. Fran­ cisco Espinosa, 10. Sargentos, cabos y soldados, 404.— Primera Vio­ lante. Capitán D. Pedro Larramendi, 92. Teniente D. Lúeas Valenzuela, 5. Id. D. Gregorio Blanco, 10. …</t>
  </si>
  <si>
    <t>Para la de Benltorafe y Benafiadac ¿ D. Fran­ dóy sin qne por esto pierda de vista los progresos cisco de Castro, de la referida órden. . de Us arles y del comercio, subordinándolosislcm» Y para la "de Chercos á IX Manuel Incitas, pre á .los adelantamientos de la agricuhnra, de. la de la propia órden.</t>
  </si>
  <si>
    <t>oficial primero de la resorería, 20 D. Manuel Calderón ,segundo, 10. D. Ramón Peimbert, ensayador, 2 D. Antonio Cabrera, administrador de rentas, 50. D. Fran­ cisco Prieto, interventor, 10. D. Francisco Xavier Losa , vista , 10 D. Juan José Ruiz de Bustamante, subdelegado, 250. Alcalde del primer voto D. Francisco del Valle. …</t>
  </si>
  <si>
    <t>aciones de nues­ Q edan nombrados para capitán de esta com­ tra división estaban animados- del mejor espíritu, pañía D. Francisco Roso, para teniente D. Fran­ y ansiosos por llegar á las manos con el oemigo. cisco Mida, y para subteniente D. Miguel de las „ Procuraré hacer preseñtes i "V. A. los nom­ Cuevas. bres de los ofici…</t>
  </si>
  <si>
    <t>D. Vicente Moreno , 10. Don Bernarda GiStellum, 10. D. Damian Segrega, 1 o. D. Juan Mendez, 13* D Manuel Cermeño, 10. Doña María Teresa Vázquez, ió. Doña Fran­ cisca Vázquez, 7. Varios individuos, 154 y 6 rs. ■—Aíulatos. D. Do­ mingo Goyenecnea, 200. Fr. Dionisio O iederra , 20. D. Juan Fernan­ dez, 200. D. Rafael Valenzuela,…</t>
  </si>
  <si>
    <t>Fran, Joaquín</t>
  </si>
  <si>
    <t>Joaquín Fran</t>
  </si>
  <si>
    <t>mo en una liñ­ expediciones al seno Mexicano y á las Antillas , al udísima miniatura hasta 30 viages executados por cargo de los capitanes dé fragata D. Joaquín Fran­ «diversos navegantes españoles y extrangeros.” i cisco Fidalgo y D. Cosme Churruca , baxo un plan Los conocimientos que adquirieron en estas ex­ extendido por e…</t>
  </si>
  <si>
    <t>Fran, José</t>
  </si>
  <si>
    <t>José Fran</t>
  </si>
  <si>
    <t>l de Zacate­ cas , empleados en rentas reales y algunos vecinos de aquella ciudad , 4009 y 4 rs. Él santo tribunal dé la Inquisición, 100,000. El Er. D. José Fran­ cisco Miranda, 50. Varios vecinos de Villahermosa de Tabasco , 50J1' y 4 rs, y medio, y anualmente 877. La congregación de nuestra señora de Covadonga, 200. La ter…</t>
  </si>
  <si>
    <t>Fran, Josef</t>
  </si>
  <si>
    <t>Josef Fran</t>
  </si>
  <si>
    <t>arrasado todos los vaca, de la propia órden, confesor y predicador. •molinos, y los materiales de estos han sido que­ Para la de la villa de Galera á D. Josef Fran­ mados por evitar que se vuelvan á construir. cisco Martínez de Vicente, ex-mercenario calza­ do , comendador, maestro de teología y examina­ dor sinodal. IMPERIO …</t>
  </si>
  <si>
    <t>FranA</t>
  </si>
  <si>
    <t>, regidores. ra párroco; por el ayuntamiento D. Jusef Roldan La diputación de'Morente, que no se habia po­ y Porras, regidor decano, y por el pueblo D. FranA dido presentar á S. M. por haber llegado tarde, lo cisco Amador de Fuentes, síndico personero. ha hecho ai Exento. Sr. gobernador general. La diputación de la villa de M…</t>
  </si>
  <si>
    <t>Franc</t>
  </si>
  <si>
    <t>'.eminot, barón del imperio, ha á D. Santiago Tacbeler , y aban lera los á D. Fran­ marchado á España; y se asegura que ha sido nom­ cisco C'ianvilb, D. Franc sco Luv.'ns, D. Juan brado pvfe del estado mayor del mariscal Macdo- Levaseur y D. Lorenzo Cheíucux. n tid, duque de Tarento, al qual se le ha conferi­ En el regimiento…</t>
  </si>
  <si>
    <t>ñor alcalde ordinario de segundo voto Don Vicente Pizarro, y los caballeros regidores, alguacil mayor D. Manuel Hernaiz, alcalde mayor provincial Dr. D. Franc:sco Marcos Santaelía: fiel executor Dr. D. Joaquín de Torres Duran: Licenciado D. Juan An­ tonio Mexía, D. Vicente Becerra, D. José María Dáviía, y el caba­ llero síndi…</t>
  </si>
  <si>
    <t>FRANCES, Claudio y An IMPERIO</t>
  </si>
  <si>
    <t>Claudio y An IMPERIO FRANCES</t>
  </si>
  <si>
    <t>stante que los sin­ latiré» platal de Stertirt , Custrifl y Glogau. tieron los que. había dentro,.se salieron todqs,por los huertosv quedándote soldé D. Claudio y ‘An­ ' IMPERIO FRANCES. tonio del Olmo. Este hizo que Sé retírate tatpWen D Claudio, puesto qaeios babdidosdirígian Prin­ cipalmente contra él su faría¿ El regimien…</t>
  </si>
  <si>
    <t>FRANCES, IMPERIO</t>
  </si>
  <si>
    <t>IMPERIO FRANCES</t>
  </si>
  <si>
    <t>279</t>
  </si>
  <si>
    <t>de febrero. no sean temibles, á lo menos por algún tiempo. Todos ios dias salen de nuestros hospitales con­ valecientes franceses para Strasbargo. El Emperador IMPERIO FRANCES, ha dado las órdenes mas estrechas, á efecto de qne Corfú. 22 de diciembre de 1809. sean asistidos con el mayor esmero los enfermos franceses. Los corr…</t>
  </si>
  <si>
    <t>exacion alguna á sus vecinos. habitantes de ia ciudad , y el seguudo de los habi­ tantes de ia campiña.” Del i o. El domingo anterior á la salida del Emperador IMPERIO FRANCES. se paseó toda Ja Emilia imperial por la noche en el Prater, donde se reunió u;i gentío inmenso. Tolos¿1 ia de mayo. Todavía contit ái aqui el arch'd .…</t>
  </si>
  <si>
    <t>s asombrosaque temberg. extraordinaria. (Alorning chronicle.) Ha llegado aquí una diputación de la ciudad deUl ma, y ha sido presentada al Rei por el conde IMPERIO FRANCES. de Reischach, ministro de lo Interior. El burgo­ maestre Schad ha dirigido i S. M., i nombre de Paimj/ol 8 de noviembre. la diputación, un discurso, en qu…</t>
  </si>
  <si>
    <t>FRANCES, Juan Ma IMPERIO</t>
  </si>
  <si>
    <t>Juan Ma IMPERIO FRANCES</t>
  </si>
  <si>
    <t>ba} y á los si­ días , que viene de Stcttin, y va i Francia. guientes capitulares, que han sido de la extinguida colegiata de S. Ildefonso, á saber : D. Juan Ma­ IMPERIO FRANCES. nuel Bedoya, ex-peuitenc¡ario, cura y presidente, para una canongía de la catedral de Málaga: Don Genova 16 de mayo. Santos Martin Sedeño, ex-magist…</t>
  </si>
  <si>
    <t>Franceschi</t>
  </si>
  <si>
    <t>400</t>
  </si>
  <si>
    <t>: la casualidad ha traído á mis míanos la gazeta de Sevilla de 29 de juliode 1809, núm. 49, que contiene una carta de V. E. á S. M. C. que llevaba el general Franceschi quanda fue hecho prisionero.—Aunque yo no- debía, aguarda mas que disfavores de parte de V. E., sin em­ bargo confieso que la lectura de esta carta , no me ca…</t>
  </si>
  <si>
    <t>Francfort</t>
  </si>
  <si>
    <t>hat en el e «Yeito mas que un feld­ CONFEDERACION DEL RIN, mariscal, que es el landgrave Carlos Hcsse, y obtiene esta dignidad desde la elección del príncipe Francfort 12 de febrero. de Augnstetnburgo á la de heredero de la coroua de Suecia: los demás generales son 42. El general de división Lcgrand y el general de brigada Le…</t>
  </si>
  <si>
    <t>Francis</t>
  </si>
  <si>
    <t>; á capitanes, los tenientes D. An­ drés Rodríguez, D. Félix de Toda, D. Juan Pablo Sebastian, y D. Francisco Huarte; á tenientes , los subtenientes D. Francis­ co Ramírez , D. Ramón Mateo, D. Valentín Ampudia , D. José Ampudia, D. Tomas de Benavides , D. Manuel Albo, D. Miguel ligarte , y D. Antonio Montenegro. CADIZ : EN LA…</t>
  </si>
  <si>
    <t>.182 tenencia de granaderos en el provincial de Xerez á D. Francis­ co Cabrera. En conformidad del real decreto de 9 de marzo del año pró­ ximo pasado , se ha servido S. M. conceder grado de coronel de infantería a! teniente coronel D. Manuel Fernandez de Olarte, capi</t>
  </si>
  <si>
    <t>que va á dro García, y linda el uno con tier­ las Arboledas, de 8 fanegas , que lin- ra de herederos de Felipe Sánchez al da á oriente con tierra de D. Francis­ saliente; y el otro por el poniente ■ . co Linares, y al norte‘con tierra del con tierras de Francisco Riíiz,y Don ’ convento de religiosas..................... 1914 …</t>
  </si>
  <si>
    <t>Francís</t>
  </si>
  <si>
    <t>promoción de Don Para el. de la iglesia parroquialcdel lugar deit&gt; F a'Cisco. óRodriguez 'Pareja al de -LnhfaTon , í Atarle» va carite-por muerte de D Francís/oVe- D. Jirán de Castro ,ve* regular del orden de Fcanlasco y XimehéEy at Dr. D. JtiaaíBautista-Xrme-'lj - ciscos -observa «tes. ; nec , cuta de"Otura. •1 . , . Para' e…</t>
  </si>
  <si>
    <t>n período diario que rina D. C sme Churruca, D. Dionisio Galiano, es constante y recular, y de otro que puedella­ D. Tomas Ugarte, D. Josef Ezquerra, D. Francis­ marse anuo. El primero Je causa el viento de la co Alcedo y D. Juan Henrtque de la Rigada; de­ mar, que sopla mientras dura la fuerza del sol so­ duciendo de ellas l…</t>
  </si>
  <si>
    <t>la capilla mayor de la iglesia par­ roquial para no privarlos del consuelo de oir misa en los dia« festivos : todo ello con anticipaciones hechas por D. Francis­ co Genaro Angel, vecino de Pontevedra, á quien se nombró tesorero de la suscripción, sustituyéndose su comisión para mayor comodidad de los suscripto-res en Orense e…</t>
  </si>
  <si>
    <t>y Rivacoba, por la ciudad de Gerona: D, José Salvador López del Pan, por la ciudad de la Co­ ruña : D. José Maria Couto , suplente por Nueva España: D. Francis-</t>
  </si>
  <si>
    <t>....................... *7 874 CAIAI'ACAK, Otraen Vaidelacueva, término de Buxes, Una tierra abierta, de 2 fkn., á la Fuen­ de una fon., linde ábrego D. Francis­ te adnatea........ ,..¡............................. .-, 3..17 ' 7j co. Gaseo...1.—....... 9 198 Un prado á la calleja de S. Bartolomé...' 77 1694, VIIIAIVIILA. Una …</t>
  </si>
  <si>
    <t>. D. José Battlé y Carreo, asentista de víveres de Montevideo, 150. Id. de Buenos-Ayres, 100. Dependientes de las provisiones de víveres de deposito. D. Francis­ co García, maestre, 27. Id. D. Juan Bautista Palmero, 14. D José Vivanco, encirgado, 10. Juan Antonio Diaz, despensero, 6. Fernando An­ tonio García, alguacil de agu…</t>
  </si>
  <si>
    <t>. Fr. Luis Salgado, 20. D. Juan José Cobos, 10. D. Martin Zubizar, 100. D. Juan Zubizar, 100. D. José Tomas Yañez, 10 Tres individuos, 15. — AÁapimi- D. Francis­ co Labarrieta, 100. D. Santiago Labarrieta, 25. — Cuencamé. D. Miguel Arróspide, too. D. José María Pedriza, 50. D. Tomas Troncoso, 3 — Papa:-qttiaro. El cura D. Jot…</t>
  </si>
  <si>
    <t>ar­ ro , 100. D. José Marsan , 100. D. Joséjlgnació Pabon , 100. D. Nicolás Campe­ ro , 100. D. Manuel de Villa y Gibaja, 200. D» Felipe Vivanco, 50. D. Francis­ co García Puertas., 100. El Escribano D. Manuel Vidal , 100. D. Rafael de Ibarra , 100. D. Francisco Ascorve , 50. D. Juan Lucas Oíavarricta , 400. D. Roque Martínez…</t>
  </si>
  <si>
    <t>Francisca</t>
  </si>
  <si>
    <t>capitán. presente año cita y emplaza á las personas que guarían En el regimiento núm. 4.0 de cazadores á ca­ tener derecho á la herencia y bienes de Doña Francisca ballo, D. Juan María Arias de Saavedra á teniente. Muñoz, soltera, criada jubilada que fue d# Ja señora En caballería de línea. 'D. Jósef Burone á ca­ condesa de l…</t>
  </si>
  <si>
    <t>Francisca, Angela</t>
  </si>
  <si>
    <t>Angela Francisca</t>
  </si>
  <si>
    <t>00 Don Josef Napoleón por la gracia de Diosyprftf Pona María Texesa.de Anoz............ . 86800 la constitución del Estado &gt; REI de: ía$:Españas y de Doña Angela Francisca .Ramos........ 15735 30’ las Indias. . : - i &lt;1 D. FdigeSaaz UIMII •■■«•••« ««»■*• 122052 12 Vistas las consultas de la comisión de liquidación D. Tomas de…</t>
  </si>
  <si>
    <t>Francisco</t>
  </si>
  <si>
    <t>acción pelearon tan bizarramente los somatenes r que algunos se mezclaron con ias bayonetas enemigas , y mataron vanos franceses &amp; seblaícs. El mismo D. Francisco iíovira. .y D. Ramón Torra , coman­ dante de somatenes , participan con fecha. del 21 desde Durmus, que los franceses continuamente acosados en el camino reai ne Fr…</t>
  </si>
  <si>
    <t>eto único de sus desvelos, y ambición so­ Biedma (D. AntonioJ, comandante de batallón la en que cifra roda su gloria! del regimiento núm. i.° Biedma (D. Francisco), mariscal de campo de Madrid de enero. nuestros reales exérciros. Borda (D. Francisco), visitador general de la real «HAN CANCILLERÍA DE LA ÓRDEN REAL Hacienda. DE…</t>
  </si>
  <si>
    <t>vice-presiden- mento del exército de mi mando que se ha acan­ te de la misma junta. tonado ea esta provincia. Aseguro á V. E. que Perez del Ribero ( D. Francisco), gefe de división siento íntimamente que circunstancias de la mayor en el ministerio de Hacienda. importancia para la cansa general me obliguen i Pisador ( O. Cleme…</t>
  </si>
  <si>
    <t>o; de esa nación is­ con las provincias adquiridas al rededor de las aus­ leña, que enemiga por tantos siglos de la nuestra, tríacas , como porque el Emperador Francisco re­ iba á vengar, con título de amiga, sus antiguos conoce las mudanzas hechas y por hacer en Italia, resentimientos, y á privamos de nuestros buques y en Po…</t>
  </si>
  <si>
    <t>n embargo todos los departamen­ Hemos decretado y decretamos lo siguiente: tos, y serpollen en movimiento 150® hombres de articulo 1. ,, Coocedemos á D. Francisco de guardias nacionales, mientras que en Fiándet se re­ la Cuerda , obispo que fue de Puerto-Rico, la con­ unían a 5 0 hombres de tropas sacadas de los depó­ decorac…</t>
  </si>
  <si>
    <t>59 Extracto de papeles francés ’í. Alemania , hasta 6 de diciembre.—- Viena. — El 27 de noviem­ bre entró en esta ciudad el emperador Francisco, sin mas guar­ dia ni acompañamiento que el conde de VVrbna , y fue recibi­ do con mucho regocijo. Mandó distribuir á los pobres 253 flori­ nes (1). El dia anterior habían entrado las…</t>
  </si>
  <si>
    <t>calidad éé eMbiíudor de Rusia. A él» debemos dé pax , ha recibido ames de tu partida de mano ffiaci{Mlm«» tl que catacapital no baya iido deS.- Miel Emperador Francisco úna- hermosísima «copada por Ifs arepas trusas en la: primavera úl- caxa guarnecida df brillantes. » - -;*¡ma.ísi^-' *.&gt;JU -o «•« •■-•■- 3i - La policía ha to…</t>
  </si>
  <si>
    <t>. =Por S. M. tu alférez mayor de este ayuntamiento; D- Manuel de ministra secretario de Estado Mariano Luis de Ur­ Mendivü; D. Gabriel Julián García; D. Francisco quijo.” i Barreda y Benavides ; D. Manuel de la Rocha » ad­ En nuestro palacio del alcázar de Sevilla i 6 ministrador principal de correos de esta ciudad y de febre…</t>
  </si>
  <si>
    <t>ontinúa el artículo de ayer acerca de las memo- y navegación mercantil. rías sobre las observaciones astronómicas he­ Tan lastimoso era &lt;b estado qne D. Francisco chas por los navegantes españoles &amp;c. de Seixas y Lobera se quejaba par los años de 1690 de los peligros que se padecían en la mar por de­ En aquella época memorabl…</t>
  </si>
  <si>
    <t>aron el 23 de julio D. Marcelo Ayensa y D. Domingo Navarro, el de de 1793. Van unidos á esta memoria por via de fragata D, Juan Ibargoitia, el piloto D. Francisco apéndice: t.° un extracto de la derrota que hizo Sánchez Crespo, y Air. Dagelet, astrónomo em­ el Sr. D. Ignacio María de Alava en 1803 con la barcado en la expedic…</t>
  </si>
  <si>
    <t>rtínez ( D. Andrés) , comandante del seo Napoleón para ir á pasar alguno» dias en Mal- primer batallón de milicia cívica de Sevilla, maltón. Cabrera (D. Francisco). Algunos destacamentos de granaderos de á ca­ Cañada Tirri (marques de la }, mariscal de campo. ballo de la guardia imperial salieron ayer paraCom- Casatremañes (m…</t>
  </si>
  <si>
    <t>ía de gastadores de Aragón, la comandancia al teniente coronel D. Juan Sánchez Cisneros; la sargentía ma­ yor D. Juan Muñoz ; compañías, á D. Matías, D. Francisco,</t>
  </si>
  <si>
    <t>una diputación de cinco senado­ gran duque de "Wnrtzburgo, archiduque de Aus-r res , la’qual marchará á París 4 y tendrá el líonor tria , hermano del Emperador Francisco. de presentarse al Emigrador, y ofrecer á ia Em­ SS. AA. el príncipe dé N'issan y el príncipe de Nassau-Weslbourg h,an llegado también á París. peratriz los …</t>
  </si>
  <si>
    <t>abían padecido. ¡OxaZitus, teniente D. Bernardo Fernandez, subte­ lá los pocos que prolongan todavía una lid tan des­ niente D. Felipe Ximcnez, otro, D. Francisco igual como sangrienta hubieran visto este dia los Rox»s. semblantes del pueblo de Córdoba ! Acaso la com­ Segunda de ídem. Capitán D. Domingo Mar­ pasión de los mal…</t>
  </si>
  <si>
    <t>ostas y nuestras aguas. La pequeña isla de Ctstejon (D. A’onso), intendente de Segovia, Lissa, cerca de las costas de la Dalmacia, es ti úni­ Chacón (D. Francisco), brigadier. co punto que han conservado los eternos enem'gos Cops (D. Estiban ) , cirujano mayor del regimien­ del continente; pero no nos falta vino, pan y ví­ to…</t>
  </si>
  <si>
    <t>4Í? Rch (D. Francisco), ayudante délregimiento Real fiel de esté pape!, el qual ha causado una gran* sen­ Extrangero. sación en los habitantes de Londres', dónde en po¿ Salaz^r (D. J osef), mariscal de campo. -</t>
  </si>
  <si>
    <t>e la Or­ nizadas, y con sus marcos, ó renovadas y mejora­ den Real de España á los señores das todo lo posible, sino que ademas se ha aumen­ Alonso ( D. Francisco), capitán de las compañías. tado su número con otras obras maestras. Asi esta de caballería de Córdoba. inmensa colección merece ser considerada ahora Baena (D Pedr…</t>
  </si>
  <si>
    <t>strumento de sus designios contra el Austria, y habiendo conquistado primero con las armas , y después conciliario con el nuevo enlace la amistad del emperador Francisco , es verosimii que le hará tomar interes. en la execucion de sus ambiciosos planes. No será muy difícil que este príncipe se preste á qualquier clase de proy…</t>
  </si>
  <si>
    <t>segunda esposa como se fastidió de la primera, ó después de haber sacado de su enlace los frutos que se propuso su ambición , haga experimen­ tar al emperador Francisco nuevos ultrajes y humillaciones , dan­ do quizá con la destrucción de la casa de Austria un ilustre y lamentable exemplo de los males que nunca dexa de acarre…</t>
  </si>
  <si>
    <t>fue de la ór- han hallado frustrados en sus deseos, igualmente den extinguida de Malta. que Se han inutilizado los preparativos de arcos de Azpiroz (D. Francisco), caballero que fue de la triunfo que empezaban desde media legua antes de orden extinguida de Carlos 111. la capital, las músicas y demas fiestas preparadas Benito …</t>
  </si>
  <si>
    <t>ctualidad, y las que sucesivamente vacaren, . £\, 'La, de^.St¡fpr/viaf,t cqvijwfsta df , • ;*t/r se proyectan lea ios exr regulares de los institutos D. Francisco; 4?, XQrref,«y¡estraníe de Sevilla', suprimidos , siendo idóneos. .&lt; y alcálde'd^dicdia villa\j par^Ja.piuniqjpaJidad.-^, art. in. Siempre .que'la dotación fixa de …</t>
  </si>
  <si>
    <t>Turquía. Bis de presumir que el Austria accederá también á los provec­ tos'de'desmembración del imperio otomano. En Alemania .corren voces de-que el emperador Francisco cede la -Gallitzia, para'que reunida al gran ducado 4e*Varsoyia vuelva á formar el ant’guo rey no de Polonia. Á ser esto cierto , le liabtáa prometido indem­ …</t>
  </si>
  <si>
    <t>tientes. En Constan* tinopla se decía que el Gran Señor abriría en persona la campa­ ña, poniéndose á la cabeza de sus tropas. Corre la voz de que el emperador Francisco hará un viage á París acompañado del archiduque Carlos. Otro tanto se dice de los reyes de Prusia; pero muchos lo dudan al ver el rigor con que continúa exig…</t>
  </si>
  <si>
    <t>a pri­ También se ha dignado S. M. nombrar á Don mera división militar al duqne de la Cotadilla; y Francisco Bordalooga para el curato de la parro­ á D. Francisco deBouiigni coronel de infantería,y quia de S. Miguel de la ciudad de Guadix; y á ayudante general de la guardia cívica de la misma L&gt;. Manuel López Santisteban para…</t>
  </si>
  <si>
    <t>000 ' ' ' Doña Francisca Antonia Amat4i.r.6.ú. U 5700 “ D. Manuel:Perez Camino................ 3f 18'. 6 D.- Jorge Similier.-............ ■ 25629 16Í D. Francisco deVárgas.,,....'3753"20! D. Juan Malnéro;.;...-..........: ••■57061 i D. Domingo de-Vengoa jao98.'24T D. Edmundo Bourke............'..s.f;.;i¡Ui; • 97333 25Í D. Joa…</t>
  </si>
  <si>
    <t>rd.............................. 66905 30 La real Calcografía................................. 451 Sv 1). Joset de Oro- y Gutiérrez............ 70920 D. Francisco de ia Quitiiaua............. 3g437 *7 D. Di UO T- i lesiílas............................. 900 0 D. Vicente Ruiz.................................... 90 Sí D J ost'f …</t>
  </si>
  <si>
    <t>-v de 5: expedido lias decretos $igui^nt#$:' ;h ;; nuestros reales'exércitos. •!&lt; _ &lt; ■ T. i Gran. cancillería dé la Orden ReaL de España, ©slettti; {D. Francisco), coronel dé'caballería, i -o &lt;Ed nuestro palacio' de Madrid á 18 de .jbnio Fernandez Navarrete^ D.; Marjtiteh o: -q !•» &lt; de i8-ro. ¿I .. -v'v- q r.tost» tiv !&gt;¡‘ …</t>
  </si>
  <si>
    <t>rida acepta la mis­ mero 1.° de la brigada irlandesa comandantes de ma capitulación que se ha concedido hoi 14 de ma­ batallón á D. Mariano De!és y á D. Francisco yo de 1S10 al castillo principal de la misma ciu­ Chamborán; capitanes á D. Hilario Féiix y á Don dad , firmada por el señor general García Conde, Andrés Russi; sub…</t>
  </si>
  <si>
    <t>uarnecida de diamantes. compañía de cazadores de montaña de infantería Jamas podremos olvidar una expresión que ca­ de la ciudad de Alcalá la Real: á D. Francisco racteriza la estimación qne S. M. I. hace de los ha­ Callaba teniente; y á D. Josef Muñoz subteniente bitantes de sn buena dudad de Rúan. Qoando el de la misma comp…</t>
  </si>
  <si>
    <t>s siguientes : „ Marques de Rivas. articulo 1. ,,Las islas de Walcherer», Sud- ^ D. Franchco Cavaleri. Bevdand , Nord-Beveland , Schouven y Tbolen, . D Francisco E»quivel. reunidas al departamento de los dos N.-thes por el — Marques de I car. are. ni del acta de las constituciones del 24 de D Gerónimo Moreno. abril de 18,10, …</t>
  </si>
  <si>
    <t>y Lentegi Estado. al ex-cap.h hiño D- Francisco Lozano: para la de En nuestro palacio de Madrid á 30 de janio Albuñue-.:s al ex-franciscano descalzo D. Francisco de 18.0. Castilla : para 1. de Tocon y Alornates al ex-carme- Don Josef Napoleón por la gracia de Dios y Ijta calzado D. Ju-*n de Torres y Xrmenez: para por la const…</t>
  </si>
  <si>
    <t>ba, de' 5 fanegas, que cerca de la noria, dé 34 fanegas y■ linda por oriente con un erial y tier­ - 2 estadales..^.......... &lt;58 , 1496, ra que labra D. Francisco, Linares..,. ' 68 ** Otra en la Espartosa, de 7 (anegas y.. .. .■ , Otra tierra entre viñas dé la Fuente vié- 159 estadales......... ......í... 268 .. 589* ’ já,’ d…</t>
  </si>
  <si>
    <t>. El cd- de la santa iglesia de Córdoba, qne obtenía el ex­ misarío general de policía y los miembros del con­ tinguido tribunal de la inquisición: á D. Francisco. sistorio ayudaron á poner las, piedras cúbicas » que María de Aiderete, presbítero, y ex-cartuxo del encerraban algunas medallas» entrevias que halda cxij|tgu¡do m…</t>
  </si>
  <si>
    <t>el regi­ miento dy repíea. guardias Walonas el empleo de comandante del primer batallón aí brigadier D. Fernando de Poulle : compañía de granaderos á D. Francisco cí* Ehautregard: ídem de cazadores á D. Dionisio de Bouiigni: idetn de fusileros á D. Román de Landaburu; primera ayundantía mayor á D. Augusto Barón de Roisin; pri…</t>
  </si>
  <si>
    <t>ienté cón' tier­ te con tierra del mayorazgo que* posee ra de D./Andies balcedo, y á mediodía D. Gabriel Montoyíy y -ál norte’con el con heredefos:de D. Francisco lierranz.... 39-*7 869 'cámino de lastímelas,-,..—,..»;—............... S6', **3* Otra inmediata á 4a anterior, en’ dicho sitio Otro majuelo donde llaírwn el lomo d…</t>
  </si>
  <si>
    <t>yor número de obreros para que esté concluida pa­ de Viena. Mr. dz Goroi, que estaba encargado de ra la entrada .del Invierno. ella, será el ayo del príncipe Francisco, hijo se­ Nuestra gendarmería persigue sin catar á loa gundo del Emperador. bandidos, que infestan algunos distritos de la SaSe dixo al principio que un archid…</t>
  </si>
  <si>
    <t>Fráncisco</t>
  </si>
  <si>
    <t>expediente que los vocales em­ barcados en dicha fragata eran él conde de Gimonde, el vizconde deQuintanillá, D; LorenzoBónifaz, D. Sebastian Jócano, D. Fráncisco.Cas­ tañedo y D. José García de la Torre; que la delación dada por D. Fran­ cisco de Noceda de que tenían como 300 baúles dé oro y plata era ca­ lumniosa; que según…</t>
  </si>
  <si>
    <t>cápitan de granaderos del mismo cuerpo $ y, esta resulta al agregado D. José Ignacio Gómez de Tersn. # . • fin atención á los servicios y méritos de D. Francisco.Ignacio de Ce­ peda , coróne 1 del fegimieqtq^prGvincial de Jaén, se ha dignado el Con^í sejo de Regencia nombrarle brigadier de infantería de sus excrcitos. t~r™ CA…</t>
  </si>
  <si>
    <t>r que el quartel general Para otro de la misma parroquial, vacante por estaba todavía el 21 en Celorico. Debe de haber muerte de D. Francisco Ruiz, á D. Francisco de error en la fecha de úna de estas dos cartas ; pero los Ríos, presbítero, teniente de cura de la parro­ no obstante tenemos por mas segura la siguiente: quial de…</t>
  </si>
  <si>
    <t>Gaceta de Madrid n.º 297</t>
  </si>
  <si>
    <t>de algún tiempo á esta parte. leja por un destacamento westfalíano. Los alrededores de esta ciudad se han hermo­ Asistió Carrillo á. las prisiones de D. Francisco seado infinito en este verano. Todo el sitio que Palomares, vecino dt T rreLguoa , i la del alcal­ ocupaban las antiguas fortificaciones está ya cu­ de del mismo pu…</t>
  </si>
  <si>
    <t>pitán de la gnardia cí­ conocer en los buques que están eo astillero, y re­ vica de Madrid. parándose, todas y cada una de las piezas de que Aguilar (D. Francisco), cónsul en Ñapóles. se compone un navio, su uso, su trabazón, su in­ Al barcal (Conde de), comandante de batallón de fluencia en la solidez de la construcción, el …</t>
  </si>
  <si>
    <t>f) , cabo de granaderos de nuestra Bardiiloo ( D. Pedro), granadero, ídem. guardia lea i. Baudri ( D. Fiacre), sargento de tirador**, ídem. Fúurnitr (D. Francisco), granadero, idem. Baznier ( D. Daniel) , .capitán de caballería ligera, Fuente Obrares (marques de), alguacil mayor de ídem. ' la audiencia de Aragón/ Beanx ( D. P…</t>
  </si>
  <si>
    <t>Liegeois (D. Juan), cabo de artillería , ídem. Rodríguez (D. Francisco), húsar de nuestra guar­ Lobis (D. Leopoldo), soldado de caballería li­ dia real. . gera , ídem. Roujeor (D. Pedro), granadero, idem. Lorieux ( D. Juao Bautista) , cabo de caballería li­ Ro</t>
  </si>
  <si>
    <t>Juan), capitán de tiradores en el Real cutar, se resista á aceptar este encargo, queda en Extrángero. el hecho &gt;nísmo privado de su pensión. Kottman (D. Francisco), teniente de tiradores, ídem. art. vn. No estaa comprehendídas en el pre­ Le-Roi (D. Juan Bautista), sargento de granade­ sente decreto aquellas congregaciones cuy…</t>
  </si>
  <si>
    <t>Ignacio), capitán del regimiento es la descripción de los lugares pintorescos que suizo. ofrecen ¡as. montañas de Dourefuldt, llamadas con Callejas (D. Francisco), capitán del regimiento de razon los Alpes de la Noruega.. En medio de ellas Castilla , i.° de infantería ligera. está la magestuos'a pirámide colosal de Schueckoct…</t>
  </si>
  <si>
    <t>ego , en Za­ • * ; ’ ey tín de Mena, y 3 marjales da mora , linde con Josef Cariego, en ia cuesta de Már­ masco y cuesta de las Animas, quez, linde á D. Francisco arrendados á Antonio Medi­ Ortega, y paga por los la na en...............i....................... 309 3600 marjales........... ...................... 7 09 8409 Cinc…</t>
  </si>
  <si>
    <t>Francisco, Juab</t>
  </si>
  <si>
    <t>Juab Francisco</t>
  </si>
  <si>
    <t>ge.” Peraldel (D. Claudio), sargento de tiradores de nuestra guardia rea). Pettetier ( D. Miguel ) , sargento de idem , idem. v VARIEDADES. Pintado ( D. Juab Francisco) , teniente de navio retirado. Continúa ti artículo de ayer» Plaza (D Juan de la) , cónsul eo Bayona. De los alimentos. Focrot (D- Vicente), cabo de granaderos…</t>
  </si>
  <si>
    <t>Francisco-Casero, Juan</t>
  </si>
  <si>
    <t>Juan Francisco-Casero</t>
  </si>
  <si>
    <t>-i’- i * D.'Júan Estiban Chico, «x-regular1” .G tinos calzados#... 44»bo Jde S. Francisco de ‘Paula.44000T .CI D. Bcrnardino Gonzalez+'dé S. Ba- ’’ - D. Juan Francisco-Casero, ¡dvtr¡ri¡-! ■;--'[ -** sillo......... ...............* 44000 ' tirio calzado...w»v.iv.v,- D. Josef Solaegui-é Iba»ra- de ca— ' D. Pidfo Giraad-de *ViHe…</t>
  </si>
  <si>
    <t>Franco, Manuel</t>
  </si>
  <si>
    <t>Manuel Franco</t>
  </si>
  <si>
    <t>Gazeta de la Regencia de España e Indias n.º 102</t>
  </si>
  <si>
    <t>953</t>
  </si>
  <si>
    <t>953 El 8 del corriente entraron aquí 5 maletas grandes , 2 de Francia y 3 de Madrid, interceptadas entre Guarroman y Baylen por el subteniente D. Manuel Franco, comandante de una partida y comisionado al efecto por D. Melchor Andario, ayu­ dante general de la dirección de guerrillas. El correo que las conducía , ilevaba de es…</t>
  </si>
  <si>
    <t>Franco, Pedro</t>
  </si>
  <si>
    <t>Pedro Franco</t>
  </si>
  <si>
    <t>........—4» * ayió.. 7 ' * La casa de Aguirrp. é hijos...................... idoodo D. Ramón Ruiz........ ..........-v.....—•—;,i'» ■ * • ; .565-29 J D. Pedro Franco.................... ................ *3843* *3 Dr Cipriano Josef Salinero........ ........ ■ I &gt; i390.il 2 T Dovat, hermanos .y compañía........................ …</t>
  </si>
  <si>
    <t>Franco, Rafael</t>
  </si>
  <si>
    <t>Rafael Franco</t>
  </si>
  <si>
    <t>95. — Guanacevi. El subdelegado D. Pedro Carrete, 25. El cura D. Igna­ cio Colon, 15. El teniente cura Fr. Juan Bórica, 10 D. José María Sánchez, 12. D. Rafael Franco, 15 D. Manuel Camarero, 25. Don Pedro Barraza, 12. D. Rafael Lara, 5. D Rafael Sánchez A varez, 12. V^ios individuos, 63. — Cuencamé. El subdelegado D. José Mar…</t>
  </si>
  <si>
    <t>Francrco</t>
  </si>
  <si>
    <t>d. su discurso a la universidad y colegios. Leí Gai (Andrés), volteador de la guardia real. ,,la ignorancia solo es útil para los tiranos. Govantes ( D. Francrco). La basa mas tic me de un gobierno justo y lioeral Gor (el duque de), capitán de la guardia noble de es ía-iiiátriic’cion nacional en todos los conocimien­ Granada,…</t>
  </si>
  <si>
    <t>Franep, Pedro</t>
  </si>
  <si>
    <t>Pedro Franep</t>
  </si>
  <si>
    <t>licarD. Salvador Souiats..——...i.¡..... ■ -34.29. i7 po'de vt^uijojír........................... Vt D. Domingo de Gefe y Bueno.w..v.... .v dióf* i,7' D. Pedro Franep:;.;d;;........v...'.C..'...í! x4478 ,23" Doña: María CtuzSancho...-.w.v.&gt; •■**••• *' át66. D. Vicente Goiiziiez Arnao..,.... .;,.; 5470 aó ‘ D.Francisco SaenzRui…</t>
  </si>
  <si>
    <t>Frao</t>
  </si>
  <si>
    <t>ana la ópera tercer SaraiJon de r '•adores Je la misma á D. Ma- bufa en dos actos titulada1 el Príncipe de Taranto, in­ nuel B-r'-''" Jos ayudantes á D. Frao- termediada coa el bolero. j ^ntjr'es; primero y segunebeo Ortea y D. Ju a - . re„¡n?¡eoto de caba- En el de Ja Cruz, á las ocho de la noche . s- execudo ayudante' de ci…</t>
  </si>
  <si>
    <t>Fraser</t>
  </si>
  <si>
    <t>yos, que todos componen 25 00 eu­ bién por la misma ciudad coa pliegos para París. ropeos y 2© cipayos. El coronel Campbell man­ da la vanguardia. El coronel Fraser es el oficial mas antiguo de los de la expedición ; pero luego que ESPAÑA. •sta llegue á la isla de Rodrigo, debe tomar el SeviUa * de octubre. mando el coronel K…</t>
  </si>
  <si>
    <t>los regimientos 6 y 8 de Cipajros : todo compone un cuerpo de 1800 «europeos y 1850 indios. El teniente coronel Campbell manda la brigada ligera; el teniente coronel Fraser era el oñcial mas antiguo; pero al llegar la expedición debía tomar el mando el teniente coronel Keating. La Vorisel Diomedcs y el Ceylan escol­ taban la …</t>
  </si>
  <si>
    <t>Frasno, Ramón de Loya y IX Miguel</t>
  </si>
  <si>
    <t>Ramón de Loya y IX Miguel Frasno</t>
  </si>
  <si>
    <t>320</t>
  </si>
  <si>
    <t>ente de. la escolta los coroneles D: Matías Torres y D. Joaquín Gómez, enviando entre tanto á ocupar el paso de Piraenellos á los tenientes coroneles D. Ramón de Loya y IX Miguel Frasno. Los enemigos intimidados 'marcharen oblicuamente sobre su iz­ quierda para ocupar uaa altura que había á retaguardia-; pero fueron atacados-…</t>
  </si>
  <si>
    <t>Fraxno, Juan</t>
  </si>
  <si>
    <t>Juan Fraxno</t>
  </si>
  <si>
    <t>a Zarago­ za, y tomaron el camino del Frasno. En él los atacó de improviso el batallón de cazadores de Cariñena á. las órdenes de su sargen­ to mayor D. Juan Fraxno , sostenida.por un destacamento de ca­ ballería, y por ei teniente coronel D. Teodoro Nogúé's que se había situado en otros puntos oportunos. Los enemigos después…</t>
  </si>
  <si>
    <t>Frec</t>
  </si>
  <si>
    <t>de julio. persona en ctlyo poder pararen, las entregue ó remita al citado D. Josef Antonio de Avila, en Granada, ó; El corsario francés la Amelia, su capitán Frec- al expresado D. Andrés Moratt, que vive en la- plason, ha vuelto á entrar en el puerto Dellzil, eU xuela del Angel, casa núm. 23 , quarto principal. Frisia, despué…</t>
  </si>
  <si>
    <t>Freií</t>
  </si>
  <si>
    <t>9-y 3- ts-, — yuta HéV Jüqtnhre de Djp$¿ D. Jijan: Amonio Yandiola^ 5a íy&amp; Jasé Antonioi^o-1 pena,; 59. ,D. Domingo., Sarácho , 10. Ramón; Gár&amp;y^lio. D. Freií-; ci$co Antonio Saenz, 25*. D. Bernardo Fernandez ,-2-5". DrPedro Colfófftes, 10. D. Juan Miguel Lavayen, 25. .D. Berharcío «Mires, 3a D. José Hilario Rodríguez, 10. D.…</t>
  </si>
  <si>
    <t>Freire, Manuel</t>
  </si>
  <si>
    <t>Manuel Freire</t>
  </si>
  <si>
    <t>xpresiones don qne es­ ual (6) Dios guarde á V. S. muchos años. Mur­ tá concebida, y según el resultado de Conferencia cia ai de abril de i8to. = Sr..D. Manuel Freire/' verbal que ba tenido el Señor general con el señor \ CO Te hace seguramente el honor que no merece,' esto se interesa la deférisa de la patria y de íá liberta…</t>
  </si>
  <si>
    <t>Frent</t>
  </si>
  <si>
    <t>,,Las. cartas de Oporto anuncian que allí se reme que la división del general Junot no avance GRAN BRETAÑA* ¿ esta" plaza por el camino de Zamora. El general Frent ha salido para ponerse al trente de 14® hom­ Lóndtes uj d* agosta. bres de milicias, é impedir la marcha del enemigo; Ayer se han repartido las cartas que llegaron…</t>
  </si>
  <si>
    <t>Frere</t>
  </si>
  <si>
    <t>es á lá seghrída ideta} doftde'está ua , con ei regimiento de Fernando y muchos so­ ¿1 fnerte. Aterrados los españoleó def ¿trójó dé 'es­ matenes. El general Frere, que estaba en Labisba!, tas tropas, pidieron- capiruLeion, sft1 embargo dé recibió orden de marchar á atacar á este cuerpo,: que oenpaban uoa posicion irtaccesib …</t>
  </si>
  <si>
    <t>a: sus prisioneros dicen que aun es mayor. La del exército anglo-lusitano no pasa de $00 hombres. El general francés Merle está gravemente herido: el general Frere se dice que ha sido muerto.—Massena no se aí re -</t>
  </si>
  <si>
    <t>En ios negocios de España se ha manifestado eran uniformemente Lisas. mas claramente que en otras ocasiones un rasgo Tara completar La infatuación el ministro Frere, que caracteriza al gobierno británico en todas sus qae se hallaba en Madrid, se indispuso con el ge­ empresas , y consiste en las grandes cantidades de neral del…</t>
  </si>
  <si>
    <t>Freyre</t>
  </si>
  <si>
    <t>ado de defensa (9): se activa el armamento de cha­ lupas cañoneras y bombarderas, y quando se hayan juntado (4) El exército del centro mandado por el general Freyre, que estableció su quartel general en Elche con motivo de l&amp; irrupción de Sebastiani j y con esta sabia posición obligó d los franceses d evacuar la provincia , c…</t>
  </si>
  <si>
    <t>es 4 y al general Sebastiani no le pueden quedar dudas acerca de la disposición de los ánimos de toda la provincia. Nuestra caballería mandada por el general Freyre, se ha­ bía puesto en movimiento el 31 de agosto, y seguía de cerca al enemigo. El mismo día. que este salió de T orca, entraron nuestras guerrillas mandadas por …</t>
  </si>
  <si>
    <t>Fri</t>
  </si>
  <si>
    <t>que le hirió de dos bayonetazos: pero logró derribarlo, y qui­ tarle la bayoneta. Iba á matado : pero eí francés le piolóle perdonase ia vida por su rey Fri.ruando yir, y Vias no solo se 1a concedió , sino que tambiti; lo defer.cnó de la furia de íes demas paisanos. D. Juan Jaer?, comandante del centro, d* pane que Roc.ee de …</t>
  </si>
  <si>
    <t>Friand</t>
  </si>
  <si>
    <t>1099</t>
  </si>
  <si>
    <t>, nos da una idea mui exácta acerca del por la Batiera , están todavía ocupados por la di­ estado actnal de sus relaciones con la Puerta : visión del general Friand ; pero las autoridades bá- „ Habiéndome concedido S. M. el permiso de varas continúan como antes exerciendo todos los volver i Inglaterra, os advierto que á no se…</t>
  </si>
  <si>
    <t>Friant</t>
  </si>
  <si>
    <t>ockolmo 4 defebrero. ‘ Alcmatda septeottio^al, Jas divisiones de los geoeEn 1% asamblea de lo? estados del reino cale» r^ies Qu.dío,y; Mojand, Xa del general Friant irá, brada el.du. ¿4 del mes anterior, el Re.i , después seguu díceft. á. Ip»,.esta¿l,os de Falda, y de Hanau. de haberan oficiado que adqpiaba por hija al Prín­ …</t>
  </si>
  <si>
    <t>ía por decoración En las cartas de Nuremberg se vuelve á hablar y juicio del tribunal del Reí de Inglaterra , y por de nuevo de la salida próxima del general Friant una órden del gobierno francés. Inmediatamente para las provincias ilíricas. que espiró llamaron al padre Elíseo, y e tc se que­ Todas las tropas francesas del pa…</t>
  </si>
  <si>
    <t>omar en el extran- Se conceden much.s licencias por seis meses á gero. Los principales cambistas de esta capital con­ los militares de la dividen del general Friant. que tribuirán con todo su crédito para asegurar el pago está acantonada entre Ulma y Constanza. Unos van de dichos préstamos. á Francia y otros al Píamente. Aunq…</t>
  </si>
  <si>
    <t>ha llegado ayer SAXONIA. á esta cindad, y hoi llegará el 33.0 de línea. Los Leijjstófí 12 de octubre. otros tres cuerpos que componen la división del general Friant » á saber : el regimiento ti 1, el Créese que el Reí abrirá la dieta saxona» cuya 108.0 y el 48.° están etí marcha para las inmedia­ abertura se ha fixado definit…</t>
  </si>
  <si>
    <t>e reposo , tomarán qaanlo antes quarteles de invier­ compone en el. dia de quatro 'divisiones: la del no para prepararse á empezar de nuevo la guerra general Friant está en camino para el norte de Ale­ á la primavera , dado qne la paz 00 se ajaste an­ mania : la del general Gódin ha pasado de Hauuó-</t>
  </si>
  <si>
    <t>Fririon</t>
  </si>
  <si>
    <t>to ha sido re­ visión Legrand, que manda el 4.0 cuerpo por au­ cibido al entrar en territorio austríaco y en todos sencia del mariscal Masseoa , y el general Fririon, los pueblos de su tránsito hasta Viena con todos gefe del estado mayor, llegaron ayer á esta ciu­ los honores debidos á su dignidad. Nuestros minis­ dad, y maña…</t>
  </si>
  <si>
    <t>Froment</t>
  </si>
  <si>
    <t>on las armas en la mano. En­ tretanto muchas colimas bá,varas atraviesan el Tirol setentrional pañí completar el desannamentode.lcss .habitan tes. El general Froment ha recibido orden, de situarse en, el valle superior del Inn, para uue reunido,allí con el general lpáyarq barón-de IlecbbeTg pueda establecerse la camunicaciou.…</t>
  </si>
  <si>
    <t>Fru</t>
  </si>
  <si>
    <t>otas. ¿tyamonte 31 de mayo. ,,T a diputación de Madrid , dice la gazeta de Sevilla del 3 de este mes, compuesta de los quatro regidores mas antiguos, D. Fru­ tos Alvaro Benito , D. Martin de Huici, D. Manuel García de la P a la y D. Tadeo Bravo del Rivero, después de cumplimentar á S. M. (José Bonaparte) por haber hecho la co…</t>
  </si>
  <si>
    <t>Fruncís</t>
  </si>
  <si>
    <t>diciembre, del comüinnaao de aquella dudad D. Juan Pérez Claras un_oficio, en el qual, expre­ sando en su nombre y en el de su compañero el ca nónigo D. Fruncís-</t>
  </si>
  <si>
    <t>Fuentes, Antonio</t>
  </si>
  <si>
    <t>Antonio Fuentes</t>
  </si>
  <si>
    <t>. Pedro M-ría Brost. D. Pedro San Miguel. I&gt;. Josef Perez Azofra. Batallón del quartel de Avapies. D. Pedro Rubio, hijo. Capitanes. D. Angel Machado. D. Antonio Fuentes. El marques de C &lt;mpo Villar. D. Bernabé Fuentevila. El marques de Cevados. D. Agu stin Chavarri. D. Mari, no Villodas. D. Faustino de Nieva. D. Bernardo Dios…</t>
  </si>
  <si>
    <t>Fuentes, Atilano</t>
  </si>
  <si>
    <t>Atilano Fuentes</t>
  </si>
  <si>
    <t>go mejor. He aqui los panes mes para servir la primera sacristía de ia parroquia publicados desde el sábado hasta el día de hoi. de ia citada villa ú D. Atilano Fuentes-, ex-fradr Windsor 10 de noviembre por iá tarde. ciscano observante , lector que fue de teología en „S. M. se halla en el misino estado en que se su orden; y …</t>
  </si>
  <si>
    <t>Fuentes, Francisco Josef</t>
  </si>
  <si>
    <t>Francisco Josef Fuentes</t>
  </si>
  <si>
    <t>spíritu público, y del zeio de los mamima audiencia á D Ju.n Antonio Almagro , y gistridos y gente acaudalada , especialmente en í ñ&lt;cal del crimen á D Francisco Josef Fuentes. Fernán Nuñez , Montil'a1, Aguilar, Puente Don Asimismo ha nombrado á P. Adrián Marcos Gonzalo , Lucena y Rute. Este ú timo pueblo, Martínez juez de la…</t>
  </si>
  <si>
    <t>Fuentes, Juan Sabina</t>
  </si>
  <si>
    <t>Juan Sabina Fuentes</t>
  </si>
  <si>
    <t>rigiíi, se ha encargado de presentar á S. E. &lt;1,mi­ D. Juan Sabina Fuentes está nombrado capitaní nistro de lo Interior cinco libras de dichos granos» D. Pedro Caralla teníeute, y D. Bernardo Gon­ y otra pequ.eña cantidad á la sociedad de agri­ zález subteniente.. ... cultura. % ' . &gt; art. ni. En el batallón de milicia fcívic…</t>
  </si>
  <si>
    <t>Fuentevila, Bernabé</t>
  </si>
  <si>
    <t>Bernabé Fuentevila</t>
  </si>
  <si>
    <t>ef Perez Azofra. Batallón del quartel de Avapies. D. Pedro Rubio, hijo. Capitanes. D. Angel Machado. D. Antonio Fuentes. El marques de C &lt;mpo Villar. D. Bernabé Fuentevila. El marques de Cevados. D. Agu stin Chavarri. D. Mari, no Villodas. D. Faustino de Nieva. D. Bernardo Dios dado. D. Mateo Casado. D. Ji-sef Ibaceta. D. Joa…</t>
  </si>
  <si>
    <t>Fuertes, Tomas Linacero</t>
  </si>
  <si>
    <t>Tomas Linacero Fuertes</t>
  </si>
  <si>
    <t>00. D. Ma­ nuel Fopiano, roo. Conde de Fernan-Nuñez, 6co. D. Dionisio Antomío de Ugarte, 2000. Cardenal de Barbón, 4000. Condesa de Chin­ chón, 20CO. D. Tomas Linacero Fuertes, 300. D. Casimiro Salvoechea, 400. El padre y madre de r6 hij$s, 200. Conde de Noblejas, 94. El mismo, en una letra á cargo de la dirección de reales p…</t>
  </si>
  <si>
    <t>Fulgencio</t>
  </si>
  <si>
    <t>experiencia que lejos de precaver ¿I Rhode ( D. Claudio), cabo de granaderos, idem. las enfermedades , predisponen las constituciones &amp; Riva Agüero ( D. Fulgencio de la ), capitán de la padecerlas y á ser víctimas de ellas; y asi debe guardia cívica de Madrid. aconsejarse í los obreros que prefieran á tas frotas Robaiet ( D. …</t>
  </si>
  <si>
    <t>Fur</t>
  </si>
  <si>
    <t>ontra d corsa­ S. Al. se puso inmediatamente una de estas ties ria quedó mui maltratada en su casco v arbr,lacondecoraciones , y dió ias otras dos ai conde Fur- dura. Los masóles de la Juno han quedado tam­ tenstein, ministro secretario de Estado y de Re­ bién hechos pedazos , y ha unido ademas dos hom­ laciones exteriores , …</t>
  </si>
  <si>
    <t>Furheim</t>
  </si>
  <si>
    <t>isa­ cia :de mantenerse no poco inas lejos. rios generales ó prefectos de los departamentos aun no se han publicado: sabemos.sin embargo el del señor conde Furheim para Munich , cldel señor ESPAÑA barón de Weichs para Ratisbona, el del señor . ' Madrid ap de octubre. barón de Gravenrenth para Eíchstaedt 1 y el del , señor bar…</t>
  </si>
  <si>
    <t>Fursvaros</t>
  </si>
  <si>
    <t>de , Minucci, ronel-general Morio repetía las voces del mando. Bekers, Isemburgo y otros oficiales superiores bá- Después de las evoluciones S. E. el conde Fursvaros en recompensa de sus buenos servicios , y tein entregó á S. A. R. la gran cruz de la orden de lo mucho que se han distinguido en la última de la Corona de Westfa…</t>
  </si>
  <si>
    <t>G, Antonio</t>
  </si>
  <si>
    <t>Antonio G</t>
  </si>
  <si>
    <t>cisco Diez. El conde de S o Rafael. D. Francisco García. Marques de la Cerrezuela. D. Manuel Palomera. D. Vicente Navajas. j D. J&lt;vef Fernandez Caso. D. Antonio G.rcía Vargas. D. Higinio Zazo de Lares. D. J ulian de Fuentes. D. Francisco Bezares. D Julián Saez. Tenientes. D Juan Roca. D. Tomas C.mpillo. D. Manuel López. D Ram…</t>
  </si>
  <si>
    <t>G, Camilo</t>
  </si>
  <si>
    <t>Camilo G</t>
  </si>
  <si>
    <t>os, se tomaron Ü.eshaiies, 3-4 cafcatísrlgs ma­ yores y menores cargadas de trigo, sin mas pérdida de Xúr.enez que un caballo mue-to y otro herido. ' D. Camilo G; mez, comandante de otra partida, llegó el cía 8 de diciembre último 'alas murallas de Avila, en donde cogió el caballo y muía del gobernador , y el caballo Re -suce…</t>
  </si>
  <si>
    <t>G, Gaspar</t>
  </si>
  <si>
    <t>Gaspar G</t>
  </si>
  <si>
    <t>Fernun Rodríguez. , -...Teniente, D. Alfonso Aguado.’ _‘ ’ Teniente D. Antonio Vargas. - . . &gt; Subteniente, D. CuÍlYeunptIJerez V^Jásco* Subteniente, D. Gaspar G’atveJt''1" t Compañía de Vilíantieva dé la JCañada Compañía de Alcatd de d loo plazas. * de a toó'plaídíí' tV‘ ' ' ■’ Capitán, D. Lorenzo de lá Torre, Y'~ Capitán, D…</t>
  </si>
  <si>
    <t>G, Josef Antonio</t>
  </si>
  <si>
    <t>Josef Antonio G</t>
  </si>
  <si>
    <t>7 200 de las.palabras que pronuncian. D. Luis de Sujo.......................................... 0Ó¿4 En la gramática hai que considerarlas cosas qu^ D. Josef Antonio G¡r-rd......................... 9cl&gt; son comunes á todos ios idiomas, y lasque son pe­ D. P'runcbcQ López Nuñez.................... I’7 5° culiares de cada uno e…</t>
  </si>
  <si>
    <t>G, Juan</t>
  </si>
  <si>
    <t>Juan G</t>
  </si>
  <si>
    <t>Je poca disdiplina, D. Bartolomé Reguera. ,,Se ha dado aqo¡ orden de preparar en el hos­ D. Diego Per. z. pital de marina camas para 2 $0 enfermos/' D. Juan G 'ozaiez. D. F&gt; añasco Martínez. IMPERIO FRANCES. art- m. Eo D viiD de (as Cabezas se forma­ rán dos compañías. Fecamp 1 a de noviembre. Quedan nombrados capitanes de es…</t>
  </si>
  <si>
    <t>G, Luis Mnller y Don Jaime</t>
  </si>
  <si>
    <t>Luis Mnller y Don Jaime G</t>
  </si>
  <si>
    <t>re y del trinca , y por el infantería Real Extrangero á D. Santiago Bossu gobernador de la plaziydel castillo. = Firmados = comandante de batallón; á D. Luis Mnller y Don Jaime G írela Conde. — Josef González. = Aproba­ Amonio Gieitz tenientes; á D. Cristóbal Sehmit do por el general eri gífj del tercer cuerpo del ejér­ y D. …</t>
  </si>
  <si>
    <t>G, Melchor</t>
  </si>
  <si>
    <t>Melchor G</t>
  </si>
  <si>
    <t>o. dia cívica de esta ciudad D. Juan de Molina. £1 dia 7 de abril se presentó á S. M. en Cór­ doba la diputación de la villa de B*ena, compues­ ta de D. Melchor G ¡mez de Ceialla , corregidor TEATROS. .y alcalde mayor; D. Josef Espinosa, regidor, y En el del Príncipe, á Jai ocho de la noche, te re­ D, Josef Villareal, síndico…</t>
  </si>
  <si>
    <t>G, Miguel</t>
  </si>
  <si>
    <t>Miguel G</t>
  </si>
  <si>
    <t>de encerados , ni de cam­ vidos D. Antoni^ deNuerosá comandante de1* ba­ panas: el buen éxito de esta cosecha se debe prin­ tallón en la vacante de ’D. Miguel G^rin ; D. Jo­ cipalmente á la preparación que supo dar al terre­ sef María de la Peña, teniente agregado, á ayu­ no que destinó para esta producción. dante segundo. . …</t>
  </si>
  <si>
    <t>G, Vicente</t>
  </si>
  <si>
    <t>Vicente G</t>
  </si>
  <si>
    <t>...................... 3 8c 17 en las Cinco-Villas, la que ha concluido eon in­ D. Josef Lacroust................ 1230 27 teligencia y actividad. Sr. D. Vicente G mzilez Arnao........... 26100 Quartel general de Teruel 25 de diciembre de D. Antonio S únz de Ri zas.................... 1930 1809. = El conde Suchet. D. Manuei Hu…</t>
  </si>
  <si>
    <t>G-avert</t>
  </si>
  <si>
    <t>e la globosa batalla de Doggcrsbank, ca ia que día y en el siguiente recorrió S. A. R,, acompa­ se distinguió tanto este almirante. ñado del teniente general G-avert, los campos de batalla ó de exercicios de esta ciudad y de Leu- PROVINCIAS ILIRICAS. then: en la noche del martes fue al te-tro, donde Trieste 2 de mayo. - . se …</t>
  </si>
  <si>
    <t>Ga, Tomas</t>
  </si>
  <si>
    <t>Tomas Ga</t>
  </si>
  <si>
    <t>Mr. Canning por Mr. Joaquín Romero, teniente D. Rafael Saez, otro, Benjamín Bathurst, enviado de Inglaterra, en la D. Florencio Barcena , subteniente D. Tomas Ga­ corte de Vierta, su fecha en Buda a 20 de setiem­ lludo, otro, D. Torquato Herrera. bre de 18 os1. Segunda ídem. Capitán D. Josef Granados , te­ En una conferencia …</t>
  </si>
  <si>
    <t>Gaaan</t>
  </si>
  <si>
    <t>lo interior del pais , respecto k que el 19 de mayo marchó de Sevilla há.cia Moron un cuerpo de 2500 á 30 hombres pertenecientes á la di­ visión del conde Gaaan, que venia de la orilla izquierda del rio. Ei 23 llegaron de aquella parte algunos carros de heridos ; y el mismo dia se cerraron , y no han vuelto á abrirse Varias d…</t>
  </si>
  <si>
    <t>Gabiria, Manuel</t>
  </si>
  <si>
    <t>Manuel Gabiria</t>
  </si>
  <si>
    <t>Avapies. Estado Capitán, D. Pedro María Iribarren. En nuestro palacio de Madrid á 19 de mayo Teniente , D. Miguel de Castro. de i 81 o. Subteniente, D. Manuel Gabiria. Don Josef Napoleón por la gracia de Dios y por la constitución del estado, REI de las Espa- Batallón del quartel de S. Gerónimo. ñas y de las Indias. Capitán, …</t>
  </si>
  <si>
    <t>Gabriel</t>
  </si>
  <si>
    <t>t. in. Nuestros ministros de Negocios «cié. D. Joséf-Rtalz Pareja. elásticos y de Hacienda quedan encargados y cada Pará lamele Orxíba al e*-gerónimo D. Gabriel uno éo la-parte que le toca , del cumplimiento de Granétf. ' este -decreto: = Firmado es YO • EL- R-EI.= Por Parala dé la Alhambra de Granada al ex-ge- S. M. su_ mini…</t>
  </si>
  <si>
    <t>al de hospitales militares del de nuestra guardia real. ' reino. Kasler (D. Juau Bautista), idem. Ciouet (D. Ana Lois Antonio)comandante de Labreche (D. Gabriel), teniente de tiradores de ingenieros de nuestra guardia real. idem. Danís (D. Juan), sargento de caballería ligera, idem. Labrousse (D. Miguel), sargento de caballer…</t>
  </si>
  <si>
    <t>Gabrieli</t>
  </si>
  <si>
    <t>pal in­ dida por el intendente del tesoro de los departa­ dustria y recurso para la subsistencia de sus mora­ mentos de Roma y Trasimeoo. dores. * El príncipe Gabrieli ha sido nombrado direc­ Esta empresa fue acertadamente confiada al ma­ tor, y adjuntos el príncipe de Sta. Cruz y Save- riscal de campo D. Josef Leopoldo de Ha…</t>
  </si>
  <si>
    <t>Gadea, Victoria</t>
  </si>
  <si>
    <t>Victoria Gadea</t>
  </si>
  <si>
    <t>K1 6 D. Patricio Diez. Porrua, id. de tri- - D. Santos Ortíz.................. 6oc-5'i ’ 6 hitarlos calzados............................... 44000 - ' Doña Victoria Gadea......................... 6700o-'-' D. Ignacio» Peña, de dicho convento. 44000’- ■ D.’António ■ .* 72900 D. Luis Sgarez ..Ribera, de benedic­ Doña Mana Andrea…</t>
  </si>
  <si>
    <t>Gaditzia, Francisco Man</t>
  </si>
  <si>
    <t>Francisco Man Gaditzia</t>
  </si>
  <si>
    <t>vuelto á Skolc, Stnolna, cadete, D. Pedro Gerona, cadete , D.. Agostía Drohobieiz y Sambor por las ferrerías y salinas de Viado , D. Antonio Vázquez, D. Francisco Man­ Gaditzia. Un ingeniero de la comitiva iba dibuxaa- tilla y D. Francisco Viado. do todos los objetos dignos de aleación. Después de la satisfacción que tuvo el …</t>
  </si>
  <si>
    <t>Gagarin</t>
  </si>
  <si>
    <t>1321</t>
  </si>
  <si>
    <t>e este mes pasó el Sond el conde denhagen. También han hablado con mucho miste­ Fagani, consejero de Estado del reino de Italia, rio de la misión del príncipe Gagarin , siendo asi el qual viaja á exemplo de Howard para visitar en que no ha traído otro objeto que el ce dar el pé­ el Norte las cárceles, y sobre todo las casas d…</t>
  </si>
  <si>
    <t>Gagiola, Francisco</t>
  </si>
  <si>
    <t>Francisco Gagiola</t>
  </si>
  <si>
    <t>Gil, 30 , D. Blas A-yarez, 52. D¿ CriscóbailPerez, 15Ó:• D^abriel rez, 25. D. José ..Suarez, 13. D. Vicente: Rodríguez , 10 Dájosé Áná3nib? Gil , 12. D. Francisco Gagiola, 10. D* Secundino Gil ,18 D. José Ma.riá Viniegra, 12. D José Antonio Sandoval , 79. D Hermenegildo Perez, 25. Va:ios vecinos, 60.--S. Dimas- D. Franc'sco -…</t>
  </si>
  <si>
    <t>Gai</t>
  </si>
  <si>
    <t>eses han desistido de so empresa con­ dignado admitir la dedicatoria de una obra que ha tra Malamocco y Chlozza. Harr tirado contra estos -escrito el doctor Gai contra el uso de la sangría, dos puntos algunas bombas y cohetes á la Coti- y ademas h,a enviado al autor uua medalla de oro greve, los quales no han hecho daño ningu…</t>
  </si>
  <si>
    <t>llegase á prevalecer algún mo D. Juan Brousse. dia, y se reconociese el abuso contra el qual de­ clama , entonce; será necesario añadir el nombra del doctor Gai al de los perseguidos apologistas del antimonio, de la quina y de la inoculación. &gt; VARIEDADES. bellas artes. ESPAÑA. Colección de las obras de pintura, escultura, ar…</t>
  </si>
  <si>
    <t>Gai, Anselmo</t>
  </si>
  <si>
    <t>Anselmo Gai</t>
  </si>
  <si>
    <t>a. IMPERIO FRANCES. Por decreto de 31 del mismo mes se ha servi­ do S. M&gt; nombrar mayor del regimiento de húsa­ Brest 11 de mayo. res de su guard¡3 á D. Anselmo Gai : capitanes á El general Cafarelli, prefecto marítimo, ha he­ Di Ignacio Calvo y D. Antonio Caraza: tejientes cho insertar en el diario de nuestra ciudad las no­ …</t>
  </si>
  <si>
    <t>Gai, Juan Antonio</t>
  </si>
  <si>
    <t>Juan Antonio Gai</t>
  </si>
  <si>
    <t>onia-Cobourg. Por S. M., c: i.iimstro secretario de Estado = Fir­ Acaba de publicarse aqu¡ una obra compuesta mado = Mariano Luis de Urquijo.” por el doctor Juan Antonio Gai , con el tirulo de La sangrís reducida á su mas simple expresión. Por decreto de 17 del cortiente S. M. se ha Este anuncio algebráico no indica sin embar…</t>
  </si>
  <si>
    <t>Gaiaza, Gaviao</t>
  </si>
  <si>
    <t>Gaviao Gaiaza</t>
  </si>
  <si>
    <t>al brigadier D. Vi­ cente María de Maesas : confiriendo S. M. también el empleo de co-&gt; ron-cl del regimiento de infantería real de Lima al cor¡onel D. Gaviao Gaiaza, teniente coronel agregado al mismo cuerpo. Continúan los donativos de varios españoles dignos de este nom­ bre, y S. M al mismo tiempo.que ha recibido coa el ma…</t>
  </si>
  <si>
    <t>Gaicia, Tomo</t>
  </si>
  <si>
    <t>Tomo Gaicia</t>
  </si>
  <si>
    <t>arta de Cereced........... . -s t J Dofv. María Otiz..... ‘............................ 1714 25? D. Frutos Alvaro Benito.................... 24912 17 D. Tomo Gaicia l’rieto.............. ......... 45 12 *7 D. M .mud Celestino Carrusel-........ . 6390 D. Manuel Moresqui.............................. 1I37l 17 D. Juan Ramón ele …</t>
  </si>
  <si>
    <t>Gaidirigidas, JosefJoaquín</t>
  </si>
  <si>
    <t>JosefJoaquín Gaidirigidas</t>
  </si>
  <si>
    <t>ue del fuego de las rectoría-de ¡aparroquia de S. Joan de dicha ciudad/ baterías del exército francés del primer cuerpo, vacante por fallecimiento de D. JosefJoaquín Gaidirigidas contra el fuerte de Matagorda 4 ha sido tan, Al’presbítero *D. Rafael Muñoz y Mantera. este evacuado á las 11 de la mañana del 22. Las Para el quart…</t>
  </si>
  <si>
    <t>Gainbus, Francisco Esréban</t>
  </si>
  <si>
    <t>Francisco Esréban Gainbus</t>
  </si>
  <si>
    <t>a de estar en la augusta presencia de V. M. España , arcediano de Ubeda, y dignidad mayor de venimos en representación de la M. N. y antigua ella , y D. Francisco Esréban Gainbus , canónigo. ciudad de Baeza á reproducir los mismos votos y sinceros sentimientos de fidelidad , obediencia y Por la colegial de S. Andrés. amor á V…</t>
  </si>
  <si>
    <t>Gaitan, Alonso Román</t>
  </si>
  <si>
    <t>Alonso Román Gaitan</t>
  </si>
  <si>
    <t>iente de corregidor. reno Rubio, escribano de ayuntamiento, y Don La diputación de Pedro Abad se componía de Mateo Ruiz, por el gremio de labradores. D. Alonso Román Gaitan , alcaide mayor; Don D. Antonio Gil, alcalde mayor de la viü#de Fernando Perez y D. Jacinto del Castillo, dipu­ Tobaruela, se presentó á S. M. en nombre d…</t>
  </si>
  <si>
    <t>Gaizaburuagá, Feliciano</t>
  </si>
  <si>
    <t>Feliciano Gaizaburuagá</t>
  </si>
  <si>
    <t>. D. Manuel de Ulibarrí. ........................................ .......... . D.‘Buenaventura, MofeúO. Noveno Batallón. . "V ' Para ayudante primero D. Feliciano Gaizaburuagá, y‘para abanderado D. Manuel Moresqui; D. JoseF Palafói...'.................. D.‘ Bernardo Espioalt y Co­ llado. D. Eugínio Roldan, D. Francisco Verdej…</t>
  </si>
  <si>
    <t>Gajlcedo, Juliao</t>
  </si>
  <si>
    <t>Juliao Gajlcedo</t>
  </si>
  <si>
    <t>D. Jaime Rostan. •#•-»••«•* ••*•••••»«••■»•« D. Josef Paniagua. D. fíustaqnio Villaseftor....... D. Manuel Gamarra. D. Pedro Sao Micbel............. D. Juliao Gajlcedo. D. Pedro Díaz López............ D. Antonio Gamarra. D. Juan Ezterripa D. Atexandro Leal Ib-trra.... D. Isidoro Pugeo. D. Manuel Gomes Alvaoeita. Tercer batall…</t>
  </si>
  <si>
    <t>Gajo, Francisco</t>
  </si>
  <si>
    <t>Francisco Gajo</t>
  </si>
  <si>
    <t>éban de Ja.Torfe...a*.....11403 28' La casa de Aguirre é hijos...................... 9+65 ;2Ji D.; Jaime H403 '281 Doña María Magdalena López Ca- ? v D. Francisco Gajo. Carrasco....... 106038 ii' brejas............................................................ 4549 35L D. Francisco Perez.Rico....... . . 11503 28: Doña Rita …</t>
  </si>
  <si>
    <t>Galabiz, Agustín</t>
  </si>
  <si>
    <t>Agustín Galabiz</t>
  </si>
  <si>
    <t>nemiga. Este arrojo nos costó 5 heridos del batallón de Zafra, entre ellos el cadete D. Francisco Texeiro, y 6 prisioneros , incluso ei sub­ teniente D. Agustín Galabiz. f</t>
  </si>
  <si>
    <t>Galan, Francisco</t>
  </si>
  <si>
    <t>Francisco Galan</t>
  </si>
  <si>
    <t>yor a D. Luis de Alfaraz ; en el de León , compañía á D. José Mariano Rodríguez ; ayudantía, k D. Vicente Alvarez ; tenen­ cias, á D. José Arechaga , D. Francisco Galan , D. Bernardo Cobian , y D. Francisco San Pedro ; subtenencias á D. Víctor Restrebada, D. Nicolás Marino, D. Miguel Souto, D. Francisco Urdapilleta, D. Hilari…</t>
  </si>
  <si>
    <t>Galdos, Benito</t>
  </si>
  <si>
    <t>Benito Galdos</t>
  </si>
  <si>
    <t>to á cuidar de ellas en el tériniuo prescrito en el En el regimiento de Madrid , i.° de línea , sub­ referido decreto. tenientes á D.^Fernando Bueno, D. Benito Galdos art. 11. Nuestro ministro interino de Negocios y D. Josef Garai: en el de Sevilla, 3.0 de línea, eclesiásticos queda encargado de la execucion de subtenientes á…</t>
  </si>
  <si>
    <t>Galiana, Vicente Alcalá</t>
  </si>
  <si>
    <t>Vicente Alcalá Galiana</t>
  </si>
  <si>
    <t>arques de las Hormazas, 3000. D. José Alvareda é hijos, 300. D. José Fernandez de Oiarte, 120. D. Ricardo Meade en nombre de varios americanos, 1240. D. Vicente Alcalá Galiana, 640. D. Jacinto Nicolás Alonso, 200. De­ ña Isabel Simón de Palacios, 100. Duque de Veragua, 1000. D. An­ tonio Seoane, 100. B. L. , 100. Marques de C…</t>
  </si>
  <si>
    <t>Galiano, Dionisio</t>
  </si>
  <si>
    <t>Dionisio Galiano</t>
  </si>
  <si>
    <t>res, do ya el siglo xvi. eran mui recientes y d't&gt;nas del mavnr aprecio las prac­ La academia, que en el anterior había estable­ ticadas en 1 791 Por D. Dionisio Galiano, que se in­ cido en Sagres, el infante D. Heorique de Portugal, cluyen desde ¡a pág. 79 de la segunda Memoria, EN LA IMPRENTA REAL.</t>
  </si>
  <si>
    <t>icieron de él varias im­ blicadas en,el conocimiento de tiempos de París; presiones. Este poema abunda en los mas sensibles los trabajos que practicó D. Dionisio Galiano en su afectos de ternura; la inocencia y sencillez de las expedición al Archipiélago , y por las costas de Sitia primitivas costumbres se observan en él pint…</t>
  </si>
  <si>
    <t>hojas de inarca mayor; y cuyo precio la Rigada, y varias observaciones de D. Pedro de es de 36 rs. vn. Cárdenas, D. Tomas Ugarre, D. Cosme Churruca, D. Dionisio Galiano, D. Mariano Isashiribil, y hs M. F. de N. de D. Josef Joaquín Ferrer y D. Sebastian Laso de la Vega , pilotos de mucha práctica y' sublimes co­ nocimientos, s…</t>
  </si>
  <si>
    <t>llas y seno Mexicano;, en aquello? parages por ios oficiales de nuestra ma­ pero con las variaciones de un período diario que rina D. C sme Churruca, D. Dionisio Galiano, es constante y recular, y de otro que puedella­ D. Tomas Ugarte, D. Josef Ezquerra, D. Francis­ marse anuo. El primero Je causa el viento de la co Alcedo y …</t>
  </si>
  <si>
    <t>Galiano, Vicente Alcalá</t>
  </si>
  <si>
    <t>Vicente Alcalá Galiano</t>
  </si>
  <si>
    <t>tenían orden de entrar en Portugal escoltan­ do un gran convoy de víveres, han recibido contraorden y permanecen quietas. Informe hecho ;í S. M. por D. Vicente Alcalá Galiano sobre el de­ creto de ii de agosto de 1809, en que se mandaron suprimir las rentas provinciales, luego que se subrogasen en otras equivalentes. Véndese …</t>
  </si>
  <si>
    <t>r de brigada del real cuerpo de ingenieros en la división' de .Iridias. . ? : El dia 3 del pasado falleció en esta ciudad á la edad de 53 anca el Sr. D. Vicente Alcalá Galiano, natural de la villa de Doña Mercia en el reyno de Córdoba, caballero pensionado de la orden de Carlos IIí, decano dél consejo supremo de fíacienda y t…</t>
  </si>
  <si>
    <t>Galindo, Francisco</t>
  </si>
  <si>
    <t>Francisco Galindo</t>
  </si>
  <si>
    <t>nuestro palacio de Madrid á 30 de octubre D Juan de Dios Zafra. de 1810. D. Fernando Estéban de Talavera. Don Josef Napoleón por la gracia de Dios y D. Francisco Galindo. por la constitución dei estado, Rei de las Españas D. Juan Maria y Montes. y de las Indias. H nos decretado y decretamos lo que sigue: SECUNDO BATALLON. ART…</t>
  </si>
  <si>
    <t>Gall</t>
  </si>
  <si>
    <t>e los mismos efectos por do entre tos escombros de la sala se halló un cadá­ medio de una nota que acredite su absoluta nuli­ ver desfigurado, que el doctor Gall aseguró ser el dad, la qual autorizarán con su media firma los de La princesa Paulina. Sus joyas, y la cifra.de sus tres consejeros de Estado que presencien el acto.…</t>
  </si>
  <si>
    <t>Gallardo, Fr'ancism</t>
  </si>
  <si>
    <t>Fr'ancism Gallardo</t>
  </si>
  <si>
    <t>721 SUPLEMENTO A EA GAZETA DE MADRID DEL MARTES I 9 DE JUNIO DE iSlO. Continúa el real decreto de S. M. de 2 de junio so­ D. Fr'ancism Gallardo...................... . ’! ií 20 bre la liquidación de la deuda del estado. El conde de Monurco.......................... 4Í (Va- 15 D. Fernando l’crtz Rice...................... 3^5 …</t>
  </si>
  <si>
    <t>Gallardo, Manoel</t>
  </si>
  <si>
    <t>Manoel Gallardo</t>
  </si>
  <si>
    <t>uan Lopéz, de la misma-'óirdéri. 1 E ende la- Westrobotnia y la. Laponiá, 71572; de Wisbi, ó la isla de Gotlandia, 31295 ^Ja PomePara la de Periana á D. Manoel Gallardo» de rania. sueca con la isla de Rugen 120®. • la propia órden. ^ ■ Por consiguiente el total de la población de la Y para la de Iznate al ex-carmelita descalz…</t>
  </si>
  <si>
    <t>Gallardo, Simón</t>
  </si>
  <si>
    <t>Simón Gallardo</t>
  </si>
  <si>
    <t>D. Bonifacio Cabañas. Subtenientes. D. Simón Gallardo. D. Agustín Zaldo. D. Joaquín Gómez. D. Francisco Berdejo Pacz. D. Josef González de Hoyuelo. Tenientes. D........................................ Ej?Josef González. D. Tomas Arenillas. í?.</t>
  </si>
  <si>
    <t>Gallarza, Felipe</t>
  </si>
  <si>
    <t>Felipe Gallarza</t>
  </si>
  <si>
    <t>........ Di josef García pchábüra. Octave Batallón. .. ¡ Para ayudante primero D. Manuel Eligió, para legando D. Josef Díaz Avilés, y para abanderado D. Felipe Gallarza. ' D. Joan Francisco Pallasar. D. Estiban Blanco de Alba. ........ ............... ........................ p. Rufino Ballestea. .............................…</t>
  </si>
  <si>
    <t>Gallego, Bartolomé</t>
  </si>
  <si>
    <t>Bartolomé Gallego</t>
  </si>
  <si>
    <t>omandante al coronel D. Pedro M%rcó del Pont, el de sar­ gento mayor al capitán D. Alexandro Bermudez de Castro, y el de segundo ayudante al teniente D. Bartolomé Gallego ; y en el batallón de voluntarios catalanes el de sargento mayor al coronel 1). Manuel Marcó del Pont. Asimismo se ha dijo ado conceder O grado ¿a teniente …</t>
  </si>
  <si>
    <t>Gallego, Eugenio</t>
  </si>
  <si>
    <t>Eugenio Gallego</t>
  </si>
  <si>
    <t>sco Roznan Jurado, presbítero, do para comandante á D. Manuel Josef de Zubiifj^-Para el de la.parrpqilia .de Fuente la Lancha al ria; para ayudante á D. Eugenio Gallego, y par* presbítero D. Miguel Rico-Lglesia¿ abanderado á.D. Francisco Morales; para-capitanes h, ePara elváe lCardanchosí:, vacanteí por fallecí-; á D. Miguel …</t>
  </si>
  <si>
    <t>Gallego, José Morales</t>
  </si>
  <si>
    <t>José Morales Gallego</t>
  </si>
  <si>
    <t>Cortes el mejor me­ D. Antonio Payztn. dio que pueda adaptarse para que se I). Manuel Ros. terminen prontamente las causas cri­ I). Vicente Morales. D. José Morales Gallego, minales, á fin de que salgan de las D. Joaquín Leyva. prisiones los que fuesen inocentes, y -1). Pedro María Ric. sean Drontamente casti erados los aue D…</t>
  </si>
  <si>
    <t>ón de su presidente, vice-presidente, y el mas antiguo de sus dos se­ cretarios D. Evaristo Perez de Castro, han sido elegidos para presidente el Sr. D. José Morales Gallego, diputado en Cortes por la junta su­ perior de Sevilla i para vice-presidente el Sr. D. V cante Morales Juá­ rez, diputado suplente por el Perú; y para s…</t>
  </si>
  <si>
    <t>Gallego, Juan</t>
  </si>
  <si>
    <t>Juan Gallego</t>
  </si>
  <si>
    <t>dana , suplente por la de Toro : D. Manuel de Aróstegui, suplente per la de Alava: D. Francisco Gutiérrez de la Huerta, suplen­ te por la de .Burgos: D. Juan Gallego, sapiente por la de Zamora : D. José Valcarcel, suplente por la de Salamanca: D, José Zorraquin, • suplente por la de Madrid: D. Manuel García Herreros , suplent…</t>
  </si>
  <si>
    <t>Gallego, Pedro María Catalina</t>
  </si>
  <si>
    <t>Pedro María Catalina Gallego</t>
  </si>
  <si>
    <t>o............ 5-f*7 1199 Otra en dicho término, en el sitio que lla­ Otra en el Mari Amor, de 2 fanegas, linman Valdeoliva, de 4 fiinegas, que la "de D. Pedro María Catalina Gallego y divide el arroyo, y linda á oriente con Palomar, de herederos de Pedro López &gt; , tierras de Juan Herranz....... :................ .. S4-*7 1199…</t>
  </si>
  <si>
    <t>Gallego, Roque</t>
  </si>
  <si>
    <t>Roque Gallego</t>
  </si>
  <si>
    <t>on las partidas de D. Sebastian Tinoco, D. Juan José Barranco y D. Miguel López, vecino de Ubrique , y los ginetes del mando de Don Francisco Gómez y D. Roque Gallego pasó al sitio de Fuenblanquilla. Una guerrilla suya de caballería obligó 4 otra francesa de igual clase 4 replegarse 4 Ronda. A la media ho­ ra se presentaron 7…</t>
  </si>
  <si>
    <t>Gallego, Valdoméro</t>
  </si>
  <si>
    <t>Valdoméro Gallego</t>
  </si>
  <si>
    <t>30*5 fempaifeo ^ Capttaaat. «ratona*. Subtaaltittas. ' D. Antonio Leiral... D. Valdoméro Gallego, D. Gerónimo Wolls. D. Tomas Campillo, D. Mariano Fernandez del Canto; D. Narciso Batía..... D. Matías de Mor y Ríos.... D. Josef Villanas; D. Rafael Yarce..... D. Estéban Moreno..... .....</t>
  </si>
  <si>
    <t>Gallegos, Antonio Fernandez</t>
  </si>
  <si>
    <t>Antonio Fernandez Gallegos</t>
  </si>
  <si>
    <t>la noche, el que concluirá á fin de Llerena. noviembre del mismo. 4.0 A D. Josef Villanueva. Los sugetosqm* quieran incorporarse como discípulos Y á D. Antonio Fernandez Gallegos, abogado en esta academia se presentarán S dicho profesor, quien del colegio de Granada , fiscal. les enterará de todas las demas circunstancias; pa…</t>
  </si>
  <si>
    <t>Gallitaia</t>
  </si>
  <si>
    <t>104</t>
  </si>
  <si>
    <t>su izquierda á la Empera­ triz, y colocándose detras de esta ei embaxador GALLITZIA. extraordinario. Lemberg,f8 de febrero. ^ i Del ir. La muerte del príncipe Gallitaia., comisario La ceremonia de ía entrega de las insignias Je AFBNDICB A IA CAZBTA DÍ XABXIJ». literatura, l. Sábado 14 de abril de I810; Carta tacada de la corr…</t>
  </si>
  <si>
    <t>Gallitzin</t>
  </si>
  <si>
    <t>132</t>
  </si>
  <si>
    <t>partió par» que las casas reducidas á cenizas han sido 600 , y su diócesis el obispo de Cracovia. qae llegan á 10® las personas que han perdido la El príncipe Gallitzin, gentilhombre del Em­ vida, ó que han quedado estropeadas. Según pare­ perador de Rusia, ha llegado á esta capital, cenia ce, provino esta desgracia de la imp…</t>
  </si>
  <si>
    <t>Gallo, Juan Francisco</t>
  </si>
  <si>
    <t>Juan Francisco Gallo</t>
  </si>
  <si>
    <t>e la villa de Aguas-calientes, 30. El convento de Sta. Ciara de Méxi­ co , 30 de sus fondos, y 200 como particulares. El oidor D. Toma* Calderón, 20. D. Juan Francisco Gallo , 20. La real concordia de cigarreros de México, de sus fondos, 20. D. Pedro Antonio Ace­ bedo, coronel del regimiento de dragones provinciales de Quere*…</t>
  </si>
  <si>
    <t>Gallovaí</t>
  </si>
  <si>
    <t>lien para el efecto en caso de necesidad. Tetemos to se ha salvado la tripulación. á bien permitir que los demas derechos que to­ El contra-almirante conde Gallovaí reemplaza­ sieren que p«gar las mercancías á la entrada y sa­ rá en el mando de la esquadra del Mediterráneo á lida de nuestros estados , se rebaxen de la contri­…</t>
  </si>
  <si>
    <t>Gamarillo, Florentino</t>
  </si>
  <si>
    <t>Florentino Gamarillo</t>
  </si>
  <si>
    <t>Sigüenza, embistió á los centinelas franceses , con quienes entraron revueltos érfel pueblo el sargento Antonio Moyo, el cabo Francisco Oonzalez y el soldado Florentino Gamarillo ; y después de haber alarmado á. Los enemigos, se retiraron dexando muertos y heridos áalgunos dé ellos. Entre tanto se acercaba á , la ciudad: I&gt;. …</t>
  </si>
  <si>
    <t>Gamarra, Antonio</t>
  </si>
  <si>
    <t>Antonio Gamarra</t>
  </si>
  <si>
    <t>ef Paniagua. D. fíustaqnio Villaseftor....... D. Manuel Gamarra. D. Pedro Sao Micbel............. D. Juliao Gajlcedo. D. Pedro Díaz López............ D. Antonio Gamarra. D. Juan Ezterripa D. Atexandro Leal Ib-trra.... D. Isidoro Pugeo. D. Manuel Gomes Alvaoeita. Tercer batallón. Pata ayudante primero él conde de Cancelada» pa…</t>
  </si>
  <si>
    <t>Gamarra, Josef</t>
  </si>
  <si>
    <t>Josef Gamarra</t>
  </si>
  <si>
    <t>n González Saes, D. Ceferino Casas. El Marques de los Zoidos..... D. Luis Le Clair........... , D. Pedro Luis Napoli. D. Mariano Herranx........... . D. Josef Gamarra........... . D. Juan Valenchana.............. D. Jaime Rostan. •#•-»••«•* ••*•••••»«••■»•« D. Josef Paniagua. D. fíustaqnio Villaseftor....... D. Manuel Gamarra…</t>
  </si>
  <si>
    <t>Gamarra, Manuel</t>
  </si>
  <si>
    <t>Manuel Gamarra</t>
  </si>
  <si>
    <t>amarra........... . D. Juan Valenchana.............. D. Jaime Rostan. •#•-»••«•* ••*•••••»«••■»•« D. Josef Paniagua. D. fíustaqnio Villaseftor....... D. Manuel Gamarra. D. Pedro Sao Micbel............. D. Juliao Gajlcedo. D. Pedro Díaz López............ D. Antonio Gamarra. D. Juan Ezterripa D. Atexandro Leal Ib-trra.... D. Is…</t>
  </si>
  <si>
    <t>Gambeta, Mariano</t>
  </si>
  <si>
    <t>Mariano Gambeta</t>
  </si>
  <si>
    <t>litar D. Andrés de Mendoza, subteniente de row, canciller.” zapadores. De las demas clases D. Blas García de AUSTRIA. Quesada, D. Bernardino Argore , D. Mariano Gambeta, D. Juan Martínez Ttrroba, D. Juan de Lemberg 19 de agosto. la Calle, guardia de honor, D Josef Villa, Don Cayetano Janear, D. Josef Molinos, subteniente, El …</t>
  </si>
  <si>
    <t>Gamboa, Camilo</t>
  </si>
  <si>
    <t>Camilo Gamboa</t>
  </si>
  <si>
    <t>Isidro D. Josef Cabredo. D. Bartolomé Gómez. Capitanes. D. Josef Chacón. D. Agustín Gamell. D. Tomas Perez. D. Bernardo Barril. D. Francisco Berdejo. D. Camilo Gamboa. D. Esteban Gómez. D. Pascual Santander. D. Mateo Norzagarai. D. Manuel de Cañas. I&gt;. J uan Picdrahica. Subtenientes. D. Ramón Rada. D. Antonio Robillar. D. Ram…</t>
  </si>
  <si>
    <t>Gamboa, Fernando</t>
  </si>
  <si>
    <t>Fernando Gamboa</t>
  </si>
  <si>
    <t>consentimiento.39 Continúan los donativos de la provincia de Sonora. Tercera compañía de milicias de Aíazatlan. Capitán Valentín Par­ do , 47 y 4 rs. Alférez Fernando Gamboa , 19. Los sargentos, cabos y solda­ dos , 392 y 3 rs. — Quarta id. Capitán Marcelo Pardo, 22 y 6 rs. Los sar­ gentos , cabos y soldados, $70 y 2 rs. — Qu…</t>
  </si>
  <si>
    <t>Gamboa, Gregorio</t>
  </si>
  <si>
    <t>Gregorio Gamboa</t>
  </si>
  <si>
    <t>tenicatsa. Compañías. espiraos». ______ —ro————■ »'■ D. Vicente Morelli D. Fermín Marquioa, D. Próspero Morrola. x *...... «a*« D. Benigno Brian..... D. Gregorio Gamboa, i........ D. M.rtin Azcué...... D. Pedro Simón Puerta. D. Antonio F.beirac. D. Camilo Gonsalex. $•"* El conde de Isla............. ....... D.,Manuel Gomes...…</t>
  </si>
  <si>
    <t>Gamboa, Marcos</t>
  </si>
  <si>
    <t>Marcos Gamboa</t>
  </si>
  <si>
    <t>rmír barcas cañoneras para así como la situación de la Havana , que fixó por hostilizar á los ingleses, y dtfender la navegación buenas observac:ones D. Marcos Gamboa desdu de la costa. E! REI condescendió con todas sus 1715 á 1725 , y D. Vicente D z en 1770, esta­ súplicas ; y en su consecuencia han sido nombrado* bleciendo …</t>
  </si>
  <si>
    <t>Gamell, Agustín</t>
  </si>
  <si>
    <t>Agustín Gamell</t>
  </si>
  <si>
    <t>as Ibargiien. Tenientes. D. Ramón García Ximenez. Batallón del quartel de S. Isidro D. Josef Cabredo. D. Bartolomé Gómez. Capitanes. D. Josef Chacón. D. Agustín Gamell. D. Tomas Perez. D. Bernardo Barril. D. Francisco Berdejo. D. Camilo Gamboa. D. Esteban Gómez. D. Pascual Santander. D. Mateo Norzagarai. D. Manuel de Cañas. I…</t>
  </si>
  <si>
    <t>Gamillo, Joset</t>
  </si>
  <si>
    <t>Joset Gamillo</t>
  </si>
  <si>
    <t>de los riesgos en que zozobraba España, capellanía de Reyes nuevos en la catedral de To­ desde el día en que el privado se propuso la guer­ ledo : á D. Joset Gamillo, segundo capellán de la ra de Francia , quando esta iba á ocuparse en ia de citada ig esia de S. Antonio de la Florida , para Prusia. Prevaleció el error y la in…</t>
  </si>
  <si>
    <t>Gamis, Pedro</t>
  </si>
  <si>
    <t>Pedro Gamis</t>
  </si>
  <si>
    <t>918 ' Milían Rodríguez, too. El doctoral Francisco Fernandez, ioo". El arcediano D. Pedro Gamis, ioo. El secretario de su Iiustrísima D. José Agudar, 50. El comandahte general de las provincias internas de Nue­ va- España , brigadier D. Nemesio Salcedo, sobre a® pesos dados hace tiemp</t>
  </si>
  <si>
    <t>Gamiz</t>
  </si>
  <si>
    <t>l año pasado : otra guerrilla de 20 hombres fué por la izquierda á entrar por el crimno de P*l&lt;nxés: con •lo restante de la infantería mandada por el teniente coronel Gamiz, con des ordenanzas de húsares españoles,.el eapstan D. Joaquín de Arespacochaga, mayor general de la diviaion, y el capitaii D. Marcos Iglesias, que en t…</t>
  </si>
  <si>
    <t>Gamiz, Juan</t>
  </si>
  <si>
    <t>Juan Gamiz</t>
  </si>
  <si>
    <t>................ 800 9600 lugar de ios Hueros pertene­ Otro pedazo de huerta de dicho cieron á la capellanía que fun­ Carmen calzado, que antigua­ dó D. Juan Gamiz , y á la que mente estuvo unida á la ante­ fundó Manuel Sánchez........... 1381 16572 rior , y una casa labor, frente Las fi ncas que en término de al convento, co…</t>
  </si>
  <si>
    <t>Gamo, Josefa</t>
  </si>
  <si>
    <t>Josefa Gamo</t>
  </si>
  <si>
    <t>nuel Vidaurre , ÓOPO. Él Sr. D. Da­ vid. Malcolm, 1000. El Sr. D. Eduardo Clough Taylor, por mano del se­ ñor D. Diego Guillermo Glass, 2000. La Sra. Doña Josefa Gamo ríe. da y Lavaggé , 200. El Sr. D. Proto Alvavez Manilla, 1000. El Sr. D. Éstuardo Nesbit Sawers , 1000. El Excmo. Sr. conde de Fernan-Nuñez , 320. El sé- ñor c…</t>
  </si>
  <si>
    <t>Gancedo, Julián Josef</t>
  </si>
  <si>
    <t>Julián Josef Gancedo</t>
  </si>
  <si>
    <t>Vmt aria ........................ . i 263 17 presentad.i.- -D. Teodoro Ribote.... 422)2 6 D. Ju- n R¡e-.:o...................................... 6:2 D. Julián Josef Gancedo...................... 1107 16 Daña ínc Ortiz de Zirate................. 783 37 D josef líaren............................. 2346 17 D. Fernando de CLee....…</t>
  </si>
  <si>
    <t>Gándara, Juan</t>
  </si>
  <si>
    <t>Juan Gándara</t>
  </si>
  <si>
    <t>s individuos , 54 y 4 rs. Id pres­ bítero B. Pedro Ley va , 125. Id. D. Pedro líuiz , 50. Fr. José Mora, 60. Varios individuos, 27 y 1 real.— l/ri.s. D. Juan Gándara: 50. D. Dolores Ugués, 100. .D/Manuel Ugués , 14 y 8 rs. Varios individuos , 58 y 9 rs Los apaches de paz del Tueson , 170. Los vecinos é indios de Tuvac , 34 y …</t>
  </si>
  <si>
    <t>Gani, Leonardo</t>
  </si>
  <si>
    <t>Leonardo Gani</t>
  </si>
  <si>
    <t>20I Di Manuel Fermín Casado................. 1077571.22 ¡ D,"Francisco Xavier de Elipe..;• 19961“ r4fD. Francisco Xavier Barra.......;...... 54000 ' D. Leonardo Gani......,.........:;.;.^.,;..*.''- .* 31475 5 ‘ El marque» de Muzquiz..........!........ 216000' ' D.: Sebastian de Ricos A ltos.............. v 2 r 84 16 D- Josef …</t>
  </si>
  <si>
    <t>Gapeda, Agustín</t>
  </si>
  <si>
    <t>Agustín Gapeda</t>
  </si>
  <si>
    <t>. 8533^; rí P. Manuel SineFípirto*!,™.,-»-—.. 43700 B. Lucas de CminM..... . 291661 líí. D. Juan EstébaüCdeiTiiciP!. *•*# •-*•••*»» »&lt;ík j, 120416 16 D. Agustín Gapeda............................» 69^0: ; í D.:FranciiQo López.Nuñe*....... 105000 El conde de Montarco.........389121;: D.'.Francisco Andureo,,,*,........., 8c000 …</t>
  </si>
  <si>
    <t>Gar</t>
  </si>
  <si>
    <t>Gazeta del Gobierno n.º 9</t>
  </si>
  <si>
    <t>ente europeo. E11 con­ secuencia la contestación de la corte de Persia se reduxo á que no de-■ ben regir tratados de tan poca fuerza. — La vuelta del general Gar-' danne y la acogida del embaxadór de Inglaterra en la corte de Persia, anunciaba ya alguna mudanza en el sistema político de aquel país, porque Bonaparte no ha dtxa…</t>
  </si>
  <si>
    <t>en donde se recelaba alguna novedad en razón de la corta guarnición que allí habían dexado. — Dicen que en Astorga fueron rechazados dos veces por el general Gar­ cía. También se afirma, que en el ataque de Ciudad-Rodrigo ha­ bia perdido el mariscal Ney un sobrino suyo, ayudante de cam­ po : y que los franceses juntaban algun…</t>
  </si>
  <si>
    <t>Gar, Josef María</t>
  </si>
  <si>
    <t>Josef María Gar</t>
  </si>
  <si>
    <t>a Mier y D. Juan Josef Romero. guardia en los dias que señalemos. Tenientes. art. v. Los individuos de esta guardia se cos­ D. Vicente Villavicencio, D. Josef María Gar­ tearán su vestuario, caballo y montura. cía , D. Manuel de Aguí lar y Cueto, D. Fernan­ art. vr. Nuestro ministro de Guerra queda do Pío Arenzana, D. Manuel …</t>
  </si>
  <si>
    <t>Gar, Manue</t>
  </si>
  <si>
    <t>Manue Gar</t>
  </si>
  <si>
    <t>stro de lo Interior. D. Nicolás Blazquez Martin, cura párroco de "Do­ art. ni. Nuestro presente decreto será tradu­ lí ¡erro: para el de Mombelrran á D Manue* Gar­ cido á todas las lenguas, y remitido á nuestros em- cía, presbítero: para el de Blasco Smchr* á D F-.uibaxadores, ministros y cónsules en los países ex- cisco'Sanz…</t>
  </si>
  <si>
    <t>Gar, Tomas</t>
  </si>
  <si>
    <t>Tomas Gar</t>
  </si>
  <si>
    <t>agata y comandante, 40. Don José de Agandoña, alférez de fragata , ;o. Id. D. Pedro Fernandez Tavira, 50. D. .Antonio Contero, segundo cirujano &gt; $0. D. Tomas Gar­ cía, tercer piloto, i^. D. José Manuel de Islas, capellán, 30. ídem de mar, de sueldo fixo y temporal. Gabriel Florit, segundo guardián, con cargo, 22. José Miraba…</t>
  </si>
  <si>
    <t>Garai, Antonio</t>
  </si>
  <si>
    <t>Antonio Garai</t>
  </si>
  <si>
    <t>I .de las Empañas Subtenientes. y de las Indias. D. Tomas López de Haro, D. Francisco Mar­ Hemos decretado y decretamos lo que sigue: tínez de Morel, D. Antonio Garai , D. Diego Sua- articulo i. ,, Está nombrado comandante del rez, D. Francisco Rodríguez, D. Francisco Esca- 4.0 batallón de milicia cívica D. Manuel Raquejo. re…</t>
  </si>
  <si>
    <t>Garai, Josef</t>
  </si>
  <si>
    <t>Josef Garai</t>
  </si>
  <si>
    <t>D. Manuel Toro. D. Josef Castro. D. Antonio Rubio. D. Andrés Saiz Dnrango. Batallón del quartel de S. Francisco. D. Jo sef Antonio Molina. Capitanes. D. Josef Garai. D. Andrés Perez. Subtenientes. D. Julián Pombo. D. Fermín Alfaro. D. Francisco Xavier Toledano. I). Manuel Carrillo. D. Ignacio Abadía. D. Manuel Antonio Ibañez.…</t>
  </si>
  <si>
    <t>Garaso, Juan Antonio</t>
  </si>
  <si>
    <t>Juan Antonio Garaso</t>
  </si>
  <si>
    <t>rro, 500. Don Manuel Saez A y lien, igo D. José Ignacio Echevarría, 40. D. Barto­ lomé deLopetedi, 100. D. Cecilio Zaldo , 600. D. Juan.Labargé, 20a. D. Juan Antonio Garaso, ioco. Conde de Maulé D. Nicolás de la Cruz, 1000. Marquesa de Bclgida, 408. Paul Larriera y compañía , 1500. Don Juan de Vega , 60 D. Ignacio Victoria, 2…</t>
  </si>
  <si>
    <t>Garat</t>
  </si>
  <si>
    <t>Luego que los vio, se dirigió á ellos, navio de guerra, que venia volando á su socorro, y les gritó rindiesen las armas, lo que execntaron obligó al capitán Garat á retirarse, -y á abandonar inmediatamente. Al instante llegó el teniente Deulas presas que tenia ya hechas. Ha entrado coa to­ nenger y otros cinco empleados, y lo…</t>
  </si>
  <si>
    <t>Garavilla, Francisco</t>
  </si>
  <si>
    <t>Francisco Garavilla</t>
  </si>
  <si>
    <t>secretaría de ía comandan­ cia general, 25. D. Mariano Hinojos, tercero, 25. D. Pedro Simón del Campo, quarto, 50. D. Joaquín Palou , archivero, 15. D. Francisco Garavilla , escribiente, 10. D. Julián Zubia, idem, 10. El auditor de guerra D. Mariano Herrera, 100. El ayudante inspector D. Cristóbal Domín­ guez , 100. — Compañí…</t>
  </si>
  <si>
    <t>Garay, Pedro</t>
  </si>
  <si>
    <t>Pedro Garay</t>
  </si>
  <si>
    <t>mansa , 200. D. Juan Tomas de Migueleña, 200. I). Miguel José de íriarte , 200. D. Angel Gonzá­ lez, 400. I). Juan Lobo 200. D. Martin de Coz , 100. D. Pedro Garay , 200. 1). Manuel Bertimati, 200. D. Pedro de Sierra Diaz, 100. D. Juan Bautista Garaycochea , 100. D. Tomas Barbadillo , 200. D. Mateo Batidlo , vecino de Xalapa,…</t>
  </si>
  <si>
    <t>Garaycochea, Juan Bautista</t>
  </si>
  <si>
    <t>Juan Bautista Garaycochea</t>
  </si>
  <si>
    <t>. D. Angel Gonzá­ lez, 400. I). Juan Lobo 200. D. Martin de Coz , 100. D. Pedro Garay , 200. 1). Manuel Bertimati, 200. D. Pedro de Sierra Diaz, 100. D. Juan Bautista Garaycochea , 100. D. Tomas Barbadillo , 200. D. Mateo Batidlo , vecino de Xalapa, 200.. D. Domingo Escando» , 200». .IX Pablo Fray le , 200. D. Juan José Moril…</t>
  </si>
  <si>
    <t>García</t>
  </si>
  <si>
    <t>ayor actividad las entradas casi inexpug­ nables de aquella provincia. Todas ellas se hallan hoy cubiertas ademas por la quarta división ai mando del general García , cuyo quartel general está en Viliaíra."ca, y su vanguardia en Astorga. El conde de Nproña dirigió ales gallegos én octubre una pro­ clama enérgica, en que pintá…</t>
  </si>
  <si>
    <t>ión está en sus contornos. Parece que el general Mahí une el mando dé las tropas de G?.iicia. al de la quarta división , que estaba á las órdenes del general García., que salió para Badajoz. La divi-</t>
  </si>
  <si>
    <t>la noche. Allí los alcanzó Hernández, y volvió á formar su gente á menos de tiro de fusil de la ventajosa posición enemiga. Pero á cosa de las 1 o el comandante García, encargado de una de las guerrillas , 1c participó que ios franceses á beneficio de la obscuridad se habían retirado á toda prisa hácia Azuara ¿ que en</t>
  </si>
  <si>
    <t>Gaceta de Madrid n.º 361</t>
  </si>
  <si>
    <t>h*cagido 300 pri­ sioneros, de los quales 15 eran oficiales, entre ellos Escriben de Janina con fecha de 9 del corrien­ un mayor, dos coroneles, y .1 brigadier García te que la sublime Puerta ha mandado entregar á Navarro. Se han hallado alo alm c.nes de arroz, diip 'icion del cónsul general de Francia al señor gadeta, y 'obr…</t>
  </si>
  <si>
    <t>García, Alonso</t>
  </si>
  <si>
    <t>Alonso García</t>
  </si>
  <si>
    <t>UI. Los otroá 40 están en Tomar á Para el de la parroquial de Jubrique, vacante las órdenes del general Leith, á excepción de nn por fallecimiento de D. Alonso García, á D. Fran­ regimiento que ha quedado eu Lisboa. Los regi­ cisco Ranedo, clérigo diácono. mientos 79.0 y 94.° han salido ya de Cádiz para ve­ Para el de S. Andr…</t>
  </si>
  <si>
    <t>García, Ambrosio</t>
  </si>
  <si>
    <t>Ambrosio García</t>
  </si>
  <si>
    <t>, á |a izquierda, linde á solano con olivos de Miguel de 8 celem., linde ábrego el maestro /) , de Vera..........y........................ . 3,.*7 77 D. Ambrosio García........................... 11 *4» Otra en la Zarzuela, de 6cel. , que linda Un majuelo en los Morales, (je caber ., í Serrano con tierras que bajan á Car­ 5 0…</t>
  </si>
  <si>
    <t>García, Ana</t>
  </si>
  <si>
    <t>Ana García</t>
  </si>
  <si>
    <t>Otra, calle de Batanera, arreo» nio Pisado.. ......... ....... 2640* dada á Doña Ana García....... 330 341 ?728j Otra, calle del Metal, avtcndaOtra, calle Llórente, en la que . da » Nicolasa López............ . vive Josef -Roldan»”*.............. 99 792 33«..... ...... 2640 Mitad</t>
  </si>
  <si>
    <t>García, Andrés</t>
  </si>
  <si>
    <t>Andrés García</t>
  </si>
  <si>
    <t>rcía Rubia............ 18042 14 14 Doña Josefa Piedra.................................. 691 24 D. Gabriel Rodríguez de Ccbrian...... 1Ó860 IÓ860 13 Q D. Andrés García deRoxas................. 1470 D. Francisco de Gordon Rozas y D. Lucio de la Peña................. .............. I9121 18 Rada..................................…</t>
  </si>
  <si>
    <t>García, Angel</t>
  </si>
  <si>
    <t>Angel García</t>
  </si>
  <si>
    <t>ñías á D. José Amí, D, Joaquín Loyzaga , D. Juan Quesada y D. Heraclio de Alais: ; tenencias de cazadores , á D. Pedro Benavides , y de fu­ sileros a D. Angel García , y subtenencia á D. Fernando Pmango ; y en el de Voluntarios de la Patria , co?npañías á D. Pedro Al­ cántara Rute , D. Francisco de Cárdenas , D. Antonio Labra…</t>
  </si>
  <si>
    <t>García, Casimiro</t>
  </si>
  <si>
    <t>Casimiro García</t>
  </si>
  <si>
    <t>de D. Ramón María Cabeza, á D. Joaquín Para el de Somosierra, vacante por muerte de Alooso Moron, cura de Fuente el Saz. D. Vicente Boruel y Via , á D. Casimiro García, Para el de Fuente novilla , vacante por muerte presbítero. de D. Gregorio Narchao, á D. Manuel Luciano Para el de Valdegrodas, vacante por ascenso Martinez de…</t>
  </si>
  <si>
    <t>García, Domingo Antonio</t>
  </si>
  <si>
    <t>Domingo Antonio García</t>
  </si>
  <si>
    <t>Aguiiar............. 'y 1120 Doña Ana de la Camera....... 60*006 *Doña Teresa Zeférina Ramones......... 60060 DA MimTeresaMomorode-la Concha. 1719131 D. Domingo Antonio García...,........ ;28800 D K-réban de la Torre...-...•...V.i.;..i.. 94228 8 Doña Manuela Ferrero y Velasco.... 90000 D. Manuel García Montenegro......... yóo…</t>
  </si>
  <si>
    <t>García, Francisca</t>
  </si>
  <si>
    <t>Francisca García</t>
  </si>
  <si>
    <t>moso.................... ......... 12454..X7 D. Basilio Ramón Fernandez............... 12040 Doña María Arquedas............................ 8215.-25 Doña Francisca García, viuda de f&gt;. Jo­ D. Raimundo Bruquieros..................... . 2808 sef Frechj............................................. 1370 D., Antonio de Siles.....…</t>
  </si>
  <si>
    <t>García, Francisca de Paula</t>
  </si>
  <si>
    <t>Francisca de Paula García</t>
  </si>
  <si>
    <t>emia de S. Fernando, por D. Antonio Rubiliard....................... .... 10073.. 24 uno id................................................... 177000 Doña Francisca de Paula García, có1 El conde de Montarco, por 2 id.......... *5592--,45 mo tutora de su hijo D. Francisco de • D. Juan Andrés de Lumbida, por ac­ Andrés García..…</t>
  </si>
  <si>
    <t>García, Francisco</t>
  </si>
  <si>
    <t>Francisco García</t>
  </si>
  <si>
    <t>ún , y D. Josef de Castro y Jurado, jo , por la nobleza; D. Antonio Aznar, adminis­ diputado por el pueb o. trador de rentas. Diputados por la Rambla D. Francisco García La diputación de Javalquinto, que se preseotó Ortíz, corregidor; D. Martia Miguel Cebos, re­ 4 S. M. en Jaén el dia 2 de abril, se componía de gidor decano; …</t>
  </si>
  <si>
    <t>D. Ignacio de la Torre. D. Mana' 1 Calderón. El marques de Cusano. Subtenientes. D. Benito Prado y Ulloa. D. Francisco Diez. El conde de S o Rafael. D. Francisco García. Marques de la Cerrezuela. D. Manuel Palomera. D. Vicente Navajas. j D. J&lt;vef Fernandez Caso. D. Antonio G.rcía Vargas. D. Higinio Zazo de Lares. D. J ulian d…</t>
  </si>
  <si>
    <t>GArcía, Francisco</t>
  </si>
  <si>
    <t>Francisco GArcía</t>
  </si>
  <si>
    <t>adier &amp; D. Pedro Dávalos, coronel del regimiento de infantería imperial de Toledo ; y ha concedido subtenencias en el de Murcia al sar­ gento primero D. Francisco GArcía y al cadete D. José María Tomos. A Doña Magdalena Pedroche, residente en Murcia, le roba­ ron la noche dal dia 22 de abril qu ttro vales re alea de la crea­ …</t>
  </si>
  <si>
    <t>ión de es-te su­ ceso con elogio del valor, subordinación -y buena conducta con que han procedido en esta ocasión los honrados vecinos del Garbanzal. D. Francisco García, comandante de una par.tida de guer­ rilla, da parte con fecha, de 4 dé julio de haberse apoderadopor sorpresa del castillo de S. José , sumido junto- al cab…</t>
  </si>
  <si>
    <t>D. Rafael Valenzuela, 100. D Felipe Siquerios, 40. D. José Vazqu z, 40. D. Manuel Sistiaga, 20. D Juan Valenzuela, 20. D. Fran­ cisco Valenzuela, 10 D. Francisco García, 20 D. Reyes García, 20. D. Tomas Rico, 10. D. José de Oscosa, 10. D. Francisco Córdoba, 12: D. Vicente H¡aojoso, 10. Varios individuos, 104. — Orcasitas. D. …</t>
  </si>
  <si>
    <t>García, Francisco Manuel</t>
  </si>
  <si>
    <t>Francisco Manuel García</t>
  </si>
  <si>
    <t>ministro de lo Interior* pronunció' - Para el referido benéficio curado * vacante por el 31 de mayo en la sesión pública de la academia' promoción de D. Francisco Manuel García al cu­ de los Arcades un sabio discurso sobre la poesía, rato de Moinbeltran , al expresado D. Juan Nepoque fue interrumpido repetidas Veces por los a…</t>
  </si>
  <si>
    <t>García, Gabriel Julián</t>
  </si>
  <si>
    <t>Gabriel Julián García</t>
  </si>
  <si>
    <t>reto. ssFirmados:YO EL REI. =Por S. M. tu alférez mayor de este ayuntamiento; D- Manuel de ministra secretario de Estado Mariano Luis de Ur­ Mendivü; D. Gabriel Julián García; D. Francisco quijo.” i Barreda y Benavides ; D. Manuel de la Rocha » ad­ En nuestro palacio del alcázar de Sevilla i 6 ministrador principal de correos…</t>
  </si>
  <si>
    <t>García, Gregorio</t>
  </si>
  <si>
    <t>Gregorio García</t>
  </si>
  <si>
    <t>ya, y para abanderado D. Pablo Noriega. i*. D. Francisco Besa tes............. D. Julián Sane. 3*. »«•........Le....... D. Pedro P.bio Perez Arrieta. D. Gregorio García. B D. Manuel Gaviria.................. 3 a D. Josef Ecbeoique* 4- D. Diego de Castro, D. Pedro Hiera; 5" D. Ramón Pando.... D Higinio Z.zo de Lares D. Josef M…</t>
  </si>
  <si>
    <t>s y oñciales de estas compañías los indivi­ S. M., el ministro secretario de Estados Firma­ duos siguientes: dos Mariano Luis de Urquijo.” Capitanes. D. Gregorio García. D. Vicente Verdura. Aviso. D. Josef Rodríguez Mexía. En 18 de febrero de 1809 falleció en esta corte Don D. Manuel Casado. Estéban Casabona, vecino y del com…</t>
  </si>
  <si>
    <t>García, Jacinto</t>
  </si>
  <si>
    <t>Jacinto García</t>
  </si>
  <si>
    <t>e ía Cruz Mourgeon, yá sargentos may ores de los regimien­ tos de infantería de la Reyna y leales de Fernando VII á los capitanes -O. Gines Sánchez y D. Jacinto García. Asimismo se ha servido S. M. promover á brigadier á D. Vicente</t>
  </si>
  <si>
    <t>García, Josef</t>
  </si>
  <si>
    <t>Josef García</t>
  </si>
  <si>
    <t>ciudades importantes, que tie­ de Montefrio: para la segunda sacristía de S. I denen una parte tan desproporcionada en la repre­ fonso al ex-gtrómmo D. Josef García: para la de sentación nacional. S. Andrés al ex-franciscmo D. Buenaventura Ra­ Tampoco se puede dar ninguna respuesta satis­ mírez: para ia de Sanciago al ex-fran…</t>
  </si>
  <si>
    <t>e Cata­ Tenientes. luña, hijo legítimo de D. Pedro Casabona y Doña Ma­ D. Francisco Riofrio. ría Teresa Casabona Carak, difuntos, baxo del testa­ :;T'D. Josef García. mento otorgado ante el escribano del número D. Juan D. Antonio Martin. Antonio de Urraza'en' el propio dia, en el que institu­ . IXrManuel Manso. yó por sus tín…</t>
  </si>
  <si>
    <t>García, Juan</t>
  </si>
  <si>
    <t>Juan García</t>
  </si>
  <si>
    <t>xpedita la navegación del Gua­ articulo i. ,,Nombramos caballeros de la Or­ dalquivir con sus ramificaciones , y la comunicación den Real de España á D. Juan García, maestro</t>
  </si>
  <si>
    <t>García, Manuel</t>
  </si>
  <si>
    <t>Manuel García</t>
  </si>
  <si>
    <t>o S. M. nombrar para la plaza de oí lor3 vacante en la real audiencia de Santa Fe de Bogotá por fallecimien­ to 'de D. Andrés de Portocarrero, al Dr. D. Manuel García, audi­ tor de guerra y de marina de Puerto Rico. LIBRO. ¿ Qué será de V.s franceses en Cataluña ?* reflexiones sobre la suerte de este Principado , escritas por…</t>
  </si>
  <si>
    <t>cia el lugar de Oimilios, quatro regidores m-s antiguos D. Frutos Alvaro á cuya entrada observó que lo* bergantes aposta­ Beniro, D. Marrin de Huici, D. Manuel García ban un centinela. D. Josef Corral se retiró con su de la Prada y D. Tadeo Bravo de Rivero, des­ gente á Sasamon; pero no contento con haber pues­ pués de cumpli…</t>
  </si>
  <si>
    <t>entos, cabos y soldados , 197.— Segunda Volante. Capitán D. José María del Rivero , 100. Teniente D. Miguel Ortiz, 46. Alférez D. José Moreno, 4. Id. D. Manuel García, 20. Capellán Fr. Francisco Es­ cobar, 40. Sargentos, cabos y soldados, 1194. — Tercera Volante. jCapitan D. Antonio Vargas, 60. Teniente D. José Antonio de Arc…</t>
  </si>
  <si>
    <t>García, Melchor Almagro</t>
  </si>
  <si>
    <t>Melchor Almagro García</t>
  </si>
  <si>
    <t>rmino de nueve días á deducirle, legi­ Irlanda. timando sus personas ante dicho alcalde, y por medio Resalta en ella plenamente justificado que el de D. Melchor Almagro García , escribano del núme­ cabo Vatenxuela y los soldados Catatan y Flamen­ ro de la villa de la Casa del Reí, campo de Uceda , y co abandonaron la noche de…</t>
  </si>
  <si>
    <t>García, Miguel</t>
  </si>
  <si>
    <t>Miguel García</t>
  </si>
  <si>
    <t>repararse. En la prefectura de Jaén. IMPERIO FRANCES. D. Fernando Chaves, subprefecto de Jaén. D. Mariano Villalba, de la Carolina. Roma 4 de abril. D. Miguel García, de Ubeda. Eu Villa-Falumbara se |ban descubierto poco En la prefectura de Málaga. hí varias antigüedades , y entre ellas un suelo mo­ saico de un trabajo exquis…</t>
  </si>
  <si>
    <t>o está de acuerdo coa el desprecio y Para la segunda de la misma parroquia al ex— desden que manifestáis á las amenazas de inva­ franciscano descalzo D. Miguel García. sión del enemigo. La isla de Walchéren nos ha En los pueb os de la vicaría: para la de Alma*» enseñado qU2nto os estremece la palabra invasión. char al ex-domi…</t>
  </si>
  <si>
    <t>García, Pedro</t>
  </si>
  <si>
    <t>Pedro García</t>
  </si>
  <si>
    <t>omento en que debeis oir la • Gorma, doctoral ; D. Francisco Armenia , emó- verdad; os la debo: me lisonjeo de que será con nizos: D. Josef Roucali , D. Pedro García , Don utilidad. Josef M izuelo, D. Josef C:v dios , racioneros: Saben los hombres que piensan que la imperio­ D. Luís-de Córdoba, D. Fe ipe Esc.mero, D. An­ sa L…</t>
  </si>
  <si>
    <t>García, Reyes</t>
  </si>
  <si>
    <t>Reyes García</t>
  </si>
  <si>
    <t>00. D Felipe Siquerios, 40. D. José Vazqu z, 40. D. Manuel Sistiaga, 20. D Juan Valenzuela, 20. D. Fran­ cisco Valenzuela, 10 D. Francisco García, 20 D. Reyes García, 20. D. Tomas Rico, 10. D. José de Oscosa, 10. D. Francisco Córdoba, 12: D. Vicente H¡aojoso, 10. Varios individuos, 104. — Orcasitas. D. Ma­ nuel del Campillo, …</t>
  </si>
  <si>
    <t>García, Vicente Ferrer</t>
  </si>
  <si>
    <t>Vicente Ferrer García</t>
  </si>
  <si>
    <t>ren á comprar fincas fuera de subasta, con arreglo bién canónigo, todos de esta iglesia de Sevilla ;á á nuestro decreto de 29 de diciembre último, en D. Vicente Ferrer García, D. Vicente Lobo y Ar- los mismos términos que este lo dispone con res­ Jona, D. Andrés A maya, D. Miguel de Madaria- pecto al intendente de Madrid. ga …</t>
  </si>
  <si>
    <t>Garcigonzales, Diego</t>
  </si>
  <si>
    <t>Diego Garcigonzales</t>
  </si>
  <si>
    <t>res especiates eran nn pre­ Por reales decretos de 26 del corriente ha ve­ sagio feliz de las gracias que S. M. se había pro­ nido S. M. en nombrar á D. Diego Garcigonzales puesto conceder á la ciudad de Rúan, y una de y Gutiérrez subteniente en el regimiento de infanellas ha sido mandar que se le entregoen 20® fran­ tería de…</t>
  </si>
  <si>
    <t>Garda, Juan Antonio</t>
  </si>
  <si>
    <t>Juan Antonio Garda</t>
  </si>
  <si>
    <t>que se publique en ellos. jo de la Ribera á D. To;n is Mana 1 ll vnan icz; y art. iv. Nuestros ininistros.de lo Interior , del para el de Muñopepe á D. Juan Antonio Garda, Tesoio y de Relaciones exteriores quedan encarga­ presbítero. dos de la execucion del presente decreto. = ibV/.«.rNapoleón, cz Por el Emperador el ministro…</t>
  </si>
  <si>
    <t>Garda, Román</t>
  </si>
  <si>
    <t>Román Garda</t>
  </si>
  <si>
    <t>nes juntó , que labra Pedro de la Calle, linde ' 4S. Pedro, que linda 4 oriente con tierras dejosef Fernandez................ 9 198 tierras que labra D. Román Garda, Otra al extremo, de ufu fanega, 7 ce­ y 4 horte con el caminó de Carrapólemines y 9 estadales, qüc la parte ZUcla..-.......... .... , .HMM4— Í2..17 Í373 la vered…</t>
  </si>
  <si>
    <t>Gardannc</t>
  </si>
  <si>
    <t>as alimenticias , hán visto pierden casi todos los principios solubles ca el agua precie ¡'ación , que en cinco di.is hitíb una marcha de 50 •ion del general Gardannc, que forma la retaguardia lentes, r.o tuvo tiempo pará dev.otjr la hermosa ribera del exérciio francés de Portugal, lóes-de el di* 15 dv del 1 ,'|o Asi ene, el …</t>
  </si>
  <si>
    <t>Gardillo, José</t>
  </si>
  <si>
    <t>José Gardillo</t>
  </si>
  <si>
    <t>534 rczl cuerpo de Ingenieros á D. José Gardillo , subteniente del regimien­ to de infantería imperial de Toledo, D. Manuel de Castilla, alférez de dragones de Aimansa, D. Mariano Miguel Polo, subteniente del de Amé­ rica, D. Francisco de</t>
  </si>
  <si>
    <t>Gareía, Domingo</t>
  </si>
  <si>
    <t>Domingo Gareía</t>
  </si>
  <si>
    <t>D.. Pedtó Franco por Doña María Ri­ D. NicoU^ Josef Mascan,..... ............. . . 1318.,to ta Pe d rosa...............................— 56-19..20 - D. Domingo Gareía; Fernandez........... • 9289-20 1 Doña,Isabel Cortés de Tabanco........... 8445.-27 . La marquesa de Brancitbi-né.-.............. - -*7S53-*4 . Doña María del R…</t>
  </si>
  <si>
    <t>Garibai, Francisco</t>
  </si>
  <si>
    <t>Francisco Garibai</t>
  </si>
  <si>
    <t>erpos, y ofrecieron á sus ofi­ ciales un banquete fraternal, que han celebrado Subtenientes. con la mayor alegría y entusiasmo. D. Tomas Tordesiilas. D. Francisco Garibai. ESPAÑA. D. F ranci co Canales. D. Benigno Brian. Madrid9 de junio. D. Manuel Cardeñoso. S. M. ha expedido e! decreto siguiente: D. M .rtin Azcué. Extracto …</t>
  </si>
  <si>
    <t>Garibay, Pedro</t>
  </si>
  <si>
    <t>Pedro Garibay</t>
  </si>
  <si>
    <t>nte en el de Ibernia á D. Guillermo MacVeagh. En America se ha servido S. M. promover á teniente general de los reales exéreitos al marisca; de campo D. Pedro Garibay, y á bri­ gadieres al coronel D. Enrique VVhite, gobernador de la provin­ cia de Florida oriental, y ai conde de O-Reylli y D. José de Sas­ tre, coroneles de io…</t>
  </si>
  <si>
    <t>Garlo</t>
  </si>
  <si>
    <t>del Egipto y del Asia, Se asegura que el m .t-im &gt; no entre el princi­ En vista de estos preparativos y de otras disposi­ pe C ristiano Federico y la princesa Garlo»a Fede­ ciones que da el di van , parece inevitable la conti­ rica de MeckU m urgo ha snto disuelto por consen­ nuación de la guerra. S n embargo, se asegura que …</t>
  </si>
  <si>
    <t>Garnica, Sebastian Antonio</t>
  </si>
  <si>
    <t>Sebastian Antonio Garnica</t>
  </si>
  <si>
    <t>c hijo, 15CO. Doña Vicenta Velásco de Hue, 150. D. Cayetano Hüc,- I50. D. Tomas Ravina, 1000. D. Bernardo Nueve-Iglesias, 7C0. D. Amonio Suris , 400. D. Sebastian Antonio Garnica, 5C0. D. Juan</t>
  </si>
  <si>
    <t>Gárnier</t>
  </si>
  <si>
    <t>ya’ó*«x disposicibn.y' dente del senado. St ea verdad qué una-fuerte reserva da nuestro exércitoestaba en Busaco; si su - señoría* «nia lí­ - „Señor conde Gárnier, presidente del senado: bre la comunicación con el mar; sí había impedido la satisfacción ¡que nos' causa la feliz preñez de la ai enemigo qne se posesionase de Coi…</t>
  </si>
  <si>
    <t>Garnierpresiacertado</t>
  </si>
  <si>
    <t>impedióo al enemigo no dirigiéndosela presenté á otro objetó, rogamos penetrar por éste punto ? ^No hubiera sido esto mas ár Dios que os tenga, señor conde Garnierpresiacertado que abandonarseáia ventara ? Nó‘ '/no ha dente del senado, én¡su santa'y digna1.guarda. - habido basta ahora general - que haya: cometido viú En Fónta…</t>
  </si>
  <si>
    <t>Garnuo</t>
  </si>
  <si>
    <t>que la políti­ rán sus sacrificios á su patria y á su Emperador." ca y el sentimiento hablen el lenguage mas inge­ Acabado que fue esté discurso, el conde Garnuo y mas persuasivo , y el mas adequado para nier, presidente anual, propone enviar el proyecto convencer y conmover. de senado-consulto al examen de una comisión es­ «…</t>
  </si>
  <si>
    <t>Garraein, Juan</t>
  </si>
  <si>
    <t>Juan Garraein</t>
  </si>
  <si>
    <t>de listados, de tiro 200 varas, y una silla de montar. D.'Francisco Ignacio Arechahala, 7 camisas. Una madrileña , 4 id. Doña Nicolasa Ravina, 12 id. D. Juan Garraein una pieza de lienzo de 30 varas, y ademas una rebaja muy considerable en los paños que se le han comprado. D. F. F. G. 5^ varas de paño. D Benito de la Plaza, u…</t>
  </si>
  <si>
    <t>Garrida, Juan</t>
  </si>
  <si>
    <t>Juan Garrida</t>
  </si>
  <si>
    <t>de primera instancia se prescribe en el reglamento. D. Juan Bautista Guitart, y escribanía de provincia de Yo no he dicho tampoco, y perdone vmd. le D. Juan Garrida, que se admitirán las que se hiciesen; contradigaque el trocisco ó pasta se introduzca previniéndose se ha señalado para su remate el dia 22 en los ojos; antes bi…</t>
  </si>
  <si>
    <t>Garrido, Josef</t>
  </si>
  <si>
    <t>Josef Garrido</t>
  </si>
  <si>
    <t>tocase al convoi. Luego que las dral de Toledo , vacante por muerte de D. An­ dos flotillas estuvieron la una enfrente de la otra drés Cob Miguel: á D. Josef Garrido , presbítero el capitán de fragata Saint-Caprais formó su Lí­ y medio-racionero de la de Córdoba , para una ra­ nea, y empezó el fuego, que duró 10 horas se­ ció…</t>
  </si>
  <si>
    <t>Garrido, Juan</t>
  </si>
  <si>
    <t>Juan Garrido</t>
  </si>
  <si>
    <t>rino que se llamaba del intendente-Sa­ las, y muchos heridos. Se habían aprehendido á los franceses : varios efectos, y se había puesto'en libertad a D. Juan Garrido , presbítero de Va Ideo ii vas, y á los alcaldes de Solamllos, á quienes se llevaban en rehenes á Guadalaxara para'obligar a sus respectivos pueblos á que acudie…</t>
  </si>
  <si>
    <t>ideas lascivas, exceso primera instancia D. Juan Bautista Guitart, y escriba­ ¿nía véhrisV y 1* retención violenta ó repercusión nía de provincia de D. Juan Garrido, que se admiti­ de esta. Táks causas predisponentes producen la rán las posturas que hicieren siendo arregladas. ifbnorrea 6 "flatos purulentos, llamados blanco»,…</t>
  </si>
  <si>
    <t>Garrido, Nicolás</t>
  </si>
  <si>
    <t>Nicolás Garrido</t>
  </si>
  <si>
    <t>Cíistsuq asií zi&gt; *-&gt;j&gt; r&lt;n:.&gt; j Pata ia segunda de la misma pa(foquía ál ex- O.it» í j -i.-; *. J ■ji;,:.:X*y^étWíiJK*4S» j.;ío cí- T j franciscano D. Nicolás Garrido. ■; "&gt; -r: .La 5ileeia.es ton*-de lat-nacioaesdé Europa» Para la de S. Pedro ales-franciscano D. Pedro CÓya población és niénos^ éonocida.Las guerras •CalVO.1 …</t>
  </si>
  <si>
    <t>Garrido, Santiago Manuel</t>
  </si>
  <si>
    <t>Santiago Manuel Garrido</t>
  </si>
  <si>
    <t>uisa Maturana.............. 56985 20 D. Rafael Fernandez.............................. 9064 II D. Miguel Azpiroz,..,........................... 17500 D. Santiago Manuel Garrido............... IO945 El marques de Bajamar.......................... 51877 16 Doña Antonia Alvarez de Faria......... II202 25 D. E ustbio Sai z Mantec…</t>
  </si>
  <si>
    <t>Garríga, Josef</t>
  </si>
  <si>
    <t>Josef Garríga</t>
  </si>
  <si>
    <t>de S. Isidro.........^ , ,90.614^^ • - DoñarMaria ‘ Josefa;A^»áJjx-^'-'»'-«-x-^ -17 L J&gt;. Juan Llórente........1.......................... 43°49 8-j D. Josef Garríga.................................... 992 *-íí El hospital de la corona de Aragón....X TDI JftilfaSÜ Rox as................................. 4873 17</t>
  </si>
  <si>
    <t>Garrió</t>
  </si>
  <si>
    <t>primeras autoridades, presididas del Señor Faldam. Idem en la ópera. Señoras I.ledct, Virg y Ro­ larlo García. Señores Muñoz, Ortigas, Cristian!, Ca­ general Garrió, gobernador de la provincia, coa mas, Avecilla, y coros de ambos sex&amp;s. asistencia de los empleados en oficinas , y particu­ En el de la Cruz, á las cinco de la t…</t>
  </si>
  <si>
    <t>Garrón, Manuel</t>
  </si>
  <si>
    <t>Manuel Garrón</t>
  </si>
  <si>
    <t>. Josef López Arriba. poder disponer » baso ciertas formalidades , del má­ - D. Josef Aguado y Vera. ximum ,. valor 6 estimación de los bienes, reba­ D. Manuel Garrón. sada-ia pensión ó canon. Subtenientes. Este contrato.fue desconocido de los primeros legisladores romano*:, hasta que Zenon , separán­ D. Julián María P-erez. …</t>
  </si>
  <si>
    <t>Garvizo, Mariano</t>
  </si>
  <si>
    <t>Mariano Garvizo</t>
  </si>
  <si>
    <t>z de Texada y D. José Miranda, Continúan los donativos de la Nueva-Kizcaya. D. Manuel Pacheco, 20. D. Francisco Soberon , 10. D. Juan Pes­ cador, 20. D. Mariano Garvizo, 12. D. Cayetano López, 25. D. Juan Ba.rrera, 200. Don Tomas del Campo, 25. Don Juan Ventura Ga~ ray, ro. Varios pobres, 25 y 4 rs. D. Leonardo Flores, 20, D.…</t>
  </si>
  <si>
    <t>Gasea</t>
  </si>
  <si>
    <t>Gazeta de la Regencia de España e Indias n.º 19</t>
  </si>
  <si>
    <t>ente hácia Manre­ sa para atacar las fuerzas enemigas que la ocupan. Situada en la fuer­ te posición de Casamasaná , el dia 3 del corriente supo , el brigadier Gasea se dirigía por Esparraguera una división enemiga que salió de Barcelona , sin duda con el objeto de reforzar el destacamento de Manresa. Éste xefe y sus tropas ,…</t>
  </si>
  <si>
    <t>Gaseo, Domingo Tomas Perez</t>
  </si>
  <si>
    <t>Domingo Tomas Perez Gaseo</t>
  </si>
  <si>
    <t>stada. departamentos que forman la trigésim 1 división mi­ D. J'sel M iral s Mecía p.ra el de Mañosa. litar, ha nombrado S. M por un decr.-io de 3 de D. Domingo Tomas Perez Gaseo para el de junio ministro de ia Po icía general ai señor du­ Mnduex. que de Róvigo. D. Francisco Ortega Perez para ei de Arrroyo El e nbasador de Pe…</t>
  </si>
  <si>
    <t>Gaseo, José</t>
  </si>
  <si>
    <t>José Gaseo</t>
  </si>
  <si>
    <t>ios racionero* de ella ; k D. Manuel María Rodríguez , capellán mayor, y-.i D. José María Blanco , capellán de ía capilla real de S. Fernan­ do ; y á D. José Gaseo, prior, y D. Leonardo Santander, ma­ gistral de la colegiata del Salvador de esta ciudad. Sus bienes pa­ trimoniales, y demas que les pertenezcan , quedan confisca…</t>
  </si>
  <si>
    <t>Gaseo, Josef</t>
  </si>
  <si>
    <t>Josef Gaseo</t>
  </si>
  <si>
    <t>secretario de Estado Mariano Luis de Urdríguez , capellán mayor, y á D. Josef María Blan­ „ quijo.” co, capellán de ia capilla real de S. Fernando; á D. Josef Gaseo, prior, y D. Leonardo Santander, Real alcázar de Sevilla á 21 de abril de 1810. magistral dé la colegiata ael Salvador de esta ciudad. Don Josef Napoleón por la g…</t>
  </si>
  <si>
    <t>Gaspar</t>
  </si>
  <si>
    <t>a , los baúles eran de 14 á 15 y algunos caxones, y su peso arre­ glado a! tamaño, y que como 7 ú 8 se habían transbordado, igualmen­ te que el señor D. Gaspar dejovellanos y el marques de Campo-sagrado,, al' bergantín mercante nuestra señera de Coba donga; que habiéndose, procedido al reconocimiento dé los baúles se halló en…</t>
  </si>
  <si>
    <t>Gastartlbide, Félix</t>
  </si>
  <si>
    <t>Félix Gastartlbide</t>
  </si>
  <si>
    <t>ndo de Soria Santacruz, 110. D. Diego Ponce de León, teniente de navio, 20.—Alféreces de navio. D. Domingo Mesa , 30. D. Manuel Vi lia vicencío, 120. D. Félix Gastartlbide, 60. Id. de fragata, D. Martin Temoson , 50. — Cuerpo de pilotos. D. Joaquín Cundin , 70. D. José de la Peña, 70. D. Domingo Ugalde, 200. D. Juan de Heredi…</t>
  </si>
  <si>
    <t>Gatalan, Julián Martínez</t>
  </si>
  <si>
    <t>Julián Martínez Gatalan</t>
  </si>
  <si>
    <t>Alexandro Martínez'García , ’de *j : i .— D. Francisco Sánchez.......... . ..;;;.í£..v ’' 44660 [ agustinos recoleros.u...¿iJw..v.i»;c;...., .44006 • D. Julián Martínez Gatalan.... -1 -44660^ ‘ D. ModestoPerez Mtd»a«9V dé agus-" -¡-i’- i * D.'Júan Estiban Chico, «x-regular1” .G tinos calzados#... 44»bo Jde S. Francisco de ‘Pa…</t>
  </si>
  <si>
    <t>Gatell, León</t>
  </si>
  <si>
    <t>León Gatell</t>
  </si>
  <si>
    <t>358</t>
  </si>
  <si>
    <t>mo desde Cádiz á Tarragona á‘©oñ León Gatell , en losados por dicho Srl Fiofcats en; favor del re­ ferido GateÜ: se entregarán en Tarragona al citado D. León Gatell, y en- Cádiz: á los SreS; Volart y Serra. •j : i CADIZ; EN 1A"IMPRENTA EEAD -</t>
  </si>
  <si>
    <t>Gatída, Tornas</t>
  </si>
  <si>
    <t>Tornas Gatída</t>
  </si>
  <si>
    <t>Carceller, D. Nicolás de Robles , D. Vicente Castaño , IV José .Zurbanó, D. José Lorite , D. Mamó 1 de la Vega, D. Domingo Molina, D. Cícmentí Lemüs, D. Tornas Gatída . *D. 'Santiago Blanco , y D. A«nt©nio Morí troya ■; y Whireneircias á D. Litis Ramos , D. Ma­ nuel Saez , ID. Francisco Hidalgo , D. Redro Oniz , D. Manueil Hi…</t>
  </si>
  <si>
    <t>Gauthier</t>
  </si>
  <si>
    <t>campo que bao cultivado por tanto tiempo la El Furet , coisario.de esta ciudad « mandado, inteligencia y el zelo; pero nuestras escuelas reco­ por el capitán Gauthier , ha apresado y conducido gerán solamente algunas espigas.” ¿ diferentes puertos de Bretaña tres buques ingle­ sas ricamente cargados. 1 ■ .„ . Zurich 28 de oct…</t>
  </si>
  <si>
    <t>Gavilanes, Josef</t>
  </si>
  <si>
    <t>Josef Gavilanes</t>
  </si>
  <si>
    <t>ión militar de la guardia cívica de Málaga, gimiento á D Francisco de Cañaveral Ponce ; para no duda que aquella hará iguales progresos en su mayor á D Josef Gavilanes; para comandantes de organización. Pero en esta corta ausencia ha expe­ batallón á D. Antonio Habert y Muñ^z y D. An­ rimentado la mayor satisfacción al ver qu…</t>
  </si>
  <si>
    <t>Gaviria, Manuel</t>
  </si>
  <si>
    <t>Manuel Gaviria</t>
  </si>
  <si>
    <t>D. Pablo Noriega. i*. D. Francisco Besa tes............. D. Julián Sane. 3*. »«•........Le....... D. Pedro P.bio Perez Arrieta. D. Gregorio García. B D. Manuel Gaviria.................. 3 a D. Josef Ecbeoique* 4- D. Diego de Castro, D. Pedro Hiera; 5" D. Ramón Pando.... D Higinio Z.zo de Lares D. Josef María Abades. 6.*. D. R…</t>
  </si>
  <si>
    <t>Gaxiola, Jacinto</t>
  </si>
  <si>
    <t>Jacinto Gaxiola</t>
  </si>
  <si>
    <t>Peyro , 20. D. Jo­ sé Vidal , 10. B. Ignacio Serrano y B. Pedro Troto , 10. D. Tomas IJrrea , 5. I&gt;. José (le la Vega, 25. D. Manuel -Vanderas , 50. D. Jacinto Gaxiola, 11. D. José M aria Verdugo , 50. Varios individuos , 119 y 5'rs. — Rio de Sonora. D. Francisco Caxigas, 10. D. IBrnardo Urabo y B. Francisco Salcido , 20. Var…</t>
  </si>
  <si>
    <t>Gay, Narciso</t>
  </si>
  <si>
    <t>Narciso Gay</t>
  </si>
  <si>
    <t>778</t>
  </si>
  <si>
    <t>eta habían pasado á cuchi­ llo á 50 franceses que estaban atrincherados en la posada de Arrigorriaga: este triunfo les costó £0 hombres. En Cataluña, D. Narciso Gay, comandante del cuerpo de almogabares, con £00 hombres suyos y otros tantos de las compañías de Fábregas y Olivares, logró el SO de junio ma­ tar 40 franceses , h…</t>
  </si>
  <si>
    <t>Gaye, Nicolás</t>
  </si>
  <si>
    <t>Nicolás Gaye</t>
  </si>
  <si>
    <t>s, abad de Olivares; á tico y militar de esta plaza^ y comandante general D. Francisco de Paula Rodríguez, vecino de Sanlude sus armas, al Excmo. Se. D. Nicolás Gaye, mar­ car; á D. Fernando Osorno , intendente corregidor ques de Rio- Milano , comendador de la orden real de Granada; á D. Francisco Cañaveral y Ponce, de España…</t>
  </si>
  <si>
    <t>Gaz</t>
  </si>
  <si>
    <t>a . Mr. ;Donné, el.joven, librero del REI nuestro Se­ ñor , ha establecido en la calle de Fuencárral, casa lia* desgracia y causar su ruina. £1 señor'conde Gaz- mada de Astrarena, piso segundo, un salón de arfes, kan , viendo la imposibilidad de alcanzarloyse de- en el que se hallá uha colección crecida de libros-fran­ xó cae…</t>
  </si>
  <si>
    <t>Gazan</t>
  </si>
  <si>
    <t>709</t>
  </si>
  <si>
    <t>709 Gazan con el fin de atacar en Aracena al cuerpo ele Balleste­ ros , de 5 á 6000 hombres de fuerza. El general Gazan no pudo alcanzarlo , por haberse refugiado en Portugal (1). Hoy me manda el duque de Dalmacia ocupar á Zalamea la Redi ( á tres jornadas muy largas de aquí, y por caminos donde es menester pasen uno k uno los</t>
  </si>
  <si>
    <t>Gazau</t>
  </si>
  <si>
    <t>con los granaderos á caballo de la guardia. trayéndose las poblaciones ilusas de Extremadura. Entre los adornos de muchos edificios públicos El señor general Gazau rompió,en el Ronquillo la y particulares de la ciüdad se veian reunidas las vanguardia de este cuerpo matando 200 hombres; armas de Francia y Austria. Entre las in…</t>
  </si>
  <si>
    <t>Gazzan</t>
  </si>
  <si>
    <t>tomar Por un‘solo mes....................... * - Óo reales. •us posiciones. Esta expedición, mui gloriosa para Por dos meses -1 razón de 48 rs. 96 el general Gazzan, completa los triunfos, conseguí- Por tres meses á razón de 40 rs. izo 'dos por ti segúodo cuerpo en Xerez de los Caba­ Si alguna persona quisiese leer alguna-ó a…</t>
  </si>
  <si>
    <t>Gbregon, Mateo</t>
  </si>
  <si>
    <t>Mateo Gbregon</t>
  </si>
  <si>
    <t>Pedro fie Mora y Lomas............. 36jifa D. Manuel More^j4S.;:;;;;;....„d.....'('..V, 314906^2^1' D. Juaa Antonio del Valle..;*..'....... -• 35280; D. Mateo Gbregon.v.:.v:;...:..^..:..';.!;rí 6626 6ó3f ¡ Dpña Mapuela de Unjuijo *•'3311 Doñac Manuela— Montafies, tbhdeía 4328 2íft Da jfOSvCfdfi TOMÍaiaiíittMlSíiMH - Í970 i. y…</t>
  </si>
  <si>
    <t>Gcrreíheim</t>
  </si>
  <si>
    <t>bombas y balas que le "disparamos por la noche. A América meridional y de las tierras australes. El otro día dé mañana fue atacado vigorosamente por doctor Gcrreíheim, de Dresde, le ha cedido tam­ las tropas otomanas , las quales le obligaron á aban­ bién un hermoso gabinete de zoolitos. El célebre donar la batería. El 12 de …</t>
  </si>
  <si>
    <t>Ge, María Josefa</t>
  </si>
  <si>
    <t>María Josefa Ge</t>
  </si>
  <si>
    <t>Jayme Mendiberri, So. Marques de Salas, 5C0. D. Francisco Parlado , toco. D. Pedro Benito Michel, 40. D. Mariano Matali, Soo. TJr.á bisabuela , zoco. Doña María Josefa Ge i cochea y Melendez, 120. Marques de Astorga, 1500. Micheo, padre c hijo, 15CO. Doña Vicenta Velásco de Hue, 150. D. Cayetano Hüc,- I50. D. Tomas Ravina, 10…</t>
  </si>
  <si>
    <t>GEaido, José</t>
  </si>
  <si>
    <t>José GEaido</t>
  </si>
  <si>
    <t>ias Bárantes y D Manuel Morete: á capitanes, á D.' Miguel Ruano, E).-JNicolás. Sedaño, D Francisco Corres, D José Montero, D. Fei;x Arb’izu y Alava 3 D José GEaido , D. Pedro. Hermosilla y D Diego To-"losa. Igualmente se. ha servido promover-en el propio real cuerpo a sar-</t>
  </si>
  <si>
    <t>Geballos, Agustín</t>
  </si>
  <si>
    <t>Agustín Geballos</t>
  </si>
  <si>
    <t>a-Vizcaya, Compañía ÍP"volante. Capitán D. Andrés Mateos, 40 ps. fs. Teniente D. José Uribe, 8. Id. D. Manuel Perú, 8. Alférez¿D. José Ordaz, 10. Id. D. Agustín Geballos. 15 Capellán Fr. Bernardo Rincón , 25. Sár* antos, cabos y soldados, 401 y 2 rs. —Ciudad de Durango. Elgof ernador-intendente , brigadier D. Bernardo Bonávia…</t>
  </si>
  <si>
    <t>Gelas, Basilio</t>
  </si>
  <si>
    <t>Basilio Gelas</t>
  </si>
  <si>
    <t>n del Puerto armaban los enemigos un místico con 2 cañones y un falucho, dispuso inmediatamente que la barca Tigre y al mando del teniente de fragata D. Basilio Gelas con 2 lanchas dotadas de tropa y marinería, pasasen á quemar­ los, como se verificó completamente, cogiendo ademas 150 car­ neros que tenian cerca de Palos. Est…</t>
  </si>
  <si>
    <t>Genaro</t>
  </si>
  <si>
    <t>eSS. MM. llegarán subteniente de cazadores á caballo , núm. t.°, á aquí á media noche , y que hartan su viage por D. Joaquín Pessino; y subteniente á D. Genaro agua si no fuera por el viento, que es demasiado Jaccarini: teniente del regimiento de cazadores á fuerte, y por la gran marea. Créese que SS. MM. caballo , nútn. 4..%…</t>
  </si>
  <si>
    <t>Gendorf</t>
  </si>
  <si>
    <t>do auperior. S. A. venia de los baños de Kicsingen, La artillería de á pie y de á cáballo, mandada que están en el país de Fulda. Era un prelado r el general Gendorf, maniobró ayer delante de mui caritativo, y.se siente infinito su muerte. M. Se había construido un fortín para que fue­ Continuamos sin noticias positivas de Tu…</t>
  </si>
  <si>
    <t>Genico, José Gutiérrez</t>
  </si>
  <si>
    <t>José Gutiérrez Genico</t>
  </si>
  <si>
    <t>Carvajal; y subtenencias , á D. Juan Miguel Balanza , D. Antonio Diaz Pintado , D. Tomas Leal, D. Francisco Ortiz , D. José Mazon, D. Andrés Serrano,D. José Gutiérrez Genico, D.Pablo Carcía Bermejo, I&gt;. Juan Bautista Padilla, D. Antonio López, D. Pió Sotolongo, D. Fc-lix de Anaya , y D. Francisco Truxiilo. Da las muchas prueb…</t>
  </si>
  <si>
    <t>Gentile</t>
  </si>
  <si>
    <t>á que es urgente poner livet» condesa de Permn, condesa de Lascaris de bn término. Un escrito de esta naturaleza unirá Vintimilla, condesa Brignoíe, condesa Gentile, y los sentimientos de los pueblos con los de la capi­ condesa de Cauisi. tal. En él convendrá hacer algunas reflexiones , que Del 25. sirvan á dar á conocer á to…</t>
  </si>
  <si>
    <t>Geor</t>
  </si>
  <si>
    <t>e del 8 , mandé á Campoverde se pusiese en mar­ cha en la madrugada del 9 para San Culgát dei Valles, env a ido un batallón de América de refuerzo al brigadier Geor­ get, con la orden de que ninguno sino él debia saber él desti­ no, la que verificó aumentando la división con el regimiento de Almería; y se reunió conmigo y con…</t>
  </si>
  <si>
    <t>George</t>
  </si>
  <si>
    <t>aumentado mucho.— Del número de tropas alemanas, dice que solo deben contarse las dos terce ras partes para el servicio.” . ,,Toledo 18 de abril.—El general George al duque de Doma­ da. — Los insurgentes se arman de caballería , llevándose quantos caballos encuentran, y por este medio atacan é insultan nuestros destacamentos …</t>
  </si>
  <si>
    <t>Georget</t>
  </si>
  <si>
    <t>n la rropa de todo el paisanage de ambos sexos de la im­ portante plaza de Tortosa. — Por la parte de Urgel no ha ocurrido no­ vedad: la división del brigadier Georget ha contenido las correrías de la guarnición de Lérida. Las divisiones que se hallan sobre el Llobregat, han contenido igua límente las incursiones de la guarni…</t>
  </si>
  <si>
    <t>verde ocupaba la posición de Falset para observar y contener al exército del general Sucliet que está sobre el Ebro: otra división á las órdenes del brigadier Georget ocupaba el Urgel para observar ía guar­ nición de Lérida : y reforzada ademas la guarnición de Turtosa por hallarse embestida dicha plaza, quedaban muy po­ cas …</t>
  </si>
  <si>
    <t>aguardia j y habiendo tomado su dirección desde Alcover hacia Momblanch pasando por eF estrecho de la Riva, dispuse fuese ocupado por la división del brigadier Georget que de antemano habia hecho venir del Ur- • gel. Este gefe cumplió exactamente mis órdenes: su tropa que consistía en los batallones de Ultonia, suizos de Zey …</t>
  </si>
  <si>
    <t>Geppert</t>
  </si>
  <si>
    <t>trabajos en £ scasez, y por otra parte el ver tan inmediata la Cosecha disipa nuestros temores sobre este parti­ la orilla izquierda del Danubio; el coronel Geppert de los de la orilla izquierda del Teiss, y el tenien­ cular. te coronel Voith de los de la derecha del Danubio. ' Las noticias del exército no son mui satisfacto­…</t>
  </si>
  <si>
    <t>Ger</t>
  </si>
  <si>
    <t>era espe­ Josef Barriuso dcxó algunos hombres para la cus­ rado como un padre por sos hijos. Contestó S. M. todia de los presos, y tomando consigo á D. Ger­ con el mayor agrado , mostrándose s.úsfecho de la vasio Corral, Bernardo González , soldado que ha conducta que observa el vecindario de Madrid, y sido del regimiento de …</t>
  </si>
  <si>
    <t>Ger, Juan</t>
  </si>
  <si>
    <t>Juan Ger</t>
  </si>
  <si>
    <t>io Mora, D. Isidro Mendez, D. Francisco Rivas; D. Rafael González, D. Valentín Rivas, D. José Félix Sosa; D. José María Blanco, D. Dionisio Palacios, D. Juan Ger­ mán Rossio, D[ Juan Ascanío, D. Pablo González , D. Fran­ cisco Xavier Ustariz, D. Silvestre Tovar, D. Nicolás A usóla,' D. José Félix Rivas, D. Fernando Key, D. Li…</t>
  </si>
  <si>
    <t>Gerardi, Luis</t>
  </si>
  <si>
    <t>Luis Gerardi</t>
  </si>
  <si>
    <t>ña Manuela Sánchez.......... .............. 72900 iDoña'Cipiriana Martínez Dáviía........ 2199 30, Doña Gerónima Aguiiar......... ............. 90000 D. Luis Gerardi.v.iñi’........... 11102 Sor María Josefa de Sta.María deSocors. 18000' D. Juan Calvó L%cejó.....í...... 897° D. F rancisco López de Sáa................ 4545°' D.…</t>
  </si>
  <si>
    <t>Germain, Saint</t>
  </si>
  <si>
    <t>Saint Germain</t>
  </si>
  <si>
    <t>rto. At dia siguiente continuó so viage á S-r- que hao salido de él los coraceros de la división del war, donde esperaba á su augusta madre la archi­ general Saint* Germain. duquesa Beatriz. Ayer noche tuvimos aqui la sa­ En todas las provincias dinamarquesas ha cau­ tisfacción de volver á ver á S. M. la Emperatriz y sado una…</t>
  </si>
  <si>
    <t>Germán, Antonio San</t>
  </si>
  <si>
    <t>Antonio San Germán</t>
  </si>
  <si>
    <t>. Josef Osteret. D. Manuel Zavala Espetillo. Capitanes. D. Rafael Fleuriot. D. Francisco Xavier Berindoaga. D. Benito Angulo. D. Juan Oden y Meneses. D. Antonio San Germán. D. Juan Puente. D. Manuel Carranza. D. Jnan Verdes Montenegro. D. Nicolás María Bretnond. Subtenientes. D. Juan Francisco Pastor. D. Tomas Mari. D. Polica…</t>
  </si>
  <si>
    <t>Germán, Joaquin</t>
  </si>
  <si>
    <t>Joaquin Germán</t>
  </si>
  <si>
    <t>o muy escasos de esta arma sus repuestos ; ha dispuesto no obstante, se entreguen le) fusiles á los comisionados en Palermo D* Alonso Fierro Jove , y D. Joaquin Germán , para que en su real nombre los dirijan &amp; estos rey nos á disposición de la suprema Junta. S. M. ha mandado se dea las gracias á aquel augusto soberano por me…</t>
  </si>
  <si>
    <t>Gero</t>
  </si>
  <si>
    <t>M. Fecha en presencia de S. M. el Rei de Westei Emperador y Rei. falia y de S. A. I. el príncipe Borghese, los quales Fecha en presencia de S. M.- el príncipe Gero- ^ han firmado como testigos, y asimismo S. A. 1. la nlmo Napoleón, Rei de Wcstfalia, hermano del gran duquesa , el príncipe archicanciller y nos. Emperador; París…</t>
  </si>
  <si>
    <t>Gerona, Pedro</t>
  </si>
  <si>
    <t>Pedro Gerona</t>
  </si>
  <si>
    <t>mui escabrosos. S. A. 1. ha visitado las fronteras D. Francisco de Paula Micas, D. Carlos fimo, de la Moldavia, y ba vuelto á Skolc, Stnolna, cadete, D. Pedro Gerona, cadete , D.. Agostía Drohobieiz y Sambor por las ferrerías y salinas de Viado , D. Antonio Vázquez, D. Francisco Man­ Gaditzia. Un ingeniero de la comitiva iba …</t>
  </si>
  <si>
    <t>Gerónim</t>
  </si>
  <si>
    <t>........*. 1.050684 ,31 Doña Antonia Dominga Masip........ . 72000 Doña María Magdonell....... . 4JOQ : . F. D. Josef Sainz de. Raías.......... 26100 Doña Gerónim* .Magdonell.......... . 3000 D. Francisco Rodríguez Puente....... 2700o D. Carlos Aupetit...................... .......... 833111 D. Pedro Segando García Domínguez.…</t>
  </si>
  <si>
    <t>Gerónimo</t>
  </si>
  <si>
    <t>nguno de guardia real, los conocimientos que mas influencia tienen en la Reinoso (D. Josef). prosperidad de un estado, organizará los estudios Rozas (D. Gerónimo de ), brigadier de los reales iúbiicos «n términos, que desterrada enteramente exércitos, Í a barbarie y el mal gusto 1 florezcan las arte» y Roussel (Luis), sargent…</t>
  </si>
  <si>
    <t>ia; ei príncipe Joa­ sigue: quín Napoleón , R&lt;-i de Ñapóles ; el príncipe Bor- A la derecha del Emperador, m-s abaxo del gbese, duque de Guastala; el príncipe Gerónimo estrado, el príncipe Luis Napoleón, Rei oe Ho­ Napoleón , Reí de VVesifitia ; el principe Luis Na­ landa; el príncipe Gerónimo Napoleón, Rei de poleón, Reí de …</t>
  </si>
  <si>
    <t>por la gracia de Dios y Vega, predicador y confesor: oara la de Guevejaa por la constitución del estado, REI de Jas Es pa­ al ex-franciscano descalzo D. Gerónimo det Casti­ nas y de las Indias. llo, predicador y confesor: para la de Biznar al En conformidad de lo dispuesto en nueetro de* ex-franciscano descalzo D. Josef Díaz …</t>
  </si>
  <si>
    <t>05V Varios individuos, ..yo. — Parral. El subdelegado D Gregorio S Mar­ tin, 10. Alcalde de primer voto^D - -.Gabriel Apodaca; 4o. Id. de 'sé-: gundo D. Gerónimo. Rey noso, io. D. JacpbpsBeLo^ "&gt;idov P. * Juan. Jg-nació SalazarT, 20 D. Joan. José Elorriaga , Miguel Valerdr, 70. D. Ignacio. Posadas , 12. D. Basilio Gutiérrez, …</t>
  </si>
  <si>
    <t>Gertrudis</t>
  </si>
  <si>
    <t>ecesita una muge, para hacerse quéTfOiconoce mas.Dios que su ínteres, y Doña Rosa, querer: oriunda de países ¿xtrangeros está yi nifuraH- hsíhnjha de Doña Gertrudis , que no es tan inda como zada en España; y si tiene algún defecto, 'vierie de sus lo$ otros , tratan de Echar ignominiosamente de la casa abuelos. A estos se deb…</t>
  </si>
  <si>
    <t>Gervasio</t>
  </si>
  <si>
    <t>dia ante* que saliese del mismo puerto el parla­ Barriuso, el alcalde D. Josef Corral, D Gervasio mentario el General Souvaroft qae ha entrado Corral, y todos los otros mencionados , como igual­ ayer aqui con 200 pasageros de los baques Hau- mente los estudiantes D. Francisco Corral y Doa poult, Niso y Sirena, y de la isla de…</t>
  </si>
  <si>
    <t>Gesualdo</t>
  </si>
  <si>
    <t>trados : los escopeteros de dicho pueblo" se han ne­ Laguna (D. Tomas), arcediano de Ubeda. gado a las requisiciones que les habían hecho los Lqjo-a (D. Gesualdo), teniente coronel de arti- salteadores para auxiliarlos. No está lejos el dia en fleiía. que quando esta peste de la sociedad se presente Pineda y Arellano (D. Ramó…</t>
  </si>
  <si>
    <t>Geta, Gabriel Alonso</t>
  </si>
  <si>
    <t>Gabriel Alonso Geta</t>
  </si>
  <si>
    <t>em., linde á oriente y po­ oriente con los Cerros, y por mediodía niente con tierras del mayorazgo que posee con tierra que fue de dicha Doña Teresa, D. Gabriel Alonso Geta........... ........... ..... 68 1496 y hoi de las dominicas.................... ............ 158-17 3487 Otra en dicha vega , término de Torres, de Otra e…</t>
  </si>
  <si>
    <t>ad., que linda á oriente con tierra de la pico del monte, que linda á poniente con capellanía del bachiller Martínez Galindo.. 43 990 el mayorazgo de D. Gabriel Alonso Geta. 13,.17 297 Otra donde dicen Ja Cambronera, de 6 fan. Otra de 2 fan., que también fue majuelo, en ■ y 4 celem., que linda á oriente con vín­ término de Vi…</t>
  </si>
  <si>
    <t>Geyerstor</t>
  </si>
  <si>
    <t>nuevo exercito contra los turcos, por haber sido casi enteramente destruido el primero. Con este motivo refiere que el gran Visir tiene á su lado al coronel Geyerstor, natural de Lituania, que sirvió á las órde­ nes de Kosciusko , y fué hecho prisionero por los rusos en una de las acciones dadas por este general. ídem 18. La …</t>
  </si>
  <si>
    <t>Gherasco, Estanislao</t>
  </si>
  <si>
    <t>Estanislao Gherasco</t>
  </si>
  <si>
    <t>de 31 de marzo último. esquadrbn de milicia cívica» que se denominará art. n. Nombramos para capitán de esta com­ Guardia de honor de Madrid. pañía á D. Estanislao Gherasco , que lo era de in­ - art. 11. Este esquadron constará de dos com­ fantería de línea. pañías, y cada compañía tendrá un capitán , un te­ art. ni. Nuestro …</t>
  </si>
  <si>
    <t>Gi, Félix</t>
  </si>
  <si>
    <t>Félix Gi</t>
  </si>
  <si>
    <t>° batallón al brigadier conde de Clovard ; compañía á D. Salvador Ptyri ; y empleos de alféreces á D. Ramón de Oro zoo y Zayas, D. Tomas de Heredia , D. Félix Gi man , D. Ramón de Parada, D. .Agustín María Salvador y Vidal, D. Manuel María Rodríguez Rubio, D. Fernando Juan de Zurita y D. Luis María Montero. Igualmente se ha s…</t>
  </si>
  <si>
    <t>Giabow</t>
  </si>
  <si>
    <t>on algunos cañonazos , y Ja abando­ mas que el ó de-setiembre el general -Orusk fue naron. atacado cerca de Warwaritaa por ijí$ turcos, los : ! ,, El coronel Giabow, que cenia orden para, qúales-después de un combate mui obstinado.fue­ inquietar al enemigi*,-avisa qufe'este-se ha retirado! ron rechazados y deriotadós.'r i - -…</t>
  </si>
  <si>
    <t>Giardoni, Joaquín</t>
  </si>
  <si>
    <t>Joaquín Giardoni</t>
  </si>
  <si>
    <t>Gaceta de Madrid n.º 231</t>
  </si>
  <si>
    <t>1036</t>
  </si>
  <si>
    <t>xtensión. A mediados del pañía del séptimo batallón de lá milicia cívica de siglo xvix emprendieron los holandeses desaguar­ esta capital; debe decir D. Joaquín Giardoni. los ; pero no pudieron conseguirlo. Los actuales propietarios, á fuerza dé constan* cía , de inteiigeqcia y de dinero hm logrado for­ TEATROS. , mar diques …</t>
  </si>
  <si>
    <t>Giffiengue</t>
  </si>
  <si>
    <t>s comerciantes de esta ciudad y todas las un batallón del regimiento f.° de línea italiano, yv demas personas que trafican en m.-rc*nciaí colonia­ el coronel Giffiengue , edecán de V. A., destinado les han sido llamadas boi á ana misma hora por la para mandar las tropas de desembarco. policía, y se les ha prevenido que tienen…</t>
  </si>
  <si>
    <t>Gil</t>
  </si>
  <si>
    <t>e á oriente linda con tierra del vínculo á oriente con viña de And-es Camino, y que posee D. León Ortiz, y al medio­ ■í pórtente con la capellanía de D Gil día con tierra de los herederos de Juana Rubio........................................................... «3-*7 297 González,...........................„..................…</t>
  </si>
  <si>
    <t>Gil, Antonio</t>
  </si>
  <si>
    <t>Antonio Gil</t>
  </si>
  <si>
    <t>e ayuntamiento, y Don La diputación de Pedro Abad se componía de Mateo Ruiz, por el gremio de labradores. D. Alonso Román Gaitan , alcaide mayor; Don D. Antonio Gil, alcalde mayor de la viü#de Fernando Perez y D. Jacinto del Castillo, dipu­ Tobaruela, se presentó á S. M. en nombre de este tados. pueblo. La diputaciou de Lucen…</t>
  </si>
  <si>
    <t>Gil, Domingo</t>
  </si>
  <si>
    <t>Domingo Gil</t>
  </si>
  <si>
    <t>...'..s.f;.;i¡Ui; • 97333 25Í D. Joaquín Calvo..........n.i. ..... .46217) D. Juan Andureó;..................itoib 17 L&gt;. Ramón Serrano......12097 17 D. Domingo Gil................... 39800 8r D- Agustín Pedrayes........ ................ '8980'. D. Juan Faure Cadet.v........... 5505 8| D. Maouet de Lázaro.....................…</t>
  </si>
  <si>
    <t>Gil, Francisco Martinez</t>
  </si>
  <si>
    <t>Francisco Martinez Gil</t>
  </si>
  <si>
    <t>r muerte de la Vega, cura de Alocen. D. Martin Aguilera, á D. Simón de Arce, clérigo Para el de Val hermoso deTajuña, vacante por de prima. muerte de D. Francisco Martinez Gil, á D. Josef Para el de Fontanar, vacante por muerte de Celedonio de Cea , cura de FuencemUlan. D. Diego Félix Pioilla , á D. Josef Ruiz, clérigo Para e…</t>
  </si>
  <si>
    <t>Gil, Pedro</t>
  </si>
  <si>
    <t>Pedro Gil</t>
  </si>
  <si>
    <t>Gutiérrez , ex-guardián de fran­ calzado D. Josef Gómez: para la de Aihavia al ex­ ciscos de Loxa: para la de Chanchina al ex-mer­ carmelita caizádo D. Pedro Gil: para la de Ventacenario descalzo D. Joan Perez de Luque: para la rique ai ex-carmclita calzado D. Juan Goinez: pa­ de Pinos Puente á D. Gabriel Martínez, ex-guar­ r…</t>
  </si>
  <si>
    <t>Gil, Ramón</t>
  </si>
  <si>
    <t>Ramón Gil</t>
  </si>
  <si>
    <t>................. 122968 aóí D. Gaspar Soliveres...»..................................59$6 17 D. Josef de Bono.............................,,1 6190 4 D. Ramón Gil.Gallo,.......*........... 3610 D Baltasar Fernandez...,,,....,. 3315 i Doña Nicasia de Cañas...... ................. 5234 *7’ P-. Josef Masart D. Juau Pablo.Malnero…</t>
  </si>
  <si>
    <t>Gil, Salvador López</t>
  </si>
  <si>
    <t>Salvador López Gil</t>
  </si>
  <si>
    <t>ta de todas por su situación local y otras circunstancias que reúne, de las que bien ins­ truida la Junta superior de este reyno, á representación de D. Salvador López Gil, cura párroco de S. Ginés de Padriñan, en 2 de marzo próximo pasado, mandó proceder á su fortificación por medio de una suscripción voluntaria patrió­ tica…</t>
  </si>
  <si>
    <t>Gillemborg</t>
  </si>
  <si>
    <t>plaza vacante de Copenhague 7 de julio. gTan bailío del reino, que es la primera dignidad Aunque ta navegación por el Sund es mui difí­ del estado,el conde Gillemborg, consejero dé Jus­ cil desde que ios ingleses tienen bloqaeada la rada ticia y comendador. de íielsingor, y aunque algunos de sus buques de Ya no se verificará …</t>
  </si>
  <si>
    <t>Gilovar, Antonio</t>
  </si>
  <si>
    <t>Antonio Gilovar</t>
  </si>
  <si>
    <t>equera Don Manuel Zorrilla, el sargento segmuío cíe! mismo regimiento Manuel de Avila , los comandantes de dos divisiones de somatenes de Villafranca D. Antonio Gilovar , D. Francisca Alaorná , el capitán D. Ramón Ferrers y D. José Caiasus, el te­ niente D. Jayme Carbó, y un capitán de somateaes ce S. Boy. Desde dicho dia no …</t>
  </si>
  <si>
    <t>GilTerreros, Paulina</t>
  </si>
  <si>
    <t>Paulina GilTerreros</t>
  </si>
  <si>
    <t>16 &gt;- D. Dámasóde4aTorre.......... -‘46t't'y-'Jitíi D. Francisco Sánchez Navarro 154000'; DtJjúa'ttf Peña 1 ver.-.v.......................... '120Ó 1 Doña Paulina GilTerreros......;,78082:126 D. Manpfel María Tovar...........;».‘..:Lí. - 75c 3 2| D. Fernando Perez Rico^...... 46..... 88000 •' Doña Catalina Fornier............…</t>
  </si>
  <si>
    <t>Giocdáno</t>
  </si>
  <si>
    <t>les al mismo tiempo para que conozcan tas Salvanés, donde íubn .lexado una parte de au co­ obras mas sobresalientes que de 10 añosa esta par­ lana eí comandante Giocdáno , que i la sazón es­ te ha producido la Francia , y el juicio que de ellas taba en Fneutidueña. Se empeñó el tiroteo; pero forman los primeros sabios de aque…</t>
  </si>
  <si>
    <t>GiralBrusélas, Josef</t>
  </si>
  <si>
    <t>Josef GiralBrusélas</t>
  </si>
  <si>
    <t>ese que SS. MM. caballo , nútn. 4..% á D. Aiexandro Poveda ; y sub­ estarán aquí dos ó tres dias, y que luego irán á tenientes á D. Martin Rodríguez, D. Josef GiralBrusélas, cayos habitantes los esperan con ausia. do y D. León Villegas: capitán segundo del cuer­ po de artillería al marques de Paterna : subteniente ESPAÑA. de …</t>
  </si>
  <si>
    <t>Giraldo, Diego</t>
  </si>
  <si>
    <t>Diego Giraldo</t>
  </si>
  <si>
    <t>iga. D. Josef María Monserrat. D. Ramón Echaetea. D. Gaspar Soiiveres. Subtenientes. D. Juan Ncpomuceno Rosales. D. Josef Vargas. D. Julián Castañou. D. Diego Giraldo. D. Juan Crespo. D. Andrés Almarza. D. Antonio Reyelo. D. JnrefTubó. D. Joaquín Pacheco. D. Pedro Josef Mayora. D. Esteban Bains. D. Modesto faLcios. Tenientes.…</t>
  </si>
  <si>
    <t>Girar</t>
  </si>
  <si>
    <t>aza. Sevilla 1: de agosto. Los, franceses han guardado largo tiempo un profundo .silencio acerca de la situación y op&lt; ra­ ciones de la división .del general Girar.d compuesta de 9000 hombres, que se halla en la parte meridional de Extremadu­ ra , y es la (mica fuerza que cubre esta - provincia. El común</t>
  </si>
  <si>
    <t>Girará</t>
  </si>
  <si>
    <t>ó4 muertos, muchos caballos y bagages , y huir cia : el número de sus heridos ha sido macho ma­ «ion ur: número de heridos mucho mayor. yor. El señor general Girará adelantó su vanguar­ ,,Et señor gefo de batallón Gzud, que ha nzdia hasta San Roque. En so relación elogia mucho niobraslo mui bien en este ataque , cita con elog…</t>
  </si>
  <si>
    <t>neral del exército de la izquierda que salió iquí el 18 del corriente, ha avanzado hasta Zafra, donde de aqu d se hallaba ayer. El cuerpo francés del general Girará, com­ puesto de 4000 infantes y 800 caballos con 6 cañones, ocupa a Llerena y Vi lía garcía : las tropas francesas mas cercanas están en Guadal can al y Caza-lia.…</t>
  </si>
  <si>
    <t>Girard</t>
  </si>
  <si>
    <t>El ayudante comandan­ que y de Xúnena de la frontera , y en este último te, subayudante mayor general, Mccquerí.” pueblo se reunió con la coluna del general Girard. Dispersó en su marcha codjts las reuniones de in­ Del 20. surgentes qne encontró, con muerte de iso de ÓRDES DEL DIA. ellos. Ha destraido ademas 4Í2) fusiles y 30…</t>
  </si>
  <si>
    <t>Marbella , habían de concurrir por retaguardia de Gausin sobre S. Roque., Asi ¡sé injiere ae la mis­ ma orden del dia y de la carta interceptada del general Girard á Rey , y así lo facilita el terreno y la posición de JMfuvbella , Ronda y flfledina. , distante las tres once leguas de S. Roque. Efectivamente los franceses comb…</t>
  </si>
  <si>
    <t>yor. El Sr. general Girard adelantó su vanguardia hasta S. Roque. En su relación elogia mucho la conducta de Mr. Hudrjr-, geíe de batallón, que lo es de su estado mayor; de Mr. Astruc, gefe de batallón del re­ gimiento 64; del capitán de granadero</t>
  </si>
  <si>
    <t>Gaceta de Madrid n.º 235</t>
  </si>
  <si>
    <t>y soldados de estas com­ Eltrena 13 de agosto. pañías disfrutarán las raciones de campaña corresiondientes. á su clase siempre qne salgan fuera de El general Girard , que marchaba coo su divi­ Í os pneblos á hacer el servicio propio de su ins­ sión en busca del cnerpo de Ballesteros, le encon­ tituto. tró el dia 11 en Villaga…</t>
  </si>
  <si>
    <t>s, compuesto de 8000 infantes y 900 caballas, ocupa los pueblos de Zafra, los Santos y la Fuente: en el l.° está el mariscal Morfcier, y en el 2.° el general Girard. El exército del marques.'de la Jlomana está en Méridá y sus contornos : sus descubiertas lle­ gan á Ahnendralejo, en cuyas inmediaciones ha habido un reencuentro…</t>
  </si>
  <si>
    <t>s y marchado hacia la Sierra-para reunirse con los insurgentes, y proteger:los envíos de provisiones á Cádiz, ha sido, encontrado y derrotad o por el general Girard. Las reliquias de este cuerpo so reembarcaron en Estepona, donde han entrado nuestras tropas (4). — I.a provincia, de Murcia esta en el mayor desórdeií. Lo g^íes …</t>
  </si>
  <si>
    <t>Gírard</t>
  </si>
  <si>
    <t>Gaceta de Madrid n.º 316</t>
  </si>
  <si>
    <t>nes, á no ser un extraordinario, y ministro plenipotenciario cerca de pequeño alboioto en la noche ú'tima , que no tu­ S. M. el Rei de Wurtemberg, el general Gírard, vo ningún resultado de consideración* Es casi im­ ue desempeñaba igual encargo en la corte de Ba • posible imponer una contribución nueva eo un en; aunque quedar…</t>
  </si>
  <si>
    <t>900</t>
  </si>
  <si>
    <t>los franceses. La mañana siguiente salieron para el condado algunas partidas con un cañón y un obús. — El l.° de noviembre salió con 2000 hombres el general Girard, y aunque se ha echado la voz de que va á Llerena, hay fundamento para dudarlo. En Sevilla quedarian de 900 á 1000 hombres de guarnición en­ tre el regimiento de i…</t>
  </si>
  <si>
    <t>confiscados.. Hoy han salido por el puente 230 infantes á reunirse en Sanlucar con otros 300, y de allí pasarán juntos á Extrema­ dura á reforzar al general Girard. Llevan 3. carros de muni­ ciones.— Por la puerta de Carmona han salido asimismo 130 dudantesy 40 caballos á cruzar por el camino de Utrera , las Cabezas, Lehrija …</t>
  </si>
  <si>
    <t>árcel 18 perso­ nas , sin otro delito que hablar de las cosas y noticias públicas del dia : hoy ha sucedido lo mismo h ot; as 8. Del 21. Dicen que el general Girard tiene orden de reti­ rarse de Extremadura, sino recibe muy pronto los socorros q ue se han mandado ir de Córdoba.—* Hoy de madrugada liego una partida de insurgen…</t>
  </si>
  <si>
    <t>la puerta de Carrnona. Por ella y por e! puente han estado entrando todo el dia soldados franceses disperses, procedentes de la parte de Tecina.— El general Girard , que mandaba la división de Extremadura, ha entrado en Sevilla esta tarde con sus tropas bien descalabradas. Frexenal 24. El 19 llegó a Al acena una partida de gu…</t>
  </si>
  <si>
    <t>ebla de Pallares hacia Llerena á practicar un reconocimiento con los tiradores y los, regimientos de Lena y Monforte, se encontró en el camino con el general Girard escoltado de algunas tropas, que sh\dud&amp; venia á^i'gnal diligencia -r y0príncipió un»).jjefiriftga^que,deci­ dió á favor nuestro la llegada del regimiento de León…</t>
  </si>
  <si>
    <t>Girard, Jo-ef</t>
  </si>
  <si>
    <t>Jo-ef Girard</t>
  </si>
  <si>
    <t>. ........... 8212 2 ÍT D. josef La C. ont-.................................. 98447 10 T3. Jaime D r........................................... 29264 D. Jo-ef Girard........................................ 1582 6 D. Rodrigo Sánchez.............................. t-'OÍ D. Juan Berteviu.................................... 2606 8…</t>
  </si>
  <si>
    <t>Girard, Joáef Antonio</t>
  </si>
  <si>
    <t>Joáef Antonio Girard</t>
  </si>
  <si>
    <t>................;..... ... 2520 El real colegio de cirogíadc&amp;Gárlos. Albert é hijos......................;;;;........ 1100 D. Pedro Fernandez • 118o; D. Joáef Antonio Girard.....2025 D. Joan Antonio Ma«ao........i.'...... ‘ ; 935 D.Francisco María‘Dufooi.;;;.';.V.......i 8576'23,' D. Andrés, y D.. ladea Perez...;.;..... 7*9*4…</t>
  </si>
  <si>
    <t>Girard, Josef Antonio</t>
  </si>
  <si>
    <t>Josef Antonio Girard</t>
  </si>
  <si>
    <t>íioo^ 8f El teniente coronel D. Joan Ponce de. D. Santiago Conde...................;.......... 10198 8| 'León........... .......................ioooo D. Josef Antonio Girard.,..19600 Doña- Gerónima Magdonell.....;......... 37 5° i D. Antonio Hernández...i.:..,....:......' 22400 Dona Teresa Conrote...;.....;...,...;..„. 24628 …</t>
  </si>
  <si>
    <t>Girare</t>
  </si>
  <si>
    <t>919</t>
  </si>
  <si>
    <t>uchoé carros con fraguas y otros efectos. Ciento y ochenta caballos que había de guarnición en Osuna y Ecija , han pasado á Extremadura á reforzar al general Girare!.—Él dia 12 se embargó todo el cacao y azúcar que habla en Sevilla, y se empezó á hacer una grande requi­ sición de caballerías ño se sábe con que objeto. La divi…</t>
  </si>
  <si>
    <t>Glande, Josef</t>
  </si>
  <si>
    <t>Josef Glande</t>
  </si>
  <si>
    <t>(extingui­ da por la ignorancia poco tiempo hace), se penetró Por la universidad de curas párrocos. mui de antemano de las felicidades que iba á con­ D. Josef Glande, que lo es de la de S. Pablo,y seguir la España baxo la benéfica dominación de D. Francisco Tenorio , de la de S. Viceote Mártir. V. M., y ha dado las mas releva…</t>
  </si>
  <si>
    <t>Glass, Diego Guillermo</t>
  </si>
  <si>
    <t>Diego Guillermo Glass</t>
  </si>
  <si>
    <t>negocios de Portugal, 3000. El Sr. D. Manuel Vidaurre , ÓOPO. Él Sr. D. Da­ vid. Malcolm, 1000. El Sr. D. Eduardo Clough Taylor, por mano del se­ ñor D. Diego Guillermo Glass, 2000. La Sra. Doña Josefa Gamo ríe. da y Lavaggé , 200. El Sr. D. Proto Alvavez Manilla, 1000. El Sr. D. Éstuardo Nesbit Sawers , 1000. El Excmo. Sr. c…</t>
  </si>
  <si>
    <t>Glass, Jacobo</t>
  </si>
  <si>
    <t>Jacobo Glass</t>
  </si>
  <si>
    <t>sul de S. M. B., 5©. El señor D. Andrés Archdekin, yice-cónsul de S. M. B., 2©. El señor D. Duncan Shavv, 3©. El señor D. Tomas Goddard, t®. El señor D. Jacobo Glass, 3©. Él se­ ñor D. Guillermo EJlwand, menor, 1 ®. El señor D. Tomas Richards, i®. El señor D. Federico Grellet, 3©. El señor D. Archibaldo Turnbull, 10. El honor…</t>
  </si>
  <si>
    <t>Glass, María</t>
  </si>
  <si>
    <t>María Glass</t>
  </si>
  <si>
    <t>r D. Eduardo Grellet, 500. La señora Doña Margagarita Morphy de Shavv , 500. El señor D. Juan Collins, 1®. El señor X). C. Fi.tzgerald, 1®. La señora Doña María Glass, $00. El señor D. Manuel Víale, vecino de Gibraltar , 20. El señor D. Gideon Cranstovvn, ie). La señora Doña Felisa Dómine de Vaughan, 500. Por una apuesta gana…</t>
  </si>
  <si>
    <t>Gnizaburuaga, Feliciano</t>
  </si>
  <si>
    <t>Feliciano Gnizaburuaga</t>
  </si>
  <si>
    <t>secretaría de Estado. Batallón del quartel de S. Isidro. En nuestro palacio de Madrid i 19 de mayo Comandante , D. Manuel Alonso. de 1810. Ayudante, D Feliciano Gnizaburuaga. Don Josef Napoleón por la gracia de Dios y Abanderado, D. Francisco Crespo. por L constitución del estado, REÍ de las Españas y de las ludias. Batallón …</t>
  </si>
  <si>
    <t>Go, Don</t>
  </si>
  <si>
    <t>Don Go</t>
  </si>
  <si>
    <t>777</t>
  </si>
  <si>
    <t>a, írenic dei mirador de la La dehesa titulada de la Torre, Concepción, núm. 10........... 396 3168 situada en la jurisdicción de la Otra , calle del Conde Don Go­ villa del Tomelloso: se com­ mar, núm. 19.......................... 1000 8000 pone de pasto y Labor, y al­ Otra, calleja de Cabrera, pla­ guna porción de monte, to…</t>
  </si>
  <si>
    <t>Go, Guillermo Eloi</t>
  </si>
  <si>
    <t>Guillermo Eloi Go</t>
  </si>
  <si>
    <t>} D. Juan Esteban 1 ricio........................ 160 JI 37 D. Francisco de Irusta.......................... 1083 D.a Juana de Urqttio, u'mo totora y D. Guillermo Eloi Go.izdez............... 1083 curadora de sus dos hijas D-* M ru E; hespir. 1 de la villa de Juncos........ jai 8 2 y D A Matilde de S;.ro y Lro-'ij -... 8c-eo …</t>
  </si>
  <si>
    <t>Go, Manuel Eduardo</t>
  </si>
  <si>
    <t>Manuel Eduardo Go</t>
  </si>
  <si>
    <t>á sub- Policía general, sabrán su resolución en la secreta­ ■ teniente. ría de dicho ministerio, donde liai un oficial espe­ En infantería de línea. D. Manuel Eduardo Go- cialmente encargado de comunicarla. xostiza á capitán; D. Francisco Falcon á subte­ niente. D. Juan Bautista Guítart, del consejo de S. M., juta En el regim…</t>
  </si>
  <si>
    <t>Go, Vicente</t>
  </si>
  <si>
    <t>Vicente Go</t>
  </si>
  <si>
    <t>zar el dia estaba dis­ Por real decreto de 21 de marzo, en Granada, puesta, como también un lucido fuego de artificio; se ha servido el REI nombrar á D. Vicente Go* pero no impidió la vistosa iluminación de casa de mez, presbítero de. la colegiata de Soria, para una S. E. por la noche , ni un brillante baile á que asis­ caaon…</t>
  </si>
  <si>
    <t>Goddard, Tomas</t>
  </si>
  <si>
    <t>Tomas Goddard</t>
  </si>
  <si>
    <t>i®. El señor D. Diego Duff, cónsul de S. M. B., 5©. El señor D. Andrés Archdekin, yice-cónsul de S. M. B., 2©. El señor D. Duncan Shavv, 3©. El señor D. Tomas Goddard, t®. El señor D. Jacobo Glass, 3©. Él se­ ñor D. Guillermo EJlwand, menor, 1 ®. El señor D. Tomas Richards, i®. El señor D. Federico Grellet, 3©. El señor D. Ar…</t>
  </si>
  <si>
    <t>t, 3000. El Sr. D. To­ mas Richards , 500. El Sr. D^ Diego Guillermo Glass , 3000. El Sr. D. Tomas Barber, 2000: El Sr. D. Tomás Tucker, 1000. El Sr. D. Tomas Goddard, 2000. El Sr. D. Guillermo Branscomb , 2000. El Sr. D. Carlos Vaughan , 2000. Ei Sr. D. Alexaúdo Briarly , 1000. El Sr. D. Diego DufF, cónsul dé S. M. B. , 3000…</t>
  </si>
  <si>
    <t>Godin</t>
  </si>
  <si>
    <t>a * en la qual la guar­ Vario» regimientos de caballería que estaban dia cívica tuvo el honor de hacer á S. M. la guardia agregados á la división del general Godin han re­ junto cofa un destacamento de coraceros del duque cibido orden de marchar al país de Hao .o, después Alberto. At dia siguiente continuó so viage á S-r- que…</t>
  </si>
  <si>
    <t>Gódin</t>
  </si>
  <si>
    <t>rse á empezar de nuevo la guerra general Friant está en camino para el norte de Ale­ á la primavera , dado qne la paz 00 se ajaste an­ mania : la del general Gódin ha pasado de Hauuó-</t>
  </si>
  <si>
    <t>Godin, Luis</t>
  </si>
  <si>
    <t>Luis Godin</t>
  </si>
  <si>
    <t>la confianza que debe Juan, D. Josef de Mazarredo, D. VicenteTofiño, tener en la exactitud y prolijidad de los medios, D. Joan Francisco Aguirre , y D. Luis Godin , di­ qué se usaron, y del esmeró que se puso en su rector de guardias-marinas en Cádiz, que observó exécucion. Pero como desde el año 1788, en que. eu Truxillo el …</t>
  </si>
  <si>
    <t>Godinot</t>
  </si>
  <si>
    <t>rse seguncostumbre vergonzosamente después de haber perdido mas de y uso antiguo siempre que ios Soberanos vengan á 40 de su* compañeros. Cambrai. El general Godinot hizo ahorcar aqui á un, hom­ , ■ Después han sido admitidosJL la audiencia de bre, á quien el cura, ia justicia y los vecinos pa­ SS. MM. ei general del estado m…</t>
  </si>
  <si>
    <t>Godins, Antonio Brito</t>
  </si>
  <si>
    <t>Antonio Brito Godins</t>
  </si>
  <si>
    <t>de las montañas de Córdoba, á D= Félix Ramo» ayudante del de Farnesio, b D. Francisco de Patria Horcasits.?, teniente del de caballería del Rey, y b D. Antonio Brito Godins, ayudante del mismo de perseguidores; ayundantía al teniente D. Juan Sevillano ; tenencia al alférez D. Juan Diaz , y esta re­ sulta al cadete D. Diego He…</t>
  </si>
  <si>
    <t>Godoi, Joan</t>
  </si>
  <si>
    <t>Joan Godoi</t>
  </si>
  <si>
    <t>r.de Sicilia , cura de Albuñol. Domingo Perez, vacante por reonacia de D Cris-; Para el de la iglesia parroquial de santa Ana tóbal López Ortigosa, á D. Joan Godoi, ex-re-, de la misma, vacante por muerte de D. Juan Jo- guiar del orden de franciscos descalzos. sef de Vargas, á D. Francisco de Paola Torrado, Para el de la igle…</t>
  </si>
  <si>
    <t>Godoy, José</t>
  </si>
  <si>
    <t>José Godoy</t>
  </si>
  <si>
    <t>ol que abri­ gue en su pecho el amor á su patria, y el odio á los malvados; no es la menor la que acaba de dar el teniente de navio de la reai armada D. José Godoy, destinado en Manila, solicitando, por un efecto de su pundonor, que se le permita usar del apellido ma­ terno de Castilla y B&amp;navides en lugar del de Godoy, que n…</t>
  </si>
  <si>
    <t>Godoy, Manuel</t>
  </si>
  <si>
    <t>Manuel Godoy</t>
  </si>
  <si>
    <t>Pió Sotolongo, D. Fc-lix de Anaya , y D. Francisco Truxiilo. Da las muchas pruebas que tenemos del horror á los males que nos ha acarreado el privado D. Manuel Godoy , y de lo omi­ nosa que será eternamente su memoria á todo español que abri­ gue en su pecho el amor á su patria, y el odio á los malvados; no es la menor la que…</t>
  </si>
  <si>
    <t>Goeks</t>
  </si>
  <si>
    <t>cia con que se ha portado en el- servicio de los puestos avanzados el capitán Krauckenberg y elalferez^Cordemarm del regimiento l.° de húsares , y el capitán Goeks del regi­ miento de dragones ligeros núm. 16. —- En el Norte no ha ocurrido cosa de importancia: las últimas cartas que he reci­ bido de Cádiz, llegan hasta l.° de…</t>
  </si>
  <si>
    <t>Goinez, Juan</t>
  </si>
  <si>
    <t>Juan Goinez</t>
  </si>
  <si>
    <t>e Chanchina al ex-mer­ carmelita caizádo D. Pedro Gil: para la de Ventacenario descalzo D. Joan Perez de Luque: para la rique ai ex-carmclita calzado D. Juan Goinez: pa­ de Pinos Puente á D. Gabriel Martínez, ex-guar­ ra la de Alboludui y .Nacimiento al ex carmelita dián de franciscos de Illora : para iá de Cogoltos calzado D…</t>
  </si>
  <si>
    <t>Golfín, Francisco Fernandez</t>
  </si>
  <si>
    <t>Francisco Fernandez Golfín</t>
  </si>
  <si>
    <t>a : D. Francisco González, suplente por la de Jaén: D. Esteban Palacios, suplente por la de Caracas: D. Fermín de Clemente, suplen­ te por Caracas: y D. Francisco Fernandez Golfín, diputado por Ex­ tremadura. Salieron todos á las 9 y media en punto de esta mañana formados con el Consejo de Regencia, estando tendida toda la tr…</t>
  </si>
  <si>
    <t>Gomes, Manuel</t>
  </si>
  <si>
    <t>Manuel Gomes</t>
  </si>
  <si>
    <t>..................................................... D. Antonio Flebraa. ..... D. Ramón Fernandez de Quiroga........................................ D. Manuel Gomes. J.‘.......... .......................... ................. . D. Juan Manuel Vaienzueu. D. Miguel Calderón do Barca. 6a• »«• D. Gervasio López Faodo.............…</t>
  </si>
  <si>
    <t>Gómez, Agustin</t>
  </si>
  <si>
    <t>Agustin Gómez</t>
  </si>
  <si>
    <t>vidiar nada oí á Turena cazadores á caballo á D. Vicente Lanz, y tenien­ ni i otros. De forma que los ingleses, que me da­ tes del pasmo regimiento á D. Agustin Gómez y rán partido, no creo dexaré de tomarlo, y esto se­ D. Antonio Puech , subteniente dei propio cuerpo, rá brevemente t si no hubiera sido por las instan­ y teni…</t>
  </si>
  <si>
    <t>Gómez, Bartolomé</t>
  </si>
  <si>
    <t>Bartolomé Gómez</t>
  </si>
  <si>
    <t>ada. D. Domingo Ventades. D. Julián Sojo. D. Tomas Ibargiien. Tenientes. D. Ramón García Ximenez. Batallón del quartel de S. Isidro D. Josef Cabredo. D. Bartolomé Gómez. Capitanes. D. Josef Chacón. D. Agustín Gamell. D. Tomas Perez. D. Bernardo Barril. D. Francisco Berdejo. D. Camilo Gamboa. D. Esteban Gómez. D. Pascual Santa…</t>
  </si>
  <si>
    <t>.................................................... D. Josef Vive*. 7.* ........ D. Josef Cabredo........ D. Pedro González Scpúlveda. 8.*.......... D. Bartolomé Gómez,. D. Joaqurn Sánchez. 9.a.......... D. Josef Chacón.......... D. Ventura Cordero. 10.a................................................ D. Juan de la Fuente. N…</t>
  </si>
  <si>
    <t>z , de la man laScaoia) ¡ de Cárlscrona, ó-eiBlekinge, 62402; referida órden." ■ . . de Álanda 71599; de Cronsberg 87604-; de GalPara la de Competa á D. Bartolomé Gómez» mar i*9S 48; de Jonkoping 114480 (ésta» tres úl­ de la propia drdeii. ! timas prefecturas forman Ta Smol-anda); de GorPara la descapillas de Albaída á D. Nic…</t>
  </si>
  <si>
    <t>Gómez, Camilo</t>
  </si>
  <si>
    <t>Camilo Gómez</t>
  </si>
  <si>
    <t>, y después de haber muerto á 90- franceses qué salieron para Almagro,' obli­ gó al resto de la guarnición k refugiarse en el hospicio: La partida de D. Camilo Gómez ha muerto 54 franceses' en Mi ajadas, entre ellos su comandante, é interceptado un convoy de harinas qué conducían á Truxillo. — El 28 de. ju­ nio próximo pasado…</t>
  </si>
  <si>
    <t>29 de octubre.. J7! capitón Di Bruno de.. Aeosia remite desde Nav&amp;liuiSlos de' Toledo el parte siguiente del comandante de de cub, idores de Castilla D. Camilo Gómez. 64 Mi Oí timado súber capitán: á las 6 de la. mañana del 19 del corrí ente hall ándeme con mi escuadren en el pueblo de. Malpica , se me notició hallarse ehí lo…</t>
  </si>
  <si>
    <t>tidas de Laso , Giralda , Huertas , Claraco, Fernandez, Mir , Orobio y Abad. D. Francisco Sánchez había cogido un cañón al enemigo en el Lugar nuevo. D Camilo Gómez entró ei 3 en Ciudad Me al con 2 piezas de artillería, é hizo consi­ derable daño en el hospicio que tienen fortificado los franceses. En Cataluña la partida de D…</t>
  </si>
  <si>
    <t>Gómez, Esteban</t>
  </si>
  <si>
    <t>Esteban Gómez</t>
  </si>
  <si>
    <t>bredo. D. Bartolomé Gómez. Capitanes. D. Josef Chacón. D. Agustín Gamell. D. Tomas Perez. D. Bernardo Barril. D. Francisco Berdejo. D. Camilo Gamboa. D. Esteban Gómez. D. Pascual Santander. D. Mateo Norzagarai. D. Manuel de Cañas. I&gt;. J uan Picdrahica. Subtenientes. D. Ramón Rada. D. Antonio Robillar. D. Ramón Nocedal. . D. E…</t>
  </si>
  <si>
    <t>Gómez, Francisco</t>
  </si>
  <si>
    <t>Francisco Gómez</t>
  </si>
  <si>
    <t>e Atájate, 30 de Cortes, 15 de 2limera y 40 ginetes. Peleó­ se en varios puntos. En el puente de Montejaque el coman­ dante de la caballería patriota D. Francisco Gómez, mató por su mano á un oficial enemigo de caballería , y D. Juan José Barranco , comandante de Atájate , hizo lo mismo con otro. Los patriotas en general se p…</t>
  </si>
  <si>
    <t>Gómez, Gabdel</t>
  </si>
  <si>
    <t>Gabdel Gómez</t>
  </si>
  <si>
    <t>r 00 y como totora y curadora de su D. Tontas Aisú....................................... 28800 hijo D. Pedro Zubiaga...................... 65 *42 8£ D. Gabdel Gómez................................. 5 0400 D- Alariano Luis de Urquijo................ 8664 D. Antonio Entrena............................... 32760 D Nicolás Alonso…</t>
  </si>
  <si>
    <t>Gómez, Gabriei</t>
  </si>
  <si>
    <t>Gabriei Gómez</t>
  </si>
  <si>
    <t>0477 Dqña A;ptpnia Quadcada.——^.^ ^'41154, x .V D.‘Férmin R e m óri 3,.......... .............. 12631,' ** p. Joan Earreiture.......... .......-j ¿ i D. Gabriei Gómez....../ 3068 D^Aptónio Pojliec.».........—.+,¡nv*- *4963 9ííf Doña Marín Piferrer.. *444•■"í. D-iMjaTiano Saoz.Merino.................,,011116234 2 5|-D. Muitel …</t>
  </si>
  <si>
    <t>Gómez, Gabriel</t>
  </si>
  <si>
    <t>Gabriel Gómez</t>
  </si>
  <si>
    <t>reales decretos expedidos en D. Josef Ortiz.............................................. 22~-o2 6 '29 de diciembre del año próximo pasado , en vista D. Gabriel Gómez...................................... icSc-o de varias consultas hechas por la comisión , lo cx- D. Manuel Celestino Carrasco............... * 5975 Ya habréis o…</t>
  </si>
  <si>
    <t>®^ Doña María Andrea Sit.......j............ ' 1080 , | Doña CajulÍD2 Marqaez.......ti.^.^ioífcqV Ef conde de Moniarco...................... 4050 ito D. Gabriel Gómez.................;..... ... 2520 El real colegio de cirogíadc&amp;Gárlos. Albert é hijos......................;;;;........ 1100 D. Pedro Fernandez • 118o; D. Joáef A…</t>
  </si>
  <si>
    <t>Gómez, Jacinto</t>
  </si>
  <si>
    <t>Jacinto Gómez</t>
  </si>
  <si>
    <t>el Sancho Lanera.................... 5l44 Doña María Uribe S lazar.................... -7797 D. M neo de O-bregon............................ 2346 17 D. Jacinto Gómez, apoderado de D. Francisco Mauricio........................... 361 D. Hipólito Serrano.......................... 4- * 1). Va'eotin Romero.......................…</t>
  </si>
  <si>
    <t>Gómez, Joaquín</t>
  </si>
  <si>
    <t>Joaquín Gómez</t>
  </si>
  <si>
    <t>D. Bonifacio Cabañas. Subtenientes. D. Simón Gallardo. D. Agustín Zaldo. D. Joaquín Gómez. D. Francisco Berdejo Pacz. D. Josef González de Hoyuelo. Tenientes. D........................................ Ej?Josef González. D. Tomas Arenillas. í?. Gaspar de Losas Hidalgo. D. Josef l</t>
  </si>
  <si>
    <t>uardia á las 13 del día 13 ; y luego que se empeñó el combate, dispuso car­ gasen la derecha y frente de. la escolta los coroneles D: Matías Torres y D. Joaquín Gómez, enviando entre tanto á ocupar el paso de Piraenellos á los tenientes coroneles D. Ramón de Loya y IX Miguel Frasno. Los enemigos intimidados 'marcharen oblicua…</t>
  </si>
  <si>
    <t>Gómez, Josef</t>
  </si>
  <si>
    <t>Josef Gómez</t>
  </si>
  <si>
    <t>ano descalzo D. Alfonso Cedillo: para la de chez: para la de Athama la Seca al ex-carmelita Gojar á D. Simón Gutiérrez , ex-guardián de fran­ calzado D. Josef Gómez: para la de Aihavia al ex­ ciscos de Loxa: para la de Chanchina al ex-mer­ carmelita caizádo D. Pedro Gil: para la de Ventacenario descalzo D. Joan Perez de Luque…</t>
  </si>
  <si>
    <t>Gómez, Juan</t>
  </si>
  <si>
    <t>Juan Gómez</t>
  </si>
  <si>
    <t>ecimientos, y esto le hace seco Para la de Casa Bermeja, Ocaña y Escollar al y ioconexó. La historia es en esta parte como la ex-franciscano descalzo D. Juan Gómez. poesía; el ínteres de la narración nace casi siempre Y para' la de Pedro Martínez al ex-francisca­ de los pormenores ; pero toca al gusto escoger los no descalzo …</t>
  </si>
  <si>
    <t>as para arrostrar la tempestad que le amena­ vacante por muerte de D. Juan de Guxman y Tor­ za. La caballería enemiga no podrá obrar contra la res, á D. Juan Gómez, presbítero ex- regular. posición' que ahora: ocupamos. Sólo podrán los Y para el carato de la parroquial de la Vi­ franceses aventurar el lance de atacarnos á la …</t>
  </si>
  <si>
    <t>Gómez, Juan Francisco</t>
  </si>
  <si>
    <t>Juan Francisco Gómez</t>
  </si>
  <si>
    <t>erte presbítero. de D. Gregorio Narchao, á D. Manuel Luciano Para el de Valdegrodas, vacante por ascenso Martinez de Pioillos, cura de Malaguilla. de D. Juan Francisco Gómez al de Cadalso, á Para el de Azutan, vacante por muerte de Don D. Manuel Ramón Herrero, presbítero. Julián Ramón Navarro, á D. Vicente del Rio de Para el …</t>
  </si>
  <si>
    <t>Gómez, Lorenzo</t>
  </si>
  <si>
    <t>Lorenzo Gómez</t>
  </si>
  <si>
    <t>ncia agregados á las listas de elección para su complemento.” El día l.° de noviembre próximo falleció en la capital de su diócesi ei ilustrísimo Sr. D. Lorenzo Gómez &lt;!e Haedoó obispo de Segorbe., a los 72 anos de edad y 26 de pontificad©. Nació en las montanas cantábricas : siguió la carrera literaria en la universidad de A…</t>
  </si>
  <si>
    <t>Gómez, Luis</t>
  </si>
  <si>
    <t>Luis Gómez</t>
  </si>
  <si>
    <t>....................... 1083 D. Manuel M.tesqui.....-........................ io8co D N-colas B1 rs¿1 ■. ti ............................... j ^ 66 8f D. Luis--Gómez................. &lt;1300 • Doña Ma-ía Luisa Maturana................ 44-64 D. ña Ramona -Montalv.»....................... 20013 23 D fcdmu. ao iíourke .............…</t>
  </si>
  <si>
    <t>Gómez, Manuei</t>
  </si>
  <si>
    <t>Manuei Gómez</t>
  </si>
  <si>
    <t>que D. Rafael Antonio Mazon. Se le hacia; pero los castillos le hicieron foego,y la D. Manuel Navarro. obligaron á parar. Tenientes. IMPERIO FRANCES. D. Manuei Gómez. D. Josef Diez Avilós. Angers 1 g de mayo. D. Gregorio Serralta. En la semana última han llegado sucesivamente D. Carios San R 'man., á esta ciudad , y han conti…</t>
  </si>
  <si>
    <t>Gómez, Manuel</t>
  </si>
  <si>
    <t>Manuel Gómez</t>
  </si>
  <si>
    <t>Gaceta de Madrid n.º 186 (suplemento)</t>
  </si>
  <si>
    <t>SaltodelLobo, de rotan, ypcel. ip¡t? 4* 9 mirando á Batres, con tierras de. ios here­ Otra cerca de la:anterior, de £§• fanegas™. n..t/ *7$ deros de D. Manuel Gómez, vecino de • HtXAlZASZAt. ■■■ Serranillos...................... ............................. 4..17 99 Un linar titulado de la Catalina.—.......... *3«*7 *97 Otra…</t>
  </si>
  <si>
    <t>icho Alca- calleja de Pedregosa, arren­ zar viejo, núm. 4.................... 462 3696 dada á Doña Bernarda Gar­ Otra, frente del convento de cía y á D. Manuel Gómez en 5 25 4200 Trinitarios Calzados, en 1a es­ Tercera parte de la casa núm. 27, quina del muladar, núm. 4... 377 7000 en la cade alta de la Compa­ Otra, frente de…</t>
  </si>
  <si>
    <t>Gómez, María Manuela</t>
  </si>
  <si>
    <t>María Manuela Gómez</t>
  </si>
  <si>
    <t>es- D. Josef.Lopez de Aroos................. . 270000 tro ministro de Hacienda, y oido á nuestro conse­ JD. Manuel Pescador Calderón, y jo de Estado, Doña María Manuela Gómez....... .. 6300 Hemos decretado y decretamos lo siguiente: D. Miguel de Corres......... ............. . 140000 articulo i. ,,Se declaran acreedores del E…</t>
  </si>
  <si>
    <t>Gómez, Salvador</t>
  </si>
  <si>
    <t>Salvador Gómez</t>
  </si>
  <si>
    <t>ESPAÑA. D. Juan de Vera, ............... D. Cristóbal Camacho. Sevilla j de febrero. D/Juan Guisado. 1 En la gazeta de hoi se han publicado los artí­ D. Salvador Gómez. culos siguientes: ....... .......... I?.JFewundoi Bonilla..... __ Todos estos señores, después del acto de sumi­ . . . Erija 2_9 de enero. sión , pidieron á S…</t>
  </si>
  <si>
    <t>Gómez, Ventura</t>
  </si>
  <si>
    <t>Ventura Gómez</t>
  </si>
  <si>
    <t>Antonio Serrano, ex-trinitario D. Josef Ignacio Joven......................... 73c 8 descalzo................................................. 44000 D. Ventura Gómez de laTorre....... 21600 D. Ildefonso Polo, id........................... 44000 D. Juan Manuel de Usategui.............. 10543 17 D. Marcos Ponce de León , ex ago…</t>
  </si>
  <si>
    <t>Gon, Bernardo</t>
  </si>
  <si>
    <t>Bernardo Gon</t>
  </si>
  <si>
    <t>sentar á S. E. &lt;1,mi­ D. Juan Sabina Fuentes está nombrado capitaní nistro de lo Interior cinco libras de dichos granos» D. Pedro Caralla teníeute, y D. Bernardo Gon­ y otra pequ.eña cantidad á la sociedad de agri­ zález subteniente.. ... cultura. % ' . &gt; art. ni. En el batallón de milicia fcívica de la Mr. BamáS no ha hecho …</t>
  </si>
  <si>
    <t>Gon, Francisco de Paula</t>
  </si>
  <si>
    <t>Francisco de Paula Gon</t>
  </si>
  <si>
    <t>te ha nombrada consejeros de Estado denas; para teniente á D. Cándido de Checa, y á D. Joaquín Solís y al conde de Cartr jal, y ha para subteniente á D. Francisco de Paula Gon­ promovido á teniente general al mariscal de campo zález. D. Josef Joaquín Marti. art. ni. Nuestros ministros de lo Interior y de la Guerra quedan enca…</t>
  </si>
  <si>
    <t>Goñi, Joaquin</t>
  </si>
  <si>
    <t>Joaquin Goñi</t>
  </si>
  <si>
    <t>de la Pola, D. Andrés Hernán­ dez Sta. Cruz, D. Francisco Zarracina , D. Miguel González, D. Juan Mendez Vigo , D. Manuel Moreno , D. Pedro Masdetr, D. Joaquin Goñi, D. Juan Vial y D. Celestino Gastón. Conociendo S. M. el rey de las Dos-Sicilias la falta de fusiles que se experimenta en España , y hallándose por otro lado muy…</t>
  </si>
  <si>
    <t>Gonsalex, Camilo</t>
  </si>
  <si>
    <t>Camilo Gonsalex</t>
  </si>
  <si>
    <t>róspero Morrola. x *...... «a*« D. Benigno Brian..... D. Gregorio Gamboa, i........ D. M.rtin Azcué...... D. Pedro Simón Puerta. D. Antonio F.beirac. D. Camilo Gonsalex. $•"* El conde de Isla............. ....... D.,Manuel Gomes......... D. Marcos Pedrero, 6*. D. Francisco Monta leo y Ta­ 1- D. Antonio Salasar. ba res........…</t>
  </si>
  <si>
    <t>Gonzá, Angel</t>
  </si>
  <si>
    <t>Angel Gonzá</t>
  </si>
  <si>
    <t>laga , 1000. D. Mi­ ‘ el Ignacio -o Miranda1, 200. D. José Mariano Al mansa , 200. D. Juan Tomas de Migueleña, 200. I). Miguel José de íriarte , 200. D. Angel Gonzá­ lez, 400. I). Juan Lobo 200. D. Martin de Coz , 100. D. Pedro Garay , 200. 1). Manuel Bertimati, 200. D. Pedro de Sierra Diaz, 100. D. Juan Bautista Garaycochea …</t>
  </si>
  <si>
    <t>Gonzá, Josef</t>
  </si>
  <si>
    <t>Josef Gonzá</t>
  </si>
  <si>
    <t>y puesto su quar- Para el de la iglesia parroquial de la ciudad da tel general en la Alverca, y que nuestras avanza­ Marbella , vacante por muerte de D. Josef Gonzá­ das llegaban hasta ocho o diez millas de Pinel. lez de Lima, á D. Antonio Moreno, presbítero Pero otra carta fecha del mismo dia, y que copia­ ex-regular. remos …</t>
  </si>
  <si>
    <t>Gonzá, Juan</t>
  </si>
  <si>
    <t>Juan Gonzá</t>
  </si>
  <si>
    <t>do y entregado en las caxas de aque­ lla provincia 20398, 5. Varios individuos de Puebla, y de otros lugares pertenecientes á su intendencia, 3 9231. D. Juan Gonzá­ lez del Cabo-Franco, y su hermano D. Miguel, 100. D. Fran­ cisco Villalva 9 vecino de Tepey aguaico , 100. D. Peiro Ascoifi, y D. Juan Gránela , de S. Juan de los…</t>
  </si>
  <si>
    <t>Gonzadividido, Francisco</t>
  </si>
  <si>
    <t>Francisco Gonzadividido</t>
  </si>
  <si>
    <t>as bre de Torrijos, compuesta de de tierra, arrendado en........... : 93» '«*7* 130 fanegas dé tierra , arrenOtro, de 26 fanegas de tierra,1 x dada á D. Francisco Gonzadividido err iXfuertes , arteór ', lez Doneyo en..................... 4062. .17 . 48750 dado en........*...................^ 806 . 96 7 a Un cortijo, llamado M…</t>
  </si>
  <si>
    <t>González'Castañeda, José</t>
  </si>
  <si>
    <t>José González'Castañeda</t>
  </si>
  <si>
    <t>rador de la ju­ risdicción Je Tasco , 100. Ei teniente de milicias sueltas D. José María Infanzón-, 100 ; y tía cedido sus sueldos durante la guerra. D. José González'Castañeda,- 159. D. Agustín González San abría, vecino de Queretaro, 100. D. José Antonio de Andra.de, capitán de dragones de España , una paga, que son 100. Ei…</t>
  </si>
  <si>
    <t>González, Antonio</t>
  </si>
  <si>
    <t>Antonio González</t>
  </si>
  <si>
    <t>Estado. Vrquiaga y D. Antonio Aguilera. En Itálica á 8 de febrero de 1810. Ayudantes. Don Josef Napoleón por la gracia de Dios y D. Leandro Bu Ines, D. Antonio González, por la constitución del estado, REI de las Espa— D. Rodrigo Josef Gutiérrez , D. Leandro Gutiér­ ñas y de las Indias. rez de Medina, D. Fernando Caamaño y D.…</t>
  </si>
  <si>
    <t>ji Abj?lU...I—L.,í„..áD ’..’ci4*oi D. .Antonio Be ni to,................ ,.a f , , i^j^crc-Cí D.^Feíii^Rdo Perez.Rjco.c»í4¡¿c....v..í;;!t-H «jtw’I -G D. Antonio González ,ycbra.,.ft...t'r 592§*3.í?35 D.rFcanpTsco de.;Za,l,yxde.~6Úi:i.X._Dro 1,15x341: 17-t D. Mj^iiel Guicnpr ..... , 96335* a»3 Dj N5«i!*»s''„i.g0. Xf { D^ Gerón…</t>
  </si>
  <si>
    <t>qnira....... D. Antonio Aquilino Aguilera. D. Antonio Aimrita. .................................................. D. Santiago Sedaño................. D. Antonio González. D. Ignacio Agudo y Andrade. D. Manuel Calvo. 4: .......... D. Matías Cesáreo.................. D. Vicente de la Torre......... JX Francisco Bian. í D. Juan …</t>
  </si>
  <si>
    <t>González, Benito</t>
  </si>
  <si>
    <t>Benito González</t>
  </si>
  <si>
    <t>orillas del rio Tormes, á cargo de Gaspar de Torres......................................... 1 20 *440 Una casa en la calle de las Mazas , que habita D. Benito González, presbítero................................................ 370 4440 Otra, frente al puente, que vive D. Pedro Regalado Saez..................................…</t>
  </si>
  <si>
    <t>González, Candido</t>
  </si>
  <si>
    <t>Candido González</t>
  </si>
  <si>
    <t>. 11. Nuestro ministro de la Guerra queda ría Pardo , D. Joaquín Moralez , D. Juan Marques encargado de la execucion del presente.decreto.s: Barroso, D. Candido González, D. Ramón de Ar­ Firmadi.= YO EL REl. = Por S. ,M. su ministro ce, D. Antonio Rniz, D. Antonio Meneses, Don secretario de Estado Mariano Luis de Urquijo.” Jo…</t>
  </si>
  <si>
    <t>González, César</t>
  </si>
  <si>
    <t>César González</t>
  </si>
  <si>
    <t>. Fernando Perez Rico^...... 46..... 88000 •' Doña Catalina Fornier............ ....... ...i - t$? D. Manuel Sixto Espinos»....w.......... 45060 '■ . D. César González...................i: ; -3743/ 20I Di Manuel Fermín Casado................. 1077571.22 ¡ D,"Francisco Xavier de Elipe..;• 19961“ r4fD. Francisco Xavier Barra...…</t>
  </si>
  <si>
    <t>González, Claudio</t>
  </si>
  <si>
    <t>Claudio González</t>
  </si>
  <si>
    <t>91...... 3........ 17 rLos tres oficiales heridos de Campo Mayor son , los capitanes primeros D. José Díaz Moroso, y D. José Framis, y el tenien­ te D. Claudio González; y los dos contusos, el capitán primero Don Joaquín Aleonada, y el subteniente Don José Benitez : el oficial herido de voluntarios de Valencia , es ei capitán…</t>
  </si>
  <si>
    <t>ndez; empleos de capitanes segundos á D. Juan Quintanilla, D. Cayetano Miranda, D. Francisco de Paula Miranda, D. Francisco Sacue, D. Juan Ma­ tos, y D. Claudio González ; segunda ayudantía, á D. Jacinto Inozal ; tenencias, á D. Eustaquio Cevaílos , D. José Ramírez, D. Joaquín Moreno, D. Juan Morales, D. José Benitez, D, José…</t>
  </si>
  <si>
    <t>carmelitas cal- ■ . &gt; ' D. Lúcas de Ca'rran.......w,.;¡ 3676^16 1 izados....;..',............ . 4400O * D. Francisco Rodríguez de Huerta... 8^3 'r7&gt;: D. Claudio González, de la misma Doña-Doróteá MácdoneiK.......í;!.;..V;. i'6 ; religión........................... . 44®®^ ' Doña Francisca Xaviera de Ochoa.r.J- • 2'oéó : D. Jo…</t>
  </si>
  <si>
    <t>González, Diego Benigno</t>
  </si>
  <si>
    <t>Diego Benigno González</t>
  </si>
  <si>
    <t>efecto se puso en movimiento con una par­ señor D. León de Sagasta, por la escribanía numeraria te de su guarnición, la compañía de escopeteros) y de D. Diego Benigno González , Tusar de su derecho, en el juicio universal de acreedores formado á los bie­ un destacamento de la guardia cívica. nes del difunto D. Juan Felipe Vid…</t>
  </si>
  <si>
    <t>González, Felipe Ventura</t>
  </si>
  <si>
    <t>Felipe Ventura González</t>
  </si>
  <si>
    <t>, cada qual en lo que le pertenezca, para S. M; ha nombrado caballero de la Real Orden evitar que en la sucesivo no se pueda dar ninguna de España á D. Felipe Ventura González, deán de queja fundada sobre la conducta de IdS rropas', y la santa iglesia de Córdoba. para castigar con todo el rigor de las leyes milita­ El goberna…</t>
  </si>
  <si>
    <t>González, Francisco</t>
  </si>
  <si>
    <t>Francisco González</t>
  </si>
  <si>
    <t>ero principal. D. Miguel de la Oliva, meritorio sin sueldo. D. Vicente Díaz de Casso, oficial. D. Juan de la Portería, caxero. Contaduría de propios. D. Francisco González, portero. D. A rtronio Díaz Balcongo, oficial primero. Córdoba 27 de enero de 1810. — Firmado. D. Josef Madrid y Oviedo, idem 2. D. M.nuel Diez de Casto, i…</t>
  </si>
  <si>
    <t>nte por la de Granada: D. Francisco de Sales Rodríguez de Barce­ na .suplente por la de Sevilla: D. Francisco Escudero , suplente por la de Navarra : D. Francisco González, suplente por la de Jaén: D. Esteban Palacios, suplente por la de Caracas: D. Fermín de Clemente, suplen­ te por Caracas: y D. Francisco Fernandez Golfín, …</t>
  </si>
  <si>
    <t>n Leyva. prisiones los que fuesen inocentes, y -1). Pedro María Ric. sean Drontamente casti erados los aue D. Caslr0• í^en culpados. Y cumpliendo con D. Francisco González. tan honroso encargo, hacen presen­ te por ahora á V. M.: Que las Cortes extraordinarias, separando el 24 de setiem­ bre la potestad judiciaria de la supre…</t>
  </si>
  <si>
    <t>González, Güilísimo</t>
  </si>
  <si>
    <t>Güilísimo González</t>
  </si>
  <si>
    <t>l Canto; D. Narciso Batía..... D. Matías de Mor y Ríos.... D. Josef Villanas; D. Rafael Yarce..... D. Estéban Moreno..... ......... I&gt;. Manuel López. D. Güilísimo González.......... D. Clemente Villalba. D. Francisco Lopes Moya.... D. Joan Colmenero. D. Clemente Mesbiele...........- D. Pedro M*ría Brost, D. Josef María Sorroi…</t>
  </si>
  <si>
    <t>González, Guillermo Eloi</t>
  </si>
  <si>
    <t>Guillermo Eloi González</t>
  </si>
  <si>
    <t>el señor de Cetto, ministro plenipo­ Albert é hijos......................................... 33375 tenciario de Baviera , el priqcipe Constantino de D. Guillermo Eloi González............... 400. Loevanstein-Werthein, edecán del Rei; el barón D. Josef Justo Salcedo.......................... 92054..27 de Gravenreuth, consejero…</t>
  </si>
  <si>
    <t>González, Joaquín</t>
  </si>
  <si>
    <t>Joaquín González</t>
  </si>
  <si>
    <t>lmazara, vacante por Casero, tonsurado. promoción de t). Pedro de la Vega al de S. Justo Para el de Pesagnero, vacante por muerte de de los Oteros, á D. Joaquín González, presbíte­ D. Mateo González Bcrdeja, á D. Juan Antonio ro , cura de Saeiices de Sabero. González del Palacio, habilitado. Para el de Faentes de los Oteros ,…</t>
  </si>
  <si>
    <t>González, José</t>
  </si>
  <si>
    <t>José González</t>
  </si>
  <si>
    <t>os exércitos : las señoras lian contribuido con 28 libras de Lilas para los hos­ pitales cíe la Isla de León : y con otras 40 para el pro­ pio objeto D. José González, vecino de la misma; y á mas 1008 cartuchos de lanilla del calibre de 24 para el servicio de la artillería. (1). El Consejo de Regencia, queriendo que se baga p…</t>
  </si>
  <si>
    <t>González, Josef</t>
  </si>
  <si>
    <t>Josef González</t>
  </si>
  <si>
    <t>res 6.a Si hubiese en la guarnición algones oficia­ mariscales de campo D. Jaime García Conde les , sargentos , cabos ó soldados hechos prisionero* y D. Josef González, gobernador de la plaza de guerra en etras^ ocasiones, les será concedida y del castillo , y aceptada por el señor general plena amnistía. Valée , comandante d…</t>
  </si>
  <si>
    <t>vir para el uso de los niños. Tieno po, comandante en gefe de las tropas del Segre y once estampas finas. Véndese en la librería de Orea, del Cinca ; D. Josef González, mariscal de campo, calle de la Montera, frente á S. Luis. gobernador de la plaza y del castillo de Lérida; D. Josef Baguer, brigadier de ingenieros , segundo …</t>
  </si>
  <si>
    <t>González, Josef María</t>
  </si>
  <si>
    <t>Josef María González</t>
  </si>
  <si>
    <t>. neidad y circunstancias ha tomado de aqnel reve­ .Para la primera de S. Ildefonso al fcx-franrisrendo arzobispo', y demas 'que le han parecido cano D. Josef María González. convenientes ; oido nuestro ministro interino de Para la de 5. Gregorio del Albaicin al ex-merijegocios eclesiásticos, eenario calzado D. Antonio Peregr…</t>
  </si>
  <si>
    <t>González, Juan</t>
  </si>
  <si>
    <t>Juan González</t>
  </si>
  <si>
    <t>día. formará inedia compañía. Ponen' ti de noviembre. Para subteniente de esta milicia queda nombra­ En la mapaú# del ll había enfrente de Graín- do D. Juan González. val dos buques , de los qúaies el uno parecia un art. Vil. . En la aldea de A2uadalce.se forma­ hriele ingles, y ambos habían perdido sus mástiles: rá media com…</t>
  </si>
  <si>
    <t>González, Judas Tadeo</t>
  </si>
  <si>
    <t>Judas Tadeo González</t>
  </si>
  <si>
    <t>= YO EL REI. = Por S..M; su ministro 2.° D. Juan Antonio Montiel Bailón. secretario de Estado Mariano Luis de Urquijo.” 3.® D. Andrés Ramos, .. . 4.® D. Judas Tadeo González. , Extracto de las minutas de la secretaria de D« Fermín María Milla, fiscal. ; Estado. ARTICULO - IV. ‘ O*,En nuestro ■ palacio de Madrid í 11 de junio …</t>
  </si>
  <si>
    <t>González, Luis</t>
  </si>
  <si>
    <t>Luis González</t>
  </si>
  <si>
    <t>estos los dos primeros son tan pobres de nesio, 6 individuo de la gnardia de honor de Sevi­ invención, tan defectuosos en el desempeño , y tan lla, á D. Luis González , teniente que fue de lance­ faltos de colorido y de poesía, oue no merecen ros de ia misma ciudad, yá D. Juan Bailen, sub­ que la comisión los analice y expong…</t>
  </si>
  <si>
    <t>González, Manuel de Linares</t>
  </si>
  <si>
    <t>Manuel de Linares González</t>
  </si>
  <si>
    <t>férez real; el segundo alcalde provincial; el tercero fiel executor; el quarto decano y alguacil mayor interino, y el quinto llano; con asistencia de D. Manuel de Linares González, síndico procurador general, juntos y arreglados á lo dispuesto por ley, dixeron: que res­ pecto á que en el dia de ayer, 9 del corriente, en el mi…</t>
  </si>
  <si>
    <t>González, María del Pilar</t>
  </si>
  <si>
    <t>María del Pilar González</t>
  </si>
  <si>
    <t>ta de la comis.on de liquidación, = D. Santiago D. Juan de Berrebin...................... . 1200 Romero* L&gt;. Francisco Galo Carrasco........... 50969 Doña María del Pilar González...... 8005 16 La colegiata de S. Ildefonso............ 96552 28 TEATROS. D. Benito Alfonso Aguado............. 13808 71 La iglesia de ia villa de Y…</t>
  </si>
  <si>
    <t>González, Miguel</t>
  </si>
  <si>
    <t>Miguel González</t>
  </si>
  <si>
    <t>nientes de la plana mayor facultativa del propio cuerpo á D* Francisco Melendez de la Pola, D. Andrés Hernán­ dez Sta. Cruz, D. Francisco Zarracina , D. Miguel González, D. Juan Mendez Vigo , D. Manuel Moreno , D. Pedro Masdetr, D. Joaquin Goñi, D. Juan Vial y D. Celestino Gastón. Conociendo S. M. el rey de las Dos-Sicilias l…</t>
  </si>
  <si>
    <t>González, Miguel Luis</t>
  </si>
  <si>
    <t>Miguel Luis González</t>
  </si>
  <si>
    <t>Miguel de Madaria- pecto al intendente de Madrid. ga y D. Nicolás Lesso y Garro, racioneros de la art. ni. Nuestro ministro de Hacienda que­ misma; á D. Miguel Luis González , D. Joaquín da encargado de la execucion del presente decre­ de Reina y D. Francisco de Sales Rodríguez, me- to. = Firmada = YO EL REI.es Por S. M. su m…</t>
  </si>
  <si>
    <t>González, Miguel LuL</t>
  </si>
  <si>
    <t>Miguel LuL González</t>
  </si>
  <si>
    <t>.. Vicente F«rrer García, D. Vicente Lobo y Arjona , D. Andrés Amaya, D.. Miguel de MaÁauaga y D. Nicolás Leso y Garro, ra­ cioneros d* ia sn&gt;ama ; á D. Miguel LuL González, D. Joaquín de Reyna y D. Francisco de Saits Rodríguez, medios racionero* de ella ; k D. Manuel María Rodríguez , capellán mayor, y-.i D. José María Blanc…</t>
  </si>
  <si>
    <t>González, Pablo</t>
  </si>
  <si>
    <t>Pablo González</t>
  </si>
  <si>
    <t>vas; D. Rafael González, D. Valentín Rivas, D. José Félix Sosa; D. José María Blanco, D. Dionisio Palacios, D. Juan Ger­ mán Rossio, D[ Juan Ascanío, D. Pablo González , D. Fran­ cisco Xavier Ustariz, D. Silvestre Tovar, D. Nicolás A usóla,' D. José Félix Rivas, D. Fernando Key, D. Linó dementé. Los ministros son los individu…</t>
  </si>
  <si>
    <t>González, Pedro</t>
  </si>
  <si>
    <t>Pedro González</t>
  </si>
  <si>
    <t>los diputados de Utrera y los del cabildo de Olivares: estos últimos traían á su frente al abid S. M. se ha dignado expedir los decretos si­ mitrado D. Pedro González, quien expresó la con­ guientes : fianza, el júbilo y los sentimientos de fidelidad que Extracto de las minutas de la secretaría de los conducían á los pies del…</t>
  </si>
  <si>
    <t>ados por mí á presencia de todos á los alumnos D. Eulogio Carrascoso , D. José Andrés , D. Anastasio Navas , D. Juan Senovilla, D. M anuel Rodríguez, D. Pedro González, D. Fer­ nando López , D. Santiago Pereyra, D. Cándido María Rosa­ da ; y para mayor estímulo les recordé al mismo tiempo las obligaciones que les imponía tan …</t>
  </si>
  <si>
    <t>rden. mes investigaciones sobre el sistema del mundo i Para la de Lanxal al ex-franciscano descalzo explicar tas verdades elementales de la álgebra y D. Pedro González. de la geometría. . Para la primera de Dalias y Celin al ex-cartuxo La utilidad, y aun podré decir la necesidad D. Miguel Montoya. de la traducción de semejant…</t>
  </si>
  <si>
    <t>González, Pedro del Mazo</t>
  </si>
  <si>
    <t>Pedro del Mazo González</t>
  </si>
  <si>
    <t>los hospitales, asi como su marcha y por el oficio del notzrio mayor de la audiencia arzo­ administración sobre el imeres particular de quan- bispal D. Pedro del Mazo González, se ha acordado por dicho señor juez en 1/ del corriente una providen­ tos concurran activa ó pasivamente á sus operacio­ cia llamando á junta el dia 1…</t>
  </si>
  <si>
    <t>González, Rafael</t>
  </si>
  <si>
    <t>Rafael González</t>
  </si>
  <si>
    <t>Tovar Ponte, D. Feliciano Palácip; D. Nicolás de Castro, D. Juan Pablo Ayala, D. José Cortés; D. Hilario Mora, D. Isidro Mendez, D. Francisco Rivas; D. Rafael González, D. Valentín Rivas, D. José Félix Sosa; D. José María Blanco, D. Dionisio Palacios, D. Juan Ger­ mán Rossio, D[ Juan Ascanío, D. Pablo González , D. Fran­ cisc…</t>
  </si>
  <si>
    <t>Gonzalo</t>
  </si>
  <si>
    <t>de frtarzo. Enriqcez de Luna (D. Jcsef), fiscal que fee de la chancillería de Granada, Si pudieren reunirse las ideas luminosas qne Emíquez de Luna (D. Gonzalo), teniente Coronel S. M. esparció en los varios discursos que ei dia ty retirado. dirigió á Es diferentes diputaciones, firmarían el Fado (Antonio), granadero de (a gu…</t>
  </si>
  <si>
    <t>de Sevilla á los a'c«ldes del crimen de la misma visitado las villar de Fernán Ntm-z, Aguilar, D. Francisco Fmandez del Pino y D. Josef Mier; Puente D. Gonzalo, Jauja, Benamexí, Montctnapjfa 'as do9 resultas ha nombrado á D. Marcos yor. Espejo y Rote, y las ciudades de Montiila ..rtin Ovi d&lt;&gt; y á D. Tomas María Romero. y Luce…</t>
  </si>
  <si>
    <t>ernandez...,,,....,. 3315 i Doña Nicasia de Cañas...... ................. 5234 *7’ P-. Josef Masart D. Juau Pablo.Malnero,...... ............... 7S8i D. Gonzalo Du*.&lt;Je RibjWa.-..-a^*;.vv 22500 1 D. Juan Rincón.».............. ................. 7OI4 *7 pona Abs ;■ ?5'4gco D, Francisco Xavier.-Martínez Re- D. Francisco Paula P…</t>
  </si>
  <si>
    <t>7§l ^ doctos ¡nríeses antes cerca del Puente de D. Gonzalo con 200 franceses, de que .mató 6 cogió 60.t - El 25,dfelji^qpio mes salieron. ^é Vaííadolid algunos car­ ros cargacíqs,fíe plata para F^apcia ,con .^QOf.|iqínbres de es-, colta^.pero;Jós patriotas lg*s ^tac</t>
  </si>
  <si>
    <t>Gonzalo, Luis Fernandez</t>
  </si>
  <si>
    <t>Luis Fernandez Gonzalo</t>
  </si>
  <si>
    <t>emando Ruiz del Burgo, 500. Oficiales de la primera se­ cretaría de estado, 7000. Archivero de la misma y sus oRciales, noo. D. Antonio Capmany, ico. D. Luis Fernandez Gonzalo dei Rio, 300. D. José Batlle y Mayner, 3GO. D. Miguel Riera y Refart, 300. D. Ma­ nuel Fopiano, roo. Conde de Fernan-Nuñez, 6co. D. Dionisio Antomío de…</t>
  </si>
  <si>
    <t>Gorbea, Cay</t>
  </si>
  <si>
    <t>Cay Gorbea</t>
  </si>
  <si>
    <t>......... 6202 - 5 D. Josef Ignacio de Mendia , por su D. Felipe Aiba Ruiz , como padre y apoderado D. Lorenzo de Palacio administrador re D. Josef y D. Cay Gorbea........... :.................................... 160293 4 si miro..................................................... 3745 7 18 D/ María Escnlasúca, D.aMaríaTetes…</t>
  </si>
  <si>
    <t>Gordillo, Manuel</t>
  </si>
  <si>
    <t>Manuel Gordillo</t>
  </si>
  <si>
    <t>andés, del io.° de cazadores de Para la de Guaxar-Faíaguir y Fondon al ex­ la caballería holandesa, del 2.a de cazadores espa­ franciscano observante.D. Manuel Gordillo. ñoles , y de las compañías francas de Madrid y d« Para la de Moclia al ex-franciscano ü. Andrés Guadalaxara. de Molina Prado. - La junta de Sigiienza ha sido…</t>
  </si>
  <si>
    <t>Gordo, Ana</t>
  </si>
  <si>
    <t>Ana Gordo</t>
  </si>
  <si>
    <t>dicen la Talanquera, con Una oliva donde d¡£en el Carril , que es- .. 4 olivos................................................. 9 198 tá en o ivar d* Doña Ana Gordo.-... 3-*7 77 Una tierra, que fue viña, de una fan., Una viña en la vereda del Espinilto con donde dicen el Hundido........ ............. 9 198 900 crpds vivás... …</t>
  </si>
  <si>
    <t>Gordominó, Diego</t>
  </si>
  <si>
    <t>Diego Gordominó</t>
  </si>
  <si>
    <t>aecimiento fael de Teha, D. Rodrigo de Mesa y D. Josef Se­ - de Bailen desconcertó todas las cabezas: el miedo rien , veintiquatro de esta ciudad ; á D. Diego Gordominó á los pusilánimes. Solo los mas ilustrados, doa, doctoral de esta santa iglesia catedral, Don y que obraban por la fortaleza de sus conciencias, Manuel Arjona…</t>
  </si>
  <si>
    <t>Gordon, Juan David</t>
  </si>
  <si>
    <t>Juan David Gordon</t>
  </si>
  <si>
    <t>ma compañía en la vacante de D. Juan dé la De­ En primer lugar en ninguna parte se halla tic» hesa. testimonio histórico de peso, el qual pruebe que D. Juan David Gordon á teniente de la segun­ Talés reconoció un Dios, ó creador ó gobernador da compañía. : del universo, Talés díxo que este estaba animado O. Eulogio Larrameodi…</t>
  </si>
  <si>
    <t>Gordon, María del Rosario</t>
  </si>
  <si>
    <t>María del Rosario Gordon</t>
  </si>
  <si>
    <t>-- Pista núm. 2. Los Sres. editores del diario y de la gazeta del comercio de Cádiz por tos exemplares que han impreso y distribuido gratis. La Sra. Doña María del Rosario Gordon, 400 rs. vn. El Sr. D. Jorge Brittain, 1000. Ei Sr. marques de Pedroso , 320. La Sra. Doña' María Dolores Morphy de Izquierdo , 400. El Sr. D. Arthu…</t>
  </si>
  <si>
    <t>Gorman, Carlos O</t>
  </si>
  <si>
    <t>Carlos O Gorman</t>
  </si>
  <si>
    <t>El señor D. Juan Corsbie, rs. vn. i.® El señor D. Guillermo Beeston, i®. El señor D. Juan Thuillier, i®. E.í señor D. Tomas Withington, i®. El señor D. Carlos O’Gorman, i@¡. El sensor D. Tomas Barber, 10. El señor D. Cárlos Vaughan, i®. El señor D. Diego Duff, cónsul de S. M. B., 5©. El señor D. Andrés Archdekin, yice-cónsul …</t>
  </si>
  <si>
    <t>Gorman, Meichor</t>
  </si>
  <si>
    <t>Meichor Gorman</t>
  </si>
  <si>
    <t>arde de este día se ha execntado aqni la Para el de Quintanilla del Monte, vacante por décima y ú'tima corrida de toros en la plaza des­ pTomocion de D. Meichor Gorman al de Villa- tinada para estas funciones. Los espectadores, cnmu riel de Campos, á D. Carlos Rodríguez Man- ro número ha sido grandísimo, h,n manifestado jon. …</t>
  </si>
  <si>
    <t>Gorordogoica, Juan Francisco</t>
  </si>
  <si>
    <t>Juan Francisco Gorordogoica</t>
  </si>
  <si>
    <t>para la E o flotilla del Rei renia contrarios el viento y la corriente, por lo qual la escolta del convoi estaba ración qoe dexa vacante Ríos: al Dr. D. Juan Francisco Gorordogoica, presbítero, para 3a maesya batiéndose con la mitad de las fuerzas enemigas trescolía de la dicha santa iglesia de Avila, vacan­ te por fallecimie…</t>
  </si>
  <si>
    <t>Gotti</t>
  </si>
  <si>
    <t>cañones de bronce de grueso calibré^ tra pérdida fue de i-¡7 hómbrés: entre los heridos ed el mejor estado, un repuesto mui considerable se hallan el coronel Gotti y cinco oficiales. Estas de municiones, pero pocos víveres La. tonta éé dos acciones hacen mucho honor al general de di­ Hostalrich es importantísima, porque aieró…</t>
  </si>
  <si>
    <t>Gottorp</t>
  </si>
  <si>
    <t>ener á los torcos , lo* quales se han adelantado basta Os:ronítza, al pie Memil 18 de setiembre. de las famosas montañas de Bujusdacbi, y han ocu­ El conde Gottorp llegó anteayer á esta ciu-&gt;. pado todo el territorio que haí entre estas monta­ dad sin rnas comitiva que na criado, y sin de­ ñas y las fronteras de la Albania. t…</t>
  </si>
  <si>
    <t>Gottorps</t>
  </si>
  <si>
    <t>776</t>
  </si>
  <si>
    <t>sde que ia deuda pública se ha aumenta* El 26 de este mes pasó por aqui un correo sue­ do tan prodigiosamente, y desde que el comercio, co enviado al conde Gottorps, y marchó á toda el luxo y las fortunas particulares han progresado priesa á Oberland. con tanta rapidez, es evidente que se han mudado todas las relaciones; que …</t>
  </si>
  <si>
    <t>Govian, Antonio</t>
  </si>
  <si>
    <t>Antonio Govian</t>
  </si>
  <si>
    <t>97*. ESPAÑA. Funes , á D. Antonio Govian . ex-regular del órdea de agustinos descalzos. V. ! ' Madrid 4 de agosta. - Para el de las parroquias de S. luis y S. Gre­ ' ' Ui «v i. *■ i.- - . . 1 gorio con el anexo de la alqoería del F</t>
  </si>
  <si>
    <t>Govinot</t>
  </si>
  <si>
    <t>utados dei colegio del departa«ment&gt; de Moi.tcnotte: el nombre de vuestro de- Granada /j) de marzo. «parlamento excita en mi corazón moches senti- El general Govinot ha hecho una expedición « nicntos; me hace recordar lo que debo á los cu.r- -desde Guadíx hasta Almería , y los habitantes de « pos veteranos de mi primer exérci…</t>
  </si>
  <si>
    <t>Goya, Francisco</t>
  </si>
  <si>
    <t>Francisco Goya</t>
  </si>
  <si>
    <t>nadas serán ademas rito se han propuesto conservar á la posteridad su ¡nié­ admitidas á peso» á voluntad del portador» en el gen por medio del pincel D. Francisco Goya, y con cambio, de este modo: su buril D. Rafael Esteve. Se hallará en la librería de Las.de 48 y las de 24 libras i razón de 3094 Escribano, calle de las Carre…</t>
  </si>
  <si>
    <t>Goyeneta, Joaquín</t>
  </si>
  <si>
    <t>Joaquín Goyeneta</t>
  </si>
  <si>
    <t>Gaceta de Madrid n.º 97</t>
  </si>
  <si>
    <t>as provincias, hace que procure evitar el sobre­ Bouligni mariscales de campo. cargarlas con los gravámenes que indispensablemen­ S. M. ha nombrado á D. Joaquín Goyeneta te acarrean los cuerpos numerosos de tropas ex­ corregidor de Sevilla; á D. Luis María Guerrera trangeras. Demasiadas cargas están sufriendo con oidor del tr…</t>
  </si>
  <si>
    <t>Goyti, José</t>
  </si>
  <si>
    <t>José Goyti</t>
  </si>
  <si>
    <t>élix Aznar , D. Dionisio Angulo , D. Enrique Huelen, D. Agustín Cabrera, D. Manuel Ibarroia , D. Gregorio Arroyo, D. JuanMuguiro , D. Ramón Sánchez , D. José Goyti, D. Domingo Angulo , D. Andrés Martínez y D. Antonio Valderas ; y subte­ nencias , á D. José Perez , D. Jorge Bertolld , D. José Fernandez, D. Miguel Henriquez , D…</t>
  </si>
  <si>
    <t>Gra, Francisco</t>
  </si>
  <si>
    <t>Francisco Gra</t>
  </si>
  <si>
    <t>852</t>
  </si>
  <si>
    <t>ndó del subteniente D. Vicente Lagarda , se portó pér­ fidamente , en especial dicho oficial y los cabos primeros Marte no Loscas, Miguel Lázaro y el soldado Francisco Gra­ cia : también se comportaron con la misma distinción el temente de marina de S. M. británica M. Lawrié , el sargento Nad, el cabo Rayner, y los soldados F…</t>
  </si>
  <si>
    <t>Gra, José</t>
  </si>
  <si>
    <t>José Gra</t>
  </si>
  <si>
    <t>andante de las 'partidas de guerrillas del reyno de Jaén; grados de capitán á los tenien­ tes D. José Salazar, del batallón de tiradores de Castilla, D. José Gra­ znados , del regimiento de caballería del Príncipe , IX José Vidaurre, del de caballería de España , D. Saturnino Segura, del de infantería imperial de Toledo y D. …</t>
  </si>
  <si>
    <t>Grabouski</t>
  </si>
  <si>
    <t>espnes de un concierto de música curso análogo á las circunstancias. Concluida esta executado por 50 de los mejores profesores de esta ceremonia , el general Grabouski , comandante de la ciudad , se cantó una canción compuesta por el se­ pinza , hizo destilar las tropas de la gnaruicion en ñor Fourcade, cónsul general de Fran…</t>
  </si>
  <si>
    <t>Graciano</t>
  </si>
  <si>
    <t>n de empezó i cotejarse las opiniones "ontenidas en las de- r Impedir el que se prohibiese dicha obra , y que repre­ cretales de Mercator, el decreto d. Graciano y sus co­ sen te el justo sentimiento qae S. M. podía tener de qué mentadores, con las decisiones de ios concilios, y con en la junta de cardenales se hubiese tratad…</t>
  </si>
  <si>
    <t>Graindorge</t>
  </si>
  <si>
    <t>últimas cartas de Cádiz son del 92 de setiembre. — Tengo el fr ñor,, &amp;c. — Excmo. Sr. D. Miguel Perevra Forjaz — Wellington.. P. S. He sabido que el general Graindorge y el general, Foit, pertenecientes ambos al segundo cuerpo, quedaron he­ ridos en ía acción del £7 &gt; también lo fueron ios ofi cial es í de^ q je hice mención …</t>
  </si>
  <si>
    <t>Graindorgeha</t>
  </si>
  <si>
    <t>1042</t>
  </si>
  <si>
    <t>la historia ofrece exemplo de igual barbarie; Nuestra pérdida entre muertos y heridos sube á 3000 hombres, incluso un gran número de ofi­ ciales. El general Graindorgeha muerto de sus heridas: él ge­ neral de división Merle está, herido, así como Jos generales de brigada. Foix y Mane une, y por algún tiempo no estarán en dis­…</t>
  </si>
  <si>
    <t>Gran, Josef</t>
  </si>
  <si>
    <t>Josef Gran</t>
  </si>
  <si>
    <t>uestro palacio del alcázar de Sevilla i 6 ministrador principal de correos de esta ciudad y de febrero de 181 o. su partido; D. Pedro León Rodríguez; D. Josef Gran cancillería de la Orden Real de España. Osorio de los Ríos; D. Francisco de Castro , ca­ Don Josef Napoleón por Ja gracia de Dios y pitán de ñafio ; D. Josef de la…</t>
  </si>
  <si>
    <t>Granados, Ignacio</t>
  </si>
  <si>
    <t>Ignacio Granados</t>
  </si>
  <si>
    <t>íchter para teniente de la mí^ma. dos compañías, formando un batallón con las otras D. Pedro Tineo para.subteniente de la dicha. , dos ya formadas. : D. Ignacio Granados para subteniente de la Nombramos para comandante de este batallón tercera compañía. a D. Luis Negrooj .para ayudante á D. Blas Ca­ D. Luis de Muro para sobte…</t>
  </si>
  <si>
    <t>Grandona, Joaquín</t>
  </si>
  <si>
    <t>Joaquín Grandona</t>
  </si>
  <si>
    <t>oroneles D. José de Santa Cruz, y D. Jo é Falo; á tenientes coroneles, los sargentos ma­ yores de brigada D. Francisco Serrallac , D. José Veiarde, y D. Joaquín Grandona ; á sargentos mayores de brigada, los capita­ nes D. Pedro Salazar, D. M :r. iel Arschav&amp;la, D. Melchor Sil­ vestre , y D. Nicolás Verdejo ; á capitanes, los…</t>
  </si>
  <si>
    <t>Gránela, Juan</t>
  </si>
  <si>
    <t>Juan Gránela</t>
  </si>
  <si>
    <t>3 9231. D. Juan Gonzá­ lez del Cabo-Franco, y su hermano D. Miguel, 100. D. Fran­ cisco Villalva 9 vecino de Tepey aguaico , 100. D. Peiro Ascoifi, y D. Juan Gránela , de S. Juan de los Llanos, 100. Por el subde­ legado de Ciiautla de la Sal se recogieron en su jurisdicción i®. El subdelegado de Guadaicazar D. Bernardo de Ir …</t>
  </si>
  <si>
    <t>Gravina, Pedro</t>
  </si>
  <si>
    <t>Pedro Gravina</t>
  </si>
  <si>
    <t>dé tos en su distrito, por las reglas que nuestros de= Reina; á D. Juan Be.mudez, dignidad de prior; á cretos de 9 de junio y 27 de setiembre del ano D. Pedro Gravina, arcediano de Carmona ; á Don próximo anterior establecen , á fin de que la deu­ Francisco Xavier Cienfuegos /avellanos, canónigo; da pública sea satisfecha con…</t>
  </si>
  <si>
    <t>cisco Viceute Venegas, arcediano de Niebla ; á D. Francisco Xavier Vilialta, arcediano de Reyna; á D. JuauDermudez &gt; dignidad de prior; ai Excmo. Sr„ D. Pedro Gravina , arcediano de C armón a ( actual nuncio de S. S. en estos reynoi) ; á D. Francisco Xavier Cienfuegos Javellanes; á D. Juan Bautista Morales; &amp; D. Francisco Pat…</t>
  </si>
  <si>
    <t>Gre</t>
  </si>
  <si>
    <t>Gaceta de Madrid n.º 46</t>
  </si>
  <si>
    <t>ada en ello: oígan- perando que nos cumpla Ja palabra. tns vmdt. un rato, les daré mt-dictámeñ, y quedos liti­ Y ;qu¿ me di¡úa vmds. de aquel bendito D. Gre­ gantes apelen donde les parezca. gorio que al leer el cartel de la Hutrfttnita nos viene Ef estadude la cuestión se reduce.á saber si D. J. alborotando con su ridicula s…</t>
  </si>
  <si>
    <t>uez, bom­ bardero, 20. Partida de marina en este puerto y el de Buenos-Ay res. D Tomas Ruiz, sargento primero graduado de alférez de fragata, 32. Id. D. Gre­ gorio Mota, 8. Cirios San José, cabo primero, 17. Id. segundo Caye­ tano Arroyo, 4. — Fusileros. Francisco Casado, 4. Juan Castilla, 4. Rosendo Linares, 4. Francisco Vil…</t>
  </si>
  <si>
    <t>Grego</t>
  </si>
  <si>
    <t>abezar con ella tod.¡v nuestras oraciones. Hubo mulas, por creer que estas sor útilísimas pin el logro do quien di&lt;o que estas eran rimiedades, y que D. Grego­ la reputad» n quando estar dictadas por la cordura. Quan­ rio se había metido á escrupuloso desde que era presi­ do haVa ocasión diremos á vm.is, desp-do i qué se han …</t>
  </si>
  <si>
    <t>Gregorio</t>
  </si>
  <si>
    <t>an saludado, y va academia de Madrid; nosotros que, reunidos á la conocido el gran ínteres que los nuevos académicos te­ sombra de nuestro presidente D. Gregorio, hamos da nemos en que no se no* hacine en la gabilla de los ea-</t>
  </si>
  <si>
    <t>erdo y ncl&gt; en que se de haber motivo para decir que estamos llenos de parece­ pusO: ,,Convínose en que la música, puerto que sus res. De todos modos D. Gregorio era acreedor í que se la -materiales son los sonidos, lo mas á que podrá llegar</t>
  </si>
  <si>
    <t>Gaceta de Madrid n.º 28</t>
  </si>
  <si>
    <t>empo á esta parte me ha dado Mudas lenguas de amorío*. a ventolera de leer la gazeta, y no dexó de chocarme O aquello de aquello de la academia, y de D. Gregorio, y demas No rebuznaron en balde zarandajas que vmd. sabe- Al instante me vino í las El uno y el otro alcalde. mientes que yo podía ser académico, principalmente Que …</t>
  </si>
  <si>
    <t>perjuicio dé los oycnies. Pos tncmr academicien. Digo pues que gracias y alabanzas eternas sean tri­ Aquí yace Pirón , que nada era. butadas al señor D. Gregorio y á sus dignos compañe­ Ni académico siquiera." ros, que han tenido el feliz pensamiento de establecer Como traduxo en otro tiempo otro académico de otra entre nosot…</t>
  </si>
  <si>
    <t>anas le tiene. Si me dice que un crítico Dios me libre. Asi es que no me firmo ni D. Jeta , ni no está obUgado á manifestar el suyo, yo le responde­ -D. Gregorio. ni D Palom'que, ni 2). Castañas-; ni soi d» ré: ,,señor agresor, «I que critica con hombría de bien juntas anónimas, ni de legiones incógnita?. Yo m« Hamo, • sin at…</t>
  </si>
  <si>
    <t>s una comezón, que quando se mal gusto? Esto, esto'era lo que debía llamar la aten­ apodera deun autor,-lejos de darle sueño, se lo quita; ción de mi D. Gregorio, y este la cuestión que debía y aun añade dicho médico .que es enfermedad qua na haber propuesto inmediatamente en su academia. D. J. tiene cura. dice que lá convocó…</t>
  </si>
  <si>
    <t>cendrada fe, mío D. Hablador ó D. Cuentista eterno, que no D. J.! y práctica de calcular inveterada, afirmaba el suceso. Ya se ve, ¡cómo ha de hablar D. Gregorio, ni el ex- Que bebimos, hablamos sin consuelo, y en qunntos reltgioso, ni los'innumerables agraviados de su furibun­ idiomas pueden inventarse, no hai qui referirlo;…</t>
  </si>
  <si>
    <t>Gaceta de Madrid n.º 55</t>
  </si>
  <si>
    <t>y benéfico como el que la Providencia no» asistían, el Ihno. Sr. D. Alfonso Aguado y Xara- ; ha concedido. dolé de nuestro real erario. Mandamos que D. Gregorio para que no tenga que volver al estado actual. Y por lo Falomeque ó Palomilla sea puesto en reclusión perpe­ que toca á los demas académicos serán encarcelados ad tua…</t>
  </si>
  <si>
    <t>ejni deVehUc^df -d tt&gt;Q plata í. Capitán, W^dro Ignacio Magdaléoo. ' ígaPK^fcJ!Ó¿4»lí&gt;lBl?t'V«R¿C9» Teniente', IX Francisco -Mbñoz. "Y. -;O 1 emente, D. Gregorio rraneo. Subteniente, D. Ma^ie^i^bttstQno,'A£?igij»ez. Subteniente 4 Dí jciaquin MoVa. ^ . r ■ Compañía de Caíniehár '-vi(¡j^ dedil o *plazas.. a.ij C.i-, CompañíadSi…</t>
  </si>
  <si>
    <t>e frotará con él la palidad de ella á D. Juan Manuel de Gaona , i parte, sea qual fuere, manos, lanceta ó utensilio D. Juan Dot, á D. Julián Viejo, á D. Gregorio que haya tocado persona ó parte infestada, á cuya García , á D. Antonio Mediano y á D. Juan de maniobra seguirán unas quantas lavaciones cou agua Dios Oñate. . Calie…</t>
  </si>
  <si>
    <t>nte militar del dis­ Diaz Ortega (D. Juan), teniente coronel reti­ trito de Marchena. rado. , Lartigue (D Juan), soldado de caballería ligera Double (D. Gregorio), soldado de caballería ligera de nuestra guardia real. de nuestra guardia real. Laureut (D. Claudio), granadero, idem. Di-inn ( D Antonio), idem de idem. Lebrón (D.…</t>
  </si>
  <si>
    <t>Grei</t>
  </si>
  <si>
    <t>S. A. I. el principe ducta por el Reí. .." (No bien había acabado el ora­ virei, que viene de París. dor de pronunciar esta última palabra, quando el conde Grei le hizo observar el inconveniente que ¡te IMPERIO FRANCES. seguía de emplear en esta ocasión el nombre Reí.) ,,Si yo he hecho mención, dixo entonces el lord Cette 16 …</t>
  </si>
  <si>
    <t>terrumpir la informaciou. que los miembros propuestos por los ministros han sido constantemente desechados. CAMARA ALTA. Sesión del X* de febrero. El conde Grei pidió Del 2. que se remitiesen á examen de la cámara varios pa­ El 31 del mes anterior el lord Porchester se peles relativos á la negociación de Mr. Erskine en presen…</t>
  </si>
  <si>
    <t>ra dias, ha marchado hoi por la mañana. la revocación ae los dichos estatutos. Ayer salió de aqui un destacamento del cuer­ 4.0 ,, Que se suplique al conde Grei se encargue po de artillería nuestro, y se dirige hacia Francia. de presentar á la cámara alta la referida peti ion, y ai honorable William Windham para que h.¡ga CON…</t>
  </si>
  <si>
    <t>Grekier</t>
  </si>
  <si>
    <t>raron en ella, y . mucho mas. El general de división , gefe del esta­ rompieron las vidrieras y quintos muebles bailaron do mayor general = Firmado = conde Grekier." á mano. Uno de los prensadores, que se hal aba á la sazón en ia casa, quiso escapar ; pero los america­ REINO DE ITALIA. nos le. reconocieron ,, le agarraron, y …</t>
  </si>
  <si>
    <t>Grellet, Eduardo</t>
  </si>
  <si>
    <t>Eduardo Grellet</t>
  </si>
  <si>
    <t>Francisco Christin, 10. El señor D. Guillermo Branscombe, 1®. El señor D. Alexandro Bryerly, i0. El Excmo. señor D. Henrique VVellesiey, 5^. El señor D. Eduardo Grellet, 500. La señora Doña Margagarita Morphy de Shavv , 500. El señor D. Juan Collins, 1®. El señor X). C. Fi.tzgerald, 1®. La señora Doña María Glass, $00. El señ…</t>
  </si>
  <si>
    <t>Grellet, Federico</t>
  </si>
  <si>
    <t>Federico Grellet</t>
  </si>
  <si>
    <t>©. El señor D. Tomas Goddard, t®. El señor D. Jacobo Glass, 3©. Él se­ ñor D. Guillermo EJlwand, menor, 1 ®. El señor D. Tomas Richards, i®. El señor D. Federico Grellet, 3©. El señor D. Archibaldo Turnbull, 10. El honorable J. H. Frere, 5©. El Excmo. señor D. B. Frere, $®. El se­ ñor D. Francisco Christin, 10. El señor D. Gu…</t>
  </si>
  <si>
    <t>autoridades públicas de aquellos reynos á la tesore­ ría de esta junta. 9 Se acordaron las debidas gracias al Excmo. Sr. conde de Mac Duff -y al Sr. D. Federico Grellet, directores interinos que han sido de este nue­ vo establecimiento , por el zelo con que han contribuido á su fomento, pidiéndoles continúen prestándole sus l…</t>
  </si>
  <si>
    <t>dinero que con tan loable objeto entre * en sus dominios. — Dios guarde á V. S. muchos años. Cádiz 9 de ju­ lio de 1810. — Ensebio de Bardaxí. — Sr. D. Federico Grellet. Americanos r habitantes del Nuevo Mundo, felices poseedores de la tranquilidad, del soriego , de la abundancia ; á vosotros os convoco en favor de la justa c…</t>
  </si>
  <si>
    <t>ra. ) El Sr. D. Manuel Vidaurre, 6000. El Excmo. Señor lord Mac-DuíF, 5000. El Sr. D. Duncano Shaw, 3000. El Señor D. Andrés Archdekia , 2000. El Sr. D. Federico Grellet, 3000. El Sr. D. To­ mas Richards , 500. El Sr. D^ Diego Guillermo Glass , 3000. El Sr. D. Tomas Barber, 2000: El Sr. D. Tomás Tucker, 1000. El Sr. D. Tomas …</t>
  </si>
  <si>
    <t>Grenier</t>
  </si>
  <si>
    <t>das p- r el derecho de gentes , y por los respectivos tratados entre S. M. 13. y las diferentes potencias neutrales. FRANCIA. París 23 de octubre. El conde Grenier, gefe del estado mayof del exército francés de Nápoles, ha dado cuenta ai ministro de lá guerra, duque de Feltre, del éxito de la tentativa que el expre­ sado exér…</t>
  </si>
  <si>
    <t>GrfrtZaldz'D, Manuel</t>
  </si>
  <si>
    <t>Manuel GrfrtZaldz'D</t>
  </si>
  <si>
    <t>........................... '2346 17 Doña Ana Brai.. Doña Juána Aogo'M-lea lí j&gt;.. •• - - '-■7444. Di Pedro Rubio...;....... ...............64bb: ’ E D. Manuel GrfrtZaldz'D^lí^do.;.’.;;;;.. 12725- 8^- JD. Tontas de Arsu.-............................ • 19231- 21D. Juan Domingo de Mier -y- de los ■•■-i .i La comtinidad de relig…</t>
  </si>
  <si>
    <t>Grifeía, Josef Adrián</t>
  </si>
  <si>
    <t>Josef Adrián Grifeía</t>
  </si>
  <si>
    <t>ifjkj Cómp'Médi^ía Compañía de Fuente la ííílgmtá di d^oJpldítas. C pítan,, &gt;--■ i—kÍc2"s •ss&lt;jSpttanSi:Di: Juáti ■&lt;^d’érí.^ &lt; smeinsit’! 2 Teniente,.D. Josef Adrián Grifeía. , ' 1 ' Teniente, D. Eustaijiiio Htf.anz. &lt; s7tr. . , S u óteñiériiS'f.D. Fé ix RódrigiAfe; V“1 Sübtéuicnte, D. Josef áe fá 'PláM.' **“ ' J ^ . ' ‘''X |…</t>
  </si>
  <si>
    <t>Grima, Clemente</t>
  </si>
  <si>
    <t>Clemente Grima</t>
  </si>
  <si>
    <t>co Carrion, D. Miguel Valbuena, D. Rafael Sánchez Saravia, D. Mi­ guel Guajardo, D. José Arechaga, D. Antonio López, D. Juan Arango, D. José Herrera, D. Clemente Grima, D. Bautista Vila, D. Casimiro Brodet, D. Guillelmo Claramunt, D. Bernardo Cobian y D. Francisco Juárez ; y subtenencias, á D. Juaii de la Fuente , D. Mtnuel M…</t>
  </si>
  <si>
    <t>Grinda, Pedro</t>
  </si>
  <si>
    <t>Pedro Grinda</t>
  </si>
  <si>
    <t>de este mes se ha servido santa moral del evangelio." S. M. nombrar capitán del cuerpo de ingenieros á Los diputados de las ciudades de Jaén &amp;c. fue­ D. Pedro Grinda, conservándole la graduación de ron admitidos á presencia del REI. S. M. les di- teniente coronel; y capitán del regimiento mím. 1.® xo ,,que los testimonios de …</t>
  </si>
  <si>
    <t>Groadoaa, Angel</t>
  </si>
  <si>
    <t>Angel Groadoaa</t>
  </si>
  <si>
    <t>............................................................................. Sexto batallón. Para ayudante primero D. Francisca Zegers, para segando D. Angel Groadoaa , y para abanderado D. Mjgnel de Zerralde. i*. D. Mannel Zavala................. D. Cándido Palacios. a.*. D. Félix lzaguirre.................. D. Gerónimo Sob…</t>
  </si>
  <si>
    <t>Gronne</t>
  </si>
  <si>
    <t>as un gran número de mugeres ; pero no se co­ tre otras cosas se refutan en ella las famosas cartas metió la mas mínima accipn que pudiese turbar del general Gronne, en las qaal.es este oficial ha­ la paz pública. También entro un número mui bla intentado demostrar qne el plan de operaciones considerable de mugeres en la lonj…</t>
  </si>
  <si>
    <t>Grosvenor</t>
  </si>
  <si>
    <t>Gaceta de Madrid n.º 77</t>
  </si>
  <si>
    <t>nico había hecho por sostener Weüington y al exército de su mando por la vic­ la causa de los-españoles. ¿Quién había de sospe­ toria de Talavera, el Conde Grosvenor impugnó la char que el general español se conduciría de nupropuesta, diciendo que las acciones de gracias y las néra que abandonase á discreción del enemigo ouet…</t>
  </si>
  <si>
    <t>Grote</t>
  </si>
  <si>
    <t>puerto de esta ciudad una falúa inglesa y por la tarde de quatro ¿ siete. con una tripulación de 18 hombres armados de Ha llegado aquí de Hamburgo el conde Grote-, sables y pistolas, y se llevó el corsario flanees el nuestro minisrro plenipotenciario cerca del círculo Wagratn , y tres buques dinamarqueses. El Wa- de la Saxoni…</t>
  </si>
  <si>
    <t>Grundler</t>
  </si>
  <si>
    <t>to­ gría, Bruna, Gratz y Nuremberg acerca de las dos los que hayan firmado en casa del ayudante derrotas y victorias de los rosos, está sacado de las comandante Grundler, gefe bel estado mayor ge­ cartas de algunos negociantes griegos de Semlin ó neral del exé-cito interino, para nombrar los oficia­ Temeswar, escritas ó tal v…</t>
  </si>
  <si>
    <t>Gtrbtaud</t>
  </si>
  <si>
    <t>i ha visitado S. M. el Emperador, acompa­ ronel Melville Van- Carubec; el Juan de Witt de ñado del ministro de la Marina, del consej r.i de 63 por el coronel Gtrbtaud; ei Doigerbank de 68 :Estado Malouer. y del prefecto marítimo, los al­ pote! coronel Twent, y la fragata la Venus por macenes de la arboladura , las ¡raguas, co…</t>
  </si>
  <si>
    <t>Gtvino, Juan</t>
  </si>
  <si>
    <t>Juan Gtvino</t>
  </si>
  <si>
    <t>ión se pres­ tan gustosos á estas contribuciones, merecen particular elogio D. Juan María Boscheti , arquitecto de reales obras ; el cónsul americano D. Juan Gtvino y el negociarte D. Marcial Ü&amp;ilat, no solo por las surozs considerables con que han contribuido, sino también por la prevención que tienen hecha á su párroco de c…</t>
  </si>
  <si>
    <t>Gu, Alexandro</t>
  </si>
  <si>
    <t>Alexandro Gu</t>
  </si>
  <si>
    <t>tres ñala , contados desde el 24 del presente, comparezcan operaciones es quando el espíritu se fi-xa en la idea ante dicho señor, y en el oficio de D. Alexandro Gu­ de la medida física que se quiere designar. Es cier­ tiérrez, per sí ó su procurador con poder bastante á de­ to que se puede decir que con el uso la palabra duc…</t>
  </si>
  <si>
    <t>Guadalupe, Laureano</t>
  </si>
  <si>
    <t>Laureano Guadalupe</t>
  </si>
  <si>
    <t>f Martin............... ..................................... ................................... 350 4200 Otra á la puerta de Villamayor, que habita D. Laureano Guadalupe............................................................... 220 2640 Otra en la calle de las Golosas, frente al convento de Sto.Domingo, que habita D. P…</t>
  </si>
  <si>
    <t>Guallar, Bernardo</t>
  </si>
  <si>
    <t>Bernardo Guallar</t>
  </si>
  <si>
    <t>azar y Aldao, D. José Pereyra, D. Blas Peinador, D. Antonio Rubín, D. Ra­ món Momeo , D. José Benito Perez , D. Faustino Diez , D. To­ mas Rodríguez, D. Bernardo Guallar, D. Antonio Carril, Di Cos­ me Sancho, D. Alonso Sanjurjo ,y D. Fulgencio Ayalai También se ha servido S. M. conferir los empleos de Coro­ neles , del regimi…</t>
  </si>
  <si>
    <t>Guardado, Josef</t>
  </si>
  <si>
    <t>Josef Guardado</t>
  </si>
  <si>
    <t>l se encontra­ Capitanes. ría una.botella. Dentro de esta se hallaron las car­ D. Joaquín Tenorio. tas escritas hace cerca de !7&gt;años, las quales in­ D. Josef Guardado. mediatamente que ha Uegado.&gt;e3 Dromedario á In­ D. F rancisco Cabrera. glaterra han s&gt;d&lt;&gt; remitidas al marques de Weüesiéi. D. Juan Bravo. - Escriben de Pinno…</t>
  </si>
  <si>
    <t>Guarro, Francisco</t>
  </si>
  <si>
    <t>Francisco Guarro</t>
  </si>
  <si>
    <t>a ; y subte­ nencias , a D. José Pueyo y D. Meíiton Ramos. En el de volunta­ rios de Gerona, segunda ayudantía k D. Francisco Delgado ; te­ nencia. á D. Francisco Guarro ; y subtenencias, á D. Agustín Ma­ gín D mienten, D. Pedro Cuir y D. Fra ncisco Sniglesias. Y en el de voluntarios J.p de Borbast.ro, cornosíiía á D. Manuel …</t>
  </si>
  <si>
    <t>Gubo, Nicolás</t>
  </si>
  <si>
    <t>Nicolás Gubo</t>
  </si>
  <si>
    <t>nzález Marbella j de julio de 1S10. ,, Mi mas esti­ de Fuentjalida; tenientes en el mismo regimiento k mado amigo: ahora que sondas ocho de la mañana D. Nicolás Gubo, D. Carlos Canan, D. Severinoacabo de recibir la tuya, única que ha Legado á Bisinchí, D. Miguel Esprit y D. Prudencio Gó­ mis manos', y esta si se hubiera tarda…</t>
  </si>
  <si>
    <t>Guer, Antonio</t>
  </si>
  <si>
    <t>Antonio Guer</t>
  </si>
  <si>
    <t>ofl gua. La aplicación del álgebra á la geometría» esta Bartolomé Villar. hermosa y útil parte de las matemáticas, qne ella Y para la de Montillana á D. Antonio Guer- sola encierra la mayor parte de las verdades de la , rero. ex-franciscano. ciencia, está presentada de tal modo, queda la AR.T, n. SÍ de la liquidación del valo…</t>
  </si>
  <si>
    <t>Guer, Blas</t>
  </si>
  <si>
    <t>Blas Guer</t>
  </si>
  <si>
    <t>nz del Agua­ sal, presbítero, para otra media-ración de la de i remolque. Hemos perdido una barca napolitana que se Valladr/id, vacante por muerte de D. Blas Guer­ apartó del convoi, y hemos tenido j hombres muer­ rero: á D. Alfonso Areco Melendez Valdés, pres­ tos y 10 á 12 heridos. bítero, para una capellanía real de la cap…</t>
  </si>
  <si>
    <t>Guer, Francisco</t>
  </si>
  <si>
    <t>Francisco Guer</t>
  </si>
  <si>
    <t>con , 100. D. Jo­ sé Domingo Couto , 100. D. Mariano Pasquel, 100. D. Manuel Elguero , 100. D. Juan Antonio Leunes , 100. D. Francisco Magarola , 50. D. Francisco Guer­ ra , 50. D. Francisco Torres y Juyol, 25. D. Bartolcmé Muriel, 25. D. José de las Plazas , 100. D. Manuel Calvo, 50. D. Francisco Puy, 50. D. Domingo Lagoa, 1…</t>
  </si>
  <si>
    <t>Guereña, Juan José</t>
  </si>
  <si>
    <t>Juan José Guereña</t>
  </si>
  <si>
    <t>de la plana mayor militar de real hacien­ da, almacenes, hospital y taller de armería pertenecientes al fuer­ te de S. Carlos de Pe rote, 829. El Dr. D. Juan José Guereña, cura de S. Miguel, 500. El colegio mayor de Todos Santos de México, 500. E. convento de religiosas de Sta. Catalina de Se­ na, 500. Los individuos del ayun…</t>
  </si>
  <si>
    <t>Guerra, Francisco</t>
  </si>
  <si>
    <t>Francisco Guerra</t>
  </si>
  <si>
    <t>ó tesorero de la suscripción, sustituyéndose su comisión para mayor comodidad de los suscripto-res en Orense en D. Alonso Perez Bobo, en la Coruña en D. Francisco Guerra y en San tiago en D. José Roig. Como la fortificación y población son partes inseparables de este establecimiento, y el terreno de la isla ofrece grandes rec…</t>
  </si>
  <si>
    <t>simo Señor s= De V. A. I. mui hu­ Lantejuela D. Antonio Monico, y para el mismo milde y obediente servidor er Dobourdieu.ssAn­ empleo de la del Rubio D. Francisco Guerra, cosa 2b de octubre de 1810.” menor. art. vi.- En la compañía de la villa de Aznalcollar queda nombrado capitán D. Manuel Már­ SSPAÑA. quez Colorado, en la v…</t>
  </si>
  <si>
    <t>Guerra, Tomasa</t>
  </si>
  <si>
    <t>Tomasa Guerra</t>
  </si>
  <si>
    <t>urencin........................... 4873 J7 D. Lorenzo de Palacio y Gorbea....... 3842I 31 D. Manuel Zavala................................. 13 5 3 2í Doña Tomasa Guerra............................ 20010 32 D. Andrés Saez de Azofra.................. 13718 Doña Pascuala de Trotiaga................. 4762 6 D. Antonio Fernandez..…</t>
  </si>
  <si>
    <t>Guerrera, Luis María</t>
  </si>
  <si>
    <t>Luis María Guerrera</t>
  </si>
  <si>
    <t>los gravámenes que indispensablemen­ S. M. ha nombrado á D. Joaquín Goyeneta te acarrean los cuerpos numerosos de tropas ex­ corregidor de Sevilla; á D. Luis María Guerrera trangeras. Demasiadas cargas están sufriendo con oidor del tribunal de Granada, y á D. Josef Mo­ harto sentimiento de S. M. por causa de la teme­ rales oi…</t>
  </si>
  <si>
    <t>Guerrero, Gaspar</t>
  </si>
  <si>
    <t>Gaspar Guerrero</t>
  </si>
  <si>
    <t>de, se exccutará la comedia antigua de Lópe de Vega, y nueva en En la prefectura de Granada. ' este teatro, titulada Obras son amores y no buenas ra­ D. Gaspar Guerrero, subprefecto de Granada. zones, con tonadilla, minué afandangado y sainete. EN LA IMPRENTA REAL.</t>
  </si>
  <si>
    <t>Guerrero, Luis María</t>
  </si>
  <si>
    <t>Luis María Guerrero</t>
  </si>
  <si>
    <t>s Indias. Mauricio de los Mártires y Doña 1 liemos decretado y decretamos lo siguiente: Francisca de Velasco..................... 24000 articulo 1. „ D. Luis María Guerrero, pri­ D. Valerio Calvo por sus tutores mer juez de la junta criminal de Jaén, queda nom­ D. Mauricio de los Mártires y Do­ brado presidente de la de Málag…</t>
  </si>
  <si>
    <t>Guerrero, Miguel JoSef</t>
  </si>
  <si>
    <t>Miguel JoSef Guerrero</t>
  </si>
  <si>
    <t>- La junta de Sigiienza ha sido disuelta, y las Para la de Merina de Buen-baron y Goleo al ■ladrillas que estaban al mando del Empecinado ex-dominico D. Miguel JoSef Guerrero. an sido dispersadas , con lo qual se ha restableci­ Pa’ra la de Laroles al ex-franciscano observante do la tranquilidad en la provincia. D. Ramón Zurit…</t>
  </si>
  <si>
    <t>Guettre</t>
  </si>
  <si>
    <t>os enemigo, asombrado de una resistencia que des­ por el general Guillot, el qual, de acuerdo con el concertaba todos sns proyectos, é inutilizaba el coronel Guettre, desconcertó el proyecto atrevido uso de todas sus fuerzas. O-Donell hizo destilar por de Jos enemigos, y los arrojó mas allá de Oiot, su derecha una coluna de i…</t>
  </si>
  <si>
    <t>Gui</t>
  </si>
  <si>
    <t>Gaceta de Madrid n.º 154</t>
  </si>
  <si>
    <t>resulta que el exér_iio todo está repartido en tres divisiones y Breslau 29 de abril. ocho brigadas. El regimiento de infantería compues­ S. A. R. el príncipe Gui.lermo llegó ayer no­ to de 16 compañías, sin incluir el cuerpo de pon­ che á esta ciudad. Ua gentío inmenso sa ¡ó al ca­ toneros, ni la brigada de artillen-» de á c…</t>
  </si>
  <si>
    <t>Gui, Fernando</t>
  </si>
  <si>
    <t>Fernando Gui</t>
  </si>
  <si>
    <t>r la gracia de Dios y presado bata Ion á D. Diego María Novoa y Don por la constitución del estado, REI de las Espa­ Baltasar de Vlllalba; teniente á D. Fernando Gui­ rtas y de las Indias. llen; subtenientes á D. Nicolás Martini y á Don . ,,Queriendo .erigir, un monumento en honor de Juan Alcázar: comandante de inválidos de M…</t>
  </si>
  <si>
    <t>Guian, Francisco</t>
  </si>
  <si>
    <t>Francisco Guian</t>
  </si>
  <si>
    <t>mpañía procedentes de Inglaterra con direc­ pitán á D. Tadeo López; tenientes á D. Josef ción á Bengala. El mismo dia se divisaron seis bu­ Aquinta y D. Francisco Guian, y capellán á Don ques, que fueron reconocidos al dia siguiente por Joaquín Josef de Barrios; ex-regular de terceros: la mañana, y eran la fragata la Mancha, …</t>
  </si>
  <si>
    <t>Guiíjelmo</t>
  </si>
  <si>
    <t>. -G. 2200 .t D. Ramón t xo2Q^&gt; ¡ .¿ j D; Ignacio" Menendez,^----------- '..»£.:./: l@4f . k t D., And res Gambeto. •......•••♦....Vf 7 ";7*^íh ¡ .Ci D. Guiíjelmo E|oi González...... ..Zt.4 - 1 JO0 Albert e. bi jos,................- y.fi.J. í¿9í-D3G " 29007 2 ¿4 13^. Tuan ‘ Monse r.......► íj? ) 89fih u ^ /t. D. Pedro Cifuent…</t>
  </si>
  <si>
    <t>Guiilelmo</t>
  </si>
  <si>
    <t>do ¿ organizar aquella provincia según las formas y leyes del im­ Francfort t¡ de junio. perio ruso. En aquella capital se ha pub icado y S. A. R. el príncipe Guiilelmo de Prusia ha fixado un decreto, por el que se suprimen todos llegado aquí esta tarde. los privilegios de que disfrutaban los súbditos del DeseosoS. M. el Empe…</t>
  </si>
  <si>
    <t>Guijarro, Antonio</t>
  </si>
  <si>
    <t>Antonio Guijarro</t>
  </si>
  <si>
    <t>gos, y dividídose en- pequeñas partidas para embargar caballerías , y obligar á los naturales á la recolección y conducción de al­ garrobas i envió á D. Antonio Guijarro, comandante de los</t>
  </si>
  <si>
    <t>Guil</t>
  </si>
  <si>
    <t>ntar en D. Albi .noDarivoire; comandantes de batallón á nombre de su Soberano á SS. MM. II. y RR.. D. Luis Moutard y D. Lorenzo Servert ; teniente El general Guil'.eminot, barón del imperio, ha á D. Santiago Tacbeler , y aban lera los á D. Fran­ marchado á España; y se asegura que ha sido nom­ cisco C'ianvilb, D. Franc sco Lu…</t>
  </si>
  <si>
    <t>Guiliemet</t>
  </si>
  <si>
    <t>por esto corra peligro la vida de para salvarse qne el meterse dentro de Tarragona. un oficial general tan distinguido , y que sirve con El ayudante comandante Guiliemet, gefe de tanta utilidad á su Príncipe y í su patria........ A estado mayor del general Souham , ha mostrado du­ pesar de su dolorosa herida, este gefe, que s…</t>
  </si>
  <si>
    <t>Guillclmo</t>
  </si>
  <si>
    <t>son de fecha del 15 de mayo des­ «ente en Potsdam y en Berlín. En Silesia esperan de Lisboa. „No sabemos, dice nna carta, qual es de un dia á otro al príncipe Guillclmo. la posición de los exércitos respectivos entre Almeida y Ciudad-Rodrigo; pero estamos todos per­ ALEMANIA. suadidos, y con fundamento, de que el enemigo te r…</t>
  </si>
  <si>
    <t>Guillelma</t>
  </si>
  <si>
    <t>3. ¡lastrado ó mas activo podría aprovecharse de esta Anteayer llegaron á esta ciudad S. A. R. la circunstancia para perfeccionar y fomentar la agri­ princesa Guillelma de Prusia , el gran mariscal conde cultura , que está enteramente abandonada en mu­ de Greben y el príncipe de Honenlohe. , chos distriros de Ja isla. Hoi ha …</t>
  </si>
  <si>
    <t>nking) demasia­ do extenso, y dé las muchas trabas y dificultades Francfort 29 de julio. qne encuentra eo una coyuntura tau crítica y de­ S. A. R. la princesa Guillelma de Prusia pasó licada. por aquí ayer con dirección á Schlangsnbad. El impuesto adicional qne en Irlanda se ha El príncipe y la princesa Schakowski han lle­ pu…</t>
  </si>
  <si>
    <t>Guillelmina, Federica</t>
  </si>
  <si>
    <t>Federica Guillelmina</t>
  </si>
  <si>
    <t>A. para hacer su entrada solemne en esta ciudad. El BAVIERA. ceremonial será el mismo que se observó quando Raiisbona *7 de octubre. la entrada de la Reina Federica Guillelmina y riel ú'timo Príncipe Real. S. A. R. estará el día 24 ca En la noche última ocupó y cerró aquí una Tuschof, y el 25 ¡legará á Drottniagholra. guardia…</t>
  </si>
  <si>
    <t>Guillelmo</t>
  </si>
  <si>
    <t>á visitar libremente Breslau j de mayo. las ciudades santas, que el alcoran manda á todo Lúea musulmán visitar al menos una vez eu la vi­ S. A. R. el príncipe Guillelmo asistió el poco APENDICE A IA GAZETA DE MADRID. FUOSOFIA. Continúa el artículo de la gazeta del salado 2 del pre­ Viernes 8 de junio de 1810. sente. teatros. …</t>
  </si>
  <si>
    <t>Guillem, Pablo</t>
  </si>
  <si>
    <t>Pablo Guillem</t>
  </si>
  <si>
    <t>16 rs. vn. Continúa la lista de los donativos hechos por tes individuos del apos­ tadero de marina de Montevideo. Zumaca Carlota. Oficiales mayores. D. Pablo Guillem, segundo pi­ loto, ,3o- D. Juan Canosa, capellán zo. D. Ignacio Domingo, cirujano segundo , 50. —Idem de mar, de sueldo fixoy temporal. Amador Ponsada, primer gu…</t>
  </si>
  <si>
    <t>Guillen, Antonio</t>
  </si>
  <si>
    <t>Antonio Guillen</t>
  </si>
  <si>
    <t>'.'....„..&gt;..í.';.V^U. 1666 20 f B. Antonio Castejon ' .^aj40'. D. Bernardíno Pandeavenas.'.-r....;.;.1.. D. Francisco López Ñoñez *«#*éW*4«***&lt; 2 4. D. Antonio Guillen;;V.V. O B Nicolás García Caballera;...».. V.., '-/w*;:25* Los hijos y herCdéiós^de D. PolicarD. Salvador Souiats..——...i.¡..... ■ -34.29. i7 po'de vt^uijojír.…</t>
  </si>
  <si>
    <t>Guillen, Francisco Xavier</t>
  </si>
  <si>
    <t>Francisco Xavier Guillen</t>
  </si>
  <si>
    <t>articulo i. ,, Está nombrado comandante del rez, D. Francisco Rodríguez, D. Francisco Esca- 4.0 batallón de milicia cívica D. Manuel Raquejo. rena , D. Francisco Xavier Guillen, D. Josef Ma­ art. 11. Nuestro ministro de la Guerra queda ría Pardo , D. Joaquín Moralez , D. Juan Marques encargado de la execucion del presente.dec…</t>
  </si>
  <si>
    <t>Guíllen, Josef Sánchez</t>
  </si>
  <si>
    <t>Josef Sánchez Guíllen</t>
  </si>
  <si>
    <t>y su -an ^xo Saleres , vacante por muerte pr m »cicin de D. A itonio Z-rriUa y FoXar al de de D. Manuel Corona, á D Francisco Matía,Gó­ ' G ixar , á D. Josef Sánchez Guíllen, cura ecóno­ mez , cura económo de Lab} &lt;ron. • , - ' mo -íe Cazvijar. Para el de la iglesia parroquial del lugar de Nuestro ministro intermo de Negocios…</t>
  </si>
  <si>
    <t>Guillen, Luis</t>
  </si>
  <si>
    <t>Luis Guillen</t>
  </si>
  <si>
    <t>isfacción y vivos deseos de ver y disfrutar de la cisco R-che, D. Juan Monta ni cr , D, Ventura amable presencia de sus augustos Soberanos. Jáuregui, D. Luis Guillen , D. Lorenzo Oy ,rdo y D. Antonio Djran; subtenientes 3 D. Ma ¡ano París 14 de mayo. R -xas, D. Fernando Anglada , L&gt;. Juan Fiscal y Acaba de llegar de Petersbur…</t>
  </si>
  <si>
    <t>Guillermo</t>
  </si>
  <si>
    <t>do. Uno de ellos es , según dicen , el Brckers , y se compondrá del ó.° regimiento de in­ nuevo plan de administración y de repartición ter­ fantería Duque Guillermo, del 13.a, de los bata­ ritorial de las nuevas provincias bávaras , lo que llones. Donqertsberg y Laroscbe, de la brigada de ocasionará también muchas variacione…</t>
  </si>
  <si>
    <t>Gaceta de Madrid n.º 230</t>
  </si>
  <si>
    <t>lio. 1Campo real de Pialo y de julio. Anteayer cerca del anochecer fue bautizado el El Rei ha pasado hoi revista á la división del principe, hijo del duque Guillermo , hermano Je general Lamarque, qne consta de lo© hombres. nuestro Rei, y se le han puesto los nombr.-s de S. M. ha manifestado so satisfacción y contento por Fed…</t>
  </si>
  <si>
    <t>Guillot</t>
  </si>
  <si>
    <t>ras tropas del centro y de la derecha detenían al 1200 hombres á socorrer aquel punto, mandados enemigo, asombrado de una resistencia que des­ por el general Guillot, el qual, de acuerdo con el concertaba todos sns proyectos, é inutilizaba el coronel Guettre, desconcertó el proyecto atrevido uso de todas sus fuerzas. O-Donell…</t>
  </si>
  <si>
    <t>Guítarf, Juan Bautista</t>
  </si>
  <si>
    <t>Juan Bautista Guítarf</t>
  </si>
  <si>
    <t>distancia ? ; No es menos Antonio Tarsfs celebrada el dia 24 del: corriente en la costosa, mas fácil y segara la comunicación en las posada del señor D. Juan Bautista Guítarf, juez de pri­ ausencias por un medio que concurre á demostrar mera instancia, y de dicho concurso, se.acordó que ios oucstra cultura ? acreedores de dic…</t>
  </si>
  <si>
    <t>Guítart, Juan Bautista</t>
  </si>
  <si>
    <t>Juan Bautista Guítart</t>
  </si>
  <si>
    <t>icial espe­ En infantería de línea. D. Manuel Eduardo Go- cialmente encargado de comunicarla. xostiza á capitán; D. Francisco Falcon á subte­ niente. D. Juan Bautista Guítart, del consejo de S. M., juta En el regimiento núm. i.# de cazadores i ca­ de primera instancia, por auto dado en a 2 de mayo del ballo, D. Josef Varsi á …</t>
  </si>
  <si>
    <t>Guitart, Juan Bautista</t>
  </si>
  <si>
    <t>Juan Bautista Guitart</t>
  </si>
  <si>
    <t>vanidad cie no envi­ diar nada ni á Turena ni n otros. ¡ Cáspita , y que tre­ AVISO. mendo militar debe ser este señor, según él dice! Pues El señor D. Juan Bautista Guitart, del consejo de á fe que sus amabilísimos amigos y aliados los ingleses S. M., juez de primera instancia y de los autos de abno derramarán poeps lagrimon…</t>
  </si>
  <si>
    <t>cores espirituosos y en 3821 rs. y 10 ntrs. vn., acuda ante el señor juez de rubstancias cálidas y saladas , ideas lascivas, exceso primera instancia D. Juan Bautista Guitart, y escriba­ ¿nía véhrisV y 1* retención violenta ó repercusión nía de provincia de D. Juan Garrido, que se admiti­ de esta. Táks causas predisponentes p…</t>
  </si>
  <si>
    <t>de blico para su inteligencia y noticia. presentar al espíritu una combinación de muchas ideas para expresar objetos simples: por exemplo, Por el Sr. D. Juan Bautista Guitart, del consejo la palabra deci-metro da en primer lugar la idea de S. M., juez de primera instancia en esta villa &lt;Src., metafísica de una décima parte; d…</t>
  </si>
  <si>
    <t>n quisiere curso de purificar antes la lanceta ó bistuii, como mejorarla acuda ante el señor juez de primera instancia se prescribe en el reglamento. D. Juan Bautista Guitart, y escribanía de provincia de Yo no he dicho tampoco, y perdone vmd. le D. Juan Garrida, que se admitirán las que se hiciesen; contradigaque el trocisco…</t>
  </si>
  <si>
    <t>escrita por un oficial de la brigada del general Hill , fecha en Castel-Branco á 13 de Aviso. agosto, dice lo siguiente: „Nuestro exército no El ír. D. Juan Bautista Guitart, del consejo de puede lograr mas provisiones de primera necesidad S. M., juez de primera instancia, ha mandado sacar á que las que le proporciona la comi…</t>
  </si>
  <si>
    <t>esta corte, en el mes de diciem­ aquellas. bre de 1799 se radicó su testamentaría por el juzgado No me detendré á examinar la verdad de esta del Sr. D. Juan Bautista Guitart, del-consejo de S. M-, proposición, cuya exáctirud depende, á mi ver, iuez de primera instancia, quien ha mandado celebrar de lo que se eotieuda por clas…</t>
  </si>
  <si>
    <t>testar Doña Mariana Armesto , de estado viuda, «*ble, es grande, es sublimé, y exerce sobré los de noviembre de este año, por providencia del se­ ñor D. Juan Bautista Guitart, del consejo de S. M.» espectadores el mismo imperio que sobre los Tem­ juez de primera instancia, se ha mandado anunciar di­ plarios. El autor ha pinta…</t>
  </si>
  <si>
    <t>estminster sobre el Támesis , que í causa del fluxo y refluxo , que AVISO. en los equinoccios sube hasta 24 pies, imposibili­ Por providencia del Sr. D. Juan Bautista Guitart, taba poder emplear los métodos conocidos de cons­ del consejo de S. M.„, y juez de primera instancia, se trucción: para esto se valió de grandes caxone…</t>
  </si>
  <si>
    <t>Guitlelmó, Reí</t>
  </si>
  <si>
    <t>Reí Guitlelmó</t>
  </si>
  <si>
    <t>; al conde Otto, embaxador aparecida'cjecéEcpa todos sos; laureles. Nuestro* en Viena; al mayor Atquier, comandante del i." hístoi ¡adores, dicen que d Reí Guitlelmó tenia regimiento de conscriptps-granaderos de la guardia siempre igra ni cuidado de tomar de antemano' todas imperial, y al barón de Bonté, coronel del regilas p…</t>
  </si>
  <si>
    <t>Guiüerma</t>
  </si>
  <si>
    <t>s de los estados reunidos, que llevaban burgo-Strelítz , como cambien los hermanos de tus oradores al frente. El gran mariscal de los es­ S. A. R. la princesa Guiüerma; SS. A A. 3S. los tados leyó en nombre de la dieta una representa­ príncipes de Hesse- Homburgo; 3. A. cí principe ción , en que recapitulando las felices muta…</t>
  </si>
  <si>
    <t>Guizabnruaga, Ramón</t>
  </si>
  <si>
    <t>Ramón Guizabnruaga</t>
  </si>
  <si>
    <t>............ 3 a D. Josef Ecbeoique* 4- D. Diego de Castro, D. Pedro Hiera; 5" D. Ramón Pando.... D Higinio Z.zo de Lares D. Josef María Abades. 6.*. D. Ramón Guizabnruaga. 7* D. Francisco María Carneo y Maasb. 9* D. Salvador Palomeque D. Juan Clavel* Quinta batallan. Para ayudante primero él balón de Horit , para segundo D. …</t>
  </si>
  <si>
    <t>GuJin</t>
  </si>
  <si>
    <t>l. Creo que nada se adelanta con exa­ de á caballo: el 17 el 7.0 de infantería de línea: minar st tal ó tal ministerio ha sido bueno ó malo, el 19 el general GuJin, con su estado mayor, y el porque el vicio está en el sistema entero, y asi es regimiento ii.° de infantería: en los dus 20 , 2t necesario subir hasta su estableci…</t>
  </si>
  <si>
    <t>Gulli, Leonardo</t>
  </si>
  <si>
    <t>Leonardo Gulli</t>
  </si>
  <si>
    <t>asco............... 5414 21 D. JosefTnta......................................... 1643232 D. Rafael Tenorio.................................. 2580 30 D. Leonardo Gulli-,............................... 2220 24 D. Gregorio del Casti.lo....................... 2554 16 Doña Antonia Alv..rcz........................... 46529 4 D. [o…</t>
  </si>
  <si>
    <t>Gúrruchategiii, Amonio</t>
  </si>
  <si>
    <t>Amonio Gúrruchategiii</t>
  </si>
  <si>
    <t>Campo y Montes, 50. D. Juan! José Zimbrana,5CO.D. Antonio Izurrieta, $oox D. Cayetano Mutis-9 15* D/ jcséGuerrero 15Á D. Juan Manuel de Asunzalo, 15. D. Amonio Gúrruchategiii ,35; D¡ MánueL Gutiérrez 35. D, Antonio Landa 50. D&lt; Francisco Pascual Roldan, 50. D. José Ignacio Tarto , 150. Ds Francisco Elorriaga, 20 D¿ Joaquín La…</t>
  </si>
  <si>
    <t>Gus</t>
  </si>
  <si>
    <t>r al trono ; ya se le han envia­ do uniformes suecos, y se le está preparando habitación en el palacio. El destronado Gustavo Adolfo , su esposa , el príncipe Gus-. tavo su hijo y las princesas partieron el dia 6 de Gripsholm para Carlscrona , acompañados del general Skioldebrand : se embarca­ ron en este puerto para Alemania…</t>
  </si>
  <si>
    <t>lado anteriormente no se presenta en la lista de los candidatos : que ni el rey de Dinamarca , ni Bernardotte tienen partido : que no se piensa en el rey Gus­ tavo ; y que la elección recaeírácprobablemente en el prín­ cipe de Augustemburgo , hermanó? del difunto príncipe he­ redero. ESPAÑA. Castropol 1de setiembre. D. Juan D…</t>
  </si>
  <si>
    <t>Gustavo</t>
  </si>
  <si>
    <t>a intención fué desembarcar en Travemunda , pero no se pudo realizar por los vientos contrarios. Gustavo Adolfo trae consigo á la reyna su esposa, al príncipe Gustavo su hijo, y las tres princesas sus hi­ jas. Camina con el nombre de Conde de Gottorp. Su acompañamiento se reduce á .37 personas , entre las quales se halla el m…</t>
  </si>
  <si>
    <t>al que descubriere algo de nuevo en la materia. El conde de Fersen era uno de los señores del reyno mas afectos á la persona y familia del destronado rey Gustavo. Hi­ zo muchos servicios a la corte de Francia en los principios de la revolución , y sirvió de cocharro á los reyes para salir de París hasta la primera posta, en s…</t>
  </si>
  <si>
    <t>Gutiér, José</t>
  </si>
  <si>
    <t>José Gutiér</t>
  </si>
  <si>
    <t>, los oidores D. Felipe Martínez y D. Anto­ nio Julián Alvarez , y el teniente coronel D. Joaquín Osorno. -El intendente D. Vicente Basadre, el oidor D. José Gutiér­ rez del Rivero, el coronel D. Manuel del Fierro y el auditor de guerra D. José Vicente Anca, fueron embarcados en lp, corbeta Fortuna y conducidos k Puerto-Rico.…</t>
  </si>
  <si>
    <t>Gutiér, Leandro</t>
  </si>
  <si>
    <t>Leandro Gutiér</t>
  </si>
  <si>
    <t>poleón por la gracia de Dios y D. Leandro Bu Ines, D. Antonio González, por la constitución del estado, REI de las Espa— D. Rodrigo Josef Gutiérrez , D. Leandro Gutiér­ ñas y de las Indias. rez de Medina, D. Fernando Caamaño y D. Mi­ Oido el informe de nuestro ministro de lo In­ guel Baldaran. terior , que fuese devoto de tal…</t>
  </si>
  <si>
    <t>Gutierre, Silvestre</t>
  </si>
  <si>
    <t>Silvestre Gutierre</t>
  </si>
  <si>
    <t>nta compañía en la vacante de D. Francisco Hasta aquí he sido un elogiador de Talés: ahora Víctor. debo ser «u juez severísimo, y descubrir las nuli­ D. Silvestre Gutierre* á subteniente de la mis­ dades de su doctrina. ma compañía en la vacante de D. Juan dé la De­ En primer lugar en ninguna parte se halla tic» hesa. testimo…</t>
  </si>
  <si>
    <t>Gutiérrez, Basilio</t>
  </si>
  <si>
    <t>Basilio Gutiérrez</t>
  </si>
  <si>
    <t>rónimo. Rey noso, io. D. JacpbpsBeLo^ "&gt;idov P. * Juan. Jg-nació SalazarT, 20 D. Joan. José Elorriaga , Miguel Valerdr, 70. D. Ignacio. Posadas , 12. D. Basilio Gutiérrez, 'io?* D. José María, Ponce, 10. D. Francisco Cienfuegcs, 30. D. José Crivelli, 35, D. Fernán-, do Maynez , 8. D. Juan Ceballos, 20. D: Francisco Oírnos i S…</t>
  </si>
  <si>
    <t>Gutiérrez, Francisco</t>
  </si>
  <si>
    <t>Francisco Gutiérrez</t>
  </si>
  <si>
    <t>. .paz, ó arrostraría con la m&lt;-yor magnanimidad la Para la de Casabermeja al ex trinitario descal­ tempestad; y limitándome á unos esfuerzos hon­ zo D. Francisco Gutiérrez. rados , saldría vencedor de la lucha , ó sucumbiría Para la de Comares á D. Antonio Alendado, con la misnji nación. Esta debía ser la conducta ex-francis…</t>
  </si>
  <si>
    <t>Gutiérrez, Isidro</t>
  </si>
  <si>
    <t>Isidro Gutiérrez</t>
  </si>
  <si>
    <t>o. D. Francisco Acevedo. D. Luis Bordeta. D. Roque Bunio, hijo. D. Vicente Marañen. D. Agustín de la Canal. D. Domingo Villamil. D. Agustín del Mazo. D. Isidro Gutiérrez. Tenientes. D. Manuel González del Rio. D. Josef Ramón de Aguiar. D. Domingo Prieto. “•••i D. Pedro Soler. D. Fermín Lumbreras. Batallón del quartel de Marav…</t>
  </si>
  <si>
    <t>Gutiérrez, Josef</t>
  </si>
  <si>
    <t>Josef Gutiérrez</t>
  </si>
  <si>
    <t>su ministro secretario de Estado Mariano Luis d« Vaiguaraera. Urquijo.’' art. ni. Nombramos para capitán de este re­ Córdoba 34 de marzo. gimiento á D. Josef Gutiérrez: para tenientes á ■ r. D. Francisco Villaescusa, D. Bernardo Alarcon, Es la noche del dia 19 del corriente se abrió, D. Josef Enjuto, D. Luis Gatcía Tribiáo, D…</t>
  </si>
  <si>
    <t>Gutiérrez, Juan</t>
  </si>
  <si>
    <t>Juan Gutiérrez</t>
  </si>
  <si>
    <t>reno...... ............... 18 ■ 396 Otra en las Enanillas,'de, 3 'fin., que linda Una1 cerca en dicho sitio, de 3 ccJem. al po­ con Eulogio (borona'y D. Juan Gutiérrez. 8 176 co mas ó menos, que linda á'-poniente Ún olivar ep el pago de "la Síériá , que llaman con cerca de la parroquial de Sevilla y con el olivar de Iglesias,…</t>
  </si>
  <si>
    <t>e de 1 a noche , se re­ mará medía compañía. D. ,Fraociscorde los Ríos presentará la comedia en quatro actos titulada Ño ha» está nombrado espitan, y D. Juan Gutiérrez sub­ deuda que no se pague ni‘.plazo que no se cumpla, y Convidado de piedra , y la opereta el Quid pro quó. teniente. . En el de la Cruz , á las-quatro y medi…</t>
  </si>
  <si>
    <t>Gutiérrez, Luis</t>
  </si>
  <si>
    <t>Luis Gutiérrez</t>
  </si>
  <si>
    <t>.. I9121 18 Rada........................................................ 9732 *9 D. Tídeo de Osulivan............................ I.0A2C2O 14 14547 1 D. Luis Gutiérrez................................... 10096 10 Que á una suma importan un millón novecientos 26.822254 9* quarenta y dos mil veinte reales y catorce maravedís de …</t>
  </si>
  <si>
    <t>Gutiérrez, Manad de Lució</t>
  </si>
  <si>
    <t>Manad de Lució Gutiérrez</t>
  </si>
  <si>
    <t>a D.iD'omingo de ■Lanz».-.v.-...i¡. .v....;Vir.í 1*899* D. Joaquín Antoniode- Sojo.i..186000 , D. Félix Perez...................-.v.mP.UV • i 996' -J*D. Manad de Lució Gutiérrez.»».,;:.. *w 1800ÓO &lt; D. Manuel de EHacurriaga...;rÍv.Wrw.ViJ ‘ "'qcüV'-zí*; La testamentiría-del coiidiíf'd&lt;í'Atb&lt;»i-: - ‘ • »• D. D&amp;maso de*la-Torr«…</t>
  </si>
  <si>
    <t>Gutiérrez, Pedro</t>
  </si>
  <si>
    <t>Pedro Gutiérrez</t>
  </si>
  <si>
    <t>................................................................................... 150 1800 Otra junto al convento de Mercenaiios calzados, que vive D. Pedro Gutiérrez............................................. 700 8400 Otra en la calle del Cuerno, que vive María Martin......................................................…</t>
  </si>
  <si>
    <t>Gutiérrez, Prudencio</t>
  </si>
  <si>
    <t>Prudencio Gutiérrez</t>
  </si>
  <si>
    <t>D. Antonio Zúñiga, 100. D. Mar­ tin Sánchez Serrano, 100. D. Juan Antonio Fernandez, 200. D. Félix de Águirre, 400. D. Pedro del Paso Troncoso, 100. D. Prudencio Gutiérrez, 100. D. Pedro Francisco de Anza , 100. D. Juan de Dios Troncoso, 100. D. Alexandro Troncoso. , 100. D. Martin Urdapilleta, £0. I). José de la Lanza , 100.…</t>
  </si>
  <si>
    <t>Gutiérrez, Rodrigo Josef</t>
  </si>
  <si>
    <t>Rodrigo Josef Gutiérrez</t>
  </si>
  <si>
    <t>1810. Ayudantes. Don Josef Napoleón por la gracia de Dios y D. Leandro Bu Ines, D. Antonio González, por la constitución del estado, REI de las Espa— D. Rodrigo Josef Gutiérrez , D. Leandro Gutiér­ ñas y de las Indias. rez de Medina, D. Fernando Caamaño y D. Mi­ Oido el informe de nuestro ministro de lo In­ guel Baldaran. ter…</t>
  </si>
  <si>
    <t>Gutiérrez, Simón</t>
  </si>
  <si>
    <t>Simón Gutiérrez</t>
  </si>
  <si>
    <t>fé................................... 16200 D. Joaquin de Mezcorta...................... 84293 17 Doña Camila de Arriaga..................... . 10800 D. Simón Gutiérrez.............................. 5 297 8f Doña Juana de Muga y Acha............. 6300 D. Gregorio Rivacoba......................... 2895 81 Doña María Ignacia de…</t>
  </si>
  <si>
    <t>de Turón al ex-agostino calzado D, Juan Sán­ ciscano descalzo D. Alfonso Cedillo: para la de chez: para la de Athama la Seca al ex-carmelita Gojar á D. Simón Gutiérrez , ex-guardián de fran­ calzado D. Josef Gómez: para la de Aihavia al ex­ ciscos de Loxa: para la de Chanchina al ex-mer­ carmelita caizádo D. Pedro Gil: para l…</t>
  </si>
  <si>
    <t>Guto, Antonio</t>
  </si>
  <si>
    <t>Antonio Guto</t>
  </si>
  <si>
    <t>onel al coronel, graduado D. Tomas de RiítortiRo■Ténh-'nte coronel dei de Mur­ cia ; y en esta cuerpo compañías á D. Manuel Márquez , D. JoSé Pinto , D. Antonio Guto , IV Antonio Áivarez , y D. Juan Cosulh-ela ; t ív.-ncias á. D. l^edro Carmena , D. Luis Carceller, D. Nicolás de Robles , D. Vicente Castaño , IV José .Zurbanó,…</t>
  </si>
  <si>
    <t>Guüielmo</t>
  </si>
  <si>
    <t>salir la corte para Berlín. miento que merece este nuevo beneficio. S. A. R. el príncipe Henrique matdta el prítnrro, y llegará el $ i la cap!ral. El príncipe Guüielmo, IMPERIO FRANCES. hermanó del Reí, con la princesa su esposa, sal­ drán de aqal el $. SS. AA. RR. llegarán el 12 i Parts 2 r de diciembre. Berlín, y el mismo d…</t>
  </si>
  <si>
    <t>Guye, Nicolás</t>
  </si>
  <si>
    <t>Nicolás Guye</t>
  </si>
  <si>
    <t>se dedicado á leer , no­ dante del 2.a esquadron del regimiento núm. i.° de tar é imitar ias piezas maestras que esta nos dexó cazadores á caballo; á D. Nicolás Guye mariscal como en herencia. de campo, y á D. Mario Clary coronel de los ti- En ¡a literatura nada se adelanta sin modelos, Iadores de la guardia reai. y con ellos…</t>
  </si>
  <si>
    <t>H, Marcelo</t>
  </si>
  <si>
    <t>Marcelo H</t>
  </si>
  <si>
    <t>iembre. S. M ha expedido los decretos siguientes: Subtenientes. Esrracto de las minutas dé la secretaría de Es­ . D. R-fael García Santistéban. tado. D. Marcelo H.-rraiz y Romero. &gt; En nuestro palacio de Madrid á 30 de octubre D Juan de Dios Zafra. de 1810. D. Fernando Estéban de Talavera. Don Josef Napoleón por la gracia de …</t>
  </si>
  <si>
    <t>H, Vicente</t>
  </si>
  <si>
    <t>Vicente H</t>
  </si>
  <si>
    <t>a, 20. D. Fran­ cisco Valenzuela, 10 D. Francisco García, 20 D. Reyes García, 20. D. Tomas Rico, 10. D. José de Oscosa, 10. D. Francisco Córdoba, 12: D. Vicente H¡aojoso, 10. Varios individuos, 104. — Orcasitas. D. Ma­ nuel del Campillo, 20. D. Victor Aguilar, 20O. D. Dionisio de Aguilar, 25. D. Francisco Escobosa, 20. D Juan…</t>
  </si>
  <si>
    <t>Ha, Jlowaiski</t>
  </si>
  <si>
    <t>Jlowaiski Ha</t>
  </si>
  <si>
    <t>bres fue dispersado y destruido* en el corto espa­ .. El 7 á.las.diez de la- mañana el general en ge- cio de 9 horas. fe mandó el. ataque. - El mayor general Jlowaiski Ha* quedado en nuestro poder todo el - campo tomó tres reductos por asalto, y se apoderó de to­ enemigo&gt;'sus armas, sus'bagages y artillería; tres dos los atri…</t>
  </si>
  <si>
    <t>Haag, José</t>
  </si>
  <si>
    <t>José Haag</t>
  </si>
  <si>
    <t>987 nes adonde convenían, sin descansar en todo el dia y no­ che. Al mismo tiempo pido á V. E. por la viuda del valiente ayudante de Almería D. José Haag, que con tanto valor se portó siempre, y murió ayer asaltando el parapeto á la vista de su capitán Roten. — Asimismo pongo en la consideración de V. F. c-1 zelo y actividad …</t>
  </si>
  <si>
    <t>Haberc</t>
  </si>
  <si>
    <t>la simiente, y poniéndola frente del regimiento 117.0 y el 4.0 de húsares, á la disposición de los propietarios ( ha prevalecido fue encargado por el general Haberc de hacer un perfectamente este género de cultivo en varios de­ difícil reconocimiento sobre el Noruega. Bien qui­ partamentos, y con especialidad en el del Tarn, …</t>
  </si>
  <si>
    <t>Habert</t>
  </si>
  <si>
    <t>ma sus ideas secretas: no ha podido desconocer los fusiles, que han sido hechos pedazos. servicios hechos per el Emi-erador á la religión; El 1 2 e! coronel Habert, enterado de que el pero esre motivo de reconocimiento , que debia ser enemigo se reunía en Alfaraz par3 sostener una par­ jan poderoso para el g fe de: la Iglesia…</t>
  </si>
  <si>
    <t>o de fusilería generales Vergés y Buget para atacar los reduc­ desde las casas, calles y malecón. tos de la extremidad de! terraplén del tuerte de El general Habert , que marchaba al frente de Garden , y las obras exteriores ú hornabeques que la vanguardia , dirigió las compañías , y contuvo cubren el centro del miuno terrapl…</t>
  </si>
  <si>
    <t>nos de aquella ciudad conocen cada dia mas y En la mañana del día 14 se presentó un parla­ mas quanto importa el orden, y quan dispuestos mentario al general Habert, el qual no quiso oir­ se hallan á hacer todos sus esfuerzos para concur­ le: á las 10 el castillo grande eoarboló bandera rir por su parte á conservar la tranqui…</t>
  </si>
  <si>
    <t>mo en Za­ ragoza. Los generales Suchet y Uarispe se trasladaron el dia 20 de Cherta á Mora con 2000 infantes y 100 caballos, y el 21 se les reunió el general Habert con 7000 infantes. El mismo dia pasó Suchet en compañía de su muger á Lérida , donde dicen se avistó con Macdonald, y que después siguió su viage á Zaragoza. — La…</t>
  </si>
  <si>
    <t>Habido</t>
  </si>
  <si>
    <t>tan revuelto* ticos cuidara del cumplimiento de este decreto. =5 que parece que nos hallamos én el invierno , y ha FirmadoftYO EL REI. = Por S. M. su ministro Habido grandes tempestades de granizo y agua. secretario de Estado =rFirmados Mariano Luis d« Eos pueblos y haciendas inmediatas á esta ciudad Urquíjo.” han sufrido muc…</t>
  </si>
  <si>
    <t>Hablador</t>
  </si>
  <si>
    <t>s á consagrar el festín eí diii 4, lativo. ¡Con quánta mas razón debiera llamarse el señor en que aun no se sabia de oficio; mas mi acendrada fe, mío D. Hablador ó D. Cuentista eterno, que no D. J.! y práctica de calcular inveterada, afirmaba el suceso. Ya se ve, ¡cómo ha de hablar D. Gregorio, ni el ex- Que bebimos, hablamos…</t>
  </si>
  <si>
    <t>Haca, Vi</t>
  </si>
  <si>
    <t>Vi Haca</t>
  </si>
  <si>
    <t>nuestra buena correspondencia y unión. La adjunta gazeta extraordinaria del 10 del corriente ex­ presa la acción ventajosa lograda por las tropas del general Vi Haca mpa {1} : en ella se omitió el parage donde tuvo lugar* esperando las nuevas de otras ventajas; en efecto acaban de lo­ grarse tales como aguardábamos del valor …</t>
  </si>
  <si>
    <t>Hace</t>
  </si>
  <si>
    <t>Gaceta de Madrid n.º 98</t>
  </si>
  <si>
    <t>e puede hacer baxo su res comedias del teatro francés, traducida al español con protección poderosa. el titulo del Vano humilla Jo-----Destouches, su autor Hace años que ya eran tales los anuncios de un au­ original, se contentó con decir Le Glorieux___Si en la tor distinguido, que vive aun, y que debe vivir para traducción s…</t>
  </si>
  <si>
    <t>Hacer</t>
  </si>
  <si>
    <t>gan menos edad; Ayet mañana se celebró en la catedral de esta de 400 francos los legos y legas de 6a años, y ciudad uua misa solemne por el ánima deí mariscal Hacer deí mundo un rígido convento. Mil y mil veces les caballos r.oblcs Por otro lado claman que los toros A los impulsos de su ardiente fuego Disminuyen la especie, q…</t>
  </si>
  <si>
    <t>Hadajoz</t>
  </si>
  <si>
    <t>Gaceta de Madrid n.º 7</t>
  </si>
  <si>
    <t>o de Sevilla dei martes 19 de diciembre ntela de la Villa , y á presencia de nuestro minis­ de t -&lt;09.. tro de Hacienda y de los consejeros de Estado conde Hadajoz ro de diciembre. El exército de nnesde Montarco, Don Josef Ignacio Joven de Salas y tros c-rus aliados los ingleses, cuyo quartel gene­ Don Pedro de Echeverría» á …</t>
  </si>
  <si>
    <t>Hae, Tadeo</t>
  </si>
  <si>
    <t>Tadeo Hae</t>
  </si>
  <si>
    <t>nuado anteriormente que la memo­ respectivo soloá la Nueva-Holanda , 4&lt;562&gt; pesos. El ria tercera era una continnacion de la segunda, re­ naturalista D. Tadeo Hae.tke reconoció la calidad lativamente al extracto de las tareas hidrográficas del terreno, los frutos, árboles, minerales, anima­ practicadas en el viage dei señor M…</t>
  </si>
  <si>
    <t>Hago</t>
  </si>
  <si>
    <t>nos. El general Montmarie fue envia­ S. M. ha visto las tropas de la guarnición, y do el dia 19 con 600 hombres para abastecerle de ha manifestado al general Hago, gobernador de la «víveres» y hacer entrar artillería » y logró alejar al provincia, sn satisfacción. •enemigo con pérdida de un gran número de muer­ El señor Salas…</t>
  </si>
  <si>
    <t>1015</t>
  </si>
  <si>
    <t>latrocinios, la abandono en 29 de setiembre último, llevándose muchos efectos robados y algunas personas en clase de rehenes, para asegurar, dice el general Hago, su tranquilidad y sosiego, pero en realidad para obligarla á en­ tregar los 200000 rs. de contribución que le impuso en el mes de julio. Verificó su salida al abrig…</t>
  </si>
  <si>
    <t>Hairc</t>
  </si>
  <si>
    <t>ros negociantes han sido del 10 de agosto se anuncia que el exército del siempre víctimas de vuestra deslealtad. El deseo de Rei baxo las órdenes del coronel Hairc se ha pues­ !a ganancia es vuestra única religión : la fe crbtiaai to en campaña contra las trop.s de Ja compañía. que profesáis de boca es la máscara con que cubr…</t>
  </si>
  <si>
    <t>Hall</t>
  </si>
  <si>
    <t>el enemigo , pero debió ser muy considerable. La de las tropas anglo-portuguesas fué de 377 entre muertos y heridos, contándose entre los primeros el teniente coronel Hall, co­ mandante del regimiento 95 , uno de los oficiales mas dignos y beneméritos del exército. Aunque el cuerpo enemigo al mando del general Regni&lt;?r pasó h…</t>
  </si>
  <si>
    <t>Halling</t>
  </si>
  <si>
    <t>desde que vino de de la tarde , y acabó á Jas diez y tres quitos'* de P.$.i:i*i«|j el despacho de los negocios , y trabaja mu-, la noche. El teniente capitán Halling , encargado chas.veces con sus ministros. Se ha convocado mu-, del mando de nuestra esquadtílla, no pudo llegar qjáas.veces el consejo de Estado , y se asegura q…</t>
  </si>
  <si>
    <t>Hambttrgo, Ma</t>
  </si>
  <si>
    <t>Ma Hambttrgo</t>
  </si>
  <si>
    <t>cto. El g¡bínete de Viena ha enviado correos á to­ ALEMANIA. das las provincias de la monarquía austríaca con la noticia del próximo matrimonio de la princesa Ma­ Hambttrgo 24 de febrero. ría Luisa. Según cartas de Brandemburgo, con fecha del No tardará, según dicen, en publicarse en Vie­ i®, pasan por allí con mucha frecuenc…</t>
  </si>
  <si>
    <t>Hamm</t>
  </si>
  <si>
    <t>s, no han podido destruir nuestro comercio, Ei conde de Hardenberg, 'montero mayor de la ni impedir qu« estas embarcaciones entrasen coa corona, y el general Hamm ¿rstein , comisarios de toda felicidad : acaso á esto, y ai ver la inutilidad S. M. el Reí de Westfalia para la toma de pose­ de todas sus tentativas, debe atribuir…</t>
  </si>
  <si>
    <t>Hammerstein</t>
  </si>
  <si>
    <t>n hecho salir un cuerpo bas­ an agasajo particular í los' militares que fueron tante numeroso para reforzar el exército de la Bul­ presentados por eL general Hammerstein, y estos garia ; pero han cambiado todas estas disposiciones veteranos'manifestaron en sus semblantes los senti­ dé resultas de las nuevas órdenes que han ll…</t>
  </si>
  <si>
    <t>Han</t>
  </si>
  <si>
    <t>al palacio de Bruchsal con su comitiva. Esta princesa viene en .derechura de Petersborgo, Augs burgo i.° de mayo. doñee ha pasado algunos años con la Emperatriz Han llegado aquí siete carros de Scblehham de Rusia su hermana. con cerca de 700 pinturas , que se han depositado interinamente en la hermosa sala de la casa de la GR…</t>
  </si>
  <si>
    <t>Hansser</t>
  </si>
  <si>
    <t>tas á Francia los almacenes ó ctadad. depósitos de mercancí.-s , cuya eutrada esté prohi­ Lausana 79 de octubre. bida por los decretos imperiales. El coronel Hansser pasó *L dia 1 y por Zurich: £1 gobierno de Soleure, habiendo observado venia de Schaífoosa , y se dirigía á St. Gall, en­ qne se hadan en su cantón con mas frecu…</t>
  </si>
  <si>
    <t>Haré, Vicente</t>
  </si>
  <si>
    <t>Vicente Haré</t>
  </si>
  <si>
    <t>do y nombramos consejeros de Estado á D. .............. Dedon , director general pedestal egipcio de mármol blanco beteado coa ana de artillería, y á D. Vicente Haré. = Firmado =s corona de loto dorado. YO EL REI. =Por S. M. so ministro secretario El pedestal tiene 6 metros de alto, y 3 y 2; de Estados Firmado = Mariano Luis …</t>
  </si>
  <si>
    <t>Harispe</t>
  </si>
  <si>
    <t>a del enemigo en todos los ataqnes se dores se abrieron paso por el malecón , al mismo regula en 1200 hombres, y la nuestra en 200 hom­ tiempo qne el general Harispe acometía la cabeza bres muertos y 500 heridos, la mitad de estos le­ del puente por la orilla izquierda con el 117.0, y vemente. con las reservas que avanzaban á…</t>
  </si>
  <si>
    <t>560</t>
  </si>
  <si>
    <t>a y Cherta. El enemigo , dice la relación, destaco desde el sitio de Tortosa 3000 infantes, 400 caballos y 3 piezas de artillería á las ór­ denes del general Harispe para socorrer el castillo de Morilla. Al pasar por Vinaroz halló resistencia en aquellos fieles y valerosos vecinos, que auxiliados por una subdivisión de nues­ …</t>
  </si>
  <si>
    <t>Gaceta de Madrid n.º 270</t>
  </si>
  <si>
    <t>obre las fronteras del territorio de Valencia con 10 pieza» Je artillería y 1200 Ei 20 de abril el comandante Renouvicrs, go­ Cabrios. E&gt; ta envié al general Harispe con aoo bernad r de Jaca, mediante una marcha de 14 ho­ c ballos para sostener al general B »usart. Cié» ca­ ras , sorp ..-hendió eo Amó al gefe de Salteadores b…</t>
  </si>
  <si>
    <t>Harrick</t>
  </si>
  <si>
    <t>as variaciones que ba habido en el arte El brict llamada el Nuevo-Orleasts-Packet, de construirlos, las quales han precedida al última mandado por el capitán Harrick, procedente de, paso que acaba de dar. Hasta ahora la madera y la Nueva- Yorck, acaba de entrar eo la ría de Bór­ piedra eran solo los materiales que se creían p…</t>
  </si>
  <si>
    <t>Hast, Van-der</t>
  </si>
  <si>
    <t>Van-der Hast</t>
  </si>
  <si>
    <t>el coronel Owers: la Ayatt par el mayor Poldert, instante hs trincas á hachazo», el navio entró may la Iris por ei teniente coronel Van-der-Hast: gestuosamente en el agua co i repetí Jas acUmac-ola segunda en ei Texel, á las órdenes del contra- nes y vivas de los espect dores. Lleva do por h ma­ almirante Lemmers, compuesta d…</t>
  </si>
  <si>
    <t>Hasta, Francisco</t>
  </si>
  <si>
    <t>Francisco Hasta</t>
  </si>
  <si>
    <t>os , sufra las residen­ D. Francisco Ponce de León á capitán dé la cia» de la crítica, que no debe perdonar á nadie. quinta compañía en la vacante de D. Francisco Hasta aquí he sido un elogiador de Talés: ahora Víctor. debo ser «u juez severísimo, y descubrir las nuli­ D. Silvestre Gutierre* á subteniente de la mis­ dades de …</t>
  </si>
  <si>
    <t>Hauges</t>
  </si>
  <si>
    <t>Gaceta de Madrid n.º 220</t>
  </si>
  <si>
    <t>Los sherijfs de Londres ha­ listas á caballo. Al frente del primero iba el ma­ bita amonestado ai pu.bio para que se conduxese yor Cartwrigths, y el coronel Hauges á la cabeza pacíficamente ; y la junta encargada de los prepa­ del que precedía al carro triunfa: ; y detras de este rativos de ¡a fiesta h-bia fixado carteles enc…</t>
  </si>
  <si>
    <t>Haugwírz, Eugenio</t>
  </si>
  <si>
    <t>Eugenio Haugwírz</t>
  </si>
  <si>
    <t>qui, se h.bia constiuido una casa con ties linck, mayordomo mayor; y los señores gentiles* grandes Salones y dos entrada»; una por el lado de hombres conde Eugenio Haugwírz; coñac Domjn- nuestra ciudad, y la otra por el de-Altheim. En go-de Wlrbnaj conde Josef Metiernich, Laadgra- el salón del medio , destinado para hacer la …</t>
  </si>
  <si>
    <t>Hauilton</t>
  </si>
  <si>
    <t>Núm. 250. lili GAZETA DE MADRID DEL VIERNES 7 DE SETIEMBRE DE x8io. TURQUIA. da á S. M. I. al teniente coronel Hauilton y al midsbipman Wawilow por el distingnido valor que Constantinopía 8 de junio. ban manifestado durante el Sitio de Silistria.” El señor Adair tuvo el lunes último su anúlencía de despedida del caimacan-baxá…</t>
  </si>
  <si>
    <t>Haxo</t>
  </si>
  <si>
    <t>Laussana rg dcjtmls. ; mero y actividad dé! coronel Haxo, 700 hombres En los dias 14 y 15 de mayo se celebré en Zo- abríeroa la trinchera á 100 toesas'de la plaza, bien rich una junta mui numerosa de suixos de la ma­ que 00 pudieron estar enteram</t>
  </si>
  <si>
    <t>Hcr, Federico</t>
  </si>
  <si>
    <t>Federico Hcr</t>
  </si>
  <si>
    <t>as al tribunal del círculo. el dia 2.dfe etnwL me» en so residencia de filchin- El tribunal formará u ta junta compuesta de geu : le sucede m hijo el príncipe Federico Hcr - persones inteligentes, las quales decidirán en úl­ man Ottop.' ’’ tima instancia , reconociendo las muestras y los ex­ Ayer pasó por esta ciudad S. A. la…</t>
  </si>
  <si>
    <t>Hcrnaiz, Joscf</t>
  </si>
  <si>
    <t>Joscf Hcrnaiz</t>
  </si>
  <si>
    <t>asemeja á 1a cor­ rupción de las costumbres, que no se propaga su- AVISO. .biendo de' las clases subalternas á las mas elevadas, Por fallecimiento de D. Joscf Hcrnaiz, que fue ve­ sino que al contrario desciende siempre de estas á cino y del comercio de esta corte, en el mes de diciem­ aquellas. bre de 1799 se radicó su testa…</t>
  </si>
  <si>
    <t>Hcrrauz, Mariano</t>
  </si>
  <si>
    <t>Mariano Hcrrauz</t>
  </si>
  <si>
    <t>....... 210000 D. Pedro JosefRecarte»...... 380 D. Manuel MaríaCímb/nnerp,.......... 7000O D. Pedro del Rio..,...,.................... . , 70541 ,'aj D. Mariano Hcrrauz «rp^PS«#»MP*«u««,ii** 44IOO D, Pedro Beotas...... ......................... 34794 D. Josef Pelaez»».,.»...... *....»........... ¿5760 Idem....................…</t>
  </si>
  <si>
    <t>Hdler</t>
  </si>
  <si>
    <t>sangriento. Los rusos llegaron á ponerse,2,70 toe- teras de Turquía se compondrá de 50© hombres. sas de la plaza. Ei conde de Lar.geron, teniente Ei general Hdler está encargado de mandarlo pro—, genera! que mandaba este sitio, habia ya dado ór­ viiionalmente ; pero re cree que el mando superior denes para asaltar la plaza el…</t>
  </si>
  <si>
    <t>He, Josef</t>
  </si>
  <si>
    <t>Josef He</t>
  </si>
  <si>
    <t>en trei tamiento; D. Diego de la Mota y Moreno, rector actos titulada el Parecido en la corte, con una tonadi­ teniente de D iglesia de S. Salvador; D. Josef He­ lla nueva, y un divertido lin de fiesta. nares Peñalver, cura interino de S. Bartolomé; En el de la Cruz, á las cinco de la-tarde, se execuD. Domingo Vak-nzueli, pre…</t>
  </si>
  <si>
    <t>Hea</t>
  </si>
  <si>
    <t>dexeu li­ quadra no estaba entonces i la vista; pero la es— bres las faenas de la agricultura, puede facilitarles quadrilla avanzada, mandada por el capitán Hea- un lucro que les ayúde á so manutención , se ad­ rique Blakwood se formó en línea de batalla pa- mitirán , tanto en la salitrería de Sevilla , como 'ra detener al en…</t>
  </si>
  <si>
    <t>Heathcote</t>
  </si>
  <si>
    <t>Aix, ciudad de Provenza. El dia 7 del pasado llegó á Portsmouth el embaxador per­ sa para embarcarse ea el León. Le acompaña á la corte de Persia el capitán Heathcote, y una comisión militar destina­ da á instruir al exército persa á la europea.. En ella van artilleros escogidos por su superior destreza en el arte. PORTUGAL. …</t>
  </si>
  <si>
    <t>Hecho, Anice</t>
  </si>
  <si>
    <t>Anice Hecho</t>
  </si>
  <si>
    <t>del fuerte se entregará in­ fantería ligera, á D. Ramón Mattali: subtenien­ mediatamente á las tropas francesas. te de cazadores á caballo núm. 4,0 á D. Anice­ Hecho en Garden á 14 de mayo de 181 ®.= Fir­ to Casagna : teniente de caballería de línea i mado rr Francisco Nuñez , comandante de! fuerte.se D. Josef Mendoza: tenien…</t>
  </si>
  <si>
    <t>Hedouville</t>
  </si>
  <si>
    <t>l. . Sehs celebrado aquí él matrimoniode SS. MM. II. ; ALEMANIA. " y RR. con una iluminación general. Ei palacio d.e S. A. R., el teatro, la casa del conde Hedouville, Hambargo jo de marzo. ' embaxador de ErahcíaV 14 de los éfnbaxtdores de Se dice que á ios militares de la legión Ha ono— Prusia ydeSaxonia, la del general baró…</t>
  </si>
  <si>
    <t>Hefúet</t>
  </si>
  <si>
    <t>erán justificar al tiempo de ser ad­ do , al señor Jorge Steitz, consejero privado dé mitidos en las clases, por medio de una certifica­ Hacienda. El consejero Hefúet ha sido nombrado' ción en debida forma, que han pasado ya las virue­ para liquida# ¡os fondos de amortización dé Jas las, ó que han sido Inoculados ó vacunados:…</t>
  </si>
  <si>
    <t>Hemique</t>
  </si>
  <si>
    <t>1389</t>
  </si>
  <si>
    <t>15 de octubre es el día en que se instalará ciencia. nuestra nueva universidad en el palacio que fue S. M. acaba de nombrar los nuevos comisarios del príncipe Hemique, que es el local destinado generales de los nueve círculos del reino; y en to­ para este establecimiento. E¡ profesor Schrna.z pre- do el mes de octubre saldrán…</t>
  </si>
  <si>
    <t>Hemos</t>
  </si>
  <si>
    <t>raciolo de tro ministro.de Hacienda, y oido á nuestro conse­ Brienza , y el señor Josef de Marco. ■&gt; jo de Estado, Por S. E. el barón de Lagerbielke, ministro Hemos decretado y decretamos lo siguiente: plenipotenciario de Suecia, el barón de Ramcl, articulo i. ,,Se declaran acreedores del es­ gentihombre; el barón de Wrede, e…</t>
  </si>
  <si>
    <t>Hemos, Francisco Mar</t>
  </si>
  <si>
    <t>Francisco Mar Hemos</t>
  </si>
  <si>
    <t>Dios y guera y Lara y D. Josef del Biyena. por la constitución del esrado, REI .de las Empañas Subtenientes. y de las Indias. D. Tomas López de Haro, D. Francisco Mar­ Hemos decretado y decretamos lo que sigue: tínez de Morel, D. Antonio Garai , D. Diego Sua- articulo i. ,, Está nombrado comandante del rez, D. Francisco Rodrí…</t>
  </si>
  <si>
    <t>Henalez, Pablo</t>
  </si>
  <si>
    <t>Pablo Henalez</t>
  </si>
  <si>
    <t>apitán D Heraclio Alaiz , ayudante del batallón de Volunta­ rios de Zafra , y segundo del quartelmaestre. A Comisario de guerra. El habilitado de tal D. Pablo Henalez. En América. El Rey nuestro señor D. Fernando VIIy en su real nombre el Consejo Supremo de Regencia de España é Indias se ha servido conceder los empleos de cap…</t>
  </si>
  <si>
    <t>Henao, Juan</t>
  </si>
  <si>
    <t>Juan Henao</t>
  </si>
  <si>
    <t>stado de esta Mantera, de Santiago; Dr. D. Josef Caballero V de villa , población , fabricas , indusrria , comercio &amp;c. S. Nicolás de la ’-Axerquia ; D. Juan Henao, de dexándolos admirados de sus luces, de su amor pa­ S. Andrés; Dr. D. Francisco Tejada , del Sal­ ternal, y del vivo interes con qus trata de cimentar vador; Dr.…</t>
  </si>
  <si>
    <t>Henestrosa</t>
  </si>
  <si>
    <t>rie en el mando, pretextando su fusta de salud: el marques de Portago ha seguido su exeni- Mui señores míos: reconózcanme vmds. desde ahora plo; y el general Henestrosa, que al fin ha acep­ por uno de sus corresponsales. No pueden vmds. figu­ tado el encargo , tiene la modestia de no creerse rarse quanlo me alegro que la gaze…</t>
  </si>
  <si>
    <t>Henestrosa, Gerónimo</t>
  </si>
  <si>
    <t>Gerónimo Henestrosa</t>
  </si>
  <si>
    <t>943</t>
  </si>
  <si>
    <t>l brigadier D. José de Iináz, y del coronel del regimiento de infantería de la Union I). Pablo Morillo, dando cuenta de la acción bizarra que sostuvo D. Gerónimo Henestrosa, capitán del regimiento de caballería del Infante con la partida de su maí do desde el 6 ai 9 del corriente. Como la acción ha sido tan bien conducida j e…</t>
  </si>
  <si>
    <t>HenmUeria</t>
  </si>
  <si>
    <t>los Reyes de Francia, Aragón y Castilla de­ tará la p*'eza j cosa en un acto titulada Industria contra terminaron apartarse de su obediencia. El Rei D. HenmUeria-. seguir! una tonadilla, en que ae presentará la fique tu convocó en ALalá á t-dos los prelados de su* Sr-*. Carlota M ichelet-. después se executará la segunda domi…</t>
  </si>
  <si>
    <t>Henrimayor, Josef</t>
  </si>
  <si>
    <t>Josef Henrimayor</t>
  </si>
  <si>
    <t>deberá de ser la de la junta que he nombrado al efecto, y ademas regla sucesiva de su conducta* Verán en ellos el del señor fiscal jubilado de S. M. D. Josef Henrimayor convencimiento de la beneficencia del REI*, quez, del magistral de la catedral D. Pablo Andeino menos importa qne por medio de reflexiones- ro, dé D. Francisc…</t>
  </si>
  <si>
    <t>Henriqne</t>
  </si>
  <si>
    <t>, y que en el entre tanto solamente se nombrará ua Lemberg 10 de junio. director interino. El público se ocupa tanto mas El dia 7 llegó aqui S. A. el Príncipe Henriqne en este asunto, quarito quede él dependen el esta­ de Reus-Píauen, nombrado por S. M. comandan­ blecimiento y arreglo de la nueva universidad. te general de nu…</t>
  </si>
  <si>
    <t>Henriquc, Juan</t>
  </si>
  <si>
    <t>Juan Henriquc</t>
  </si>
  <si>
    <t>del Rio por 56 rs. vn. la parte.oriental; y agregando á estas exploraciones 2.'1 Otra carta general del océano indio , tamla que hizo del canal viejo D. Juan Henriquc de bien en dos hojas de inarca mayor; y cuyo precio la Rigada, y varias observaciones de D. Pedro de es de 36 rs. vn. Cárdenas, D. Tomas Ugarre, D. Cosme Churru…</t>
  </si>
  <si>
    <t>Henrique</t>
  </si>
  <si>
    <t>( O. Clemente Antón), abogado de Pa- mover mis tropas á otra parte del país, separán­ (encía. dome de personas á quienes he debido tantas bon­ Puis (D. Henrique), mayor del regimiento nú­ dades ; y suplico á V. E. se convenza de que me mero t.° de infantería. servirá de la mayor complacencia se me propor­ Puyal (D. Atanasio),…</t>
  </si>
  <si>
    <t>09. dosas ,y podrá apreciarle con todo el reconoci­ Mañanaprincipia i salir la corte para Berlín. miento que merece este nuevo beneficio. S. A. R. el príncipe Henrique matdta el prítnrro, y llegará el $ i la cap!ral. El príncipe Guüielmo, IMPERIO FRANCES. hermanó del Reí, con la princesa su esposa, sal­ drán de aqal el $. SS.…</t>
  </si>
  <si>
    <t>an de la corona de Castilla, celebrada en Alcali de He­ Dios les diere mejor á entender ios beneficios vacantes nares el año irtyg , en el reinado de D. Henrique nr, ó que vacaren, reservados ó devolutos, la» abadías, que asistió tan bi.-n pnsnnalmente á la misma junta. El priorazgos y demas piezas eclesiásticas, inclusas las…</t>
  </si>
  <si>
    <t>ión del índice expurgatoria giaba sobremanera al pontífice Gregorio vn por ha­ estaban los mas indinados i prohibir ct libro d« Cevaber destronado al Emperador Henrique iv, y que á es­ llos, escribió al cardenal de, Borja, sú embsrador en ta acción debía principalmente aquel papa la dicha que Roma, la carta que forma el papel…</t>
  </si>
  <si>
    <t>titulada la Esclava de su galan, modo alegre, trae ¿ tan buen tiempo á la escena al in­ y la opereta del Secreto. Actores en la comedia. Seño­ fanta D. Henrique, hermano del Rei D. Pedro, y le ras García, Ramos , Virg y Cabo. Señores Ponce , Or­ obliga á hacer tales instancias, que alcanza el perdón tigas , Caprara, Oros, Sua…</t>
  </si>
  <si>
    <t>Gaceta de Madrid n.º 286</t>
  </si>
  <si>
    <t>ás tropas asiá­ ■,: ¿ *• ’ " JBetlM t$“ de ittieih'bEe. ticas no piensen volver diirante el invierno á sus casas eStahdo S. Á. éner¿i¿rcito. A» R. el príncipe Henrique ha llegado ayer * '■ - k .j i“ , i de Dresde. ■ - &lt; •? h-i.i- RUSÍA. ' ‘ESPAÑA. Pttetsburgo a &lt;T¿e agosto. Zaragoza 4 de setiembre. Aun rio sé han publicado' J…</t>
  </si>
  <si>
    <t>ble: Ahí está, que no ma barruntado la causa de mi encalabrinamiento'-. iré a bus­ dexará mentir,el citado apéndice del Journal Je i'Emcar á mi amigo D. Henrique, y me desengañaré por •pire del 1de noviembre de 1809, compuesto por un mis propios ojos. tal H. con el epígrafe de Algunas consideraciones sobre Salgo en efecto com…</t>
  </si>
  <si>
    <t>Henriquez, Miguel</t>
  </si>
  <si>
    <t>Miguel Henriquez</t>
  </si>
  <si>
    <t>osé Goyti, D. Domingo Angulo , D. Andrés Martínez y D. Antonio Valderas ; y subte­ nencias , á D. José Perez , D. Jorge Bertolld , D. José Fernandez, D. Miguel Henriquez , D. Blas Marín, D. Antonio Ferrer, D. Agustín Escobar . D. Miguel Federico, D. Francisco Blanco , D. Bartc lomé Blanco D. Joaquin Gómez, D. José Flaquer, D.…</t>
  </si>
  <si>
    <t>Henriquez, Miguel Sánchez</t>
  </si>
  <si>
    <t>Miguel Sánchez Henriquez</t>
  </si>
  <si>
    <t>endo también el punto de Vcracrua, y dedu­ d-.pi-t.idos"los s.ñores D. Joaquín Mariano Rosales ciendo que las caitas aumentaba.) la distancia entro y D. Miguel Sánchez Henriquez. ambos lugares la enorme cantidad de 40 leguas. ,,Esta ciudad, que une sus votos á los de Desconocidos estos trabajos continu.bao los errores V. SS. …</t>
  </si>
  <si>
    <t>Heorique</t>
  </si>
  <si>
    <t>avnr aprecio las prac­ La academia, que en el anterior había estable­ ticadas en 1 791 Por D. Dionisio Galiano, que se in­ cido en Sagres, el infante D. Heorique de Portugal, cluyen desde ¡a pág. 79 de la segunda Memoria, EN LA IMPRENTA REAL.</t>
  </si>
  <si>
    <t>Herboso, Josef Ortiz</t>
  </si>
  <si>
    <t>Josef Ortiz Herboso</t>
  </si>
  <si>
    <t>r. D. Ramón Nocedal. . D. Eduardo Santiago Palomares. D. Fcrinin Carnerero Vela* D. Claudio Botelú. D. Tuan Valdivieso. D. J osef Navarro. Tenientes. D. Josef Ortiz Herboso. D. Andrés Saez. D. Gabriel de Alearáz. D. Santiago Sedaño. D. Juan de Adanero. D. Francisco Cabañas. D. Juan de la Peña Melendez. D. Pedro Sedaño. D. Joa…</t>
  </si>
  <si>
    <t>Herdiz, Manuel</t>
  </si>
  <si>
    <t>Manuel Herdiz</t>
  </si>
  <si>
    <t>rbina, 10. D. Camilo Peynado, 10. D Juan José Salcedo , 6. D. Faustino Peynado, 6. Varios individuos 53 y 4 reales.--- Sta. Bár­ bara. El subdelegado D. Manuel Herdiz, 15- D. C riaco Salas, 20. D. Antonio Armendariz y Doña Francisca Amparan, 12 Varios iodir viduos 48 y 6 rs. Los vecinos de S. Miguel de Crrrogordo, 17 y 5. --C…</t>
  </si>
  <si>
    <t>Heredia, Juan Nepomuceno</t>
  </si>
  <si>
    <t>Juan Nepomuceno Heredia</t>
  </si>
  <si>
    <t>o Mon ; segundas tenencias de fusileros, á. D. José de Lemus, D. José Vaádés y Casasola, D. Tadeo Miranda y Mon, D Miguel Lacy, D. Ven­ tura Escario, D. Juan Nepomuceno Heredia , y D. José María dé Mena ; y empleos de alféreces de granaderos, á D. José Antonio Fació, y D. Ramón de Zuloaga ; y de cazadores , á D. José Ma­ ría …</t>
  </si>
  <si>
    <t>Herencia, Nicolás</t>
  </si>
  <si>
    <t>Nicolás Herencia</t>
  </si>
  <si>
    <t>Macuel Alevio. D. Diego Castro. D. Juan Lecanda. • D. Josef Casalc. D. Plácido Ffexalde. D. Ramón Pando. D. Cj i*o Garc.a. D. Tomas García Domínguez. D Nicolás Herencia. Batallón del quartel de S. Martin. D. Gervasio Fernandez Izquierdo. Capitanes. D. León de Montenegro. D. Fulgencio de la Riva. Agüero. D. Ignacio de la Torre…</t>
  </si>
  <si>
    <t>Heres, José</t>
  </si>
  <si>
    <t>José Heres</t>
  </si>
  <si>
    <t>Francisco Toral y D. Pedro Díanos 5 el capitán del núm. 5 D. Antonio Diana, el comandante de tiradores de Fernando Vil D. Antonio Mendoza , el cadete D. José Heres , el subteniente; de la guardia de honor D. Juan París, el de la misma clase D. Manuel Pélaez y el subteniente Don Francisco Fresno*; y aunque todos han llenado su…</t>
  </si>
  <si>
    <t>Hermann</t>
  </si>
  <si>
    <t>Lindau, donde fue recibido con repetidas salvas Carlsruhe 1$ de junio. de artillería. El batallón de infantería de Wreden, El dia i.a de este mes el profesor Hermann hi­ que-forma Ja guarnición de Lindau, estaba sobre zo eu presencia del directorio del círculo y de un las armas, y destiló por delante del Rei: poco tiem­ gran …</t>
  </si>
  <si>
    <t>Hermenegildo</t>
  </si>
  <si>
    <t>do B. Ramón St&gt;to , 25. Varios individuos , 63. — Tesopaco.- El presbítero B. Ignacio Lorenti , 8. I). Victoriano Gil, 100. D. Nicolás Amarillas, 15. D. Hermenegildo La pisco , 10. D. Francasco Encinas , 15. Varios individuos , 21 pesos y 4 reales. •—- Barot/eca. El cura D. José Villegas, 50. D. Bernardo Veloz200. j&gt;. José Ló…</t>
  </si>
  <si>
    <t>Hermógencs</t>
  </si>
  <si>
    <t>o. El públi­ de buena flema y de gentil cachaza. ¡Cómo! ¡Haber te- co tiene mal gusto, lo conozco; pero no tanto como nido valor para escuchar al tal D. Hermógencs ensartar todo «so. Jntcrdum rutum videt, y si todavía le quedan tal rastra de pedanterías greco-latinas, y no echar á cor­ resabios de la antigua barbarie, vmd., y…</t>
  </si>
  <si>
    <t>Hermosa, Josef Fernandez</t>
  </si>
  <si>
    <t>Josef Fernandez Hermosa</t>
  </si>
  <si>
    <t>ta de Aragón se dio prisa á escapar. D. Cipriano Layar......................................... 397 5 Sus habitantes salieron precipitadamente al en­ D. Josef Fernandez Hermosa........... . 1100 cuentro del general en gefe, y le entregaron en Te­ Doñ i María del Pilar González........... 10604 31 ruel 3 á 4© pipas, y provisio…</t>
  </si>
  <si>
    <t>Hermoso, Antonio Rodríguez</t>
  </si>
  <si>
    <t>Antonio Rodríguez Hermoso</t>
  </si>
  <si>
    <t>ado. Íos mismos sentimientos de alegría y contento que Para el de Villelga, vacante por promoción de en las funciones aDteriorts; y á pesar de ^iaber D. Antonio Rodríguez Hermoso al de las Grane- habido una concurrencia tan .numerosa de perso­ ras , 1 D. Bernardino Molaguero, presbítero bene­ nas de todas clases, se ha observ…</t>
  </si>
  <si>
    <t>Hermoso, Dámaso</t>
  </si>
  <si>
    <t>Dámaso Hermoso</t>
  </si>
  <si>
    <t>a Josefa de Huic!................... 5997-17 Doña María Magdalena-Araola............ 54i-i7 D. Pedro Beotas..................................... 35°° D. Dámaso Hermoso.................... ......... 12454..X7 D. Basilio Ramón Fernandez............... 12040 Doña María Arquedas............................ 8215.-25 Doña Francisca…</t>
  </si>
  <si>
    <t>Hermoso, Policarpo Saez de Tejada</t>
  </si>
  <si>
    <t>Policarpo Saez de Tejada Hermoso</t>
  </si>
  <si>
    <t>mán. D. Juan Puente. D. Manuel Carranza. D. Jnan Verdes Montenegro. D. Nicolás María Bretnond. Subtenientes. D. Juan Francisco Pastor. D. Tomas Mari. D. Policarpo Saez de Tejada Hermoso. D. Felipe Colmenares. EL marques dei Valle de la Paloma. D. Mariano Mari. D. Estéban Corones Alberola. D. Joaquín Manuel de Villalba. Tenien…</t>
  </si>
  <si>
    <t>Hernaiz, Manuel</t>
  </si>
  <si>
    <t>Manuel Hernaiz</t>
  </si>
  <si>
    <t>bes, para consul­ tarle en caso necesario: el señor alcalde ordinario de segundo voto Don Vicente Pizarro, y los caballeros regidores, alguacil mayor D. Manuel Hernaiz, alcalde mayor provincial Dr. D. Franc:sco Marcos Santaelía: fiel executor Dr. D. Joaquín de Torres Duran: Licenciado D. Juan An­ tonio Mexía, D. Vicente Becer…</t>
  </si>
  <si>
    <t>Hernán, Andrés</t>
  </si>
  <si>
    <t>Andrés Hernán</t>
  </si>
  <si>
    <t>rpo de Artillería , se ha dignado S. M. pro­ mover á subtenientes de la plana mayor facultativa del propio cuerpo á D* Francisco Melendez de la Pola, D. Andrés Hernán­ dez Sta. Cruz, D. Francisco Zarracina , D. Miguel González, D. Juan Mendez Vigo , D. Manuel Moreno , D. Pedro Masdetr, D. Joaquin Goñi, D. Juan Vial y D. Celes…</t>
  </si>
  <si>
    <t>Hernán, Antonio Ruiz</t>
  </si>
  <si>
    <t>Antonio Ruiz Hernán</t>
  </si>
  <si>
    <t>esbítero, para 3a maesya batiéndose con la mitad de las fuerzas enemigas trescolía de la dicha santa iglesia de Avila, vacan­ te por fallecimiento de D. Antonio Ruiz Hernán­ quaodo aquella llegó. La escolta mandada por el señor Delgado dez de Larrea: á D. Nicasio Manzanares, presbí­ sostuvo el combate con macho valor 1 ¿ impi…</t>
  </si>
  <si>
    <t>Hernande, Vicente</t>
  </si>
  <si>
    <t>Vicente Hernande</t>
  </si>
  <si>
    <t>Capitán Marcelo Pardo, 22 y 6 rs. Los sar­ gentos , cabos y soldados, $70 y 2 rs. — Quinta id. Capitán Honorato In­ da , 16. Teniente Juan Ureña, 14. Alférez Vicente Hernande z, 10. Los sar­ gentos, cabos y soldados, 158. D. Urbano Sánchez, 23. D. Antonio Ure11a, 9 y 4 rs.—Ciudad de Crispe. El tesorero interina .D. Ignacio B …</t>
  </si>
  <si>
    <t>Hernández, Antonio</t>
  </si>
  <si>
    <t>Antonio Hernández</t>
  </si>
  <si>
    <t>D. Joan Vicente Pérez................................ 4379 2^ en igual caso se hallan los que ignoran el sentido D. Antonio Hernández............................. 7 200 de las.palabras que pronuncian. D. Luis de Sujo.......................................... 0Ó¿4 En la gramática hai que considerarlas cosas qu^ D. Josef An</t>
  </si>
  <si>
    <t>Rioja. Las guerrillas del reyno de Aragón que ha tiempo creó su junta, y hasta aquí han obrado separadamante, se hallan hoy reunidas á las órdenes de D. Antonio Hernández, oficial del batallón de cazadores de Palafox, nombrado por dicha junta segando comandante general de las mismas , y forman un cuerpo respetable. Hallábase …</t>
  </si>
  <si>
    <t>dirse en las kígioues catalanas, quedara formado en batallón y conservara su primer nombre. Teruel 24 de mayo. A primeros del presente 1?, partida de D. Antonio Hernández, compuesta de 400-hombres de infantería v 26 de caballería, tuvo carchi ele lietascon , en el partido' de Daroca, un%reencuentro con los. franceses, á quien…</t>
  </si>
  <si>
    <t>25 i.i D. Juan de Montaya.,,»,,,»,,.,....^.» 32400 P. Manuel HaedP-””*-".............. *1569] .C\ D. Josef Clemente de.Lujar.». fip*&lt;ii«kp ;, v 67200 D. Antonio Hernández............. a7í# DoñaMaría ManuelaPtavíde Ribera; • 45000 D. Agustín Feitc,........................ 8533^; rí P. Manuel SineFípirto*!,™.,-»-—.. 43700 B. Lu…</t>
  </si>
  <si>
    <t>..;.......... 10198 8| 'León........... .......................ioooo D. Josef Antonio Girard.,..19600 Doña- Gerónima Magdonell.....;......... 37 5° i D. Antonio Hernández...i.:..,....:......' 22400 Dona Teresa Conrote...;.....;...,...;..„. 24628 D. Nicolás de los - H er os.¿ 700090 DV Cirios Montargis;.;...;.. 5100 D. Jijan L…</t>
  </si>
  <si>
    <t>... 6 91.. 1 el barón de Dos-Puentes, teniente general,'y el D. Juan Estiban de Trido.................. 21806.'. 16 barón de Freiberg , gentilhombre. D. Antonio Hernández......................... 3920 Por S. E. el conde de Wintzingerode, minis­ D. Mariano Herranz............................. 19814..28 tro ^plenipotenciario de…</t>
  </si>
  <si>
    <t>de Torres............... 3610 y Villegas............................................ 15300 D. Ramón de Landa.............................. 9769.. 8$ D. Antonio Hernández, como testa­ D. Francisco García de Rozas......... 5415 mentario de Doña Juana Macarti.... 2964-27 D. Manuel de Amandarro..... . 61099.. 8§ D. Antonio Torres…</t>
  </si>
  <si>
    <t>c«ii duque de Dalmacia.=Por ampliación = El ayu­ D. Antonio Hernández1.......................... 57600 dante comandante, subayudante mayor generáis: D. Mateo de la Quintana..................... 73531.-26 Firmado= Mooqueri. Dona Manuela Goihuru.................</t>
  </si>
  <si>
    <t>Hernández, Baltasar</t>
  </si>
  <si>
    <t>Baltasar Hernández</t>
  </si>
  <si>
    <t>teniente, Por $, M- sn ministro secretarlo de Estado Ma= .. .Ep Ol* regúttítnto de Sevilla núm. 3.* de ín- nano Luis de Urquijo.” fanteiía de línea » D. Baltasar Hernández á sub• teniente. ’ : . mota. En la gazeca del lunes 21 de mayo, En el rtgimiento de Málaga núm. 6.* de in- Cintería de- línea, D, Félix Carrion á subtenien…</t>
  </si>
  <si>
    <t>Hernández, Froilan</t>
  </si>
  <si>
    <t>Froilan Hernández</t>
  </si>
  <si>
    <t>r muerte de D* Láziio Avecilla, a D. Mitui Para el de Santiago de Villalpando, vacante Ramos , presbítero, cora de Villaturiel y Marne. por muerte de D. Froilan Hernández , á D. Andrés Para el de Carmenes y Almazara, vacante por Casero, tonsurado. promoción de t). Pedro de la Vega al de S. Justo Para el de Pesagnero, vacante …</t>
  </si>
  <si>
    <t>Hernández, Josef</t>
  </si>
  <si>
    <t>Josef Hernández</t>
  </si>
  <si>
    <t>-dominico D. Antonio nitiita calzado’D. Juan Martínez.: para la de Dilar 'Ecija: para la primera sacristía de A llama al ex­ al:ex-mirCenario calzado D. Josef Hernández: pa­ franciscano descalzo D. Manuel de Luque : para la ra la de Churriana al ex mercenario descalzo Don de Algarinejo al cx-gerónimo D. Juan García de Francis…</t>
  </si>
  <si>
    <t>Hernández, Ma</t>
  </si>
  <si>
    <t>Ma Hernández</t>
  </si>
  <si>
    <t>Almargayar, Quarenta y nueve marjales, tier­ camino .de Maracena, que se ra de secano, en término de halla arrendada á Don Juan Zubia ,* arrendados á D. Ma­ Hernández en..................... 8333 99996 nuel Ibañez en.............. . 122 J 14700 . Otra casería en igual término y Ochenta y cinco marjales de tier- ' * t pago, co…</t>
  </si>
  <si>
    <t>Hernández, Pedro</t>
  </si>
  <si>
    <t>Pedro Hernández</t>
  </si>
  <si>
    <t>te por privación de D. Pedro Hernández: i Don qoe Iban de patrulla; se introdujeron en la ca$:¡; Migad Pecharon:an de Iiast, presbítero y ban.fi- amenazaron con las armas á -Márquez y su muger; ciado de Otero de Herreros, para u</t>
  </si>
  <si>
    <t>Hernando, Raymundo</t>
  </si>
  <si>
    <t>Raymundo Hernando</t>
  </si>
  <si>
    <t>862</t>
  </si>
  <si>
    <t>volvió á Ma­ drid el dia SO. En el momento, la caballería del coronel Mar­ tin , mandada por D. Saturnino Albuir y D. Jo. é Mondecleu y la partida de D. Raymundo Hernando, se dirigieroná la reta­ guardia de la escolta, y con efecto pelearon el 21 y 22 en Tor­ re] on y el Molar, matando ó hiriendo gravemente en los dos choques…</t>
  </si>
  <si>
    <t>Herran, María Aguilera</t>
  </si>
  <si>
    <t>María Aguilera Herran</t>
  </si>
  <si>
    <t>............ 22 hai en esta aserción gramatical. D. Joaquín del Riego............................... 19+$ Los nombres ó denotan las cosas, y entonces Doña María Aguilera Herran por sí, son llamados substantivos, ó sus quatidades , y en y como tutora de sus hijos............... 3 &gt;33 tal caso se llaman adjetivos. La palabra ár…</t>
  </si>
  <si>
    <t>Herran, María del Carmen</t>
  </si>
  <si>
    <t>María del Carmen Herran</t>
  </si>
  <si>
    <t>500 hombres muí lucidos y disciplinados, se D. Mariano Herran............................ 13003 28 ha entregado por entero ; ha hecho el juramento de Doña María del Carmen Herran..... 12003 28 fidelidad, y en el dia está sirviendo en el quarto Dona Micaela Zorraquin.................. 23207 22 cuerpo del exército. ^ . D. Vicen…</t>
  </si>
  <si>
    <t>Herran, Mariano</t>
  </si>
  <si>
    <t>Mariano Herran</t>
  </si>
  <si>
    <t>El regimiento de suizos de Reding, fuerza varría............................................ 92830 22 de 1500 hombres muí lucidos y disciplinados, se D. Mariano Herran............................ 13003 28 ha entregado por entero ; ha hecho el juramento de Doña María del Carmen Herran..... 12003 28 fidelidad, y en el dia está …</t>
  </si>
  <si>
    <t>Herranx, Mariano</t>
  </si>
  <si>
    <t>Mariano Herranx</t>
  </si>
  <si>
    <t>omas Garda Suelto...... D. Tullan González Saes, D. Ceferino Casas. El Marques de los Zoidos..... D. Luis Le Clair........... , D. Pedro Luis Napoli. D. Mariano Herranx........... . D. Josef Gamarra........... . D. Juan Valenchana.............. D. Jaime Rostan. •#•-»••«•* ••*•••••»«••■»•« D. Josef Paniagua. D. fíustaqnio Vill…</t>
  </si>
  <si>
    <t>Herranz, Juan Valentín</t>
  </si>
  <si>
    <t>Juan Valentín Herranz</t>
  </si>
  <si>
    <t>758 al norte con tierra de la capellanía de Don marras, que linda por poniente con otro Claudio Alonso........... ...................... *79 6138 de D. Juan Valentín Herranz................. 39- *7 869 Otra tierra en la Hijosa, detras del Coso, Otro que llaman el Blanquillo, de 42 1 ce­ de una fan., 5 celem; y 17estad., linde…</t>
  </si>
  <si>
    <t>Herranz, Mariano</t>
  </si>
  <si>
    <t>Mariano Herranz</t>
  </si>
  <si>
    <t>político y militar de Córdoba del JO de mayo.) Batallón del quartel de S Gerónimo. Comandante, el marques de Santiago. Madrid a o de mayo. Ayud-nte, D. Mariano Herranz. S. M. ha expedido el decreto siguiente : Abanderado, D. Manuel Eligió. Extracto de las minutas de la secretaría de Estado. Batallón del quartel de S. Isidro. …</t>
  </si>
  <si>
    <t>........ 21806.'. 16 barón de Freiberg , gentilhombre. D. Antonio Hernández......................... 3920 Por S. E. el conde de Wintzingerode, minis­ D. Mariano Herranz............................. 19814..28 tro ^plenipotenciario del Rei de Westfalia, el barón D. Francisco Perez Criado.................. 4502.. 8 de Ompteda, g…</t>
  </si>
  <si>
    <t>Herranz, Pablo</t>
  </si>
  <si>
    <t>Pablo Herranz</t>
  </si>
  <si>
    <t>Don de Arganda, donde llaman el cerro de las Lope de Salcedo, y al mediodía con dicho Caleras, de 1 fin-, 6 celem.y 11 estad., camino y herederos de D. Pablo Herranz, 2 44 lindante entre poniente y norte con dicho Otra encima de las Peñuelas, de 9 celem. y camino y tierras de heredero» de Manuel 16 estad., que linda i oriente…</t>
  </si>
  <si>
    <t>Herranz, Teresa</t>
  </si>
  <si>
    <t>Teresa Herranz</t>
  </si>
  <si>
    <t>fán., 9 cele­ Otra mas abaxo de la anterior, á la entrada mines y 17 estad., que linda con tierra de Valdilongo, de 6 fan. ya celem., lin­ que fue de Doña Teresa Herranz, y ho¡ de á oriente y poniente lindazos concede las monjas dominicas........ -...... ............. 81 2782 g‘}«*.............. ............ ;................…</t>
  </si>
  <si>
    <t>Herrera, Andrés</t>
  </si>
  <si>
    <t>Andrés Herrera</t>
  </si>
  <si>
    <t>, 401 y 2 rs. —Ciudad de Durango. Elgof ernador-intendente , brigadier D. Bernardo Bonávia , 500. El ase­ sor de la intendencia D. Angel Pinilla, 75: D. Andrés Herrera, conta­ dor de la aduana, 15. El factor Juan Bautista Ugarte, 150. El mi­ nistro contador D. Pedro Pió, 2$. El tesorero interino D. Rafael Ahumada, 20. El Cond…</t>
  </si>
  <si>
    <t>Herrera, Antonio</t>
  </si>
  <si>
    <t>Antonio Herrera</t>
  </si>
  <si>
    <t>D. Antonio Herrera. Subtenientes. D. Joaquín de b Paliza. D. Juan Manuel Montero. D. Fausto Foronda. D. Estéban Moreno. D. Fermín María Uria y Nafarrondo. D. Jacinto Perez de la Torre. D. Josef de las Barcena</t>
  </si>
  <si>
    <t>Herrera, Benito</t>
  </si>
  <si>
    <t>Benito Herrera</t>
  </si>
  <si>
    <t>rgo de la dirección de reales provisiones, que aun no se ha cobrado, 9906. D. José Looez, 1®. El desechado, 200. D. Gregorio VVindel, 20. A. B., 100. D. Benito Herrera, zoo. D. Ri­ cardo Meade, 2000. D. Tadeo Sánchez Escandon, 60. Marques de las Hormazas, 3000. D. José Alvareda é hijos, 300. D. José Fernandez de Oiarte, 120. …</t>
  </si>
  <si>
    <t>Herrera, Diego</t>
  </si>
  <si>
    <t>Diego Herrera</t>
  </si>
  <si>
    <t>Godins, ayudante del mismo de perseguidores; ayundantía al teniente D. Juan Sevillano ; tenencia al alférez D. Juan Diaz , y esta re­ sulta al cadete D. Diego Herrera. ____ _______ __________ r Discurso sobre ía constitución que dio al rey no de Valencia m invicto conquistador el Sr. D. Jaymc I: por D. Francisco Borruil y Vil…</t>
  </si>
  <si>
    <t>Herrera, José</t>
  </si>
  <si>
    <t>José Herrera</t>
  </si>
  <si>
    <t>Conde, D. Francisco Carrion, D. Miguel Valbuena, D. Rafael Sánchez Saravia, D. Mi­ guel Guajardo, D. José Arechaga, D. Antonio López, D. Juan Arango, D. José Herrera, D. Clemente Grima, D. Bautista Vila, D. Casimiro Brodet, D. Guillelmo Claramunt, D. Bernardo Cobian y D. Francisco Juárez ; y subtenencias, á D. Juaii de la Fue…</t>
  </si>
  <si>
    <t>Herrera, Juan María</t>
  </si>
  <si>
    <t>Juan María Herrera</t>
  </si>
  <si>
    <t>Mallorca: D. Ramón Lázaro de Don , por Cataluña: D. Alonso Maria de la Vera y Pantoja , por la ciudad de Mérida: D. Antonio Capmani, por Cata­ luña : D. Juan María Herrera, por Extremadura : D. Manuel María Mar­ tínez por ídem: D. Alfonso Nuñez de Haró, por la provincia de Cuen­ ca: D. Pedro Antoniode Aguirre, por la junta su…</t>
  </si>
  <si>
    <t>Herrera, Mariano</t>
  </si>
  <si>
    <t>Mariano Herrera</t>
  </si>
  <si>
    <t>ón del Campo, quarto, 50. D. Joaquín Palou , archivero, 15. D. Francisco Garavilla , escribiente, 10. D. Julián Zubia, idem, 10. El auditor de guerra D. Mariano Herrera, 100. El ayudante inspector D. Cristóbal Domín­ guez , 100. — Compañías militares, patios. Capitán D. José Francisco Zozaya, 184. y 6 rs. Teniente D. Nicolás …</t>
  </si>
  <si>
    <t>Herrera, Torquato</t>
  </si>
  <si>
    <t>Torquato Herrera</t>
  </si>
  <si>
    <t>Bathurst, enviado de Inglaterra, en la D. Florencio Barcena , subteniente D. Tomas Ga­ corte de Vierta, su fecha en Buda a 20 de setiem­ lludo, otro, D. Torquato Herrera. bre de 18 os1. Segunda ídem. Capitán D. Josef Granados , te­ En una conferencia que he tenido esta mañana niente D. Joan Parga, subteniente D. Juan Nepocon …</t>
  </si>
  <si>
    <t>Herrero, Alberto</t>
  </si>
  <si>
    <t>Alberto Herrero</t>
  </si>
  <si>
    <t>25. D, Gabriel Gómez , 100. i&gt;.-Manuel Antonio de Tsasi , 200. D. Manuel Gil y Cosío, 100. D. José Ramón de Gorostiza , 100. D. Ignacio Albiní , 25. D. Alberto Herrero, 100. D. Domingo Q'utierrez , 100. D. Miguel Cabalen , 100. D. Cayetano Cana­ leta , 50. D. Gerónimo Q.uijano, 50. D. Faustino Rodríguez , Medico, 50. Don — ..…</t>
  </si>
  <si>
    <t>Herrero, Francisco</t>
  </si>
  <si>
    <t>Francisco Herrero</t>
  </si>
  <si>
    <t>PgU»%|nQ!., ncjiqiO ' Compañíade^’PPdWd^ef^d^'d y$ép(&lt;$ds Compañía del'É&amp;órtiP'ijF'ii-íécrpf2&amp;dsL 'S^bar-cm'i u.ji.ioitmfc* .Ü , áiA/osadu-c Capitán, D. Francisco Herrero. • - , Tjtníeu'te, D-i Ra rñorfJBi'tno*, dé Qamargo^ Subteniente , P;{^ , nuiiq.O .Compañía, de Argete de d 50 plazas^. -•■'• Compañía de.perfeWlUt’di d'&lt;¡$…</t>
  </si>
  <si>
    <t>Herrero, Manuel Ramón</t>
  </si>
  <si>
    <t>Manuel Ramón Herrero</t>
  </si>
  <si>
    <t>acante por ascenso Martinez de Pioillos, cura de Malaguilla. de D. Juan Francisco Gómez al de Cadalso, á Para el de Azutan, vacante por muerte de Don D. Manuel Ramón Herrero, presbítero. Julián Ramón Navarro, á D. Vicente del Rio de Para el de Trijueque, vacante por muerte de la Vega, cura de Alocen. D. Martin Aguilera, á D. …</t>
  </si>
  <si>
    <t>Herreros, José María</t>
  </si>
  <si>
    <t>José María Herreros</t>
  </si>
  <si>
    <t>Capitán el coronel D. Pedro Villaescusa, 100 Teniente D! Benito Espinosa, 20. Alférez D. Ignacio Elias, 10. Id, D. Juan José Villaescusa, 8, Capellán D. José María Herreros, 12. Cadete D. José María Redondo, ry. Id. D. Francisco ViÜaescusa, 5. Los sargentos, ca­ bos y soldados, 146. Babi&gt;pe. Comandante el teniente D. Ildefons…</t>
  </si>
  <si>
    <t>Herreros, Manuel García</t>
  </si>
  <si>
    <t>Manuel García Herreros</t>
  </si>
  <si>
    <t>Burgos: D. Juan Gallego, sapiente por la de Zamora : D. José Valcarcel, suplente por la de Salamanca: D, José Zorraquin, • suplente por la de Madrid: D. Manuel García Herreros , suplente por la de Soria: D. José de Cea, suplente por la de Córdoba: D. Juan Clímaco Quintano , suplente por la de Palencia: Q. Gerónimo Ruiz, Suple…</t>
  </si>
  <si>
    <t>Herreros, Ventura</t>
  </si>
  <si>
    <t>Ventura Herreros</t>
  </si>
  <si>
    <t>pa­ tria, por el Consejo de Regencia y por D. Domingo de Ar­ ce. — Hoy hemos presenciado otro espectáculo no menos in­ teresante por otro aspecto. El soldado Ventura Herreros, con­ vencido de deserción y robo , había sido sentenciado á quatro carreras de baquetas por 200 hombres. Esta madrugada ha sufrido el castigo én el mis…</t>
  </si>
  <si>
    <t>Herris, Vicente</t>
  </si>
  <si>
    <t>Vicente Herris</t>
  </si>
  <si>
    <t>r su reemplazo: l-s justicias remitirán doticías D- Josef Alter, D. Manuel Pe de Arros, D. Juan de unos y otros á los intendentes. de Areco, coronel, D. Vicente Herris , teniente co­ art. xix. Nuestros ministros de lo Interior ronel graduado de coronel, y D. J-isef Espinosa, y de Guerra quedan encargados de Ja. exetu- cuperia…</t>
  </si>
  <si>
    <t>Herspert, Jayme</t>
  </si>
  <si>
    <t>Jayme Herspert</t>
  </si>
  <si>
    <t>bres en lá vefriga-: por nuestra parte mu­ rieron un soldado y algunos paisanos, quedando prisioneros el teniente del regimiento suizo de Winiptíen , D. Jayme Herspert, con un soldado del mismo y otro del de Santiago. Alicante 20 de junio. — Méquinenza se perdió el día 9- — Los franceses lian ocupado á Morella, y dan muestras…</t>
  </si>
  <si>
    <t>Hervey</t>
  </si>
  <si>
    <t>división del general Co? le al pie de Sobral ¿ pero con poco efecto. He sabido con la mayor satisfacción que las tropas portuguesas de la brigada del coronel Hervey, compuesta de los regimientos Q3 y 11 se han distinguido de nuevo en esta ocasión: por desgracia el co­ ronel Hervey ha quedado herido; pero espero que lo haya si…</t>
  </si>
  <si>
    <t>Hesse-Filistal</t>
  </si>
  <si>
    <t>1194</t>
  </si>
  <si>
    <t>M. el Rei de las costas de la Noruega ¿nos 20 baques ingleses, Westfalia se ha dignado manifestar al hijo del y que Los han llevado a puerto seguro. príncipe Hesse-Filistal el sentimiento que le ha causado la pérdida de Una persona tan distinguida. AUSTRIA. Gottinga a o de agosto. Viena 18 de agasto. El dia de ayer fue un dia…</t>
  </si>
  <si>
    <t>Heverden</t>
  </si>
  <si>
    <t>na obligación superior á todas las obli­ á Loadles uo correo despachado de Windsor para gaciones, .á saber: la fidelidad para con el públi­ avisar al doctor Heverden .qae fuese inmediatamen­ co. Si pudiera tenerse esperanza de que esta in­ te á visitar al Rei. El doctor llegó á Windsor á las disposición fuese ligera y de cort…</t>
  </si>
  <si>
    <t>Hevia</t>
  </si>
  <si>
    <t>cuerpo de 800 á 1000 hombres estaba sobre Astorga: dice que hace poner palizadas en todas las-puertas, y que piensa aguardar á pie firme ; nombra al coronel Hevia como comandante de nuestras tropas , y habla bien de nues­ tros húsares. — De la Puebla me avisa el general Taboada, que la visita que ie han hecho los enemigos, le…</t>
  </si>
  <si>
    <t>Hidal, Rodrigo</t>
  </si>
  <si>
    <t>Rodrigo Hidal</t>
  </si>
  <si>
    <t>iaidel corriente, da­ Para el de la aldtaa Ojuelos Altos ysus anexos^ do en Madridejos, S. Má ha mandado se forme en vácadreporel fallechnien-to. de D. Rodrigo Hidal­ la villa de Valdepeñas una compañía de milicia cí­ go*? alhpresbítero D. Joaquín Truxillo. vica de infantería, y ha nombrado para capitán í i , uV;.para- el seg…</t>
  </si>
  <si>
    <t>Hidalgo, Baltasar</t>
  </si>
  <si>
    <t>Baltasar Hidalgo</t>
  </si>
  <si>
    <t>ía ha suscitado en esta ciudad Profundizando todavía mas !a cuestión , ve—&gt; discusiones públicas , qoe el gobierno ha .permui- ríos que el Excmo. Sr. D. Baltasar Hidalgo de do , y cuyo resultado ha sido abolir )á autoridad Cisneros ha recibido gizetas qoe traen la noticia que el. virei tenia en la junta, que se formó mo­ de h…</t>
  </si>
  <si>
    <t>Hidalgo, Ditgo</t>
  </si>
  <si>
    <t>Ditgo Hidalgo</t>
  </si>
  <si>
    <t>rtante ramo se pondrá en el esta­ Tafdlla, D. Ignacio Valcarcel, D. Silvestre de do mas bridante, y entonces los ingenios sevillanos Ib.rra y Gaündo, D. Ditgo Hidalgo, y D. Fran­ recobrarán aquel grado de esplendor y gloria qoe cisco Bucareli, canónigos de esta iglesia catedral; . tanto los distinguieron en otro tiempo* al ma…</t>
  </si>
  <si>
    <t>Hidalgo, Joaquín</t>
  </si>
  <si>
    <t>Joaquín Hidalgo</t>
  </si>
  <si>
    <t>anco , y D. A«nt©nio Morí troya ■; y Whireneircias á D. Litis Ramos , D. Ma­ nuel Saez , ID. Francisco Hidalgo , D. Redro Oniz , D. Manueil Hidalgo , D. Joaquín Hidalgo, D. Francisco Dacosta , D. Fer­ nando Barbolla, IV José CansLo, D. Fernando Teruel, D. José A-mat, IV A*gu¡»tin Amat, D. Pedro Aívarez, y D. Víctor Alvarez. P…</t>
  </si>
  <si>
    <t>Hidalgo, Manueil</t>
  </si>
  <si>
    <t>Manueil Hidalgo</t>
  </si>
  <si>
    <t>da . *D. 'Santiago Blanco , y D. A«nt©nio Morí troya ■; y Whireneircias á D. Litis Ramos , D. Ma­ nuel Saez , ID. Francisco Hidalgo , D. Redro Oniz , D. Manueil Hidalgo , D. Joaquín Hidalgo, D. Francisco Dacosta , D. Fer­ nando Barbolla, IV José CansLo, D. Fernando Teruel, D. José A-mat, IV A*gu¡»tin Amat, D. Pedro Aívarez, y…</t>
  </si>
  <si>
    <t>Hidalgo, Petronila Antonia</t>
  </si>
  <si>
    <t>Petronila Antonia Hidalgo</t>
  </si>
  <si>
    <t>ón y de los habitantes , á quienes habian prome­ A voluntad de los acreedores y testamentarios da tido socorrer. No puede formarse idea cabal del es­ Doña Petronila Antonia Hidalgo, viuda y heredera que tado á que ha quedado redocida Ciudad- Rodrigo; fue de D. Manuel Lázaro Calzadilla, y para el pago de todo está arruinado y …</t>
  </si>
  <si>
    <t>Hidalgo, Rafael</t>
  </si>
  <si>
    <t>Rafael Hidalgo</t>
  </si>
  <si>
    <t>l charse de este incidente, y de sacar de él grandes Diez Zapata, teniente D. Miguel María Borrego; ventajas. otro,, D. Jacinto Sobijana, subteniente D. Rafael Hidalgo , otro ,.D. Hilario Crespo. Núm. Extracto de unos pliegos remitidos Primera compañía de fusileras. Capitán Don al secretario de Estado Mr. Canning por Mr. Joaq…</t>
  </si>
  <si>
    <t>Hidalgo, Santiago</t>
  </si>
  <si>
    <t>Santiago Hidalgo</t>
  </si>
  <si>
    <t>.......... 9 198 ga y media, que linda por oriente cr h Otra en el Sevillar, de 8 fanegas , linde ú majuelo de Josef Ortiz, y á medio lia oriente con D. Santiago Hidalgo............. 290.. 17 6391 con tieria de los herederos de M.itía» Otra en el Albillo, de «na fanega y 10 ce­ Prieto.............. ...........................…</t>
  </si>
  <si>
    <t>Hiera, Pedro</t>
  </si>
  <si>
    <t>Pedro Hiera</t>
  </si>
  <si>
    <t>.....Le....... D. Pedro P.bio Perez Arrieta. D. Gregorio García. B D. Manuel Gaviria.................. 3 a D. Josef Ecbeoique* 4- D. Diego de Castro, D. Pedro Hiera; 5" D. Ramón Pando.... D Higinio Z.zo de Lares D. Josef María Abades. 6.*. D. Ramón Guizabnruaga. 7* D. Francisco María Carneo y Maasb. 9* D. Salvador Palomeque D…</t>
  </si>
  <si>
    <t>Higueras, Froylan González</t>
  </si>
  <si>
    <t>Froylan González Higueras</t>
  </si>
  <si>
    <t>mez de Líafio y varios vecinos de la villa de Aguas-calientes , 2100. D. Juan Gómez de la Puente , vecino de Irapuaío , 100 ; y otros 100 anualmente. D. Froylan González Higueras , de Guanajuato , 2G0. El bachiller D. Juan José Villasusan , 100. Por conducto "del obispo do Oaxaca , de su diócesi, 10,032. D. José Rafael y D. J…</t>
  </si>
  <si>
    <t>Hiidbourghaustn</t>
  </si>
  <si>
    <t>la muerte de S. A. R. el Prin­ han prestado sucesivamente juramento de fidelidad cipe heredero de Suecia. al Emperador en manos de S. £. el almirante conde Hiidbourghaustn 35 de julio. Huesea con las formalidades acostumbradas, y en S. E. Mr. el barón de Kessling, consejero íntimo, seguida se poso el pabellón imperial en luga…</t>
  </si>
  <si>
    <t>Hiii</t>
  </si>
  <si>
    <t>a se verificará sin falta el entierro ,, En virtad de esra orden el infrascrito ha hecho del Príncipe heredero. comparecer ante su presencia y la del gobernador Hiii se han publicado impresas en 10 fojas las Edelcreutz el 29 de junio último á todas las cria­ actas de la última dieta; y entre otras varias cosas APBNDICB A 1A C…</t>
  </si>
  <si>
    <t>Hild, Teresa de Saxonia</t>
  </si>
  <si>
    <t>Teresa de Saxonia Hild</t>
  </si>
  <si>
    <t>ero aunque Ratisbona 8 de octubre. no es difícil adivinar la naturaleza de las opera­ ciones de que se halla encargada esta comisión; sin S. A. R. la princesa Teresa de Saxonia Hild.embargo, en el público no se trasluce nada relati­ burghausen ha liegado hoi á esta ciudad á las tres vo i sus resultados. de la mañana , acomp-ñ…</t>
  </si>
  <si>
    <t>Hildburghauscn, Teresa de Saxonia</t>
  </si>
  <si>
    <t>Teresa de Saxonia Hildburghauscn</t>
  </si>
  <si>
    <t>, como se asegu­ AUSTRIA. raba mucho tiempo hace, sino en Munich. Las ce­ remonias nupciales se verificarán el 27 de este n e?. Vierta 20 de mayo. La princesa Teresa de Saxonia Hildburghauscn se S. A. I. la electora viuda de Cassel, que ha­ puso en camino el 19 de este, y ha llegado ya i bía venido á ver á la Emperatriz su he…</t>
  </si>
  <si>
    <t>Hili</t>
  </si>
  <si>
    <t>Gaceta de Madrid n.º 364</t>
  </si>
  <si>
    <t>eron hechos prisioneros en que defiende á Coimbra, y dexó en Ponte Mur- la moutaña. El enemigo quiso baxar de ella para cella solamente el cuerpo del general Hili. perseguir á nuestras tropas; pero toda la artillería Nuestras avanzadas encontraron el 24 á la re­ ligera de la retagaardia , que había sido colocada taguardia ing…</t>
  </si>
  <si>
    <t>Hill</t>
  </si>
  <si>
    <t>porcelana de Japón y de Mei- mo de coger por los flancos á nuestro exército; ner, la biblioteca y las antigüedades; y luego se pero yo espero que el general Hill, que se halla en volvieron SS. MM. y SS. AA. á Pilnitz por la ori­ Ja actualidad con 16® hombres de tropas, de las lla derecha del Elba. Hoi viene S. Al. I. á comer …</t>
  </si>
  <si>
    <t>ra 5 envió el 31 de julio á Penamacor un destacamento de infantería y caballería á través de las montañas, ai mismo tiempo que ocupaba á Cibreira. El general Hill me da parte de que el primer regimiento de caballería portuguesa manda­ do por el coronel Cristóbal de Costa embistió á una partida de caballería francesa, persigui…</t>
  </si>
  <si>
    <t>e movía con su división, noeftra caballetía se adelantó para observarlo. A consecnenci. de Oerebro y de agosto. la evolncion de Regnier, ba pasado el general Hill La junta nombrada para tratar de la sucesión á á Sacedas, y desde allí conserva so comunicación la corona ha celebrado ya dos setiooes; pero se ig­ con el general C…</t>
  </si>
  <si>
    <t>e 1794. En 179} fuerzas como avarz.n por todas partes. En otra contribuyó macho al paso del Rin, cerca de Neu- carta se dice que el qu.rto cuerpo del general Hill w ed, y en seguida el año de 1796 se encargó del se ha retirado á Sancerdra , á causa de un movi­ exército de Italia,donde se distinguió por la toma miento del cuer…</t>
  </si>
  <si>
    <t>de Boloña. sabemos de cierto bria todo el país hasta el golfo de Saleruo. que aun no está armada. Uua carta escrita por un oficial de la brigada del general Hill , fecha en Castel-Branco á 13 de Aviso. agosto, dice lo siguiente: „Nuestro exército no El ír. D. Juan Bautista Guitart, del consejo de puede lograr mas provisiones …</t>
  </si>
  <si>
    <t>mbal para Leiria, cer­ ca de cuya ciudad llegó toda ella el 3 del corriente y hi­ zo ayer alto, quedando los puestos avanzados en Pombal. El teniente general Hill se retiró con el cuerpo de su mando por el camino de E-piñal sobre Thomar, adonde llegó ayer. La vanguardia del enemigo llegó ayer á Rediña é hizo por la tarde retr…</t>
  </si>
  <si>
    <t>halla inmediatamente baxo mis órde­ nes, fué cubierto por la caballería británica a las de Sir Stapf-etéii Cotton f y él movimiento dedas tropas del general Hill-: fué^protegido por'tar[caballeríá portuguesa, y! por él* regimien-r * to británicode dragones.ligeros, aquella y esté al mando del mariscal general Fanc. — La cabal…</t>
  </si>
  <si>
    <t>HilL</t>
  </si>
  <si>
    <t>Gaceta de Madrid n.º 332</t>
  </si>
  <si>
    <t>instrucciones positivas y do en frente de él. La división del general Junot mui curiosas sobre una parte del mundo que ape­ está al frente de.la del general HilL en Villafranca. nas es conocida. Eu un diario ingles se acaba de Esperamos de un instante á otro una batalla : los publicar una carta en la que se da noticia de b fr…</t>
  </si>
  <si>
    <t>Hinojos, Mariano</t>
  </si>
  <si>
    <t>Mariano Hinojos</t>
  </si>
  <si>
    <t>acciones de á i® reales cada uno, y ademas ^ pesos en efectivo. D. Francisco Velasco , oficial i.° de la secretaría de ía comandan­ cia general, 25. D. Mariano Hinojos, tercero, 25. D. Pedro Simón del Campo, quarto, 50. D. Joaquín Palou , archivero, 15. D. Francisco Garavilla , escribiente, 10. D. Julián Zubia, idem, 10. El a…</t>
  </si>
  <si>
    <t>Hislop</t>
  </si>
  <si>
    <t>dieres generales Harcourt, Barrovv , Maclean, Skinnder y Wale, se formaron en dos divisiones y una reser­ va : la primera estaba mandada por el mayor general Hislop, la segunda por el brigadier general Harcourt. Habiendo avanzado la reserva el dia 30, las tropas francesas que aparentaban querer defender las alturas de Olot y …</t>
  </si>
  <si>
    <t>Hiux</t>
  </si>
  <si>
    <t>ve también que él archi­ duque Cárlos ba sido ea todo tiempo opuesto á la Amsterdan 14 de junio. guerra , y que ha estorbado por dos veces el tom- El teniente coronel Hiux, comandante de los pimiento entre las dos naciones. baques de S. M. apostados en el Ems, habiendo observado que el 4 de este mes dos cúters enemi­ ALEMANIA…</t>
  </si>
  <si>
    <t>HnertaLy, DVíihing Joiejf</t>
  </si>
  <si>
    <t>DVíihing Joiejf HnertaLy</t>
  </si>
  <si>
    <t>IOOplazas. ART. 11. Para k tormacion de estas qqmpapías Capí rao, D. DippifiOfMe^ía.: ^ : X&gt; concurrirán los pueblos cón el púrnerV &amp;e "indMTeniente, D. DVíihing^ Joiejf HnertaLy duos’-qrie segnn sn,'población se liaya. aijígnado á SubtcQÍ&gt;.n^,f.p. Juiia« ti^ I^rcdes. ,. , &gt; cada uno. ' 11 ‘ '...... ... Campañífi de CptUruíi^…</t>
  </si>
  <si>
    <t>Hnmbold</t>
  </si>
  <si>
    <t>mentaren nombre de S.M. el Reí de Suecia ai Emperador Napoleón por su Berlín as&gt; df abril. matrimonio, y al día siguiente se puso en camino, El señor consejero Hnmbold acaba de presen­ llevando en su compañía al conde Fabián Wrede, tar á S. M. un plan general de instrucción pública, su hijo mayor, y edecán al servicio de Suec…</t>
  </si>
  <si>
    <t>Hocbberg</t>
  </si>
  <si>
    <t>l regi­ Util años después del reinado de Cario-M.,gao miento del gran duque heredero, y el 19 el del manda acuñar una nueva medalla con esta inscrip­ conde Hocbberg, y el cuerpo de artillería. Todas ción memorable RenoV.it ío itftyerii. Qu i'nJo Car­ estás tropas van á Carisrube por Pforzhsim. io-Magno trasladó la dignidad ro…</t>
  </si>
  <si>
    <t>Hohenla</t>
  </si>
  <si>
    <t>mui estimado en el exército, y se división se trasladara á Manhelm. había hallado en todas las campañas de Italia con Se sabe que el contingente del príncipe Hohenla legión polaca, zollera-Sígmaringen hace parte de la división ale­ Eos comisionados del gobierno del grao ducado mana del general Rouyer, coa la qual marcha á rec…</t>
  </si>
  <si>
    <t>Hohenlohe-Barteinstein</t>
  </si>
  <si>
    <t>vios, que podrán ser mui útiles á los Hungría. Comandante en gefe el teniente ge­ intereses de aquella potencia. neral Alvina. Generales de división: Príncipe Hohenlohe-Barteinstein , Clari , Hesse-Hombourg, AUSTRIA. Albert, Giulai, Frimnot, Bianchi, Cheizeai, Radezki. Brigadieres: Antonio Hardegg, Schmetzer, Vierta z de ¡uni…</t>
  </si>
  <si>
    <t>Holanda, Josef Gon-v</t>
  </si>
  <si>
    <t>Josef Gon-v Holanda</t>
  </si>
  <si>
    <t>desde cuyo el regimiento 4.0 de cazadores á caballo capitán á dia se quitará, y será líbre la comunicación de la D. Ramiro Bobadilla ; subteniente'! D. Josef Gon-v Holanda con el imperio. zalez ,&lt; y cirujano á D. Antonio Ronda. En el re­ art. X. Los géneros coloniales que se encuen­ gimiento de Castilla, i.° de infantería Jig…</t>
  </si>
  <si>
    <t>Holst</t>
  </si>
  <si>
    <t>los gastos del viage. con los habitantes de los países que están baxo la protección de la Francia. SUECIA. GRAN BRETAÑA. Estockolmo 17 de julio. . El teniente coronel Holst ha ido á Sleswicti Londres a o de julio. con una carta de nuestro Soberano para el duque Extracto de una carta del general Armstrong al de Augusremburgo, …</t>
  </si>
  <si>
    <t>ancia. que están las de las otras potencias de Europa, y S. A. R. ha hecho ayodante suyo al teniente acabar de este modo con la dominación de ios ge— coronel Holst, que lo era también de S. A. el prín­ nízaros. cipe Carlos Augusto. Con este objeto dió órden el gran Señor para Esta tarde es la última ópera de la corte, y que v…</t>
  </si>
  <si>
    <t>Horcasits, Francisco de Patria</t>
  </si>
  <si>
    <t>Francisco de Patria Horcasits</t>
  </si>
  <si>
    <t>capitán D. Juan Diaz de Arelíano , ayudante de los esqu&amp;drones de cazadores de las montañas de Córdoba, á D= Félix Ramo» ayudante del de Farnesio, b D. Francisco de Patria Horcasits.?, teniente del de caballería del Rey, y b D. Antonio Brito Godins, ayudante del mismo de perseguidores; ayundantía al teniente D. Juan Sevillano…</t>
  </si>
  <si>
    <t>Hore, Vicente</t>
  </si>
  <si>
    <t>Vicente Hore</t>
  </si>
  <si>
    <t>968</t>
  </si>
  <si>
    <t>o pa­ garles, hasta fin de setiembre, siempre que se conformen con recibir cédulas hipotecarias, las quales en la actualidad pier­ den el 94 por 100. D. Vicente Hore está nombrado comisario regio de Tole­ do,.y por mas que ha hecho para eximirse del nombramien­ to, no se le han admitido sus excusas. Se asegura por muy positiv…</t>
  </si>
  <si>
    <t>Horna, José</t>
  </si>
  <si>
    <t>José Horna</t>
  </si>
  <si>
    <t>. D. Rafael Lara, 5. D Rafael Sánchez A varez, 12. V^ios individuos, 63. — Cuencamé. El subdelegado D. José María Du­ ran., 50. D. José Esparza, 100. D. José Horna, 6. D. Juan Bautista Bonifaq, 5. D. José Joaquín Lugo, 5. D. Julián Rivas, 5. Manuel Frayre, 5. D. Vicente Valdes, 10. Silverio Fabela, 10 Antonio Abad y Nungaray,…</t>
  </si>
  <si>
    <t>Hornero, Tomas</t>
  </si>
  <si>
    <t>Tomas Hornero</t>
  </si>
  <si>
    <t>simulacro de gobierno. Da lástima ver los encargada de la formación é inspección de esta co­ desertores que llegan, y que ellos mismos se han legio á D. Tomas Hornero, cura .párroco de Alma­ presentado á S. M-; esquálidos, desnudos, sin za­ gro, al gobernador D. Ignito Siria, y al alcalde patos ni camisas, parecen unos espect…</t>
  </si>
  <si>
    <t>Hortensia</t>
  </si>
  <si>
    <t>sejo municipal, y de todas las autoridades de Pa­ na de España ; la princesa Hortensia , Reina deHorís. El prefecto cumplimentará á SS. MtVL * quie­ -—lauda; la princesa -Catalina, Reina ¿Te Westfidia; nes en seguida harán ni. entrada en la capital. Las la princesa Elisa, gran</t>
  </si>
  <si>
    <t>Hotenido</t>
  </si>
  <si>
    <t>de América pliegos clases le han hecho presentándole sus obras. del Sr. Jackson; todavía no se sabe nada de su con­ El 25 pasaron por Nanci S. A. el príncipe Hotenido. Un buque mercante de Liverpool ha traí­ henzolern , que iba de París á Sigmariagen , y el do estos pliegos dirigidos á una casa de comercio Señor conde de Pape…</t>
  </si>
  <si>
    <t>Houston</t>
  </si>
  <si>
    <t>s. También llegó ayer ana mala de Gottenburgo; pero no ha traido ninguna noticia importante. SAXONIA. El bergantín de guerra S. Pedro, mandado por el capitán Houston, llegó el sábado ¿ Pousmouth. Leipsick 24 de junio. con pliegos del gobernador de la Guadalupe, los La Alemania literaria acaba de tener una nueva quales fueron …</t>
  </si>
  <si>
    <t>Htf, Eustaijiiio</t>
  </si>
  <si>
    <t>Eustaijiiio Htf</t>
  </si>
  <si>
    <t>ílgmtá di d^oJpldítas. C pítan,, &gt;--■ i—kÍc2"s •ss&lt;jSpttanSi:Di: Juáti ■&lt;^d’érí.^ &lt; smeinsit’! 2 Teniente,.D. Josef Adrián Grifeía. , ' 1 ' Teniente, D. Eustaijiiio Htf.anz. &lt; s7tr. . , S u óteñiériiS'f.D. Fé ix RódrigiAfe; V“1 Sübtéuicnte, D. Josef áe fá 'PláM.' **“ ' J ^ . ' ‘''X |, Xí * * ' , . ) Componía de^Pezuelas^fp'ji…</t>
  </si>
  <si>
    <t>Htfnric</t>
  </si>
  <si>
    <t>' IMPERIO FRANGES. Eerlin j&gt; de diciembre. Roma Sf de diciembre. Ayer tuvimos la satisfacción de ver entrar al Por decreto de 7 de qoviembre S. M. ei príncipe Htfnric]ae, hermano dei Retí 5. A. R. sa­ Emperador y Rui ha prorogadó hasta el 1.* do lió de Kouigsberg el i.° de este mes. Luego que abril de t8xo la consulta extraor…</t>
  </si>
  <si>
    <t>Htíarior</t>
  </si>
  <si>
    <t>rgete de d 50 plazas^. -•■'• Compañía de.perfeWlUt’di d'&lt;¡$OtplMpiit\í - .&lt;J. '7 4^LQ.0^í&gt;l*.X/ f • ^d:'v,fcLbl¿¿ lituí ,(l , 91h3Ítfí&gt;KÍ;l¿ Capitán, D. Htíarior.T^pez si tij ,-1 Capitán, D. J^sef Martin&gt; Teniente , D G andío G ilan. ’-¿ .vMüS**:.».D- CiiVSiW^teíIR?Í* -Vi 5:ju.r,;vXj . ■ Subtínlénte ^ Dá’Manbé*. RódrigietGall…</t>
  </si>
  <si>
    <t>HtldhuighoUAUSTRIA, Teresa de Saxonia</t>
  </si>
  <si>
    <t>Teresa de Saxonia HtldhuighoUAUSTRIA</t>
  </si>
  <si>
    <t>ación de calidad de embaucador extraordinario de S. M., ha las municiones de guerra. i pedido ya con todas las solemnidades de estilo la ma­ co de la princesa Teresa de Saxonia HtldhuighoUAUSTRIA. sen en nombre del Reí y del Príncipe Real , y s* ha vuelto á Munich después de haber obtenido el Viena 12 de julio. consentimiento…</t>
  </si>
  <si>
    <t>Htller</t>
  </si>
  <si>
    <t>an .G'exvasi íe ,b&lt;* pbr.tado también de la Crimea y Esclavonia al general Símbschen, perfectamente e^n ljt ,marina de yjfyon^tiy el de la Croacia al general Htller. En la ácitiia- Donde quiera qu£ $5 .¿a'presentado el enemigo lidad hai 14 feld-mariscales austríacos. El número ha encontrado lá .mijsmá «P Ib? hanít^nde regimie…</t>
  </si>
  <si>
    <t>Huarte, Francisco</t>
  </si>
  <si>
    <t>Francisco Huarte</t>
  </si>
  <si>
    <t>av&amp;la, D. Melchor Sil­ vestre , y D. Nicolás Verdejo ; á capitanes, los tenientes D. An­ drés Rodríguez, D. Félix de Toda, D. Juan Pablo Sebastian, y D. Francisco Huarte; á tenientes , los subtenientes D. Francis­ co Ramírez , D. Ramón Mateo, D. Valentín Ampudia , D. José Ampudia, D. Tomas de Benavides , D. Manuel Albo, D. Mi…</t>
  </si>
  <si>
    <t>Hubsch</t>
  </si>
  <si>
    <t>n Pomóranía y en Ragen, y las que lleguen en lo sucesivo yen qua’Constantinopla 10 de mayo. quiera embarcación, y baxo qntlquier pabel.on El hija del barón Hubsch, que hace algüo que sea. tiempo se hallaba en esta capital» adonde había ve­ Se prohíbe asimismo la exportación de todo nido desde Petersbut^Oi ha salido-para Bucha…</t>
  </si>
  <si>
    <t>Hüc, Cayetano</t>
  </si>
  <si>
    <t>Cayetano Hüc</t>
  </si>
  <si>
    <t>abuela , zoco. Doña María Josefa Ge i cochea y Melendez, 120. Marques de Astorga, 1500. Micheo, padre c hijo, 15CO. Doña Vicenta Velásco de Hue, 150. D. Cayetano Hüc,- I50. D. Tomas Ravina, 1000. D. Bernardo Nueve-Iglesias, 7C0. D. Amonio Suris , 400. D. Sebastian Antonio Garnica, 5C0. D. Juan</t>
  </si>
  <si>
    <t>Huelen, Enrique</t>
  </si>
  <si>
    <t>Enrique Huelen</t>
  </si>
  <si>
    <t>ric ; ayudantes, á D. Diego Zapata y D. J¡ a i Diestre; tenencias, á D. Fernando de Prado, D. Manuel Sa­ ladar, D. Félix Aznar , D. Dionisio Angulo , D. Enrique Huelen, D. Agustín Cabrera, D. Manuel Ibarroia , D. Gregorio Arroyo, D. JuanMuguiro , D. Ramón Sánchez , D. José Goyti, D. Domingo Angulo , D. Andrés Martínez y D. An…</t>
  </si>
  <si>
    <t>Huessen</t>
  </si>
  <si>
    <t>i*, y los catálogos de la feria ofrecen un nuestra.esquadra: el dia 28 del mes último enar— buen número de ellos, en que los héroes y princi­ bolo el conde Huessen su pabellón de almirante pales personages suelen ser ladrones, hechiceros y á bordo del Real Holandés de 90 cañones; v el bruxas. Entre las piezas dramáticas no ha…</t>
  </si>
  <si>
    <t>Huevas, Manuel Antonio García</t>
  </si>
  <si>
    <t>Manuel Antonio García Huevas</t>
  </si>
  <si>
    <t>ino Fernandez para el de Zorita de este rrécodo. Ha mandado que se le interinase de los Canes. Ir* obstáculo* que en algunos distritos pudieran to­ A D. Manuel Antonio García Huevas para el davía oponerse á sus progresos, ó retardarlos, y ha de Magan. visto que, «tos obstacuos consistían piincipdimen- A L). Nicolás María Dávi…</t>
  </si>
  <si>
    <t>Hugo</t>
  </si>
  <si>
    <t>te de garrote, llevando al suplicio pendiente disi su vanguardia , retaguardia y flancos. En este es­ cuello uu rótulo: Por asesino y ladrón. tado el coronel Hugo , conociendo que no podía contar con ningún socorro , y que seria forzado en qualquier posición por falta de municiones, tomó nota. En la gaze'a del lunes 21 del co…</t>
  </si>
  <si>
    <t>ña , hizo prisionero en aquel mismo dia á un comi­ Para la de Sorbilan y Polopos al ex-dominico sario de guerra enemigo. D. Francisco V'elazquez. El general Hugo ha dado parte desde Sigiienza ' Para la de Gualchos al ex-franciscano obser­ de la buena conducta de los regimientos Real Ex— vante D. Miguel de Torres. trangero, Re…</t>
  </si>
  <si>
    <t>ncha, que ha pere­ cido á manos de las guerrillas. El 17 había llegado huyendo y despavorido el comandante francés de Tarancon. También ha llegado el general Hugo, gobernador de Sigíienza, donde no ha podido resistir al Empecinado: van llegando los restos de las tropas que mandaba en el-estado mas miserable : su derrota ha si…</t>
  </si>
  <si>
    <t>mas de 20 dias que la aguar­ dan. — Se continua hablando del viage de José á Sevilla, pero nadie lo cree.. El 22 volvió á salir para Guadalaxara el: general Hugo con ^©Ó hombres.—Ayer mañana entraron por la puerta de Al­ cali 200 hombres muy fatigados ; y anoche salieron por la misma unos 100 caballos y 400 infantes entre fra…</t>
  </si>
  <si>
    <t>de retirarse y acercarse á Lisboa, donde tomará una nueva fuer- Madrid 1J de setiembre. le posiciony en la qual aguardará al enemigo. Su ■ ' El señor general Hugo habiendo sabido que el «eñoría supone que el enemigo ha de seguirlo y gefe de guerrilla el Empecinado habia ido hacia atacarlo. Cifuentes con 2 ó 3® hombres compues…</t>
  </si>
  <si>
    <t>de Cádiz se.adelantan con Ja mayor actividad. Están prontas para jugar las baterías, de morteros y cañones, dirigidas sobre la población (1). á i¡ El general Hugo entró el 29 de junio en Siguenza; Pocos (1) $ Desde dónde ? Los de Cádiz no lo sabemos, ni los franceses tampoco; y para estatnpar semejante despropósito, es menest…</t>
  </si>
  <si>
    <t>1288</t>
  </si>
  <si>
    <t>lidad ó el- fanatismo pueden expli­ brigada de las tropas francesas y españolas al man­ car unos proyectos tan ruinosos como destituidos do del mismo general Hugo f advirtió este desde de esperanza. Pero en los mas prevalece ciertamen­ la capilla inmediata á la villa, donde tomó posi­ te un egoísmo mal entendido; ellos, creye…</t>
  </si>
  <si>
    <t>o ministro de HaESPAÑA. deuda , Hemos decretado y decretamos lo siguiente: Madrid /p de octubre. articulo i. ,,Para asistir mensnalmente ála £1 señor general Hugo, que observaba los mo­ cancelación de cédalas hipotecarias, vales reales y vimientos del Empecinado, con la mira de sorpre- cédulas de caxa de descuentos , prevenid…</t>
  </si>
  <si>
    <t>desfigurado éste suceso con la desver­ güenza que acostumbran. La gázeta de Madrid del 17 refie­ re la acción de Cifuentes; y después de decir que el general Hugo con 900 infantes y 250fcabailos habia roto y ahuyen­ tado k 2 ó 3000 hombres del Empecinádq auxiliados de un gran número de paisanos, déxando el cahipo de batalla c…</t>
  </si>
  <si>
    <t>868</t>
  </si>
  <si>
    <t>exacciones de igual especie, y recoger al paso las contri­ buciones. Sa ha reparado que en la orden comunicada á estos comi­ sionados se dice que el general Hugo debe replegarse á Madrid desde Guadalaxara. Ayer y anteayer entraron de aquella par­ te varios carros de heridos; y han tomado el partido de sacar efectos de hospita…</t>
  </si>
  <si>
    <t>» ea se­ de los Templarios tiene algunos defectos; pero no mejantes casos las leyes de la guerra. por esto temen que con ellos gueden obscurecidas El general Hugo va persiguiendo al Empeci­ sus muchas prendas, asi como no han. perjudicado . nado, y espera alcanzar sobre él nuevas ventajas. para la' favorable acogida con que e…</t>
  </si>
  <si>
    <t>HUI</t>
  </si>
  <si>
    <t>egimiento sas de la familia pasaron á la h-biracion de S. M. 14.0 de dragones ligeros es uno de los muertos. el Emperador pura felicitar á S. M. ,,E1 general HUI ha salido con su división de A medio dia pasó el Emperador al salón del Portalegre para C.istelbranco. Esta división se trono, y el primer gentilhombre introduzco pr…</t>
  </si>
  <si>
    <t>Hannóver, sien­ el general Coles estaba con la segunda división en do mariscal del imperio. El año siguiente contri­ Guarda, adonde se encaminaba el general HUI buyó mucho con sus marchas forzadas á las victo­ con la quarta ; y cotonees veremos que es posible rias de Ulma y de Austerlitz. En 1806 ei Empe­ que el autor de la c…</t>
  </si>
  <si>
    <t>es. Lord Wellington manda los D. Nicolás Tayaore, á D. Pedro Muñoz, cura 240 , en tos quaies está comprehcndida la división propio de la Viñuela. del general HUI. Los otroá 40 están en Tomar á Para el de la parroquial de Jubrique, vacante las órdenes del general Leith, á excepción de nn por fallecimiento de D. Alonso García, …</t>
  </si>
  <si>
    <t>BRE DE 1810. PORTUGAL. Lisboa 21 de noviembre. Los franceses han tomado pcoi * cion en Santaren. Lord Wellinglon los sigue con tedas ?‘ís fuerzas. El general HUI, que bebía pasado el Tajo, lo vuel­ ve á pasar para juntarse con Wcllington. El general Fane en­ tró en Ábranles con su división para coger por el flanco á los franc…</t>
  </si>
  <si>
    <t>Huici, MAriin Antonio</t>
  </si>
  <si>
    <t>MAriin Antonio Huici</t>
  </si>
  <si>
    <t>erran......... ................ . 48',3 D. Ped'o Al áruara Tbañcz................... 2 543 7 D. Miguel Castellanos........................... 1624 37 D. MAriin Antonio Huici...................... 19862 17 D. Bernardo Iriarte............................... I7:4 ““-&gt;ia D Francisco Mugan................................ 945 D. Jo…</t>
  </si>
  <si>
    <t>Huídobro, Ventura Ruiz</t>
  </si>
  <si>
    <t>Ventura Ruiz Huídobro</t>
  </si>
  <si>
    <t>concluyen­ D. Ignacio de Cáceres. do seis carrozas , cuyas caxas serán todas de cris­ Secretarios. tal. En el mismo día se distribuirán al pueb'o en D. Ventura Ruiz Huídobro. los campos Elíseos 144 pipas de vino, 63 raciones El conde' de VilL-Pineda. de comestibles y 63 panes. ,,Los individuos comprefcendido* en esta nó­ Det …</t>
  </si>
  <si>
    <t>Huidonuevos, Ventura Ruiz</t>
  </si>
  <si>
    <t>Ventura Ruiz Huidonuevos</t>
  </si>
  <si>
    <t>ércitos, edecán de S. M., y da ; á D. Antonio Hunbert y Muñoz , veintiquatro encargado privativamente de la organización de los de ia misma ciudad; á D. Ventura Ruiz Huidonuevos cuerpos militares españoles &amp;c. &amp;c. 8cc. bro, teniente coronel retirado; á D. JosefMotezu-: ma, mariscal de campo de los reales exércitos; í Málaga $…</t>
  </si>
  <si>
    <t>Hulas</t>
  </si>
  <si>
    <t>e pública ñxó so­ Al principio del mes de julio ocupaba á Trillo lamente toda su atención, y solo tuvo presentes añade las partidas mas numerosas: el general Hulas desgracias qne llevaría consigo una supresión ;o con parte de sa brigada le presentó b,talla ; y Íejos . total del pago de.los intereses que se deben de mas de adm…</t>
  </si>
  <si>
    <t>Humbert</t>
  </si>
  <si>
    <t>Es el general Sarrazin, segundo comandante de las tropas francesas acantonadas en Boloña, el mismo qüe en «1 año de 1798, sirviendo a las órdenes del general Humbert* desembarcó en la bahía de Bantry en Irlanda. El 12 llegó a Londres Sarrazin , acompañado del mensagero Shaw que ha­ bía ido á buscarlo. El negro es criado suyo,…</t>
  </si>
  <si>
    <t>Hume, Andrés</t>
  </si>
  <si>
    <t>Andrés Hume</t>
  </si>
  <si>
    <t>z...................... 49210 acciones y réditos................................. a/ipSS"1® D. Domingo Torrecilla.......................... 27525.-22 D. Andrés Hume, por id- id................ 95Ó42-*23 D. Joaquín de Eguiarreta, patrono y D. Juan Hume, por id. Id............ . 32ii4-.a6 poseedor de la memoria que fundó D. Fru…</t>
  </si>
  <si>
    <t>Hume, Juan</t>
  </si>
  <si>
    <t>Juan Hume</t>
  </si>
  <si>
    <t>1® D. Domingo Torrecilla.......................... 27525.-22 D. Andrés Hume, por id- id................ 95Ó42-*23 D. Joaquín de Eguiarreta, patrono y D. Juan Hume, por id. Id............ . 32ii4-.a6 poseedor de la memoria que fundó D. Frutos Alvaro Benito, por rs. vn... 150000 Doña Paula María de Garibai......... ; 2922..13 .…</t>
  </si>
  <si>
    <t>Hun't</t>
  </si>
  <si>
    <t>ado á luz 'madama Hacienda cometido dicho dia, y participó de sn la princesa de VV^gram y de Nenfchatel., producto. La corbeta americana el 'Hornee-, capitán Hun't, En fio, sin haber conseguido diese idea de los procedente de la Lia de Wight, ha fondeado el logares donde estuvo hasta últimos de mayo, por­ 24 en la rada del H^…</t>
  </si>
  <si>
    <t>HUNGRIA</t>
  </si>
  <si>
    <t>á esta capital S. A. la prin­ con roí anclado cerca de Seierdea. cesa Teresa de Hiídbourgbausen tn compañía de sos augustos padres y de su hermana ia princesa HUNGRIA. Luisa. SS. AA. fueron recibidos con toda ostenta­ Presburgo £ de octubre. ción por nuestros Soberanos y por toda ia corte. El Reí ha recibido quatro grandes cr…</t>
  </si>
  <si>
    <t>Hunt'ries</t>
  </si>
  <si>
    <t>ni ventajosa en las in­ se ha vendido'un carnero merino de singular belle­ mediaciones de Rudstuk, y que el exército turco za en 1© pesos fuertes. El coronel Hunt'ries ha está ya tan distante de esta fortaleza, que no pue­ vendido dos carneros y dos ovejas de la misma es­ de cener comunicación con ella. El bloqueo de pecie en…</t>
  </si>
  <si>
    <t>Hunt, Arthuro</t>
  </si>
  <si>
    <t>Arthuro Hunt</t>
  </si>
  <si>
    <t>io Gordon, 400 rs. vn. El Sr. D. Jorge Brittain, 1000. Ei Sr. marques de Pedroso , 320. La Sra. Doña' María Dolores Morphy de Izquierdo , 400. El Sr. D. Arthuro Hunt, del real cuerpo de artillería de S. M. B. , 200. EL, Sr. D. A. D,, 100 El Excmo, Sr, D. Teodoro José de Piñeiro , encargado de negocios de Portugal, 3000. El Sr…</t>
  </si>
  <si>
    <t>Huret</t>
  </si>
  <si>
    <t>, el casó se descubren mal y mas lasque no habían Cazador y él Ciervo volante? '•• asomado. En el segundo se ocultan las que se veían. Ei Rodear, su capitán Huret, ha apresado tam­ Si se concibe ana estrada en la prolongación del bién el briek. inglés Jorge, su capitán Luk.irrei, con exe de la tierra, estará siempre á una mis…</t>
  </si>
  <si>
    <t>Hurla, Francisco Sánchez</t>
  </si>
  <si>
    <t>Francisco Sánchez Hurla</t>
  </si>
  <si>
    <t>unos estadales...... 4&amp; 990 Otra camino de Segovia , á mano dere­ Otra camino de Fueniabrada, linde tier­ cha* junio á otra del cabildo de San­ ra de D. Francisco Sánchez Hurla­ to Domingo , de 736 estadales......... 7* iss4 ' do, de 148 estadales...!.;...... .......... . 9 198 Otra mas acá de Valdemoro» y vereda Otra que lin…</t>
  </si>
  <si>
    <t>Hurtado, Antonio</t>
  </si>
  <si>
    <t>Antonio Hurtado</t>
  </si>
  <si>
    <t>tero ex-regolar. se'víveres. Para el de la de Sayalonga, vacante por muer­ Las cartas particulares mas recientes son del te de D. Alonso Santiago, á D. Antonio Hurtado, 21 de agosto. Una de ellas dice que lord WeUing- presbítero. ton había hecho un movimiento y puesto su quar- Para el de la iglesia parroquial de la ciudad da …</t>
  </si>
  <si>
    <t>Hutz</t>
  </si>
  <si>
    <t>y les hacemos saber que en un tratado ajas** nos del real cuerpo de cadetes , baxo la dirección tado ea París á 20 áe may o con S. A. R. el gran del capitán Hutz y’dfet primer teniente Vocgler. duque de Wyrtzburgo , hemos convenido en qne Después de haber examinado lo que hai de mas las fronteras de nuestros estados queden fi…</t>
  </si>
  <si>
    <t>I'iy</t>
  </si>
  <si>
    <t>Luego que llegó á esta ciudad la noticia dél Berna. S. E: el landamanrr de la Suiza, dipu­ desembarco » se puso en marcha el coronel Falloi* tado. EL consejero I'iy li^r óe CerUer. , consejero con el segundo batallón deJL. contingente para salir de diputación ; el consejero Mutach , id. al encuentro de los ingleses, quienes p…</t>
  </si>
  <si>
    <t>I, Constantino</t>
  </si>
  <si>
    <t>Constantino I</t>
  </si>
  <si>
    <t>do. Respuesta de D. Benito Soler, cónsul de S. M. él señor D. Fernando vh en Smirnci, al pretendido encargado de negocios de España en Constantinopla D. Constantino I&gt;eval. cc Muy señor mió: amor y fidelidad constante á nuestro rey Don Fernando vii (que Dios guarde ) , al gobierno que lo representa y á la patria hasta sacrifi…</t>
  </si>
  <si>
    <t>I, Jaymc</t>
  </si>
  <si>
    <t>Jaymc I</t>
  </si>
  <si>
    <t>ulta al cadete D. Diego Herrera. ____ _______ __________ r Discurso sobre ía constitución que dio al rey no de Valencia m invicto conquistador el Sr. D. Jaymc I: por D. Francisco Borruil y Vilanova, electo diputado de córtcs por dicho rey no. — En esta sabia y prudente constitución se marcaron tan perfectamente its límites de…</t>
  </si>
  <si>
    <t>I, Jayme</t>
  </si>
  <si>
    <t>Jayme I</t>
  </si>
  <si>
    <t>. D. José Aznarez, diputado'suplente por el reyno de Aragón. Discurso sobre la cansritircion que dió al reyno de Vra!enc'*á su in­ victo conq untador D Jayme I; por D. Francisco Birruli y Váanova, diputado de Corees por dicho reyno. En !eíta sabia y• prudence ccnotitucion se marcaron tan perfectamente Lk límites d~l 'poder so…</t>
  </si>
  <si>
    <t>I, José Ignacio</t>
  </si>
  <si>
    <t>José Ignacio I</t>
  </si>
  <si>
    <t>90 7 suficiente que acredite su 'perlsiYeiicfo, en ?a ca-«a '•roTÚsionado espacial del propio banco en esta ciudad D. José Ignacio I i ciar­ te, calle de 8. José, esquina á la de S. Pedro , número 49 &gt; desde ei -d¿a siguiente á ia pubúcaciou de este aviso hssta ei día 23 dei citado mes de junio inclusive , concurriendo al efe…</t>
  </si>
  <si>
    <t>I, Josef</t>
  </si>
  <si>
    <t>Josef I</t>
  </si>
  <si>
    <t>reales vellón. „La re igion, que nos manda respetar y obede* cer á nuestro Soberano, nos manda al mismo tiem­ TEATROS. po amarle tiernamente. El Sr. D. Josef I está cons­ En el del Príncipe, á las siete j Inedia de la roclie, tituido entre nojocros v el Ser supremo para ser el se representará por la compañía española la comed…</t>
  </si>
  <si>
    <t>alcasal art. v. Igualmente pertenecerán á la lista ci­ Entre varios decretos- del REI nuestro Seftor vil* y serán administrados por el mismo superin­ D. Josef I» publicados en el Correo política y mili­ tendente general de nuestra real casa, los edificios, tar de esta ciud i") y que contienen varias dispo­ huertas ó tierras q…</t>
  </si>
  <si>
    <t>I, Josef Luis Sape</t>
  </si>
  <si>
    <t>Josef Luis Sape I</t>
  </si>
  <si>
    <t>P 163800 D. Antonio Pedas.,............ 165582 28 D. Antonio Alvit[ez,i&lt;&gt;.-.„,..A........... 90720 B.Osbntl 9866 10* 15. Lntrda............... .439*9 D. Josef Luis Sape 6255I i2f; DoñaMargarita.JáuregUi^-.,............ 46080 D. Pedro Ponte................... 6095 .. Doña Mafia Teresa..Montero. d« la P. Miguel Herrero ■ ««•«•i…</t>
  </si>
  <si>
    <t>I, Josef Napoleón</t>
  </si>
  <si>
    <t>Josef Napoleón I</t>
  </si>
  <si>
    <t>s arrimados, me vengan á dar .parte , para de. este pueblos á someterse gustosamente al digno monar­ modo.evitar todo cargamento, y cumplir con la ca D. Josef Napoleón I, que felizmente nos go­ mayor exactitud las órdenes de V. A. Todo lo bierna , para que cesen de una vez los males, y qual pongo en la alta consideracionyde V…</t>
  </si>
  <si>
    <t>I, Napoleón</t>
  </si>
  <si>
    <t>Napoleón I</t>
  </si>
  <si>
    <t>las consideraciones que este se merece del co­ mún de la nación, indicando algunas reflexiones sobre la actual guerra con Francia, ó mas bien con su emperador Napoleón I. Por D. José María de Lezpona: se vende, á 4 rs. en la librería de Roselló, calle de Génova. P. S.. Acabamos de recibir papeles ingleses hasta 17 de diciembY…</t>
  </si>
  <si>
    <t>I-I, José</t>
  </si>
  <si>
    <t>José I-I</t>
  </si>
  <si>
    <t>ller D. Francisco Barros , vecino de Sib o, ofrece por diez años el rédito de una capellanía de 1® pesos que tiene en Valladolid, y renta al año 200. D. José I-I»rrera y del Campo, asentista de medi­ cinas del hospital de Perote , 100, El -contador ie la dirección de alcabalas D José Mariano de Arce, 100. D. Ildefonso Aivarez…</t>
  </si>
  <si>
    <t>Ib, Miguel Antonio</t>
  </si>
  <si>
    <t>Miguel Antonio Ib</t>
  </si>
  <si>
    <t>D. Fcrmin Aifaro................... D. Juan Armando ‘Düjardín. D. Manuel CarriJo....................................... ............................ D. Miguel Antonio Ib.ruz.......... .............. .V.J..... ..y..........'. D. Luis Babich. ........................... ....... .............. D. Manuel de Ulibarrí. ............…</t>
  </si>
  <si>
    <t>Iba, Josef Solaegui-é</t>
  </si>
  <si>
    <t>Josef Solaegui-é Iba</t>
  </si>
  <si>
    <t>rnardino Gonzalez+'dé S. Ba- ’’ - D. Juan Francisco-Casero, ¡dvtr¡ri¡-! ■;--'[ -** sillo......... ...............* 44000 ' tirio calzado...w»v.iv.v,- D. Josef Solaegui-é Iba»ra- de ca— ' D. Pidfo Giraad-de *ViHet-eu4Vv..v.;d{-'* -1860■':: puchinos.,.............................. 44000'El patronato de-D.-Rodrigo de-Ah~--:.....…</t>
  </si>
  <si>
    <t>Ibaceta, Ji-sef</t>
  </si>
  <si>
    <t>Ji-sef Ibaceta</t>
  </si>
  <si>
    <t>Bernabé Fuentevila. El marques de Cevados. D. Agu stin Chavarri. D. Mari, no Villodas. D. Faustino de Nieva. D. Bernardo Dios dado. D. Mateo Casado. D. Ji-sef Ibaceta. D. Joaquio Palacios. Subtenientes. D. Mariano de San Juan. D. Dámaso Machuca. D. Mariano Lfanderal. D. Pascual Carsi. D. Víctor Moreno. D J uan de ios Heros. D…</t>
  </si>
  <si>
    <t>Ibañez, Manuel Antonio</t>
  </si>
  <si>
    <t>Manuel Antonio Ibañez</t>
  </si>
  <si>
    <t>Josef Garai. D. Andrés Perez. Subtenientes. D. Julián Pombo. D. Fermín Alfaro. D. Francisco Xavier Toledano. I). Manuel Carrillo. D. Ignacio Abadía. D. Manuel Antonio Ibañez. D. Isidro Velazquez. D. Josef María Acosta. D. Manuel Novales. D. Eugenio Aguilar. D. Francisco Peralta. D. Manuel Badana. D. Mateo Gil de Sola. D. Vice…</t>
  </si>
  <si>
    <t>Ibañez, Miguel</t>
  </si>
  <si>
    <t>Miguel Ibañez</t>
  </si>
  <si>
    <t>ucket. Jaén, 8.° de infantería de línea, á D. Juan de Es­ pinar: subteniente en el regimiento núm. 3.°de ca­ Zaragoza sj de mayo. zadores á caballo á D. Miguel Ibañez: capitán de Queriendo el Excmo. Sr. gobernador general caballería ligera á D. Luis de Figueroa: capitán de substraerse del recibimiento que le preparaba esta in…</t>
  </si>
  <si>
    <t>Ibañez, Ramón</t>
  </si>
  <si>
    <t>Ramón Ibañez</t>
  </si>
  <si>
    <t>eta , clérigo de prima. Francisco Valdivieso, á D. Antonio Martinez Ve- Para el de Armuña de Tajuña, vacante por lasco, cura de Campo Real. muerte de D. Ramón Ibañez, á D. Miguel Pale­ Para el de la Alameda de la Sagra, vacante por ro, clérigo de prima. ascenso de D. Josef Binuesa al de Carabaña, á Para el de S. Andrés de Tal…</t>
  </si>
  <si>
    <t>Ibargiien, Tomas</t>
  </si>
  <si>
    <t>Tomas Ibargiien</t>
  </si>
  <si>
    <t>el Novales. D. Eugenio Aguilar. D. Francisco Peralta. D. Manuel Badana. D. Mateo Gil de Sola. D. Vicenre Tejada. D. Domingo Ventades. D. Julián Sojo. D. Tomas Ibargiien. Tenientes. D. Ramón García Ximenez. Batallón del quartel de S. Isidro D. Josef Cabredo. D. Bartolomé Gómez. Capitanes. D. Josef Chacón. D. Agustín Gamell. D.…</t>
  </si>
  <si>
    <t>Ibargoitia, Joan</t>
  </si>
  <si>
    <t>Joan Ibargoitia</t>
  </si>
  <si>
    <t>s Cárceles de íamberg, con tonadilla y mientos que de ellas hicieron D. Felipe Tbmpson sainete. Actores en la comedia. Señoras Josefa Raníos en 1773, D. Joan Ibargoitia en 1801, D. Juan y Maqueda. Señores Ponce, Ortigas .C.iprara, Justo M¿, lafira en .1802 &gt; . y D. Juan Bautista Monteverde Oros, Avecilla, Casa nova, Suarez, M…</t>
  </si>
  <si>
    <t>Ibarra, Francisco Fernandez</t>
  </si>
  <si>
    <t>Francisco Fernandez Ibarra</t>
  </si>
  <si>
    <t>cente Romero de Tejada. D. Francisco Xavier Ruiz de Mendoza. D. Ramón Tamayo. D. Manuel de S. Vicente. D. Josef Valenzuela. D. Juan López de Quevedo. D. Francisco Fernandez Ibarra. Subtenientes. D. Fermín Sánchez Toscano. D. Félix Izaguirre. D. Josef Acevedo. Se la apellida antigua, trillada, conocida y mejora­ Los trages y e…</t>
  </si>
  <si>
    <t>Ibarroia, Manuel</t>
  </si>
  <si>
    <t>Manuel Ibarroia</t>
  </si>
  <si>
    <t>J¡ a i Diestre; tenencias, á D. Fernando de Prado, D. Manuel Sa­ ladar, D. Félix Aznar , D. Dionisio Angulo , D. Enrique Huelen, D. Agustín Cabrera, D. Manuel Ibarroia , D. Gregorio Arroyo, D. JuanMuguiro , D. Ramón Sánchez , D. José Goyti, D. Domingo Angulo , D. Andrés Martínez y D. Antonio Valderas ; y subte­ nencias , á D.…</t>
  </si>
  <si>
    <t>Ibarrola</t>
  </si>
  <si>
    <t>neral O-Donell, dexando abandonada la división de Balaguer, han quedado frustrados sus designios ; y esperamos el mas feliz éxito del movimiento del general Ibarrola que se ha dirigido hacia Lé­ rida con su división para romper y escarmentar al enemigo. Plasericia 22 de abril. El exército de la izquierda ocupa la posición de …</t>
  </si>
  <si>
    <t>Ibarróla</t>
  </si>
  <si>
    <t>lavert y h* Hiva, donde volvió 4 causarles peijuicios de mucha con­ sideración , y les hizo algunos prisioneros. Lí «¡ia 26 por la noche se apostó el general Ibarróla en Viiallong-a con 4000 hombres de infantería y 450 de caballe­ ría, con orden de atacar la retaguardia enemiga, quando es­ ta se iubie.se metido en los desfila…</t>
  </si>
  <si>
    <t>730</t>
  </si>
  <si>
    <t>fué siguiendo, picándoles su retaguardia, has­ ta que tomó posición todo el exército en Reus, siguiendo el resto de nuestras divisiones, al mando del general Ibarrola, á una distancia proporcionada para sostener á Sarsñel. Eí 18 regresé á la plaza de Tarragona , y cotí las pocas tropas que tenia de la guarnición y división de…</t>
  </si>
  <si>
    <t>Ibero, Cayetano</t>
  </si>
  <si>
    <t>Cayetano Ibero</t>
  </si>
  <si>
    <t>e Africa, y D. Amonio Soriano, cadete del propio re­ gimiento de España. En él batallón dé voluntarios dé Valencia ha conferido también te-^ nencia á D. Cayetano Ibero; y subtenencias al sargento primero D. Ani­ ceto LíCebronp y á D. A tu on io Guzman** yr E&gt; Francisco Moren lo, ca­ detes agregados al regitáientó.dé. Sevilla …</t>
  </si>
  <si>
    <t>Idem</t>
  </si>
  <si>
    <t>las sociedades mé­ minución de trabajo mediante la reducción de las dicas han discurrido también sobre ciertas enferme­ horas'dé trabajo ordinarias. D. Idem mediante la dades casi endémicas en algunos lugares ó provin­ reducción de la-tantidad de trabajo: estos tres úl­ cias , la policía no se ha aprovechado de estos da­ timo…</t>
  </si>
  <si>
    <t>Iesirírno</t>
  </si>
  <si>
    <t>'! y la hSlabcio!1 ~c la R~g:~r:.da .~~! la 1\!c;ttl'. rqnfa, (!te Y1CY r:l~1~~'~!d'~:;' , te la rige en nOlnbre d.d Iesirírno y jurado· l{cy :Fernando \!If'T no .};,;,~~.r;..it'l&gt;~~ ¡o~i¿o restablecerse con la bn!'(edarJ (F~e se Ji,;s;;aba la real· trn· ,~'}~~!~~B~~~l;:"" por la dificultad' de aloj~j11ienro cornodo y capaz:l…</t>
  </si>
  <si>
    <t>Ifautransportes</t>
  </si>
  <si>
    <t>atro fragatas, mandante de la artillería del castillo, el teniente siete btiks, quatro lanchas cañoneras y varios Petioo, el subteniente Vaudeis , el capitán Ifautransportes. A las tres de la tarde se puso á tiro tier , el gefe de batallón Braunitz , y el mariscal de canon del castillo, contra el que rompió el fue­ de Logis d…</t>
  </si>
  <si>
    <t>Ifoossage</t>
  </si>
  <si>
    <t>esertado, querían absolutamente volverse á sus tenerlo hista que llegasen el general íiuiddet y el casas. Añade que aunque'había escriro á las justi­ general Ifoossage. Quando ef general lit.ussage lle­ cias , amenazándolas con pena de muerte si no les gó á la Roca con la brigada de los dragones del hacían volver, estas amena…</t>
  </si>
  <si>
    <t>Iglesias, Marcos</t>
  </si>
  <si>
    <t>Marcos Iglesias</t>
  </si>
  <si>
    <t>teniente coronel Gamiz, con des ordenanzas de húsares españoles,.el eapstan D. Joaquín de Arespacochaga, mayor general de la diviaion, y el capitaii D. Marcos Iglesias, que en toda la acción han dado las mayores pruebas de valor, entré en la villa tocando 4 degüello, dirigiéndome en derechura á la playa. Al princi­ pio de est…</t>
  </si>
  <si>
    <t>Igna, Josef</t>
  </si>
  <si>
    <t>Josef Igna</t>
  </si>
  <si>
    <t>de la orden real de Granada; á D. Francisco Cañaveral y Ponce, de España, caballero del imperio francés, comen­ brigadier de los reales exércitos; á D. Josef Igna­ dador de la orden de las Dos Sicilia*, mariscal de cio de Guzman , oidor de la chanciilería de Grana­ campo de los reales exércitos, edecán de S. M., y da ; á D. A…</t>
  </si>
  <si>
    <t>IgnaciadeAptaia, María</t>
  </si>
  <si>
    <t>María IgnaciadeAptaia</t>
  </si>
  <si>
    <t>J 81 D. Pafírtcio Samr.-...-.........................., *074,. rf D. Juao Aótonio Melón............. ..i... El conde dé Montaren.............. ”34:4^ Doña María IgnaciadeAptaia. «f B. Miguel de Gorr.es.;;.;;v..vf:v.;;;'..', 2 t eco , &lt;1 D. Dcogtacias Cardenal—..........'^.í.... &gt;yijl Di Simon de TPrres.-..'.v.....v.. , 548 ¿ …</t>
  </si>
  <si>
    <t>Ignacio</t>
  </si>
  <si>
    <t>'en (D. Tomas), teniente de la brigada IrDon Josef Napoleón por la gracia de Dios y landevi.’ por la constitución del estado, REI de las Espa- Pérez (D. Ignacio), intendente de Jaén. fias v de las lndias. Prado ( D. Peinando del). Visto el informe de nuestro míutstro de Guer­ Qaesada (D. Pedro de)., ra, hemos decretado y decr…</t>
  </si>
  <si>
    <t>ncisco), coronel del regimiento nú­ Mom 'ya ( D. Agustín), comandante de batallón mero 3.0 infantería de línea. de la guardia cívica de Madrid. Soto (D. Ignacio de), coronel de infantería. Moi¡e tte ( D. Bernardo ), cabo de caballería ligera Sonvignon (D. Francisco), granadero de nuestra de la guardia rea). guardia real. Mour…</t>
  </si>
  <si>
    <t>volú­ Bordes (D. Josef Raimundo), capitán de infan­ menes en 8.° con mapas geológicos. tería. Una de las cosas qne mas agradan en esta obra Bumann ( D. Ignacio), capitán del regimiento es la descripción de los lugares pintorescos que suizo. ofrecen ¡as. montañas de Dourefuldt, llamadas con Callejas (D. Francisco), capitán del…</t>
  </si>
  <si>
    <t>. Id. de 'sé-: gundo D. Gerónimo. Rey noso, io. D. JacpbpsBeLo^ "&gt;idov P. * Juan. Jg-nació SalazarT, 20 D. Joan. José Elorriaga , Miguel Valerdr, 70. D. Ignacio. Posadas , 12. D. Basilio Gutiérrez, 'io?* D. José María, Ponce, 10. D. Francisco Cienfuegcs, 30. D. José Crivelli, 35, D. Fernán-, do Maynez , 8. D. Juan Ceballos, 2…</t>
  </si>
  <si>
    <t>Ignacio, Domingo</t>
  </si>
  <si>
    <t>Domingo Ignacio</t>
  </si>
  <si>
    <t>granaderos del articulo i.-* "Quedan suprimidas entera ” y' regimiento Real Extrángero. definitivamente todas .las órdenes monásticas y con­ Beioqui (D. Domingo Ignacio), cirujano mayor gregaciones regulares de hombres ymugeres en los del regimiento Real Irlandés. departamentos de Géoova», de los Apeninos , de Bianchi (D. Fed…</t>
  </si>
  <si>
    <t>Ignacio, Josef</t>
  </si>
  <si>
    <t>Josef Ignacio</t>
  </si>
  <si>
    <t>tura peculiar de la cos­ Los aspirantes dirigirán sus memoriales al secre­ tumbre , ellos sin embargo la adquirirán ea poco tario de 1a real sociedad D. Josef Ignacio de .Acetiempo, y quedarán quaado meaos iguales los unos veda , que vive calle del Príncipe, núra. 5 y 6, coa los otros. quarto segundo. «parar en frioleras, pre…</t>
  </si>
  <si>
    <t>efensa des­ 4ei Excmo. Sr. D. Sebastian de Piñuela-, presiden­ pués de haber dado ál exército del centro cañones, te de la comisión, 7o* limos. Sres, D. Josef Ignacio díoero, fusiles, caballos, monturas, municiones,y Joven de Salas 7 D. Pedro Ramón de Echevarría, 'todo género de pertrechos de guerra (ti). tu tal consejeros de…</t>
  </si>
  <si>
    <t>II, H</t>
  </si>
  <si>
    <t>H II</t>
  </si>
  <si>
    <t>or de la persoaa que gusten, sea por testamen­ padecido. Quandó salió el correo con estos despachos es­ to, sea por donación, ó de otro modo. taba el general H II á dos jornadas dei general art. ni. Podrán del mismo modo los súbdito* Weilington. {The Sun.) de cada una de estas dos potencias heredar recí­ procamente en cada un…</t>
  </si>
  <si>
    <t>II, Josef Tomas</t>
  </si>
  <si>
    <t>Josef Tomas II</t>
  </si>
  <si>
    <t>mi- mi D. Juan Bautista de Goiria.................. 3429 *7 nistro de Hacienda. y oido á nuestro consejo Estaco, :jo de Estaoo, Los testamentarios de D. Josef Tomas II emos decretado y decretamos lo siguiente: guiente: de Villachica........................................ 5054 articulo i. ,, Se declaran acree­ D. Pedro Celiin…</t>
  </si>
  <si>
    <t>Ii, Kliski</t>
  </si>
  <si>
    <t>Kliski Ii</t>
  </si>
  <si>
    <t>en Italia es inmediatamente su batidos y ahuyentados á las montañas. enemiga. Asi antes de la batalla de AusterJicz y la El gener.il Chlopislci y el coronel Kliski Ii3rr de Friedland , el Emperador recibió de Roma arrojado al cnetnig) de las riberas del Guadalupe, breves llenos de acrimonia. En seguida se le vió ai y le han o…</t>
  </si>
  <si>
    <t>II, Vi</t>
  </si>
  <si>
    <t>Vi II</t>
  </si>
  <si>
    <t>c ha destinado á reforzar las tropas aragonesas. Por parte comunicado á esta junta superior por el coman­ dante general de este reyno, sabemos que el general Vi II acampa ha batido el dia 6 en Andorra á un destacamento enemigo, de que no se ha salvado ni un solo hombre. Nuestra pérdida ha sido de 5 muertos y algunos heridos: …</t>
  </si>
  <si>
    <t>II-pfen</t>
  </si>
  <si>
    <t>haa recibido de rial , se han vendido dias pasados los moruecos des­ Lisboa. Al dar la relación que nos vino de esta ca­ de i® hasta 7© florines. Ei doctor II-pfen com­ pital, en la qual se dice que los franceses se habían pró uno que le costó i63, y aan el conde Erdo— ido de las orii.as del Pinel, y cruzado el Coa por di, gr…</t>
  </si>
  <si>
    <t>III, Jorge</t>
  </si>
  <si>
    <t>Jorge III</t>
  </si>
  <si>
    <t>constante España: papel que faé dedicado en el 4 de junio próximo pasado , con el motivo del cumpleaños del augus­ to monarca decano de Europa ei Sr. D. Jorge III. Ambos se ven­ den en la casa de D. Domingo Font y Closas, calle de S. Francisco. Prontuario de guias para la instrucción de los $ angelitos y ca­ bos de infantería…</t>
  </si>
  <si>
    <t>Iis</t>
  </si>
  <si>
    <t>..................... 4- * 1). Va'eotin Romero............................. 2373 c 2j-| D. Bias Martínez.................................... 13 - 3 2 D. Iis:é'*an l.a Oías................................ y-oi. 17 D. \Linuel Marta de Cereced........... . -s t J Dofv. María Otiz..... ‘............................ 1714 25? D. Fr…</t>
  </si>
  <si>
    <t>Iiundain, Mariano</t>
  </si>
  <si>
    <t>Mariano Iiundain</t>
  </si>
  <si>
    <t>................................... 10602 28 D. Plácido Piedra M!liéra,f.i.¡.r.':......... 31Í625 D. NLolas Barsanti............................ 1825 D. Mariano Iiundain..'..... ..ÍV...1.......... 1983 28 Doña María Andrea Moreno..;.......... 3573 26, D. Melchor Cadenas.;........ 768 D. Juan Retz..............................…</t>
  </si>
  <si>
    <t>IJrrea, Tomas</t>
  </si>
  <si>
    <t>Tomas IJrrea</t>
  </si>
  <si>
    <t>— Culiacan. D. Pa­ blo Verdugo , 200. D. Francisco Posada y D. Francisco Peyro , 20. D. Jo­ sé Vidal , 10. B. Ignacio Serrano y B. Pedro Troto , 10. D. Tomas IJrrea , 5. I&gt;. José (le la Vega, 25. D. Manuel -Vanderas , 50. D. Jacinto Gaxiola, 11. D. José M aria Verdugo , 50. Varios individuos , 119 y 5'rs. — Rio de Sonora. D. …</t>
  </si>
  <si>
    <t>Ilenrique, Joan</t>
  </si>
  <si>
    <t>Joan Ilenrique</t>
  </si>
  <si>
    <t>ca son mui frecuentados por los europeos. Una de Visseti ,(D. Luis), capirao de infantería. las cosas qne mas admita es la meada de barbarie Ysmer ( D. Joan Ilenrique), tambor mayor del y de cultura intelectual que se nota en los habi­ regimiento de Toledo, 2." de infantería de línea. tantes de aquellas regiones heladas. A to…</t>
  </si>
  <si>
    <t>ILixtliaussem</t>
  </si>
  <si>
    <t>148</t>
  </si>
  <si>
    <t>equivalente del producro de las ventas, no namarca con su augusto esposo , había nombrado se ha hecho aprecio de sus reclamaciones. nuertra corte al conde ILixtliaussem para que' Uno de los generales austríacos que durante acompañase á S. A. en calidad de caballerizo de la última gnerra tuvo el mayor influxo, será, se— honor.…</t>
  </si>
  <si>
    <t>Ilowars</t>
  </si>
  <si>
    <t>s en Cetorico £ que estaban forrageando en las cercanías , fue ata­ i.° de este mes, y gazetas portuguesas del dia 3 , cado y dispersado por el mayor general Ilowars- y las españolas del 31 de julio. koi, é hicimos prisioneros al bim-baccade las tro­ Nnestra infantería, que está á las órdenes del pas tártaras y 120 soldados. …</t>
  </si>
  <si>
    <t>Imafia, Manuel</t>
  </si>
  <si>
    <t>Manuel Imafia</t>
  </si>
  <si>
    <t>ración general. nisio Carro y D. Martin de Porras , diputados, los D. Dionisio Olarte, oficial primero. quales en nombre de su ayuntamiento y vecinos D. Manuel Imafia , idem 2. han prestado á S. M. el juramento de fidelidad y D. Ramón Montoya, idem 3. obediencia. D. Manuel López, idem 4. D. Estanislao del Castillo , idem f. D…</t>
  </si>
  <si>
    <t>Imaz</t>
  </si>
  <si>
    <t>la marcha para sorprehender á los franceses, y dieron pruebas de valor y discipli­ na. El botín que han cogido en e ta ocasión, es considera­ ble. El general Imaz y el coronel Morillo habían tomado posición con sus tropas para sostener el ataque. — Se ha sabi­ do después que el comandante del cuepo francés no parece. Ciudad-R…</t>
  </si>
  <si>
    <t>or noticias posteriores se sabe que el expresado general ha tomado otra posición, de resultas de los movimien­ tos del enemigo contra !a división del general Imaz que ocu­ paba á Xerez de los Caballeros. Esperamos con ansia las no­ ticias circunstanciadas de esta operación, en que ha quedad* bien puesto el honor de las armas …</t>
  </si>
  <si>
    <t>tentaron para observar el movimiento de la división del general O-Donell, que de Alburquerque se había dirigido hacia el Mo itijo y Mérida.—Qpando el brigadier Imaz remíta los detalles de esta acción, se manifestarán al público las acciones distinguidas de algunos soldados de infantería y caballería, pues su situa­ ción no le…</t>
  </si>
  <si>
    <t>Imson</t>
  </si>
  <si>
    <t>883</t>
  </si>
  <si>
    <t>aba , y éxprese á V. E. en mi anterior oficio de 20 de este mes. — He destacado algunas tropas hacia Santaren, por haber mar­ chado al mismo lugar el general Imson con la división de su mando ; y resulta de los avisos remitidos por el oficial que manda en Abranles con fecha de 24 del corriente, que entró en Thomar aquel dia u…</t>
  </si>
  <si>
    <t>In, Honorato</t>
  </si>
  <si>
    <t>Honorato In</t>
  </si>
  <si>
    <t>rgentos, cabos y solda­ dos , 392 y 3 rs. — Quarta id. Capitán Marcelo Pardo, 22 y 6 rs. Los sar­ gentos , cabos y soldados, $70 y 2 rs. — Quinta id. Capitán Honorato In­ da , 16. Teniente Juan Ureña, 14. Alférez Vicente Hernande z, 10. Los sar­ gentos, cabos y soldados, 158. D. Urbano Sánchez, 23. D. Antonio Ure11a, 9 y 4 rs…</t>
  </si>
  <si>
    <t>Indias</t>
  </si>
  <si>
    <t>los infinitos que en di hai sembra­ soltarse sobre este punto í.»s leyes de nuestra reco­ dos. Tal es pues el importante objeto de ja hidro* pilación d. Indias, expedidas en aquel tiempo, que grafía, y Ib qñe en tanto beneficio de ia seguridad transcribe el autor, porque dan ciertamente uua y acierto del navegante le ofrece e…</t>
  </si>
  <si>
    <t>Ines</t>
  </si>
  <si>
    <t>resentará por la compañía española la comedia en tres apreciar y aplaudir precisamente lo del di» , sin acor­ actos titulada Reinar después de morir, Doña Ines de darse de lo antiguo aunque sea bueno, desearla saber qué Castro, y ia opereta del Engañador engañado. entiende vmd. por igual; es decir, que ha querido sig­ En el d…</t>
  </si>
  <si>
    <t>presentará por la compañía española la comedia en tres t_ Ppr qué el arte dramático er._E¡paita no tm llegado actos titulada Reinar después de morir, Doña Ines de « todavía a ¡grado de perfeuioik que en lar atrae naCastro, con una tonadilla nueva, en ¡a que se presenr dones? , .... .. r tara por primera vez el Sr. Mariano Cas…</t>
  </si>
  <si>
    <t>a nación pide el enlace con la tor le ha dado cierta nobleza, haciéndola desaprobar la casa de Navarra, viendo por otra parte la constancia muerte de Doña Ines. del luíante , se resuelve á quitar el obstáculo que se opo­ También hal en la pieza su gracioso: pero este pa­ ne á la execucion de su provecto , dando la muerte á pe…</t>
  </si>
  <si>
    <t>mas verdad sus por elogios, sino por estímulos. sentimientos en la escena en que llora la muerte de Dicen que esta es la última tonadilla en el Prín­ Doña Ines. Creo que el motivo lia sido el haber princi­ cipe. Ksto es ya dar un paso para Ja mejora dcL tea­ piado desde luego con un tono demasiado elevado, de tro. rrzíí. J. E…</t>
  </si>
  <si>
    <t>Ines, Leandro Bu</t>
  </si>
  <si>
    <t>Leandro Bu Ines</t>
  </si>
  <si>
    <t>de la secretaría de Estado. Vrquiaga y D. Antonio Aguilera. En Itálica á 8 de febrero de 1810. Ayudantes. Don Josef Napoleón por la gracia de Dios y D. Leandro Bu Ines, D. Antonio González, por la constitución del estado, REI de las Espa— D. Rodrigo Josef Gutiérrez , D. Leandro Gutiér­ ñas y de las Indias. rez de Medina, D. F…</t>
  </si>
  <si>
    <t>Infanzón, José María</t>
  </si>
  <si>
    <t>José María Infanzón</t>
  </si>
  <si>
    <t>0. D. Ignacio Valle, escribnno de S. M, , 100. D. José Nicolás Sa gado, cobrador de la ju­ risdicción Je Tasco , 100. Ei teniente de milicias sueltas D. José María Infanzón-, 100 ; y tía cedido sus sueldos durante la guerra. D. José González'Castañeda,- 159. D. Agustín González San abría, vecino de Queretaro, 100. D. José Ant…</t>
  </si>
  <si>
    <t>Iñigo, Josef Perez</t>
  </si>
  <si>
    <t>Josef Perez Iñigo</t>
  </si>
  <si>
    <t>ranada, bergantines que se le habían agregado. Una lancha vacante por muerte de D. Miguel de Soria : í cañonera del enemigo ha sido echada á pique, y D. Josef Perez Iñigo , presbítero, para otra medialos dos bergantines han sido tan maltratados, que ración de la de Segovia, vacante por fallecimienta se hao necesitado 18 embar…</t>
  </si>
  <si>
    <t>Inozal, Jacinto</t>
  </si>
  <si>
    <t>Jacinto Inozal</t>
  </si>
  <si>
    <t>an Quintanilla, D. Cayetano Miranda, D. Francisco de Paula Miranda, D. Francisco Sacue, D. Juan Ma­ tos, y D. Claudio González ; segunda ayudantía, á D. Jacinto Inozal ; tenencias, á D. Eustaquio Cevaílos , D. José Ramírez, D. Joaquín Moreno, D. Juan Morales, D. José Benitez, D, José Va­ ra del Rey, D. José Joaquín Daureia, y…</t>
  </si>
  <si>
    <t>Ips</t>
  </si>
  <si>
    <t>l reino de Baviera. En este mismo ve princesa de Darmstadt. Después del bautizo se dia tomarán nuestros comisionados posesión de Ra­ le hicieron á la princesa Ips cumplimientos de esti­ tisbona en. nombre de nuestro Soberano; y se ase­ lo, y el acompañamiento volvió en el mismo or­ gura que aquella ciudad será la capital de u…</t>
  </si>
  <si>
    <t>Ipsilanti</t>
  </si>
  <si>
    <t>ro amado Soberano: „Señor: no es mi ánimo pintar á V. M. los Pucharest s &lt;T de setiembre. sentimientos de que me sentí peñerado al saber Desde que el príncipe Ipsilanti salió de esta que una nación célebre en ios anales 'tc|el mundo se provincia parece que había sido enteramente aban­ había dignado poner sus ojos en un milita…</t>
  </si>
  <si>
    <t>Irá</t>
  </si>
  <si>
    <t>Viena &lt;T de setiembre. público veri .¡en-esta providencia un nuevo testi­ monio de su igradecimieaío &amp; la confianza que ha Es ya posa decidida qne el Emperador Irá á hecho de ella , y que toda su conducta se dirige Hungría, f aütt tal vez pasará algunas Semanas en á un solo fin, que es el de asesorar la felicidad de aquel rei…</t>
  </si>
  <si>
    <t>Iranzo</t>
  </si>
  <si>
    <t>452</t>
  </si>
  <si>
    <t>efe ha concedi­ do al espitan Moreda el grado de teniente coronel, y un escu­ do de distinción á los soldados que se ofrecieron acompañarle. El mismo general Iranzo avisa con fecha del 12, que de resultas de haber cogido sus partidas de guerrilla una porción de cebada en Esplugas, y otra de harina en el molino del Clot, salie…</t>
  </si>
  <si>
    <t>Iriarte, Bernardo</t>
  </si>
  <si>
    <t>Bernardo Iriarte</t>
  </si>
  <si>
    <t>............ 34811 17 la noticia de la entrada de S. M. en Sevilla las par» D. Francisco López Nuñez.............. 2&gt;co ticularidades siguientes: Sr. D. Bernardo Iriarte.................... 17882 16 „Iíl dia 3 de este me« ha debido el quarto Cuer­ D. Antonio Oñativia......................... 1623 5 28 po ocupar á Málaga y Gua…</t>
  </si>
  <si>
    <t>ara Tbañcz................... 2 543 7 D. Miguel Castellanos........................... 1624 37 D. MAriin Antonio Huici...................... 19862 17 D. Bernardo Iriarte............................... I7:4 ““-&gt;ia D Francisco Mugan................................ 945 D. Josef Sánchez..................................... '2 49 …</t>
  </si>
  <si>
    <t>Iriarte, José</t>
  </si>
  <si>
    <t>José Iriarte</t>
  </si>
  <si>
    <t>828</t>
  </si>
  <si>
    <t>in Mas, fusilero, 4. Id. Gregorio Cigarrostra, 8. Domingo Gutiérrez, 4. — Artillería de marina. José Jover , 6. Andrés Minguez , 4. Lugre San Carlos. D. José Iriarte, segundo piloto particular, qo. Pasqual García, segundo guardián, 22. — Artilleros de mar de prefe­ rencia. José Ballesteros, 11. Francisco Lino, 9. Francisco Pa…</t>
  </si>
  <si>
    <t>Iriarte, Juan Pedro</t>
  </si>
  <si>
    <t>Juan Pedro Iriarte</t>
  </si>
  <si>
    <t>ocioso al magis­ trado y á los oficiales subalternos. „ Mientras nn corregidor ó alcalde miyor, AVISO. con un grado subalterno, componía hasta diez y D. Juan Pedro Iriarte, cirujano oculista, con mo­ mas mii ducados con su sueldo y emolumentos tivo de la próxima estación tan benigna para las ope­ de su empleo, el juez superio…</t>
  </si>
  <si>
    <t>Iriarte, Miguel</t>
  </si>
  <si>
    <t>Miguel Iriarte</t>
  </si>
  <si>
    <t>. José María Salazar, comandante general del apostadero, 500 pesos fuertes. El capitán de fragata D. Joaquín Ruiz Huidobro, 100. El teniente de navio D. Miguel Iriarte, no. El sub­ inspector del arsenal D. Nicolás Meñaca, 110. El teniente de fragata D. Pedro Hurtado de Corcuera, 160. El teniente de navio D. Domingo Allende, 5…</t>
  </si>
  <si>
    <t>Iribarren, Pedro María</t>
  </si>
  <si>
    <t>Pedro María Iribarren</t>
  </si>
  <si>
    <t>s de Urquijo." Subteniente, D. Antonio Aquilino Agallen. Extracto de las minutas de la secretaría de Batallón del quartel de Avapies. Estado Capitán, D. Pedro María Iribarren. En nuestro palacio de Madrid á 19 de mayo Teniente , D. Miguel de Castro. de i 81 o. Subteniente, D. Manuel Gabiria. Don Josef Napoleón por la gracia d…</t>
  </si>
  <si>
    <t>Irigoyen, Pedro Ignacio</t>
  </si>
  <si>
    <t>Pedro Ignacio Irigoyen</t>
  </si>
  <si>
    <t>del Valle. 12. Id. de segundo D. Pedro Vaíois, 50. Don Fanón de Ochoa, 65. D. Salvador Porras, 50. D. Eugenio Vizoso, 50. D. Martin Mariñelarena, 12. D. Pedro Ignacio Irigoyen , i&lt;&gt;. D. Juan Trillo. 8. D. Gerónimo Maeeira, 50. D. Sabino de la Pedrueza, 33. D. Rafael Zubia , 20. D. Justo Madariaga, 20. D. Francisco J íuregui p…</t>
  </si>
  <si>
    <t>Irriberri, José Cos</t>
  </si>
  <si>
    <t>José Cos Irriberri</t>
  </si>
  <si>
    <t>uevo-reyno de Granada el capitán, de fragata graduado D Antonio de VHlav¿cencío : para Quito el teniente coronel R. Carlos IVIoutufar , y para Li­ ma D. José Cos Irriberri, nombrado oficial de la secretaria de estado de ha­ cienda. Desde estos puntos , ó ai paso para ellos debían difundirse los pa­ peles y ojie ios del gobier…</t>
  </si>
  <si>
    <t>Irsch</t>
  </si>
  <si>
    <t>dos los dias pasa por aqui un número mui con­ siderable de personas de consideración: entre estas Madrid 7 de junio. se hallan el conde de Schall, el conde Irsch , gentiLshombres del Rei de Baviera; Raabi, secreta­ S. M. ha expedido1 el decreto siguiente: rio au’ico del Austria, qne va París; Esienoz, Extracto de las minutas …</t>
  </si>
  <si>
    <t>Iru, Francisco</t>
  </si>
  <si>
    <t>Francisco Iru</t>
  </si>
  <si>
    <t>.............................. *444 disciplina. D. F raiu-isco Xavier de Arriaga........... 21089 17 El coronel Piique ,á su regreso de los altos va­ D. Francisco Iru ta.................................... 70Ó9 lles de Aragón , con el batallón del 64.“ y otro del D. Nicolás Estarripa.................................. 43320 11…</t>
  </si>
  <si>
    <t>Isabel</t>
  </si>
  <si>
    <t>ui­ ban los ayans, que hacia largo tiempo se disputaban pado á propósito para este viage. su posesión, y talaban la comarca, no obstante las S. M. la Emperatriz Isabel irá á Revel para to­ órdenes terminantes de la Puerta que se lo prohibían. mar allí los baños del mar. Se asegura que los rusos están tomando todas Anteayer se…</t>
  </si>
  <si>
    <t>el retiro al mayor general Adamo- se en esta ciudad; pero con la condicioo.de quc ha witsch. de concertar todas las operaciones con.él.granyisir. La Emperatriz Isabel, que se halla en el pala­ cio de Plowen tomando los baños del mar, ha da­ Semlin 2jt de agosto. ¡ i do nna función á todos los niños qne vinieron á Muchos baxae…</t>
  </si>
  <si>
    <t>Isajew</t>
  </si>
  <si>
    <t>a Mo.davia, avisa lo siguiente aplaudido , y en que son dignus de notarse los pacon fecha de 30 de marzo y i.° de abril. Sages siguientes: ,,Hl mayor general Isajew, que habia marcha­ ,, Por úna elección unánime habéis dado á la co­ do desde la pequeña Vaiaqoia al otro lado del Da­ rona de Suecia un heredero , cuy_s eminentes…</t>
  </si>
  <si>
    <t>Isashiribil, Mariano</t>
  </si>
  <si>
    <t>Mariano Isashiribil</t>
  </si>
  <si>
    <t>r; y cuyo precio la Rigada, y varias observaciones de D. Pedro de es de 36 rs. vn. Cárdenas, D. Tomas Ugarre, D. Cosme Churruca, D. Dionisio Galiano, D. Mariano Isashiribil, y hs M. F. de N. de D. Josef Joaquín Ferrer y D. Sebastian Laso de la Vega , pilotos de mucha práctica y' sublimes co­ nocimientos, se ha logrado dexar b…</t>
  </si>
  <si>
    <t>Isayeff</t>
  </si>
  <si>
    <t>ro des­ tados-Uoidos todo buque que intentare visitarlas pachado por el general en gefe con pliegos en qn* oaves qne van baxo su escolta. dice que el general Isayeff, despees de haber der­ 4.0 Se declara de buena presa toda embarca­ rotado ai baxá de Wiadin, hizo bloquear los atrin­ ción apresada con motivo de lo prevenido en…</t>
  </si>
  <si>
    <t>Isidro</t>
  </si>
  <si>
    <t>acerca de los productos de dicha casa, y su inversión, to ó detención son providencias graves, de con­ desde el dia en que se díp posesión de ella á D. Isidro secuencias mui nocivas á la opinión ó á ta fortuna; Fernandez Castelao, con lo demás que en el acuerdo de consecuencias tal vez irreparables. Y asi en vez dicho día se …</t>
  </si>
  <si>
    <t>Issajeff</t>
  </si>
  <si>
    <t>Gaceta de Madrid n.º 156</t>
  </si>
  <si>
    <t>eba nna expedición ■ necia y. de¡cio del general en gefe Kamenski - recibidos en Pe- sastrosa, sin embargo de qué ia ve desde su prin­ tersburgo , el general Issajeff ha batido al baxá de cipio reprobada por ia opinión pfiblica; abre y Widdin, y le ha hecho 700 prisioneros de las tro­ cierra á su antojo las puertas de la cáma…</t>
  </si>
  <si>
    <t>Isturiz, Tomas</t>
  </si>
  <si>
    <t>Tomas Isturiz</t>
  </si>
  <si>
    <t>uga y su muger 60. D. Pasqual Moreno de Mora, 600. D. Miguel Riva, 500.. D. Miguel Maten é hijos, 400. D. Francisco Berrio, 500. D. Manuel Ros, 1000. D. Tomas Isturiz, 4000. D. Ildefonso Ruiz del Rio, 4000. Duque del Infantado, 4000. D. Blas del Hierro, 500. Don Manuel Saez A y lien, igo D. José Ignacio Echevarría, 40. D. Bar…</t>
  </si>
  <si>
    <t>Itic</t>
  </si>
  <si>
    <t>mo aquí ha sido mui abundante la co­ secha , podemos esperar que el precio de los granos La goleta la Condesa Emerian, mandada por barrará pronto. el capitán Itic, que salió de este puerto el día 6 S M. ha nombrado á sir Roberto Gordoo go­ del corriente, armada con 3 cañones y 115 hom­ bernador de la colonia de Berbia. bres d…</t>
  </si>
  <si>
    <t>Iturbe, Francisco</t>
  </si>
  <si>
    <t>Francisco Iturbe</t>
  </si>
  <si>
    <t>andez ,-2-5". DrPedro Colfófftes, 10. D. Juan Miguel Lavayen, 25. .D. Berharcío «Mires, 3a D. José Hilario Rodríguez, 10. D. Andrés de írazabal, 30-. D. Francisco Iturbe, 25.</t>
  </si>
  <si>
    <t>IV, Carlos</t>
  </si>
  <si>
    <t>Carlos IV</t>
  </si>
  <si>
    <t>á las disposiciones justas tomadas por mí y el real Acuerdo, á tal g ado, que la conclusión de la lectura de las reales órdenes de ios ¿renores Reyes D. Carlos IV, y del actual nuestro amado y deseado Rey y seíi m D. Fernando VII , relativas á la abdicación, del primero , y elevación al trono del segundo , con la real provi­ …</t>
  </si>
  <si>
    <t>ada-lazara (Nucva-Galicia, vircynalo de Nueva-Espa­ ña J 18 de mayo. Desde el 8 de julio de 1808 en que se supo en esta capital la renuncia del señor D. Carlos IV, y la elevacion al trono de su legítimo y jurado heredero D. Fernan­ da Vil, rey 11a este virtuoso y desgraciado monarca en los co­ razones de todos los fieles habi…</t>
  </si>
  <si>
    <t>Iva</t>
  </si>
  <si>
    <t>igresías rurales berano. '. ce de sus ernbrbllós, y disponiéndose á infernar toda la cación ittiti cultivada! Todo recae sin embargó erl el ciisa. El autor Iva querido sin embargo que se llame.Ln- que debia estar bien dirigido. Les defectos y resabios crecía. Este nombre recuerda por cierto quididades har­ del otro son mas di…</t>
  </si>
  <si>
    <t>Izaguirre, Félix</t>
  </si>
  <si>
    <t>Félix Izaguirre</t>
  </si>
  <si>
    <t>mayo. D. Manuel de S. Vicente. D. Josef Valenzuela. D. Juan López de Quevedo. D. Francisco Fernandez Ibarra. Subtenientes. D. Fermín Sánchez Toscano. D. Félix Izaguirre. D. Josef Acevedo. Se la apellida antigua, trillada, conocida y mejora­ Los trages y el lugar de la escena son en esta pieza da ya en ambos teatros, español y…</t>
  </si>
  <si>
    <t>IziderofFba</t>
  </si>
  <si>
    <t>a precipitación , qoe no se le pudieron J3acharest 10 de julio. coger mas que 80 prisioneros.” El general barón de Engelhard, presidente del El mayor general IziderofFba destrozado tam­ divan de la Valaquia, ha mandado se celebre aquí bién al enemigo cerca de Varna. Se espera que hoi ana función solemne en accioo de gracias p…</t>
  </si>
  <si>
    <t>Izquierdo, Antonio María</t>
  </si>
  <si>
    <t>Antonio María Izquierdo</t>
  </si>
  <si>
    <t>ilicia cívica del Hemos decretado y decretamos -lo que sigue t..'. Puerto de.Santa María quedan nombrados artículo r. ,.Con arreglo ¿ nuestro decreto D. Antonio María Izquierdo para comandante de 1 9 de abril último se formarán en los pueblos, del batallón. que á continuación se expresan las compañías de D. Esteban del Castil…</t>
  </si>
  <si>
    <t>Izquierdo, Antonio Martínez</t>
  </si>
  <si>
    <t>Antonio Martínez Izquierdo</t>
  </si>
  <si>
    <t>o pa­ ro servidor = San!Íag cíficas y civilizadas : guerras sangrientas en­ Ksta carta venia dirigida : tre las mas aurgasy :nas aliadas por la na­ A D. Antonio Martínez Izquierdo (tq), turaleza : tronos envejecidos y desmorona­ calle Mayor en dos reemplazados por nuevos tronos fuer­ Madrid. tes y robustos ; he aquí el quedro…</t>
  </si>
  <si>
    <t>Izquierdo, Francisco</t>
  </si>
  <si>
    <t>Francisco Izquierdo</t>
  </si>
  <si>
    <t>temS CompaAdfc -_________ dyUitm.___________ ' . Tenante». , «abtenlentes. „ D. Juan Crespo.................... D. Francisco Izquierdo. ............... .................................. D. Jo.quin Piao^rjonF. D. Modesto Palacios..'...... . D. Francisco Mauricio^ * D. Vicente Ferrer y Fous.... D. Mariano Fabre. D.Blas Bcza</t>
  </si>
  <si>
    <t>Antonio Ramón Gallegos. zade .la iei zenoniana ie dio nombre especial de D. Josef María Carvia; : entitéusis, señalándole qualidades necesarias para D. Francisco Izquierdo. sd celebración.¡.Desde esta época .fueron muchas D. Manaei Pablo León: Castillo. los'glosadores ó cimentadores de dicha Iei: que aiit. iv. Quedan agregado…</t>
  </si>
  <si>
    <t>Izquierdo, Gervasio Fernandez</t>
  </si>
  <si>
    <t>Gervasio Fernandez Izquierdo</t>
  </si>
  <si>
    <t>osef Casalc. D. Plácido Ffexalde. D. Ramón Pando. D. Cj i*o Garc.a. D. Tomas García Domínguez. D Nicolás Herencia. Batallón del quartel de S. Martin. D. Gervasio Fernandez Izquierdo. Capitanes. D. León de Montenegro. D. Fulgencio de la Riva. Agüero. D. Ignacio de la Torre. D. Mana' 1 Calderón. El marques de Cusano. Subtenient…</t>
  </si>
  <si>
    <t>Izurrieta, Antonio</t>
  </si>
  <si>
    <t>Antonio Izurrieta</t>
  </si>
  <si>
    <t>A fnezaga, 50, D, José &gt; Castro y» Ortega, 50. D Felipe Lopez&gt; Negrece; y^suhijo, * 500. D. Pedro del. Campo y Montes, 50. D. Juan! José Zimbrana,5CO.D. Antonio Izurrieta, $oox D. Cayetano Mutis-9 15* D/ jcséGuerrero 15Á D. Juan Manuel de Asunzalo, 15. D. Amonio Gúrruchategiii ,35; D¡ MánueL Gutiérrez 35. D, Antonio Landa 50.…</t>
  </si>
  <si>
    <t>J'i, Franc'sO</t>
  </si>
  <si>
    <t>Franc'sO J'i</t>
  </si>
  <si>
    <t>Para el de la'iglesia parroquial de. Viüamen*. la Sagra, que resuir» vacante por -promoción de1 de Gozvijjr, vacante por muerte de £&gt;. Jo cfG &gt; i- ■ D. Franc'sO’ J'i'cf Caite! ai de Alhama, á Don ealcz Mencheco ¡ éJD. Pedro Ruiz, cx-ieguiar dé .Josef víun x Jei Pozo, cura de B-oalua. ; agustinos, deséateos. • w, • &lt; ^ ¿Y /ara…</t>
  </si>
  <si>
    <t>J, Don</t>
  </si>
  <si>
    <t>Don J</t>
  </si>
  <si>
    <t>de Es­ En nuestro palacio de Madrid á 30 de mayo paña; un correo del Austria, que vuelve de París de 1 &lt;á 1 o. á Viena , y un caballerizo de S. M. el Emperador Don J osef Napoleón por la gracia de Dios y de Austria, que lleva á S. M. el Emperador 12 por la constitución del estado, REI de las Espa— caballos árabes mui hermosos…</t>
  </si>
  <si>
    <t>J, Francisco</t>
  </si>
  <si>
    <t>Francisco J</t>
  </si>
  <si>
    <t>Pedro Ignacio Irigoyen , i&lt;&gt;. D. Juan Trillo. 8. D. Gerónimo Maeeira, 50. D. Sabino de la Pedrueza, 33. D. Rafael Zubia , 20. D. Justo Madariaga, 20. D. Francisco J íuregui por 3a casa de D. Francisco Eíguea , 30. D. Juan Eíguezabal, 50. £). José Perez Ruiz, 22. D. Lepe de Vega, 20. D. Miguel de la Huerta, 20. Doña Plácida Mi…</t>
  </si>
  <si>
    <t>J, JoscfMaiía</t>
  </si>
  <si>
    <t>JoscfMaiía J</t>
  </si>
  <si>
    <t>esión del júbilo y la confianza ge­ . Compañía de granaderos. Capitán D. Josef neral; todos se fixaban en el del REI, y todos in­ Juárez, subteniente D. JoscfMaiía J^rdoit, otro, dicaban que veían en su Soberano un libertador, D. R f&lt;el León. por cuyo patrocinio iban á respirar después de tan Primera de fusileros. Capitán D. …</t>
  </si>
  <si>
    <t>J, Josef</t>
  </si>
  <si>
    <t>Josef J</t>
  </si>
  <si>
    <t>udante mayor generáis: D. Mateo de la Quintana..................... 73531.-26 Firmado= Mooqueri. Dona Manuela Goihuru.......................... 36900 D. Josef J acobo Leopoldo Yabuck... j 4400o Madrid jo de julio. D. J ulian Gancedo.................................. 104400 S. M. ha expedí Jo el decreto siguiente: D. M .nuel O…</t>
  </si>
  <si>
    <t>J, Josef Fer</t>
  </si>
  <si>
    <t>Josef Fer J</t>
  </si>
  <si>
    <t>nfluyeron tn la el coronel D. Manuel Osorio Calvache; los capí-* formación ide nuestros códigos ; y sus errores nos taues D. Cayetano Serrano y Díaz, D. Josef Fer-*J fueron-'xransmitidos con las leyes 28 y, lít. B.°» nandez Cortacero, D. Vicente Villarealy D&lt; Juan part.,1).leyes que debea olvidarse para siempre de la Cruz Men…</t>
  </si>
  <si>
    <t>J, Juan Gabriel</t>
  </si>
  <si>
    <t>Juan Gabriel J</t>
  </si>
  <si>
    <t>greda....... ....... •. 9' D. Mariano Blanca,*.......................... -. • S857-.*9 D. Tomas Qasanova.,............................... 71,37.. 1 • D. Juan Gabriel J&amp;tfibcFHda—■ . 2833-27 D., Juan-Ditgonce........................ . 16740 í DC Franclíco Antonio Pringas........... . ~ ; -1920 D.. Pedtó Franco por Doña María R…</t>
  </si>
  <si>
    <t>J, Ramón</t>
  </si>
  <si>
    <t>Ramón J</t>
  </si>
  <si>
    <t>as. D. Higinio Zazo de Lares. D. J ulian de Fuentes. D. Francisco Bezares. D Julián Saez. Tenientes. D Juan Roca. D. Tomas C.mpillo. D. Manuel López. D Ramón J ver. D Francisco S.tenz Rufz.' Batallón del quartel del Barquillo. D. Gaspar B usá. D. Narciso B.*sia. Capitanes. D. Francisco López de Moya. Marques de Canillejas. D.…</t>
  </si>
  <si>
    <t>Jablonowskl</t>
  </si>
  <si>
    <t>res. Los comisionistas presentarán también en el Esta mañana ha salido para Berlín el señor término de 24 horas á la comisión ana razón do Thiard. El príncipe Jablonowskl, senador palatino .todas las mercancías procedentes del comercio in­ del ducado de Varsovia , ha vuelto al gran ducado. gles , recibidas y despachadas dé un…</t>
  </si>
  <si>
    <t>Jacinto, Diego</t>
  </si>
  <si>
    <t>Diego Jacinto</t>
  </si>
  <si>
    <t>clase, puerto de mar habilitado. Fechas de los re­ Su £ cibos det recau­ nume­ dador. ras. Dias de las en­ tregas di las I Derapareu.es. [ cha. 20644 D. Diego Jacinto. Comerciante por mayor. Primera. xo de enero. 64 13 de enero. 1600 Firma del intere­ Media firma del presiden­ Media firma 20645 sado. te de la municipalidad. d…</t>
  </si>
  <si>
    <t>Jaco, Adrián</t>
  </si>
  <si>
    <t>Adrián Jaco</t>
  </si>
  <si>
    <t>os demas particulares. Dios guarde á Y. E. muchos año3. Quartel general de Cañete, 18 de marzo de 1810. —Excmo. Sr. : Francisco González.— Excmo. Sr. D Adrián Jaco me. 2.» Ofi-.w. „Excmo. Sr. : Con la mayor complacencia, y parala de­ bida int. ligencia de S. M,, remito sin detención á V. E. el adjunto paite que me remite desd…</t>
  </si>
  <si>
    <t>Jáco, Joaqnin</t>
  </si>
  <si>
    <t>Joaqnin Jáco</t>
  </si>
  <si>
    <t>rez , D. Diego de la Extracto de las minutas de la secretaría de Barrera, D. Diego de Lora , D. Josef María de Estado. . Cnbas , D. Francisco Ladrón, D. Joaqnin Jáco- Real alcázar de Sevilla á 7 de febrero de 1810. me, D. Antonio de los Ríos , D. Josef de la Hi­ Don Josef Napoleón por la gracia de Dios y guera y Lara y D. Jos…</t>
  </si>
  <si>
    <t>Jacobs</t>
  </si>
  <si>
    <t>o , á "quien entregó una gran cantidad de di­ pública, en ja que se leyó ün excelente discurso nero para que la distribuyese entre los habitante» del profesor Jacobs sobre la riqueA déla Gre­ que han suírido mayores danqs. cia en objetos dé escultura, y sobre lis causas dé esta 'riqueza. Hau llegado á esta ciudad algunos ofic…</t>
  </si>
  <si>
    <t>Jácome, Adrián</t>
  </si>
  <si>
    <t>Adrián Jácome</t>
  </si>
  <si>
    <t>E. para su inteligencia y gobierno. Dios guarde á V. E. muchos años. Algeciras 19 de marzo de 1810. — Excmo. Sr. — Mar­ eos Nunez Abreu. — Excmo. Sr. D. Adrián Jácome.” CADIZ; EN LA IMPRENTA REAL.</t>
  </si>
  <si>
    <t>Jacome, Adrián</t>
  </si>
  <si>
    <t>Adrián Jacome</t>
  </si>
  <si>
    <t>171</t>
  </si>
  <si>
    <t>líamos de la plaza. Se han llevado SQ£ reses vacunas y varios caballos y yeguas que encontraron en los cortijos inmediatos y del campo. —Excmo. Señor D. Adrián Jacome.’Proclama de J. Brovvn , comandante del destacamento ingles en Ta­ rifa á 22 de abril. „Bravos aliados : vuestra conducta de aj-er lia desplegado ta­ les prueba…</t>
  </si>
  <si>
    <t>JacpbpsBeLo</t>
  </si>
  <si>
    <t>. — Parral. El subdelegado D Gregorio S Mar­ tin, 10. Alcalde de primer voto^D - -.Gabriel Apodaca; 4o. Id. de 'sé-: gundo D. Gerónimo. Rey noso, io. D. JacpbpsBeLo^ "&gt;idov P. * Juan. Jg-nació SalazarT, 20 D. Joan. José Elorriaga , Miguel Valerdr, 70. D. Ignacio. Posadas , 12. D. Basilio Gutiérrez, 'io?* D. José María, Ponce,…</t>
  </si>
  <si>
    <t>Jaebete, Agustín</t>
  </si>
  <si>
    <t>Agustín Jaebete</t>
  </si>
  <si>
    <t>srf Cabello y Goitia; y allí irismo, donde Para el de Cerrera á JD. Juan Aloe Lois: para dice Teniente, D. Gerónimo López Pando, deba *1 de Besande á D. Agustín Jaebete: para el de decir Teniente, Lf. Gervasio López Pando. las Arrimadas I D. Pedro Francisco del Pozo: pa­ ta el de las Grañeras á D. Antonio Rodrigu z Her­ moso:…</t>
  </si>
  <si>
    <t>Jaer, Juan</t>
  </si>
  <si>
    <t>Juan Jaer</t>
  </si>
  <si>
    <t>iolóle perdonase ia vida por su rey Fri.ruando yir, y Vias no solo se 1a concedió , sino que tambiti; lo defer.cnó de la furia de íes demas paisanos. D. Juan Jaer?, comandante del centro, d* pane que Roc.ee de Peña, de ia partida de Algañdeire, ésaió á un oficial que mandaba ura guerrilla : Francisco Sánchez mató á otro de un…</t>
  </si>
  <si>
    <t>Jai</t>
  </si>
  <si>
    <t>. 68895 8689$ De ídem ídem................................ .. 119989 i 19859 dicial al estado, y que por el contrario pueden De 150 pesos de enero de D. Jai­ prometerse grandes ventajas de este nuevo testi­ me Dot............................ 237368 327368 monio de la fidélidad» ¡oteres y patriotismo con De 300 pesos de mayo d…</t>
  </si>
  <si>
    <t>Jaime</t>
  </si>
  <si>
    <t>tiempos las otras ilustradas naciones de la un libro de cuentas del año 1323 , perteneciente al Europa, que tanto muerden y satirizan ahora á la Reí D. Jaime 11, hai una partida de 25 sueldos española? Finalmente, ¿qué mas podia apetecerse barceloneses (que hacen 160 rs. vn.) por la com­ en el saber de entonces para asegurar …</t>
  </si>
  <si>
    <t>umagai (D. Lorenzo), cabo de tiradores del art. iv. Los ioiivideos de las religiones su­ mismo. primidas son dueños de toda su ropa y de todos Gaist (D. Jaime), capitán en el Real Irlandés. los muebles que adornan sus celdas. Giudice (D. Emilio), subteniente del Real Exart. v. Los religiosos y religiosas que no ¡go­ trangéro.…</t>
  </si>
  <si>
    <t>Jalir, Faustino</t>
  </si>
  <si>
    <t>Faustino Jalir</t>
  </si>
  <si>
    <t>sidente. ,,j . .v-rr rtas y de las Indias. Hemos decretado y, decretamos lo siguiente: : Jueces. f , articulo 1. ,,Los .presidentes de las juntas i.° D. Faustino Jalir.ld Sabtds. criminales extraordinarias establecidos en virtud de ~* D, Julián Solazar. ^ y •. rr nuestro decreto de 1-9 de abril anterior, y 4 del 3* D. Alexand…</t>
  </si>
  <si>
    <t>Jará, Langsdoilf</t>
  </si>
  <si>
    <t>Langsdoilf Jará</t>
  </si>
  <si>
    <t>ra corte ha resuelto obrar en un todo de cripción Je un número considerable de plantas nue­ acuerdo con el gobierno trances, á fin de excluir vas. El doctor Langsdoilf Jará principio á la pu­ de¡ continente todas las mercancías procedentes de blicación de su viage por la descripción del Brasil, Inglaterra. Eí Reí de PtU ia.to…</t>
  </si>
  <si>
    <t>JarIsberg, Wedil</t>
  </si>
  <si>
    <t>Wedil JarIsberg</t>
  </si>
  <si>
    <t>as ó menos aquí que en el resta de Ale­ También han asignado los estados una cantidad de- mania. tciminada para los gastos, de la casa-de S. A. el El conde Wedil JarIsberg, que fhe enviado de Principe Real. Dinamarca en i ónifes, ha salido de aquí para VieLa dieta antes de concluir sus sesiones nombra­ na con el mismo cirá;ic…</t>
  </si>
  <si>
    <t>Jarri</t>
  </si>
  <si>
    <t>eo del Rin inferior Los dos regimientos de infantería de líaea da contiene las noticias s¡gu¡eates.de.JLÓQdret de techa qu; se compone la brigada del general Jarri, y que del 19 de marzo: llegaron aquí anteayer, han marchado hacia el Ría „ Anteayer (dice el Morning- chronicle) ha lle­ superior. ...........^ gado un buque parl…</t>
  </si>
  <si>
    <t>Jáuregai, Marcos</t>
  </si>
  <si>
    <t>Marcos Jáuregai</t>
  </si>
  <si>
    <t>ndrés Martinez Pínillcs, D. Joan f ran­ cisco Salido, D. Juan Corral, D. Francisco Corral, D. Pedro An­ drés Gómez, D. Juan Sánchez, D. Jo;é Segovia, D. Marcos Jáuregai, D. Femando Negra, D. Joaquín Antonio Navarro y D. Antonio Ximenez; y á subtenientes, a D. Manuel Moreno y Vá­ rela, D. Gabriel Antonio Fernandez Alexo , D. G…</t>
  </si>
  <si>
    <t>Jáuregui, Ignacio</t>
  </si>
  <si>
    <t>Ignacio Jáuregui</t>
  </si>
  <si>
    <t>s.................. 15019 DA Rosa de la Peña, y en su nombre su D. Vicente López Rodríguez...... . 171902' • marldoD. Manuel Pico Santístébán. 1312'y D. Ignacio Jáuregui....... ..................... 20020 D. Manuel Sánchez Toscaño, pór sí y ! D. Gabriel Louguet.............................. 3600 como apoderado de D. Miguel de…</t>
  </si>
  <si>
    <t>Jáuregui, Josef</t>
  </si>
  <si>
    <t>Josef Jáuregui</t>
  </si>
  <si>
    <t>rreglo á los establecimientos navales. Mendiberri, D. Manuel Mandli, D. Dionisio Lasart. iii. Nuestro ministro de Marina queda serra , D. Lnis Duran, D. Josef Jáuregui, D. Auun gran chasco el no hacerlo asi. te que su estilo puede confundirse con el de Mayer. En la cabatina que canta el tenor, el primer tiempo Otros dicen que…</t>
  </si>
  <si>
    <t>Javellanes, Francisco Xavier Cienfuegos</t>
  </si>
  <si>
    <t>Francisco Xavier Cienfuegos Javellanes</t>
  </si>
  <si>
    <t>e Reyna; á D. JuauDermudez &gt; dignidad de prior; ai Excmo. Sr„ D. Pedro Gravina , arcediano de C armón a ( actual nuncio de S. S. en estos reynoi) ; á D. Francisco Xavier Cienfuegos Javellanes; á D. Juan Bautista Morales; &amp; D. Francisco Patricio de Berguiza*; á D. Francisco de Bahamonde ; á D. José García de Prado; y i</t>
  </si>
  <si>
    <t>Jayme</t>
  </si>
  <si>
    <t>ndo de), teniente coronel gra­ los franceses han tomado posesión de los buquer. duado. Es. increíble lo satisfecho que se halla el comercio Beaufort (D. Jayme), capitán del regimiento i.® de Trieste con este acontecimiento, porque el va­ de infantería ligera. lor de los franceses inspira una grande confianza , y Bochirii ( D.…</t>
  </si>
  <si>
    <t>ue. los empeñaban las nuestras; solo una hizo su correría desde el puente de S. Ga­ briel hasta el olivar de Monsalve, pero rechazada en el olivar de D. Jayme experimentó lo que son nuestros soldados y el bizarro paisanage, que los recibieron á pie firme, matándoles, 6 caballos y ó ginetes, é hiriéndoles otros 8 que pudieron …</t>
  </si>
  <si>
    <t>Jbañez, Manuel Antonio</t>
  </si>
  <si>
    <t>Manuel Antonio Jbañez</t>
  </si>
  <si>
    <t>divertida. Ha muerto una jóven del octavo batallón de la milicia cívica de esta ca­ de enfermedad aguda, y ios mélicos trataban de pital , debe decir D. Manuel Antonio Jbañez. disecar el cadáver para examinar mejor lo que hu­ En el .apéndice de la de ayer , pág. 1114, don­ biera sido necesario darle á fin de curarla) peto la …</t>
  </si>
  <si>
    <t>JBergzeb'o</t>
  </si>
  <si>
    <t>ma de ta fortaleza de Silistria': se han cipe Real que debió haber sido ayer. Ei do-V'r llevado á esta función las 67 banderas cogidas al Pontin y el profesor JBergzeb'o, que han estado enemigo. Esperamos dentro de pocos dias la rela­ presentes á la disección del cadáver del Príncipe, ción circunstanciada de la toma de Silist…</t>
  </si>
  <si>
    <t>JbscfNapojeoti</t>
  </si>
  <si>
    <t>tado la ciu­ Zaragoza i% de abril. dad de Huesca por sn buena conducta , por su obe­ El Excmo. Sr. conde del imperio Suchet, go­ diencia al señor REÍ D. JbscfNapojeoti r, y ,&gt;or la bernador general de Aragón, queriendo honrar al prontitud con qne ha obedecido y puesto en exerespetable obispo asxTiur de Zaragoza D. Miguel cuci…</t>
  </si>
  <si>
    <t>Jbsef</t>
  </si>
  <si>
    <t>rahcjiffd llfn*|es 'y' T). Juan . fr.*ít 1 &gt;»d ton^ *i .d ./iLj nK3 Campara* de ■ Mós tSer 'de d: /6b .plaaasn'C Ff TSn¡enfe$?’!jb?K?^dn»Í' Üéritcaf' D. Jbsef Capitán , D. P’áiciíal *¥or&amp;jon.'- 3n ‘í Tp*M«atq,r^)/Min»¿V. Te-jevía. Y, iYW' mó Bosqne,tj-Jv\ &gt; 0? ^ Vj, ,s y5:Vji,_...... , Subteniente , D. Juan Subtenientes»' D. …</t>
  </si>
  <si>
    <t>Jcsef</t>
  </si>
  <si>
    <t>Dávila (D. Luis), comandante de la guardia no­ ble de Granada. ESPAÑA. Diez Govantes Bizarron (D. Juan de), Granada ai de frtarzo. Enriqcez de Luna (D. Jcsef), fiscal que fee de la chancillería de Granada, Si pudieren reunirse las ideas luminosas qne Emíquez de Luna (D. Gonzalo), teniente Coronel S. M. esparció en los varios …</t>
  </si>
  <si>
    <t>JDroaet</t>
  </si>
  <si>
    <t>s de Lisboa son tan obscuras ,y co­ cilitar la llegada ;de provisiones y, la marcha dej municadas, detona maniera tan imperfecta,.que es exército del general JDroaet.. Con estos refuerzos Imposible formar una^ justaidea de la posición ac­ pqede. Massena ponerse en estado de acometer la lí­ tual de Jos diferentes cuerpos; de m…</t>
  </si>
  <si>
    <t>Jé, María</t>
  </si>
  <si>
    <t>María Jé</t>
  </si>
  <si>
    <t>ade y Casadavant.......................... ' 3OO78 ' D. Santiago Fautrier......‘iU.'.v../.. 4707. Doña Dionisia de Urrochi.. ■21600 D. Josef Joaquin, Doña María--Jé- - - : L D. Angel de Urruchi............................. •234OO sus y Doña María Teresa de Zapiairt " ■ ■ ' • D. Isidro.Agustín de Herrera........ . 26820 y Larr…</t>
  </si>
  <si>
    <t>Jes, Pablo Francisco</t>
  </si>
  <si>
    <t>Pablo Francisco Jes</t>
  </si>
  <si>
    <t>176 guillas del valle de Jos Majuelos, que linda Una viña de 400 cepas, en la fuente del Vi­ con la vereda que va á Sacedon de Canano , que linda con D. Pablo Francisco Jes y tierra de D. Manuel Amorós, y se Ortiz.............................. ......... ...................... 18 3 96 compone de 1020 cepas vivas y 5 t mar­ Una…</t>
  </si>
  <si>
    <t>Jeta</t>
  </si>
  <si>
    <t>e también los suyos Yo no quiero p*rec«^nié'i ellos. ya que tantas ganas le tiene. Si me dice que un crítico Dios me libre. Asi es que no me firmo ni D. Jeta , ni no está obUgado á manifestar el suyo, yo le responde­ -D. Gregorio. ni D Palom'que, ni 2). Castañas-; ni soi d» ré: ,,señor agresor, «I que critica con hombría de b…</t>
  </si>
  <si>
    <t>Jie-Lérida</t>
  </si>
  <si>
    <t>Gaceta de Madrid n.º 17</t>
  </si>
  <si>
    <t>que ia junta ha echado mano de está gente par * ,,'De vmd. afecto- servidor = Josef Gonzahzy ra que le doren sus píldoras 1 El demonio son estos poe­ gobernador Jie-Lérida."......... tas. Yo los quiero mucho, y no hai cosa que mas rñe divierta que un trozo de buena poesía; peró es menester confesar que en general tienen mui m…</t>
  </si>
  <si>
    <t>Jiermógencs</t>
  </si>
  <si>
    <t>Agustina: de muchos pe­ íido menos malo. dantes er izados , loquaces, presumidos de saberlo todo, K¡ desenlace carece de novedad. Desde el momento Un D. Jiermógencs; de muchas farsas monstruosas, lle­ en que Roberto pierde la carta en que describe con su nas de disertaciones morales, soliloquios furiosos, ham­ natural malicia…</t>
  </si>
  <si>
    <t>Jijan</t>
  </si>
  <si>
    <t>ez , 8. D. Juan Ceballos, 20. D: Francisco Oírnos i SO V. Fran­ cisco Xavier Chaves, 10. Varios individuos 169-y 3- ts-, — yuta HéV Jüqtnhre de Djp$¿ D. Jijan: Amonio Yandiola^ 5a íy&amp; Jasé Antonioi^o-1 pena,; 59. ,D. Domingo., Sarácho , 10. Ramón; Gár&amp;y^lio. D. Freií-; ci$co Antonio Saenz, 25*. D. Bernardo Fernandez ,-2-5". D…</t>
  </si>
  <si>
    <t>Jíuregui, Francisco</t>
  </si>
  <si>
    <t>Francisco Jíuregui</t>
  </si>
  <si>
    <t>lácida Mingura, 12. D. Juan José Atenas, 50. D. Santiago Abren, 30. D. Juan Capistrano Zubia ,8. D. José María Porras ,8. D. Ber­ nardo Martínez 200. D. Francisco Jíuregui, roo. José Pablo Bracannonte, 39 y 3 rs. Ramón Hernández, 1 xa.--Valle de S. Bartolomé. Don Estéban Mata, 10. Doña María y Doña Juana Urquidi, 50. D. Juan …</t>
  </si>
  <si>
    <t>JLarbanois, Josef</t>
  </si>
  <si>
    <t>Josef JLarbanois</t>
  </si>
  <si>
    <t>regimiento de caballe­ Formalaguer teniente de ia compañía fixa de arti­ ría I%eiMT1 de la guardia real á D.' Josef Aie'xandro lleros deoMilaga; y á D. Josef JLarbanois capitán Bo$c c'ofxíaH'dante^ dé ¿squadroh ; á D. Leopoldo de la compañía de inválidos provinciales hábiles de Ber’tolet ¿u^itárt;'i-D. Juan Baiirista Dupúi ay…</t>
  </si>
  <si>
    <t>JLatorre</t>
  </si>
  <si>
    <t>n notables diferencias en lasafirmas, porque suprime unas y añade otras. No es fácil discurrir la causa de esta falta tan esencial da'exac­ titud del secretario JLatorre, que es eptien depone de la conformidad*de la copia con el original. (8) Es la que antecede. Las lastimas que se ponderan en la primera, estan esforzadas tod…</t>
  </si>
  <si>
    <t>Jlermógenes</t>
  </si>
  <si>
    <t>, esto no está en Aris­ ,,Peru Moliere , Terencio , Aristóteles........ ..... Vava, tóteles; pero haga vmd. por leer lo que dice sobre esta vaya. Sr. D. Jlermógenes, tome vmd. cafe , y dexe vmd. materia un tal Air. Diderot, y le gustará á vmd. de ve- en paz a esta buen 1 gente, que todos dicen á boca is­ xas, si acaso lo enti…</t>
  </si>
  <si>
    <t>Jlint-glass</t>
  </si>
  <si>
    <t>la navegación. El señor Dufougerais , di­ ñas y de las Indias. rector de esta fábrica , se ha dedicado á fabricar el ,, Hemos nombrado y nombramos al consejero Jlint-glass, especie de cristal con que se hacen de Estado Di Pedro de Mora y Lomas , inten­ las lentes acromáticas que usan continuamente los dente actnal de la provi…</t>
  </si>
  <si>
    <t>JLrran, María del Carinen</t>
  </si>
  <si>
    <t>María del Carinen JLrran</t>
  </si>
  <si>
    <t>rona de Aragón.... 49833 l4 nes que nos parecen útiles. Doña María de Pinedo y Huid........... 3032 17 Los gramáticos han dividido en ocho clases to­ Doña María del Carinen JLrran........ 3 131 18 dos los elementos del discurso humano , llevados D. Mariano Plerran................................... 31'it itf de que en este no…</t>
  </si>
  <si>
    <t>Jnngrus</t>
  </si>
  <si>
    <t>Gaceta de Madrid n.º 341</t>
  </si>
  <si>
    <t>ana comitiva mui numerosa. se elevó su globo , la culpa está en todas las demas Ayer llegó S. A. R. el Principé de Suecia, que gentes, y no en él. El profesor Jnngrus ha toma­ viene de Copenhague. S. A. ha recibido á las per- do por su cuenta impugaar al-señor Claudias; de sooas mas distinguidas de la ciudad. Al medio dia1 ma…</t>
  </si>
  <si>
    <t>JnrefTubó</t>
  </si>
  <si>
    <t>ubtenientes. D. Juan Ncpomuceno Rosales. D. Josef Vargas. D. Julián Castañou. D. Diego Giraldo. D. Juan Crespo. D. Andrés Almarza. D. Antonio Reyelo. D. JnrefTubó. D. Joaquín Pacheco. D. Pedro Josef Mayora. D. Esteban Bains. D. Modesto faLcios. Tenientes. D. Juan Paredes. D. Agustín Ugarte. D............................... D.…</t>
  </si>
  <si>
    <t>Jo, José de Mazarre</t>
  </si>
  <si>
    <t>José de Mazarre Jo</t>
  </si>
  <si>
    <t>d Napoleón Bonaparte. A S. M. I. y B. Napoleón , emperador de los franceses , rey de Italia, protector de la confederación del Rhin, Igc- T&amp;c. \dc. — D. José de Mazarre Jo , capitán y director general de la real armada del rey católico José Na(1) Sobre esto había macho que decir. Acierte ó yerre 'Napoleón , separe ó no gobier…</t>
  </si>
  <si>
    <t>Jo, Juan</t>
  </si>
  <si>
    <t>Juan Jo</t>
  </si>
  <si>
    <t>reonacia de D Cris-; Para el de la iglesia parroquial de santa Ana tóbal López Ortigosa, á D. Joan Godoi, ex-re-, de la misma, vacante por muerte de D. Juan Jo- guiar del orden de franciscos descalzos. sef de Vargas, á D. Francisco de Paola Torrado, Para el de la iglesia parroquial de la villa de. ex-regular de agustinos calz…</t>
  </si>
  <si>
    <t>Jo, M W</t>
  </si>
  <si>
    <t>M W Jo</t>
  </si>
  <si>
    <t>^I''' $' £fc¡ Pédroí Rubio....v..;........... . 114056 24 . Doña Bárbara Fornier........... ni.-.; ;.... ’ iaaO ^ D;xJdád Bautista Irribarren , conio Doña M¿W Jo&amp;fn de.AguiláriL...... 89X4Í/J t administrador‘délas memorias funDoña^íajía Magdoaell................ 97¿'i6! -j'dadas por D. Diego Ramírez y su La ditecciou íii4rogr…</t>
  </si>
  <si>
    <t>Joa</t>
  </si>
  <si>
    <t>obernador general, Quarta ídem. Capitán D. Juan Hernández, te acompañado de todo el estado may r, salió a caba­ nieute D. Antonio Cabrón, subteniente D. Joa­ llo á encontrarse con S. M. á media legua de Córquín Q iicoza, otro, D. Francisco Villegas. . doba. También le recibieron mas »llá de ¡as puer­ Tiradores. Capitán D. Fer…</t>
  </si>
  <si>
    <t>sospe­ teniente de ingenieros á D. Me chor Julián de Ge­ char, con mucho fundamento, que confunden sus rona : subteniente del cuerpo de artillería á D. Joa­ pasiones particulares con los intereses del estado. quín de Espejo \ Di-eña- : capitán del cuerpo de En el dia que el mal éxito de las expediciones for­ artillería á D. J…</t>
  </si>
  <si>
    <t>rán en pe vice-condestable; el príncipe archi-canci.ler; el SU trono, y el resto de la comitiva en el orden que príncipe Eugenio, virei de Iraiia; ei príncipe Joa­ sigue: quín Napoleón , R&lt;-i de Ñapóles ; el príncipe Bor- A la derecha del Emperador, m-s abaxo del gbese, duque de Guastala; el príncipe Gerónimo estrado, el prín…</t>
  </si>
  <si>
    <t>ugada el batallón de Lemus en su corta fuerza de 300 hombres escasos , con 30 caballos , mandados por sus bizarros comandantes , D. Antonio Ponce , y D. Joa­ quín de Mera, auxiliados por la primera partida de patriotas castellanos, que manda D. José Armengol, capitán del regimien­ to de infantería de Fernando VII, que juntos …</t>
  </si>
  <si>
    <t>—- Señor. — Salvador Melendez. — Fernando Dávila. — Juan José de Llobes. — Vicente Piz2rro. —Ma­ nuel Hcrnr.1. — Doctor Francisco Marcos SantaelJa. — Doctor Joa­ quín de Torres Duran. — Licenciado Juan Antonio Mexia. — Vicen­ te Becerra. — José María Dávila. — Francisco Sauri.” En el real cuerpo de guardias de Corps ha promov…</t>
  </si>
  <si>
    <t>García de Francisco Perez y Atienza: para la de Maracena Lira: para la de Monte frío al ex-carmelita descal­ al ex-gu-ardian y predicador franciscano D. Joa­ zo D. Mateo del Arco, lector de su orden: para quín- Enamorado: para la de Asquerosa al ex-fran­ la de Turón al ex-agostino calzado D, Juan Sán­ ciscano descalzo D. Alfo…</t>
  </si>
  <si>
    <t>entes de las haciendas de Bocas y sus anexas , 441 y 2 rs. D. José María Lovato, 80. I). Lorenzo Santa María . vecino de Tacotal pa de Tabasco , 100. D. Joa­ quín de Santa María, vecino de id., 25. D. Manuel Surria, vecino de Teapa, 100. El cura de Azoyú y sus feligreses, 325. D. Juan Antonio Aguilera , su esposa é hija , 150…</t>
  </si>
  <si>
    <t>ESPAÑA. ; Cartdores á caballo á D MamuTRifa*, D. Joa­ quín Vázquez y D. Francisco Bermedó-subtenicn: . Madrid 13 de julio. tes. En el! i.f-de cazadores á caballo á I). Floren­ l~' Pb’r varió* decictos de ió del corriente se ha tino Lezaraa subteniente. Y final</t>
  </si>
  <si>
    <t>mbién fue majuelo, como de una celan, y 4 estud., que linda á oriente, po­ fan., en el lomo que fue partición con Ma­ niente y norte con herederos de D. Joa- nuel Bonifacio Sanz...................................... 6..17 143 quin He'r.inz................................................... 3 9-'7 869 Un majuelo con &lt;5co cepas…</t>
  </si>
  <si>
    <t>or la his­ D. Jorge Ostman á capitán de la segunda com­ toria , ninguno de los historiadores qoe han refe­ pañía del primer batallón en la vacante de D. Joa­ rido sus opiniones filosóficas le ha atribuido la del quín de Cuevas. - deísmo; y en su sistema era tanto mas inútil D in­ D. Luis Duran k teniente de la misma compa­ te…</t>
  </si>
  <si>
    <t>Joa, Joset</t>
  </si>
  <si>
    <t>Joset Joa</t>
  </si>
  <si>
    <t>abandonada , con bolero, D. Alexandro Burquiere....... ......... 4602 2$ y el sainete titulado los Músicos y Danzantes, en el que La testamentaría de D. Joset Joa­ habrá un baile de paloteo, con varios grupos nuevos. quín de la Hormaza...................... 71079 u En el de los Caños del Peral, á las siete de la no­ D. Agustí…</t>
  </si>
  <si>
    <t>Joan</t>
  </si>
  <si>
    <t>o general de creto. = Firmado = YO EL REI. = Por S. M. el policía en la provincia de Búrgos. gran canciller de la Orden Manuel de Ncorete y Moriarty (D. Joan), capitán del tegumento nú­ de la Torre.” mero 1.°, brigada irlandesa. «KAN CANCILLERÍA DE LA Ó ADEN REAL Murga (D. Josef de). DE ESPAÑA. Muriel (D. Andrés), dignidad de…</t>
  </si>
  <si>
    <t>e paños y comercio, Argote, D. Rodrigo Fraz de Mesa, D. - Diego ‘ Ids nobles y demás personás de diitlncion i.convi­ Baeoa y Rasé, D. Ramón de Hoces, D. Joan de ' dadas todas por Ja municipalidad según sr CostumMolina. , *..*•* bre.Enel resto de lá iglesia estaban loé"veedores ' "Tenientes. J&gt;.Teodosio Sancho, D. JosefVaz- é …</t>
  </si>
  <si>
    <t>ente de granaderos D. Vicente Esca­ lante ; k tenientes , á los subtenientes D. Francisco Tajuelo, D. Antonio P.mentel , D. Andrés Martinez Pínillcs, D. Joan f ran­ cisco Salido, D. Juan Corral, D. Francisco Corral, D. Pedro An­ drés Gómez, D. Juan Sánchez, D. Jo;é Segovia, D. Marcos Jáuregai, D. Femando Negra, D. Joaquín Ant…</t>
  </si>
  <si>
    <t>rió ayer en aquel puerto A las quatro de la Viena a 8 de setiembre. tarde los navios ingleses el Héroe y el Dictador Se confirma la noticia de qoe el príncipe Joan de destacaron dos lanchas con el objeto de apoderar­ Lichtenstein, feld-mariscal austríaco, que firmó el se de un corsario dinamarqués de ó cañones y 30 tratado de…</t>
  </si>
  <si>
    <t>calde de primer voto^D - -.Gabriel Apodaca; 4o. Id. de 'sé-: gundo D. Gerónimo. Rey noso, io. D. JacpbpsBeLo^ "&gt;idov P. * Juan. Jg-nació SalazarT, 20 D. Joan. José Elorriaga , Miguel Valerdr, 70. D. Ignacio. Posadas , 12. D. Basilio Gutiérrez, 'io?* D. José María, Ponce, 10. D. Francisco Cienfuegcs, 30. D. José Crivelli, 35, …</t>
  </si>
  <si>
    <t>Joan, Jorge</t>
  </si>
  <si>
    <t>Jorge Joan</t>
  </si>
  <si>
    <t>ciales en diferentes comisiones, via de suplemento se publica también un opúsculo se confió algunos años después el desempeño de ó tratado inédito de D. Jorge Joan sobre la fábri­ obra tan importante á los capitanes de fragata Don ca y uso del quarto de círculo, tanto mas apreciaCosme Churruca y D. Joaquín Francisco FidaRo, b…</t>
  </si>
  <si>
    <t>Joaquín</t>
  </si>
  <si>
    <t>de la ranizados puedan gozar en perfecta paz de la vista junta criminal extraordinaria. de tan benéfico Soberano para cicatrizar las llagas Aldamar (D. Joaquín), intendente de Extrema­ de los males que los afligen ; y oxalá todos los pue­ dura. blos de la Monarquía puedan poseer prontamente Badia ( D. Domingo)', intendente de…</t>
  </si>
  <si>
    <t>nis­ las relativas á provisiones suplidas quando el exér­ terio de la Justicia. cito británico pasó por Fiasencia. Tengo el honor Uria y la Quintana (D. Joaquín), alcalde de de ser con roda consideración, = Excmo. Sr.cc De Bilbao. V. E. su mas atento seguro servidor = WelliogVitoria ( D. Ramón Policarpo). ton. = A la junta su…</t>
  </si>
  <si>
    <t>miento serás Málaga á 7 de marzo de 1810. los que á continuación se expresan: Don Josef Napoleón por la gracia de Dios y Capitanes. D. Nicolás Muñoz, D. Joaquín por la constitución dei estado, REI de las Espa— Cueva, D. Diego 1 opez, el conde de la Quinte­ ñas y de las Indias. ría, el conde de Guadiana, D. Manuel Brc«ca, Hemo…</t>
  </si>
  <si>
    <t>l intendente de Madrid. ga y D. Nicolás Lesso y Garro, racioneros de la art. ni. Nuestro ministro de Hacienda que­ misma; á D. Miguel Luis González , D. Joaquín da encargado de la execucion del presente decre­ de Reina y D. Francisco de Sales Rodríguez, me- to. = Firmada = YO EL REI.es Por S. M. su mi­ rdios-racioneros de ell…</t>
  </si>
  <si>
    <t>D. Antonio Herrera. Subtenientes. D. Joaquín de b Paliza. D. Juan Manuel Montero. D. Fausto Foronda. D. Estéban Moreno. D. Fermín María Uria y Nafarrondo. D. Jacinto Perez de la Torre. D. Josef de las Barcenas., D. Gnillelmo González Saez. D. Cla</t>
  </si>
  <si>
    <t>...........»t»5 D. Sátnrnitio Ñrer;.v.v..v;.,.;v;;..i.«.i' 1200 ,r P, Jqaa.Malnerp.------ —...........«.ui.a-'j , j a79f;2'5» D. 'Juiían, D. *Angel y D. Joaquín ]3. Josef ^^erlo. ^...... i.........i.» * ^^íÉlo, ^ x Solano de Ocejo...v..................... . 59308'16' D. ManueiFranciscade AguirreC hijos. r^78724'.17 La real ás…</t>
  </si>
  <si>
    <t>Joaquin</t>
  </si>
  <si>
    <t>............................... 19845 D. Femando Fon!.................................. 4~- e D. Mi gu-4 de Lizarjzu........................... 4-95^ D. Joaquin l: z 32136 216so Doña Vicenta García Bravo................ 18124 27 D. Fermín Ze'ayeta................................ 15220 La n-a do .-Vbert é hijos................…</t>
  </si>
  <si>
    <t>presagio ,,_yc vo •*%~ no dé^c%hfilo(tÍé qééoftóíaMím ^^fétoo— DióS;aguarde .4 V. E. Ráemeitmio d&amp;tfr&amp;lOÍ -^Exorno. señor. — Litis Lacy. — Excmo. Sr. D. Joaquín tve.” — ’ TÑUÍVí.' Irtif • 'Qéiiéidú^'^Xfl de fuñid d* mandria. H Exorno! Sri Empiíéñdúla marcha1 desde S. Roque á este</t>
  </si>
  <si>
    <t>és niénos^ éonocida.Las guerras •CalVO.1 - ; 4 *• i-.‘ [i:-: ... sangrientas que ha teñido con las poteñciasvecinat Para la de S. Juuval ex-agustino D. Joaquín huí falsificado cada -foraños .los cómputos hechos Orillo. r. j &gt; anteriormente. Las del famoso Carlos xa-disminu­ Para la de Sta. María al ex-capuchino D. Ge-, yeron …</t>
  </si>
  <si>
    <t>guardia real. Godanis ( D. Renato ) , sargento primero de arti­ Bouchet (D. Luis), capitán, ayudante mayor de llería, ídem. granaderos, ídem. Gómez (D. Joaquín), sargento de húsares, idem. Boode (D. Francisco), granadero,-idem. Garrís ( D. V icentt ), ayudante del mismo cuerpo. Bou'g (D. Pedro), cabo del mismo cuerpo, ídem. G…</t>
  </si>
  <si>
    <t>ministe­ tiradores , ídem. rio de Marinas Michel ( D. Pedro), sargento de granaderos, idem. Sanz (D. Francisco), sargento de húsares de nues­ Moneda (D. Joaquín de la ) , eapitao retirado. tra guardia real. Montaibo y Ta bares (D. Joaquín), capitán de ca­ Scheün (D Santiago), granadero., ídem. ballería. Sedaño (D. .Eustaquio …</t>
  </si>
  <si>
    <t>pesar de ignorar el Ladrón de Guevara y D. Bartolomé Otero : y pa­ objeto de la marcha , manifestaban en su ademan ra abanderados á D. Juan Cervera, D. Joaquín y serenidad que se creían capaces de las empresas Villaplani y D. Aiíonso Guerrero. mas arduas y arriesgadas: la pequeña colana de art. iii. Asimismo nombramos pira ca…</t>
  </si>
  <si>
    <t>1038 reales exércitos, á los coroneles de artillería D. Joaquín de laPezuela y I?. Francisco Xavier de Carasa, concediendo al mismo tiempo al prime­ ro la subinspeccion del departamento de Lima. Antes de ayer fondeó en este puerto el navio de guerra ingles huirte 9 capi</t>
  </si>
  <si>
    <t>Joaquin, Josef</t>
  </si>
  <si>
    <t>Josef Joaquin</t>
  </si>
  <si>
    <t>aeso...l.9000 Boulade y Casadavant.......................... ' 3OO78 ' D. Santiago Fautrier......‘iU.'.v../.. 4707. Doña Dionisia de Urrochi.. ■21600 D. Josef Joaquin, Doña María--Jé- - - : L D. Angel de Urruchi............................. •234OO sus y Doña María Teresa de Zapiairt " ■ ■ ' • D. Isidro.Agustín de Herrera.....…</t>
  </si>
  <si>
    <t>Joaquín, Manuel</t>
  </si>
  <si>
    <t>Manuel Joaquín</t>
  </si>
  <si>
    <t>de re­ ligiosos agustinos de esta capital,&gt;9. El convento de religiosas de Jesús María, 40. D. Domingo Lardizaba! , tesorero da la aduana, Y su hijo D. Manuel Joaquín , 40. Ei marques de Santa Cruz de Inguanzo, 49. El conde dei Peñasco y su padre, por mitad, 49. La marquesa de Vivanco, 40. El presbítero D. J sé Manuel Fiores …</t>
  </si>
  <si>
    <t>JoaquinLopezGijon</t>
  </si>
  <si>
    <t>de la .propia ciudad de Graoada , á -D. Diego Leopor ñutirte dé D. Juan Antonio Pefez Montoro, vigiído de la ,0 i va, teniente de cilla: de Alhama. ú D. JoaquinLopezGijon , ex-régularde agutti-íi iP.fir-c-et-de ia iglesiii parroquial del lugar de Pi­ nos descalzos. /* .... / fiar-, .-que resulta vacante, por promoción de Don …</t>
  </si>
  <si>
    <t>Jócano, Sebastian</t>
  </si>
  <si>
    <t>Sebastian Jócano</t>
  </si>
  <si>
    <t>ió , constando en el expediente que los vocales em­ barcados en dicha fragata eran él conde de Gimonde, el vizconde deQuintanillá, D; LorenzoBónifaz, D. Sebastian Jócano, D. Fráncisco.Cas­ tañedo y D. José García de la Torre; que la delación dada por D. Fran­ cisco de Noceda de que tenían como 300 baúles dé oro y plata era ca…</t>
  </si>
  <si>
    <t>JoLas</t>
  </si>
  <si>
    <t>ben sacar muchas Vicente Membrillera : en el regimiento de Córdo­ utilidades de este nuevo orden de cosas. ba, 7.° de infantería de línea, teniente á D. JoLas relaciones comerciales de la Saxonia con el stfv arela, que lo fue graduado de capitán del de Levante son mas activas cada dia ; y aunque los Ñapóles, y subteniente á D…</t>
  </si>
  <si>
    <t>Jolivet</t>
  </si>
  <si>
    <t>que ios mitíis-* tros la han descuidado en estos términos? C &gt;n la Harían 1J de mayo. mira de despojarla de todo su poder y considera*S. E. el señor conde Jolivet hizo ayer la en­ cion, para hacerla despreciable, y para no verse trega de nuestro principado al conde Beust, comi­ jamas en la precisión á echar mano de ella en ia…</t>
  </si>
  <si>
    <t>Jolos</t>
  </si>
  <si>
    <t>ed ra de riego, con 200 pies de término de Santa Fe , los 29 de olivos, en rérminodel lugar de riego en el pago del Salado j y Niguelas, arrendados a D. Jolos rt restantes plantados de set Xin.eiicz, vecino del Durviña en 2 pedazos, con algu­ cal, en................................... IOOO 12000 nos olivos y una casa en' la Q…</t>
  </si>
  <si>
    <t>Joppi, Mateo</t>
  </si>
  <si>
    <t>Mateo Joppi</t>
  </si>
  <si>
    <t>de navio Hamelín informó queda sombrado capitán del regimiento de cazado­ inmediatamente al capitán general Decaen que ha- res á caballo ndm. i.°, y D. Mateo Joppi capitán bia iido separada de ia fragata la Mancha por una de caballería de línea. borrasca que padeció el 19 de diciembre: al mismo Por varios'decretos de 5 del co…</t>
  </si>
  <si>
    <t>Jorge</t>
  </si>
  <si>
    <t>; y este'es el reino, por varios sabios astrónomos, entre los quaobjeto de la memoria primera que ahora se da á les son dignos de memoria los señores D. Jorge luz , para inspirar al publico la confianza que debe Juan, D. Josef de Mazarredo, D. VicenteTofiño, tener en la exactitud y prolijidad de los medios, D. Joan Francisco …</t>
  </si>
  <si>
    <t>Gaceta de Madrid n.º 206</t>
  </si>
  <si>
    <t>903</t>
  </si>
  <si>
    <t>scenderán á timas ha adquirido uoa gran perfección desde que unos 250 soldados de m-ripa y 30 artilleros. En la está baxo la dirección de S. A. I. el príncipe Jorge isla no hai aingun a.macen de mercancías inglesas, de O demburgo. Los transportes de io interior, y las pocas que se hallan pertenecen á un comercian­ tanto para …</t>
  </si>
  <si>
    <t>JorgeEinsietdel</t>
  </si>
  <si>
    <t>del viage que Escriben de Kioethta,con fecha de 24 de mar-» ha hecho al ducado de Varsovia, , zo, que en el discurso del ano pasado han compra­ _ -El conde JorgeEinsietdel ha llegad de Rusia, do los chnos por el valor-de 1.199,311 rublos* y determina sajir dentro de pocos días para Pa­ tanto de gé *eros rusos como de mercancí…</t>
  </si>
  <si>
    <t>Jos</t>
  </si>
  <si>
    <t>ne- porfía mucho alcanza. llino á D. Vicente Go/Z'lez Batzan: oara el de Ci- En el de ios Caños del Peral, i las ocho de la no­ llanaeva y VanunciV a D Jos^f del Campo: para che, se ejecutará por la compañía italiana el primer «1 de Q.lituanas de Rueda a D Jost.f Manuel Re­ acto de las Bodas de Laureta, y el gran baile titula…</t>
  </si>
  <si>
    <t>Joscf</t>
  </si>
  <si>
    <t>caldes y de los procesos verbales en la debida forma. demas jueces de los quatro reinos de Andalucía. TITULO VIH. Encargado por S. M. católica el Sr. D. Joscf 1 del ministerio de la Justicia en estas provincias Disposiciones varias. apreciables, he creído conveniente el dar principio 48. Cada impresor estará obligado á poner …</t>
  </si>
  <si>
    <t>José</t>
  </si>
  <si>
    <t>erechura, porque siendo yo el úni­ co intendente de provincia que actualmente hay en este, principa­ do, y hallándose ausente de él ei del exército , D. José ae Jaude- • nes, es Y. E. á quita creo debo tangirme miénuas recibo sus su­ periores órdenes.” ‘■Vivo confiado en que V. E. se dignará aprobar la conducta que he observa…</t>
  </si>
  <si>
    <t>febrero último; y pa-a. este iluso consejero lá fiel y heroica Cádiz no existía. ¿Quando le ha dicho ia nación que su inferes es el mismo que el del rey José ? ¿ni quando ha renido pre­ decesores este hombre, ni como rey, ni como vasallo? rn o*ra parte, abultando unos hechos y fingisnJo otros, le d ce : Na lie podía esperar q…</t>
  </si>
  <si>
    <t>DEL MARTES 17 DE ABRIL DE 1810. Copia de una carta original que escribió, al intruso Rey José el enemigo de su patria D. Pablo Ar vivas . Ministre del departamento de Policía , Judiada en unabahja que interceptó una de nuestras valerosas guerrillas. „Señor.—La capital de V. M. esta tranquila (1). Sa habla si</t>
  </si>
  <si>
    <t>D. Melchor Alv&amp;rez y D. Francisco Cabrera: el de teniente coronel del de la Rey na á D. José Ezpeleta : subtenen­ cia en el 1.* de B dajoz al cadete D. José fiuiz : la sargentía mayor del 2.® batallón de volunrarion de Cataluña á D. Jcsé Ma­ zar raza j y grados de coronel á D. José María Olona, teniente coronel del regimiento…</t>
  </si>
  <si>
    <t>283</t>
  </si>
  <si>
    <t>rchaba ha­ cia Valencia, para donde baxaba también el general Suchet con 12c) hombres , y últimamente que dentro de breves dias tendríamos en esta al rey José : mentiras todas, que aunque no se creían, no dexaban de afligir á estos fieles vecinos. En la misma noche fueron $ oficiales á la casa de Misericordia, y trataron de e…</t>
  </si>
  <si>
    <t>icción de Acapulco, lili y 2 rs. y medio. D. Juan de Ara zaga , 100. El teniente retirado D. Juan Ncpomuceno Flores , 88. El Dr. D. Pedro Puglia, 50. D. José. Antonio Carbajal , tesorero interino de Veracruz , su esposa , hijos y cria­ dos , 250. D. José Antonio Escobar, 100. D. José Miguel de Musques, 20. Doña María Gertrudi…</t>
  </si>
  <si>
    <t>ían con pies de plomo antes de tomar un partido. Esto no es de­ cir que tu ni yo nos arrepentimos de haber seguido desde el principio , el de nuestro rey José j pero el estado de inercia en que vivimos hace 6. meses% ha entibiado los ánimos, de muchos, que se han sacrificado-por él. — El rey no está contento, ni lo puede esta…</t>
  </si>
  <si>
    <t>o, 25;. D. Feliciano Arce,,25. D Manuel Echeverría^, ^o.iD. jiian Mi­ guel Gil, 30 , D. Blas A-yarez, 52. D¿ CriscóbailPerez, 15Ó:• D^abriel rez, 25. D. José ..Suarez, 13. D. Vicente: Rodríguez , 10 Dájosé Áná3nib? Gil , 12. D. Francisco Gagiola, 10. D* Secundino Gil ,18 D. José Ma.riá Viniegra, 12. D José Antonio Sandoval , …</t>
  </si>
  <si>
    <t>José, Juan</t>
  </si>
  <si>
    <t>Juan José</t>
  </si>
  <si>
    <t>D. Alonso Sanjurjo ,y D. Fulgencio Ayalai También se ha servido S. M. conferir los empleos de Coro­ neles , del regimiento de infantería de Burgos á D. Juan José de .Olazabal; y del de Murcia á D. Juan María Muñoz : el de sar­ gento mayor del de Africa á D. Lorenzo Ascaso ; grado de tenien­ te coronel al.capitán del mismo cue…</t>
  </si>
  <si>
    <t>José, Manuel</t>
  </si>
  <si>
    <t>Manuel José</t>
  </si>
  <si>
    <t>rios de Campomaycr al. teniente. I).. Valerio de. León, subteniente agregado al mismo, cuerpo.. Discurso de un éspañol á los diputados en Cortes, por D Manuel José. Quintana. Nueva edición , corregida y Aumentada con algunas ne­ tas. Se . hallará en el despacho de Font y Clonas , calle de S. Francisco, y en eL de la caUe.de .…</t>
  </si>
  <si>
    <t>Josef</t>
  </si>
  <si>
    <t>, secretario general de la articulo i. ,, Nombramos caballeros grandes mayordomía de nuestra real casa. bandas de la Orden Real de España á Delecrai (D. Josef) , capitán de granaderos de Los Señores nnestra guardia real. Marques de Almenara , nuestro ministro de lo In­ Gallard ( D. Diego), intendente de Toledo. terior. García…</t>
  </si>
  <si>
    <t>letras : Grecia capta fernm vutorem crpit. y no podréis presumir quiera yo engaña os: reco­ En fin , la literatura mirada baxo el aspecto de noced á D. Josef i por vuestro legítimo Soberano, ocupación útil para las costumbres, y sabrosa para y haced cesar de un golpe las de'gracias que os la imaginad n, produce el efecto de r…</t>
  </si>
  <si>
    <t>otro, alguu viagero indefenso para del partido que defiende! Pero desensáñese vmd. ssñot pillarle ltX betas, el relox y el bolsillo. Pero con el bien D. Josef, y crea firmemente que bien pronto no habrá entendido que aun para esto dzben serc:ento contra uno. insurgentes en España. También tendrá S. E. la gloriarle csSiperar á…</t>
  </si>
  <si>
    <t>jada. • ; ■: r ‘ - r. 11a Rouriguez Linares, D. Maceo Borrego López, Asimismo se presentaron á S. M. lo* señores D. •Francisco de Paula Coca Cejalbo, D. Josef curas párrocos siguientes : López Saiazar, D. Joaquín Laines y Lora , D. Fran­ D. Juan Rafael Panlagua, de S. Miguel ; Don cisco Melchor de Prbgo, D. Juan Miguel Eche­ …</t>
  </si>
  <si>
    <t>, caxero. Contaduría de propios. D. Francisco González, portero. D. A rtronio Díaz Balcongo, oficial primero. Córdoba 27 de enero de 1810. — Firmado. D. Josef Madrid y Oviedo, idem 2. D. M.nuel Diez de Casto, idem 4. Asimismo la villa de Pedro Abad, de 300 ve­ D. Josef de Casas, agregado coa sueldo. cinos , á seis leguas de e…</t>
  </si>
  <si>
    <t>__ Todos estos señores, después del acto de sumi­ . . . Erija 2_9 de enero. sión , pidieron á S. M. la confirmación de sus em­ El REI nuestro Señor. D. Josef i, ai pasar por pleos : el corregidor D. Joaquín Faxardo puso en la Carlota viniendo de Córdoba., fue recibido coa sus reales-manos la erbz que tenia de la Órden de las …</t>
  </si>
  <si>
    <t>ja otra tercer colana, que conser­ do de S. E., Joan de Vega y Díaz, secsetario. ve á la posreridad mas remota .y á los navegan­ El REI nuestro Señor D. Josef 1 ha nombra­ tes de ambos mundos la memoria de ios gefes y de do gobernador militar y político de esta ciudad al los cuerpos que han rechazado á los ingleses, sal­ Excm…</t>
  </si>
  <si>
    <t>ontes Marianos Esta yedra feliz brille enlazada. Abra del Pindó la esmaltada falda. Utrera 12 de febrero. Pasó el terror helado, El REI nuestro Señor D. Josef 1 ha entrado Y el español dichoso esta tarde en esta viiia acompañado , ademas de su Te ofrece generoso guardia real , de la guardia de honor de Sevilla: Eterna su leal…</t>
  </si>
  <si>
    <t>á D. Pedro Sajravia y Sr. conde de Montarco el juramento de fidelidad y Moi'ticl, que lo fue de la de Carlos m, y que obediencia al REI nuestro Señor D. Josef i, á ia ba cumplimentado dos veces á S. M. en Sevilla, y constitución y á las leyes. en esta villa en representación de la nobleza. Por muchos que vienea aquí de la Isl…</t>
  </si>
  <si>
    <t>veres ó provisiones para Cádiz. ■ Hoi hemos tenido la satisfacción de ver entrar Dos cuerpos de exército se han posesionado d« en esta ciudad al Sr. D. Josef i, nuestro Soberano. toda la Extremadura, mientras que el de Castilla El pueblo ha recibido á S. M. con las mayores de­ estrecha y ocupará mui luego á Ciudad-Rodrigo; mo…</t>
  </si>
  <si>
    <t>tu carta de primero de octubre, dos los habitantes reconocían por su Soberano al que tu hermano ba hallado medio para hacerla lle­ REI nuestro Señor D. Josef t, y estaban dispues­ gar á mis manos. Espero tendré la fortuna de qua tos a prestarle ei juramento de fidelidad y obedien­ esta llegue á las vuestras.... Supe que había…</t>
  </si>
  <si>
    <t>274</t>
  </si>
  <si>
    <t>a hecho adoptar, ra realidades: ios quatro reinos de Andalucía es­ ¿podrán ser tan inhumanos que quieran prolongar ta» sometidos al REI nuestro Señor D. Josef 1, y los innumerables daños que sufren sus hermanos los experimentan los efectos de su real clemencia aun andaluces? Yo no puedo esperar de un vecindario, mas allá de l…</t>
  </si>
  <si>
    <t>Jóséf</t>
  </si>
  <si>
    <t>uatto memo­ marear, publicadas por ¡a dirección de trabajos rias que por primera vez publica ia dirección hi­ hidrográficost de Madrid, ordenadas por D. Jóséf drográfica de Madrid , y que por las luces que pres­ de Espinosa y Tello, gete de esquadra de la real tan ?. la geografía y á la náutica, merecerán sin du­ armada, y pr…</t>
  </si>
  <si>
    <t>Gaceta de Madrid n.º 70</t>
  </si>
  <si>
    <t>conservaré y seguiré en qualquier El 28 de febrero último entró en esta ciadad situación en que me encuentre , sin que me deten­ el REI nuestro Señor D. Josef 1., acompañado ga ningún empeño anterior, pues los deberes pú­ de los diputados que salieron á cumplimentarle. blicos me imponen esta obligación.” (The Star.) Como prec…</t>
  </si>
  <si>
    <t>responsabilidad donde debe encontrar­ sumisión, obediencia y fidelidad debidas al. REI se. La caída de los ministros esta ya próxima, y nuestro Señor D. Josef 1, y mandadas prestar por serán sin duda como $ps predecesores. &gt;,abandona— los ayuntamientos, clero y vecindarios; y multipli­ «dos en el momento mas crítico por aquel…</t>
  </si>
  <si>
    <t>clero de Motril para cumplimentar á S. M. Madrid 28 de marzo. Por la ciudad : D. Agustín Moreno, regidor AVISO. mas antiguo, sargento mayor retirado; D. Josef El gefe de la tercera división del ministerio de Ignacio RuizCampai, regidor perpetuo, maestran­ lo Interior D. Cristóbal Cladera queda encargado te de Granada; D. Fabi…</t>
  </si>
  <si>
    <t>ió á Es diferentes diputaciones, firmarían el Fado (Antonio), granadero de (a guardia real. mas brillante epílogo de política. Ya que esto no Finter (D. Josef), c.pifan de flaví» retirado, es posible, no podemos menos de indicar algunas G,rcú ( Dego), volteador de Ja compañía españo­ de las reflexiones que se han podido conse…</t>
  </si>
  <si>
    <t>el) , síndico personpro de en batalla,y por todas partes se oían repetidas sal­ Granada. vas de arii, ería. El príncipe de Neufchatei, á Doto n’gnez (D. Josef), comandante de matrículas nombre del Emperador* convidó á los caballeros y en Malaga. damas de la comitiva austríaca para que viniesen á Falces (D. Antonio), comisario…</t>
  </si>
  <si>
    <t>'44° Juncar (D. Josef) i mariscal de campo, y goberna­ mente Arribas. Estos miserables han cometido en dor de Granada. Belmez mil robos y atrocidades; los habitantes se Lacilanes ( D. Josef), mayor de la milicia</t>
  </si>
  <si>
    <t>d» (D; Miguel). que hacen para molestar ruestro comercio, no pue­ Escovedb (D: Josef). den lograr impedir la introducción de estos y otros EspinoSá: (D. Josef), regidor de Alcalá la Real. objetos. González BeltranÜla ( Don Gregorio), deán de la IMPERIO FRANCÉS. catedral de Jaén. Henri ( D ‘ Estiban), comandante de batallón. S…</t>
  </si>
  <si>
    <t>. Fúx, esforzarse S. M. ha venido en nombrar gobernador de la en engañar al pueblo ocultándole su verdadero ín­ plaza de Granuja al mariscal de campo D. Josef teres. Mientras los ministros sigan este camino; Juncar: ayuda te de la misma a D- Juan Brosei: mientras no den algún paso para obtener la paz, coronel díl &lt;uerp:&gt; de i…</t>
  </si>
  <si>
    <t>para AguiUr' ( D. Antonio de), capitán de fragata retirado. Ccmoiegne. Aguilar (D. Antonio de). Iloi saldrá para sus estados el Rei de Holanda. Cia (D. Josef de), asistente del consejo de Estado. Pareja (D Pedro), teniente de navio retirado. ESPAÑA. Pareja y Tortolero (D. Antonio), comandante da la guardia cívica de Ecija. Se…</t>
  </si>
  <si>
    <t>aeces togados, y del fiscal del crimen, nombrados del obispado de Jaén , y canónigo de su catedral, por Nos. para la dignidad de arcediano de ella: á D. Josef art. iii. Formadas ya estas jnntas, conocerán de Vega Ceüs, inquisidor qne fue de Granada, dp los crímenes siguientes: i.° Espionage corres­ ara una canongía de dicha s…</t>
  </si>
  <si>
    <t>la or los pueblos. El REI há aóuncLoo á los de la órden extinguida de Calatrava. lancha su próxi no paso por ellos ; y todos har» Vaienzuela Faxardo (D. Josef), caballeto que fu® prometido ú S. M. que á su vuelta enco'.traria con­ de la orden extinguida de Carlos m. cluidas las formaciones de las guardias cívicas, dis­ Uson (…</t>
  </si>
  <si>
    <t>na espada. villa. Ei patriotismo , valor y actividad que han mos­ El marques de Ariño, alcalde del estado no­ trado los presbíteros D. Valerio Ruiz y D. Josef ble.</t>
  </si>
  <si>
    <t>D. Josef Merlo. ípya r. vacante por promoción de. D. Mariano Pa­ Por otro decreto de la misma fecha, dado también riente , al presbítero, ex-iregular D. Josef Madrid; en Madridejos, ha ordenado la formación de una r’ . . -. i »■■■--■ ■ —■ , compañía de milicia cívica de infantería en la villa .Circular Jel excelentísimo señor…</t>
  </si>
  <si>
    <t>tres buques de villa, 3.a de línea, á D. Cayetano Calatrava; ca­ la compañía procedentes de Inglaterra con direc­ pitán á D. Tadeo López; tenientes á D. Josef ción á Bengala. El mismo dia se divisaron seis bu­ Aquinta y D. Francisco Guian, y capellán á Don ques, que fueron reconocidos al dia siguiente por Joaquín Josef de Bar…</t>
  </si>
  <si>
    <t>. Josef González de Hoyuelo. Tenientes. D........................................ Ej?Josef González. D. Tomas Arenillas. í?. Gaspar de Losas Hidalgo. D. Josef lbárreta. D. Pedro Batelú. D. Manuel Negueruela. D. Antonio Bailo. D. Ramón Rites. D. Manuel Toro. D. Josef Castro. D. Antonio Rubio. D. Andrés Saiz Dnrango. Batallón d…</t>
  </si>
  <si>
    <t>t’! 2 Teniente,.D. Josef Adrián Grifeía. , ' 1 ' Teniente, D. Eustaijiiio Htf.anz. &lt; s7tr. . , S u óteñiériiS'f.D. Fé ix RódrigiAfe; V“1 Sübtéuicnte, D. Josef áe fá 'PláM.' **“ ' J ^ . ' ‘''X |, Xí * * ' , . ) Componía de^Pezuelas^fp'ji £p plgg4t¿¿ Compañía de noq gLaz^j. r Capitán ., .üi G;/ óiíi mo Pie*LX.ata(nilIo. - ¿- ¿ …</t>
  </si>
  <si>
    <t>77® ciou déla de'óda del estado; lo expuesto por nues- D. Josef.Lopez de Aroos................. . 270000 tro ministro de Hacienda, y oido á nuestro conse­ JD. Manuel Pescador Calderón, y jo de Estado, Doña María Manuela Gómez....... .. 6300 Hemos decret</t>
  </si>
  <si>
    <t>159 estadales......... ......í... 268 .. 589* ’ já,’ de caber fanega y media, que lin­ Otra mas allá deja del Soldado, cami­ da á oriente con vina de D. Josef no de FuenlaUrada, cerca de la;era ¡ Anselmo de los Barrios...................... 24 528 de AntonioMartin.de 141 esta'dales. I$&gt;*I7 »97 Otra al camino de S. Antón, que …</t>
  </si>
  <si>
    <t>entaja de haber salvado Madrid 6 de julio. ei convoi que se le h»bia confiado. Del _í&gt;. Por decretos de 3 del corriente se ha dignado $. M. nombrar á D. Josef de ¿¿alazar y .Miranda La gazeta ministerial del reino de Italia con­ mariscal de campo de sus reales exétcitoi; i D. Luis tiene un decreto dado en Havre el 28 de- mayo…</t>
  </si>
  <si>
    <t>senten. gundo teniente. En la infantería de línea.á D. Jo- En los miércoles y sábados » desde las doce has­ téf Raimiifidó B^rdés Piler capí tan, y á D. Josef ta las dos, se dará razón del estado de las solici­ Lálger tériiértéá. fin e! regimiento de Castilla , i.°dt tudes; y para la facilidad en tas contestaciones se infante…</t>
  </si>
  <si>
    <t>otsrron,................ P~i 7 *0# baña , de 2 fin.. 7 celem. y 11 estad.. que Otro en Val de Doña Rocín, de 2 olivos, linda á oriente y mediodía cpn D. Josef linde otros del vínculo que poseen Manuel Benito Salcedo.......... ................ «4 8*8 Alonso y Nicolás Sane de Madrid **■*•••*■•» 8 66 Otra, que es un yermo parron…</t>
  </si>
  <si>
    <t>Pedro Otra en los 'eis Vjilejos , de una fan., que Josef Diaz de Vela........................................ 34 748 linda á oriente con herederos de D. Josef . Otra en la Vega, donde dicen Valdepozue- Benito Salcedo.................. .....•••;.........:..... ;• 9 *98 lo , de 4 fan., 2 celem. y 31 estad., que Un alcacer de 3 …</t>
  </si>
  <si>
    <t>pez.................. 3*5 7l5° Una cerquita en la población de Torrejon, Otra de una fan. camino de la dehesa, incor­ que linda á oriente con otra de D. Josef porada en otra de D. Manuel López, lin­ López Perales..................... ............................. 4*7 99 de á norte con el camino....... .......... ............ …</t>
  </si>
  <si>
    <t>Joséf</t>
  </si>
  <si>
    <t>to se legró mitigar ros con que estuviesen señalados para que jamas el fuego, y salvar el palacio del embaxador. pudiesen volver i la circolacíon. El príncipe Joséf ae Schwarzemberg pasó toda art. 11. La'cancelación de Jas cójalas y vales la noche buscando á su mnger sin poder hallarla. deberá hacerse todos los meses, y const…</t>
  </si>
  <si>
    <t>unas substancias in~ liemos deciettdo y decretamos lo siguiente: • jgíOas, &lt;5 empleándole de un modo nuevo , dismi­ ,, Don Pedro Angel de Gorostiza y D. Josef nuya la mitad de su dosis 6 cantidad , y produzca Ignacio de Salcedo quedan r.oir.b'adós asistentes al sin embargo ei mismo electo en quanto á iadnien— con-.ejo de Esta…</t>
  </si>
  <si>
    <t>Juan de llecimiento • de D. Bartolomé Gómez Roxo, i la ciudad de Velez-Málaa^, , vacante por muerte D. Miguel Otero, tenieóte de cora dé la misma. de D. Josef d¿ Martos , alDr. D. Fernando Vara, Y para el de la'parroquia de S. Juan de ia cura propio de la parroquia de Moclinejó.7' villa déCoin, vacante-por muerte de D. Rodrig…</t>
  </si>
  <si>
    <t>de artillería to se les instruirá tanto á bordo como en los par­ de nuestra guardia real. ques de artillería. El maestro carpintero les hará Acevedo (D. Josef de), capitán de la gnardia cí­ conocer en los buques que están eo astillero, y re­ vica de Madrid. parándose, todas y cada una de las piezas de que Aguilar (D. Francisc…</t>
  </si>
  <si>
    <t>. Luis Domiogo), administrador gene­ Auchard (D. Jo*ef), músico del regimiento de ti­ ral dei real me n age. radores de nnestra guardia real. Fienri (D. Josef) , cabo de granaderos de nuestra Bardiiloo ( D. Pedro), granadero, ídem. guardia lea i. Baudri ( D. Fiacre), sargento de tirador**, ídem. Fúurnitr (D. Francisco), grana…</t>
  </si>
  <si>
    <t>ría. Moi¡e tte ( D. Bernardo ), cabo de caballería ligera Sonvignon (D. Francisco), granadero de nuestra de la guardia rea). guardia real. Mourar-d ( D. Josef) , artillero de idem. Sr. Hiíaire (D. Augusto), ayudante mayor de ti­ Murga (D. Benito de), sargento mayor de caba­ radores , idem. llería retirado. Tamames (duque de),…</t>
  </si>
  <si>
    <t>ten . Dambli (D. Ped ro Nicolás), capitán de tiradores quedarán cercados á mas tardar para el ij de- oc­ del Real. Extrángero. tubre próximo. Dumonr (D. Josef), subteniente de granaderos art. ni. Desde i.° de noviembre nadie podrá del mismo. llevar hábito religioso. Fumagai (D. Lorenzo), cabo de tiradores del art. iv. Los ioi…</t>
  </si>
  <si>
    <t>eros de la tremidad boreal de la Europa, de Jas costas de Orden Real de España á los Señores Torneo, y ha observado con una sagacidad poco Aiiscano { D. Josef), cabo del regimiento de Jaén, común no solo la situación de las rocas, el aspecto 8.° de infantería de línea. de la vegetación , y la temperatura de los manan­ *Ambros…</t>
  </si>
  <si>
    <t>ester convenir que Para capitán de la quarta compañía á D. Josef el primero que tuvo la ocurrencia de indagar el Trigueros Almonaster: para temente á D. Josef modo con que fue formada la vasta máquina de la Barrera Perez; y para subteniente á D. Josef Bar­ naturaleza, manifestó una originalidad de genio, ó rera Sánchez. ior m…</t>
  </si>
  <si>
    <t>Manuel En efecto los eiementos de D. Benito Bails no tie­ de Mata. nen ni plan, ni órden, ni métcdS: su aritmética Para la de Valor al ex-franciscano D. Josef es un hacinamiento de operaciones mal presentadas Moraga, sacristán de la de Santa Ana de Granada. y de teorías fuera de su logar : su geometría care­ Para esta resulta…</t>
  </si>
  <si>
    <t>para hi­ juez.de la junta de negocios contenciosos; D. Lau­ lar algodón , lana &amp;c., las quales se. enviarán á reano Jado, fiscal del mistnp tribunal; D. Josef las fabricas principales de tejidos. Los dueños de .Sánchez Mendoza, decapo del tribunal de apela­ estas fabricas deberán hacer una justificación de los ción; D. Damaso…</t>
  </si>
  <si>
    <t>10, y en la Guadalaxara quedan nombrados D. Juan Dot pa­ noche deí io al 11, deben de haber ocasionado gran­ ra comandante de las quatro compañías ; D. Josef des'daños, y acaso machos naufragios en estos Bonfanti para ayudante , y D. Josef Morales par* mares. abanderado. ESPAÑA. art. ix. Nuesrros .ministros de lo Interior y d…</t>
  </si>
  <si>
    <t>bre de 1810. . . media compañía. Para capitán de ella está nombra­ . Don Josef Napoleón por la.gracia de Dios y , do D. Cristóbal Gaiban Rodríguez, y D. Josef por la constitución.del estado» REI de las Espa­ García para subteniente. . , : ña* y de las Indias. art. xui. En el batallón de milicia cívica del Hemos decretado y de…</t>
  </si>
  <si>
    <t>Josef'Gallegos</t>
  </si>
  <si>
    <t>z. arreglo al artículo iv déí citado decreto. Y en él Para la de Capileira al ex-trinitario descalzo caso de que no llegue áL, qnota de los 200 duca­ D. Josef'Gallegos. dos señalados á los .qé-regulares ‘les completará Para la dé Uxíjar y Lncaínena al ex-tnercena- por el tesoro público-la cantidad que falte, con arrio descalz…</t>
  </si>
  <si>
    <t>Josef, Alaría</t>
  </si>
  <si>
    <t>Alaría Josef</t>
  </si>
  <si>
    <t>......................... 4602 i y •Ericede , Doña María Concepción.................. D. Antonio López................................. 4602 2 y y de Doña Alaría Josef; de Gareta. 22006 4 D. Manuel de la Cerda........................ 2181032 Doña Josefa Igñácia Reajero.4900 El mismo............................................…</t>
  </si>
  <si>
    <t>Josef, Juan</t>
  </si>
  <si>
    <t>Juan Josef</t>
  </si>
  <si>
    <t>645107 [ D. Mtgoebde la Palenque ¡ 263 5 ’ ló1 D. Dámaso de la Torre....»................ 3°594 25"l D. NicoUs Josef Masart..,.........«...i.; 40863 D. Juan Josef,de Gamboa............. . 31392 *7- D. Joaquín Lerga... 16000 *' D. Antonio Barra,....*........ *.............. 16425 D. Bonifacio de Porras..................... 122…</t>
  </si>
  <si>
    <t>Josef, Manuel</t>
  </si>
  <si>
    <t>Manuel Josef</t>
  </si>
  <si>
    <t>pe), capitán de arti'l.-ría. bien á los foragi*ios,y han inserto un buen núme­ Casavilíareal (marques de), regidor de Granada. ro de ellos. Centeno ( D. Manuel Josef), magistral de Baeza. „ fii cuírpo del exército acaba de recibir el au­ Cuesta y Moneada (D. Juan dé la), teuiente de mento de 1 i batallones, 2 generales, 2® ge…</t>
  </si>
  <si>
    <t>Josef, Miguel</t>
  </si>
  <si>
    <t>Miguel Josef</t>
  </si>
  <si>
    <t>, que no pueden vivir sino Hemos decretado y decretamos io siguiente : de piraterías, y acá los conocemos como si; los hu­ articulo 1. „ Nombramos á D. Miguel Josef biéramos parido. Quando el hermano de S. M. es* de Az ¿nza, nuestro ministro de Indias, j&gt;or nues­ taba enredado con el Alemán, iban y venían ofre­ tro comisario …</t>
  </si>
  <si>
    <t>iones, si consignen que aquella Jñrez de la Frontera /&lt;T de febrera. plaza se resista, será la destrucción total de ella, Circular que el Exento. Sr. D. Miguel Josef 1» pérdida de los caudales y efectos que encierra, de Azanza ha dirigido con fecha de anteayer á los y la desolación de una gran parta de la Andalucía; eclesiást…</t>
  </si>
  <si>
    <t>Josef, Pedro</t>
  </si>
  <si>
    <t>Pedro Josef</t>
  </si>
  <si>
    <t>quín Truxillo. vica de infantería, y ha nombrado para capitán í i , uV;.para- el segundo curato de la villa de Bel- D. Josef Recuero; para teniente á D. Pedro Josef mez , con precisa residencia en la aldea de Peñar- Solance, y para, subteniente á D. Josef Merlo. ípya r. vacante por promoción de. D. Mariano Pa­ Por otro decret…</t>
  </si>
  <si>
    <t>Josef-Naranjo</t>
  </si>
  <si>
    <t>teniente á Don raran Ls que tengan antes del i.° de setiembre á Eugmio Becard. Én el regimiento t.a de cazadores mas tardar. á cab7tllo subteniente á D. Josef-Naranjo; y cape­ Estas mercancías, luego qne hayan pagado los llanes á D. an Josef‘Duran en el regimiento do derechos, podrán intioducirse en Francia, y cir­ Madrid, i.…</t>
  </si>
  <si>
    <t>Josefa</t>
  </si>
  <si>
    <t>..-.».- ,- 312006 T D. Josef Rodríguez.*.. ..... ........ 9°2S - D. Francisco Marqucü . y: «i' muger D, Benito García •■»*&lt; »#»Mf*A**.**v i 3799 »7&gt;- Doña Josefa. Ramírez sfí*» , * .58665 36 D. Ramón Monroy.............. 27°7’17 D. J*an Vicente .Pete*..—,29199 14 D. Manuel Rodríguez.......... . 8121 Sf D. Francisco Vázquez , …</t>
  </si>
  <si>
    <t>Moreno David... 36000 D. Frutos de Alvaro Benitos.......... 6148 26 D. Manuel Sánchez Toscano:............ 7200 Los señores: Albert é hijos. -»47:*7 Doña Josefa. Lorenza Conger...-........ 2189 22 D. Lorenzo Palacio y Gorbea,.......... 309699 Di Juan Manuel Dominguez-yTorres. nci 17 D. £st¿baii.de ia Torre....................…</t>
  </si>
  <si>
    <t>Josefina</t>
  </si>
  <si>
    <t>SS. MM., hemos dado la su­ dí las esperanzas de tenerlos de mi matrimonio con: sodicha acta, y formado en consecuencia el pre­ mi mui amada esposa la Emperatriz Josefina; esto sente acuerdo, para que sirva y valga asi como de es lo que me mueve á sacrificar el mas dulce afec­ derecho se requiere; el qu.al documento ha sido to…</t>
  </si>
  <si>
    <t>de 1802. — El decreto del senado se concibió en estos términos. Artículo I. Queda disuelto el matrimonio contraído entre el em­ perador Napoleón y la emperatriz Josefina. — Art. II. La empe • ratriz Josefina conservará el título y clase de emperatriz reyna coronada. — Art. III. Disfrutará una renta anual de dos millo­ nes de …</t>
  </si>
  <si>
    <t>del Eiisto N.poleou una función el ducado de Varsovia tienen los súsditos del Rei sumamente lucida. Prusia.» y es regular que dentro de pocos dias La Emperatriz Josefina habitará este palacio, Se terminé. según se dice, desde mediados dei mes. Escriben de Verduo que todos los dias tienta allí fu aciones brillantes, que se suc…</t>
  </si>
  <si>
    <t>de haber referido el artículo del Jldónitor concerniente á la nulidad, respecto á lo espiritual, del casamiento de S. M. el em­ perador Napoleón y la emperatriz Josefina , declarada tal por sen­ tencia del Vicariato de París el 9 de enero , añade lo siguiente: „Sabemos que los testigos interrogados sobre este particular son e…</t>
  </si>
  <si>
    <t>utista de Castro ( D Juan), mariscal de campo. Paríi io He marta. Bourbalki, capitán ayudante mayor de los voltea­ dores de la guardia real, S. M. la Emperatriz Josefina $ai¡ó ayer del elí­ Bnsros y Martínez ( D. Andrés) , comandante del seo Napoleón para ir á pasar alguno» dias en Mal- primer batallón de milicia cívica de Se…</t>
  </si>
  <si>
    <t>guardia imperial que estaban en camino para España, han vuelto á Paris, des­ de donde dicen que pasarán á otro destino muy diferente. "Se cree que la emperatriz Josefina se retirará á Vivir á Suiza. Napoleón se queda con la casa de campo de la Maimaison, que era de Josefina, porque no quiere que esta vuel­ va á Paris ni sus c…</t>
  </si>
  <si>
    <t>Josefina, Napoleón y la Emperatriz</t>
  </si>
  <si>
    <t>Napoleón y la Emperatriz Josefina</t>
  </si>
  <si>
    <t>reta: que estol sobre este trono, no he recibido mas que articulo i. El matrimonio contraido entre el pruebas de afecto y de amor del pueblo francés. Emperador Napoleón y la Emperatriz Josefina ,,Creo reconocer todos estos sentimientos con­ está disuelto. sintiendo en ia disolución de un matrimonio, qne art. 11. La Emperatriz…</t>
  </si>
  <si>
    <t>JosefMotezu</t>
  </si>
  <si>
    <t>e la organización de los de ia misma ciudad; á D. Ventura Ruiz Huidonuevos cuerpos militares españoles &amp;c. &amp;c. 8cc. bro, teniente coronel retirado; á D. JosefMotezu-: ma, mariscal de campo de los reales exércitos; í Málaga $ de marzo. D. Josef Villegas , alcalde ordinario de la ciudad Hoi ha pasado S. M. á pie á la catedral, …</t>
  </si>
  <si>
    <t>JosefRecarte, Pedro</t>
  </si>
  <si>
    <t>Pedro JosefRecarte</t>
  </si>
  <si>
    <t>098 ic(&gt;. D. Josef Manuel de; lzaguirrc.......... 108000 D. Francisco Rodríguez de la Huerta. ,42°8 11 DoñacRnsa de Ja.Peña,,,................ 210000 D. Pedro JosefRecarte»...... 380 D. Manuel MaríaCímb/nnerp,.......... 7000O D. Pedro del Rio..,...,.................... . , 70541 ,'aj D. Mariano Hcrrauz «rp^PS«#»MP*«u««,ii** 4…</t>
  </si>
  <si>
    <t>JosefTnta</t>
  </si>
  <si>
    <t>................................ 4937 21 D. josef Travieso................................... 31665 D- Francisco Gu o Carrasco............... 5414 21 D. JosefTnta......................................... 1643232 D. Rafael Tenorio.................................. 2580 30 D. Leonardo Gulli-,............................... 2220…</t>
  </si>
  <si>
    <t>JosefVaz</t>
  </si>
  <si>
    <t>dadas todas por Ja municipalidad según sr CostumMolina. , *..*•* bre.Enel resto de lá iglesia estaban loé"veedores ' "Tenientes. J&gt;.Teodosio Sancho, D. JosefVaz- é individuos de Ibs gééroiósvÓ innumérablés pérsó-1 query D. JoséfMáría Conde', D.JBartolomé Gjlvcí r ñas de ambos sexós, que penetradas de. unos mis­ y Aranda, E&gt;. …</t>
  </si>
  <si>
    <t>JosefZaj</t>
  </si>
  <si>
    <t>de una rurba, real capilla , para dos raciones de mensa en la pro­ que habla de empezar por desairarlos , y concluir pia santa iglesia de Zaragoza: á D. JosefZaj.a?, por su exterminio. capellán de honor, para una canongía de la cate­ Yo vi trastornarse las cabezas de los mismos dral de León : al Dr. D. Plácido Ugena , racione…</t>
  </si>
  <si>
    <t>Joseñna</t>
  </si>
  <si>
    <t>la Providen­ cia rae ha colocado. Sin embargo , hace muchos años , he perdido la esperanza de tener hijos de mi matrimonio con mi muy amada esposa ia emperatriz Joseñna ; esto es lo que me impulsa á sacri­ ficar los sentimientos mas dulces de mi corazón , á no escuchar mas que el bien del estado , y á querer la disolución de …</t>
  </si>
  <si>
    <t>Joset</t>
  </si>
  <si>
    <t>la razón, y á representarle las calamidades que Villette , granadero de la brigada Irlandesa. el odio impotente, la estupidez y locura de unos To?t ( D. Joset ), capitán dei^regimieoto Real Ex*, quantos ministros han acarreado á la nación inglesa trangero. N. y á todo el género humano. * art. n. Nuestros gran canciller y gran…</t>
  </si>
  <si>
    <t>Josquella, Joaquín</t>
  </si>
  <si>
    <t>Joaquín Josquella</t>
  </si>
  <si>
    <t>teo Baleat, 7. — Grumetes. José Roch , 4. Esteban Sevilla, 4. Onoíre Bousá, 4. Francisco Blanc, 4. Sebastian Raja, 4. José Sol, 4. Falucho, la Palma. D. Joaquín Josquella, alférez de fragata, co­ mandante, 50. Santiago Pisón,,práctico, 15. Juan Garriga, patrón 12.— Artilleros de mar. Pedro Juan Casanova, 9. Juan Miralles, 9. …</t>
  </si>
  <si>
    <t>Jossf</t>
  </si>
  <si>
    <t>y 9 celem., al sendero de las y 14 estad., linde i oriente con tierra de Procesiones...,......... .................................... 84 748 idicho D. Jossf.Benito Salcedo......... .......... 7 *54 Otra de 10 celem., en las Peñuelas............... 4*17 99 Otra donde dicen el Bodegón, camino de Al­ Otra de una fin. y 3 celem.…</t>
  </si>
  <si>
    <t>Jost</t>
  </si>
  <si>
    <t>, i las ocho de la no­ llanaeva y VanunciV a D Jos^f del Campo: para che, se ejecutará por la compañía italiana el primer «1 de Q.lituanas de Rueda a D Jost.f Manuel Re­ acto de las Bodas de Laureta, y el gran baile titulado guero O'ito-,il|a: para el de S^ ta María de ios He- Cristóbal Colon en la isla de S. Salvador, execut…</t>
  </si>
  <si>
    <t>Jota</t>
  </si>
  <si>
    <t>us renglones no vacile y zozobre. Lo que importa, y lo que debe buscarse es que los cen­ Mi lenguage debe indicará vmds. que este señor me sores como D. Jota digan luego que la comedia e* ha hecho alguna de las suyas: y no se-engañan si así lo buena, que lo impriman en la gazeta, y sea quai fuero piensan. Porque para que rmds…</t>
  </si>
  <si>
    <t>ui agradable, á pesar de la •entencia. Todo esto son coplas al aire; y siempre re­ mucha veneración que esc señor me ha inspirado. ; No M sultará que D. Jota sabe mas que todo el público junto. da un aíre en su estilo al maldiciente que «Jixo oqEllo, la verdad; si no fuera el tal Z&gt;. Jota un suje­ (ario , to tan conocido y ta…</t>
  </si>
  <si>
    <t>os como los suyos, no es de ex­ hai por otro lado gentes mui de forma, y que por lo trañar que encuentre algunas en la tierra. menos valen tanto como D. Jota, que la hacen sus Por lo demas, díganle vmds. que sí; que las segui­ corrientes cumplimientos, no la falta tampoco su po­ dillas me gustan mucho, y sobre todo si salen d…</t>
  </si>
  <si>
    <t>quatro de la tarde, M repre­ Si la Hutrfanita es traducida, tomada 6 remendada sentará por ia compañía española la comedia en cinco del francés, y si D. Jota apoyase lo que dice en hechos actos titulada el gran Virei de Ñapóles, y la opereta, y argumentos justos, hubiera aguardado i que estuviese traducida del francés, titula…</t>
  </si>
  <si>
    <t>Jotitiva, Martin</t>
  </si>
  <si>
    <t>Martin Jotitiva</t>
  </si>
  <si>
    <t>e enero de 18TOsepultadas sin la industria. En el curso de vuestras trsíones se completará una legislación de minas po- El REI ha venido en nombrar á D. Martin Jotitiva y clara; están preparados todos los medios sef de Ceverio , presbítero , sacristán mayor y re­ para recogí r los frutos mas inmediatos. La Francia ceptor de l…</t>
  </si>
  <si>
    <t>Jourdan</t>
  </si>
  <si>
    <t>650</t>
  </si>
  <si>
    <t>650 bftyle del embaxador de Austria. Nombran entre otras á Augereau, Gouvion Si. Cir y Talleyrand: añaden que el mariscal Jourdan se lia huido. Novedades ele tanta gravedad necesitan mucha confirmación; pero no dexa de llamar la atención lo que escriben de Irun.con fecha del 5, y es que habiendo entra­ do Berthier en España, …</t>
  </si>
  <si>
    <t>Joven, Josef Ignacio</t>
  </si>
  <si>
    <t>Josef Ignacio Joven</t>
  </si>
  <si>
    <t>enda, del consejo de Estado; el Exorno. Sr. conde de Monrarco, del propio con­ Noticias. ,, En el núrn. 64 de este periódico sejo; y los limos. Sres. D. Josef Ignacio Joven d« indicamos que la insurrección de Alemania se ase­ Salas, y D Pedro Ramón de Echeverría, del mis­ guraba con alguna probabilidad. En el dia pode­ mo con…</t>
  </si>
  <si>
    <t>el marinero á alejarse de presencia y la del Excmo. Sr. D. Sebastian de Pi­ la tierra y á perder de vista las costas de su nati­ ñuela é limos. Sres. D. Josef Ignacio Joven d¿ Sa­ vo suelo. Es verdad que mientras los principios ele­ las y D. Pedro Ramón de Echeverría, consejeros mentales de la náutica estuvieron ignorados ó c…</t>
  </si>
  <si>
    <t>.............. 1125 de Castro , ex- mercenario di scalzo. 88000 D. Manuel Moresqui........................... 25200 D. Antonio Serrano, ex-trinitario D. Josef Ignacio Joven......................... 73c 8 descalzo................................................. 44000 D. Ventura Gómez de laTorre....... 21600 D. Ildefonso Polo,…</t>
  </si>
  <si>
    <t>Joyes, Patricio</t>
  </si>
  <si>
    <t>Patricio Joyes</t>
  </si>
  <si>
    <t>.. 5205 jol Doña-María del Carmen Herran...^.. . u 207 ai. D. Santiago Antonio de Uvizar-....... 14974* *7’ D- Jdsef García Abeíla. .&gt;.^*^ ^‘162042 6 D. Patricio Joyes é hijos, D. Frutos D. Manuel del.Burgo..............., -26155 23de Alvaro Benito,,D. Felipe Ra- ± D. Salvador ^lussiútc-.* ^r-.,:, ..24074 bara, D. Pedro Celli…</t>
  </si>
  <si>
    <t>Jps</t>
  </si>
  <si>
    <t>d,......*¿í^t...i;. *j j449co..lVi,t j D. Pedro.del Rio.,,,.......... ..iii i.: j 25-557 3*J D, Plácido Vioáfmarin, iH..............44 ■ ; 44090 j.,- D. Jps«f Luis Sap^,.......— ,»h.. .8€á96 ; •. l Di; 'Valentín Róhieró ,' id.’.'.......yr. 4400a ■.? /r El dx^tho^.m .....lalÁ ../XU99 10D.lManuél de ‘LfániasV,',ex-aguyinp , ...…</t>
  </si>
  <si>
    <t>Jqc</t>
  </si>
  <si>
    <t>Francisco María‘Dufooi.;;;.';.V.......i 8576'23,' D. Andrés, y D.. ladea Perez...;.;..... 7*9*4 Dí Rámon de Posada’y Soto.;.........../ ‘ 16312 i 3 ¡ D. Jqc¡ef &gt;Trilio».~. 11363 * El conde de Guzmaij.v.;...10450 23 ' D. Pedro fie Mora y Lomas............. 36jifa D. Manuel More^j4S.;:;;;;;....„d.....'('..V, 314906^2^1' D. Juaa…</t>
  </si>
  <si>
    <t>Jrusta, Francisco</t>
  </si>
  <si>
    <t>Francisco Jrusta</t>
  </si>
  <si>
    <t>ados por el duque del Parque para socorrer á D. Santiago Gavirati......................... 8754 8f Sevilla, habiendo sido prevenido, se ha dispersado D. Francisco Jrusta........................... 992 25£ enteramente, y ha roto sos armas. D. Manuel Celestino Carrasco......... 1263 17 „Todos los bagages de esta colunia han cal…</t>
  </si>
  <si>
    <t>JtiaaíBautista-Xrme</t>
  </si>
  <si>
    <t>z 'Pareja al de -LnhfaTon , í Atarle» va carite-por muerte de D Francís/oVe- D. Jirán de Castro ,ve* regular del orden de Fcanlasco y XimehéEy at Dr. D. JtiaaíBautista-Xrme-'lj - ciscos -observa «tes. ; nec , cuta de"Otura. •1 . , . Para' el de Ij iglesia parroquial de la Puebla de Para el de la'iglesia parroquial de. Viüamen…</t>
  </si>
  <si>
    <t>Ju, Diego</t>
  </si>
  <si>
    <t>Diego Ju</t>
  </si>
  <si>
    <t>s novadores de Caracas han establecido el edificio de su autoridad usurpada. La ciudad de Coro, adon­ de los emisarios caraqueños D. Vicente Texera , D. Diego Ju­ go y D. Andrés Moreno se dirigieron primero, oyó con hor­ ror sus proposiciones; reiteró solemnemente el juramento de fidelidad al rey FERNANDO Vil y á los deposita…</t>
  </si>
  <si>
    <t>Jua</t>
  </si>
  <si>
    <t>786 viejo de Parla y tierras de Doña Jua­ dales............... ............................... .62 1364 na Pantcja.»........... .............................. s» 794 Otra camino nuevo de Parla, poco mas Otra en el Cercillo hundido, á la</t>
  </si>
  <si>
    <t>uran; se hicieron 16 prisioneros , y se cogieron 93 caballerías y va­ rios efectos. Se distinguieron en esta ocasión los oficiales D. Mariano Duran , D. Jua,n Obrador , D. José Roure y D. Sal­ vador Frígola. — El 15 de mayo acometió el mismo Fábregas</t>
  </si>
  <si>
    <t>Juafl</t>
  </si>
  <si>
    <t>cípulos la absoluta necesi­ ciscano observante D. Josef Mexías. dad de la formación de nuevos elementos de mate-* Para la de la ciudad de Almuñecar á D. Juafl máticas, qné los admirables y numerosos descu­ Pedro Vidal , ex-franciscano. brimientos dé la última mitad dei siglo pasado ha­ Para la segunda de la ciudad de Santa Fe…</t>
  </si>
  <si>
    <t>Juan</t>
  </si>
  <si>
    <t>va (D. Tomas de ) , juez de la junta d« Ne­ por la constitución del estado, REI de las Españas gocios contenciosos. y de las Indias. Cean y Bermudez (D. Juan), gefe da división del Oido el gran consejo de la Orden Real de Es­ ministerio de Negocios eclesiásticos. paña, hemos decretado y decretamos lo siguiente: Ciucúnegui (D.…</t>
  </si>
  <si>
    <t>rección, se citan : el licenciado D. José Anuesto, habitante de Beade de Ferreyra , ó de la puebla de Broilon ; D. José Felhe , habitante de Eire (es D. Juan) ; el corregidor de la Ulloa (D. N. Uarela) ; el cura de Gundivós UD. Manuel Gay) ; ei cura de 3a Pénela (D. Miguel Olloniego) ; el nombrado Boado , relator déla audienc…</t>
  </si>
  <si>
    <t>admirados de sus luces, de su amor pa­ S. Andrés; Dr. D. Francisco Tejada , del Sal­ ternal, y del vivo interes con qus trata de cimentar vador; Dr. D. Juan de Dios Cano, de la Magda­ nuestra felicidad sobre Las mas sólidas basas. lena; Dr. D. Josef Melendez , de S. Nicolás de la Villa; licenciado D. Antonio Josef Muñoz, de C…</t>
  </si>
  <si>
    <t>ueda veri­ Real de España al coronel D. Francisco D to.i, ficar su reemplazo: l-s justicias remitirán doticías D- Josef Alter, D. Manuel Pe de Arros, D. Juan de unos y otros á los intendentes. de Areco, coronel, D. Vicente Herris , teniente co­ art. xix. Nuestros ministros de lo Interior ronel graduado de coronel, y D. J-isef…</t>
  </si>
  <si>
    <t>de dos com­ Miguel de Zafra , D. Juan María Saavedra,, Don pañías, y cada compañía tendrá un capitán , un te­ Clemente Tolesano, D. Josef Marmolejo, D. Juan niente , on subteniente, dos sargentos , quatro ca-. Carguet» D. Josef Rivero, D. Antonio Aguirre, bos y 40 soldados. D. Juan de Dios Morquecho , D. Josef de la Bar­ art.…</t>
  </si>
  <si>
    <t>za á las des­ cubiertas , no dexan de hacer algunos prisioneros. i Cádiz 2 de abril. De los partes dados el dia 28 del pasado por el xefe de esquadra D. Juan de Dios Topete , general encargado de las fuer­ zas sutiles de la Isla , y por D. José Agustín Lovaton, capitán de fragata y comandante de la división de lanchas cañoner…</t>
  </si>
  <si>
    <t>López). cia , y seguirán á la división de tropas confedera­ Barquero (D, Joaquín Hidalgo-). das que esta» en camino para España. Bautista de Castro ( D Juan), mariscal de campo. Paríi io He marta. Bourbalki, capitán ayudante mayor de los voltea­ dores de la guardia real, S. M. la Emperatriz Josefina $ai¡ó ayer del elí­ Bnsros…</t>
  </si>
  <si>
    <t>regidor de Granada. ro de ellos. Centeno ( D. Manuel Josef), magistral de Baeza. „ fii cuírpo del exército acaba de recibir el au­ Cuesta y Moneada (D. Juan dé la), teuiente de mento de 1 i batallones, 2 generales, 2® gendar­ . navio retirado. mes y 400 caballos: esto' es deciros , soldados, qne Donadío (el conde de). el Empe…</t>
  </si>
  <si>
    <t>vesó la D. Pablo Carbonell , ayudante D. Josef María Bu» ciudad á caba’lo ea medio de repetidas aclamacio­ rel , abanderado D. Jostf Repiso, cirujano D Juan nes de sus moradores: todos los semblmies mani­ Jarzuelo. festaban la expresión del júbilo y la confianza ge­ . Compañía de granaderos. Capitán D. Josef neral; todos se f…</t>
  </si>
  <si>
    <t>1Z. Martínez {D. \Ticente ) .jtargento 1.® de artillería. Montano'("Di Bartolomé ) , gobernador de Marros. ■ - • ESPAÑAV....................... Mora (D. Juan de), capitán del regimiento i.° de infantería ligera. . * ■ Jaén 1de abril. Moreno (D. Josef Segundo), canónigo y vicaria S. M. ha expedido el decreto siguiente : genera…</t>
  </si>
  <si>
    <t>. .VI. admitirlos con de la real de Granada , diputado por la nobleza: la benignidad que le da el renombre de amable D. Miguel García Mata, jurado; y D. Juan E\té- por todo el ámbito de la península.'* hatt de Madrid y Tauste , escribano mayor de ca­ bildo , en diputación del estado general ; acompa­ Igualmente ha sido presen…</t>
  </si>
  <si>
    <t>nado conferir en el regi­ miento de infantería l.° de la Princesa el empleo de tenien­ te coronel á D. José María Bonieelli ; el de sargento mayor, k D. Juan de Dios Alguer ; compañías á D. Francisco Sapena, D. Cristóbal Dócio, D. Manuel Bausa, D. Juan Doz, D. Jayme Perj, D. Juan Nioa , D. Juan Vasadre, y D. Pablo Baliñani; a…</t>
  </si>
  <si>
    <t>o y Luque, María de Ortega, oñcial retirado, por la milicia; corregidor; D."Gabriel de Vida y Herrera , algua­ ,D. Beitran Lasserre, por el comercio; D. Juan de cil mayor; D= Rafael Zamorano y Jurado, dipu­ Aguilar, por la agricultura; D. Antonio Melgare­ tado del común , y D. Josef de Castro y Jurado, jo , por la nobleza; D.…</t>
  </si>
  <si>
    <t>las compañías de in­ mejor que nanea como única en Europa y en to­ fantería de Córdoba. do el mundo. El talón, transformado en capilla, Coca Coellar (D. Juan), corregidor de Bnjalance. tiene dos órdenes de tribunas al rededor; las pri­ Córdoba (D. Lope Fernandez de), capitán retira­ meras, levantadas lo pies del suelo, están …</t>
  </si>
  <si>
    <t>. x de 1 jo pesos de enero. 42860* 407012 453035 461474 472618 472810 489425 7 de 300 pesos de mayo. D. Juan Suarez. 226227 x de 150 pesos de ener*. D. Juan.Sanz Celada. 3 2 49** 7 x de idem ídem. , D. Antonio Alonso. 243149 291748 ............... .................... ........i...................................... 2 de idem …</t>
  </si>
  <si>
    <t>i mayor general del exército , coa sus oficia­ D.Juan de Estrada, D Josef Lucena , comandan­ les del r si ado mayor general. te de ia mí ida cívica; D. Juan i’orcel , sargento; Los gefes y oficiales de la casa real. D Bernibé Saravia , sargento ; Juan Gómez , ca­ £1 consejo de Estado. bo; Rafael de Góngora, Antonio Ximenez , …</t>
  </si>
  <si>
    <t>y Mazarredo (D. Lope). saqueaban Jos mismos pucb os. De este modo des­ Mazarrcdo (D. Ramón). de el Campo de S. Roque hasta Sierra-Morena se Nuevas ( D. Juan de Dios de), caballero qne fue ha restablecido en todas las Andalucías la seguri­ de la orden extinguida de Carlos m. dad de los caminos, y se han purgado de ellos los Ta…</t>
  </si>
  <si>
    <t>el exército francés en ei Trocador o, de Pozoblanco, vacante por muerte de D. Alonso no ha creído deber medirse con las baterías france­ Rodríguez, á D. Juan de Dios Hidalgo: para el’ sas: se ha retirado al punto que las vio descubier­ tercer curato de dicha iglesia , vacante por muer-íl tas: la celeridad de sus maniobras par…</t>
  </si>
  <si>
    <t>presenciarán neral de división conde Dorsenne, que se aprovecha urbanidad es agasajado á su vez; bien que el Convidado miente un solo instante. Es el D. Juan uno de los hom­ de piedra, mas duro de consiguiente que el de carne, no bres peores que pueden verse en el mundo. Costumbres le trata con los mismos modales y atenciones…</t>
  </si>
  <si>
    <t>or armo— de la compañía franca de infantería de Córdoba. ni i reina entre las tropas imperiales y los vecinos S. E. entregó la condecoración al señor D. Juan de toda esta porción de la provincia. Bautista de Castro, encargado de la organización Los partidos de Pozoblanco y Fuenteovejona, de los regimientos de nueva formación …</t>
  </si>
  <si>
    <t>y demas Del comendador mayor . ■. ¿ bailarines del cuerpo de baile. . ; Del orden de Calatrava. En el de la Cruz, á las s&lt;ys de, la tarde,%*e execu- D. Juan. Esa es otra.....^ucs creiste</t>
  </si>
  <si>
    <t>taba. son irreligiosos por conveniencia, f no es la convicción Mi criad». 1 Santa doctrina t que ne han encontrado la que les dirige eo sus acciones. D. Juan, Por allp La vksm del víter es hermosísima. La vida áj» la</t>
  </si>
  <si>
    <t>riado del mismo con diferente trage, y le sirve á la moria , sabia bien su papel en esta comedia, y de con­ 'mesa. Bien podia suceder que sirviendo á D. Juan fue­ siguiente ha sacado un buen partido. Se necesita mucha se también de ia pandilla escolástica; pero esto, aunque gracia para representar con acierto estos caractéres…</t>
  </si>
  <si>
    <t>6o 2 ■ Teniente, D. Luí,s,jB¡ibjí;fj.- encargado de Ja, execucion de este decreto. = Firí Subteniente, D. Juan,Francisco Pallasar. " madossTO EL KET.'=Tdr Sf M. stí' ministró' se­ ; Nuestro-ministro de Ja Guerra queda encarga- cretario de Estado Mariano Luis de Urquijo.” .'do de la.execucion de esté</t>
  </si>
  <si>
    <t>uentre meros variedad do lan­ Aai lo han hecho con la presente, juntando estos verso* ces, menos ínteres y menos ideas sublirties, y que ios que dice D. Juan en ia úlrima escena del tercer acto. diálogos sea» mas monótonos y mas finí ¡diosos. Las re­ laciones son inaguantables, y hasta el ler guage no fien» Dexar en el mundo …</t>
  </si>
  <si>
    <t>ion el buen orden, la mas sin­ nerales , á los tribunales de la capital, y á los ge- cera cordialidad, franqueza y alegría. quiere ocultar á su amigo D. Juan su agravio por estas un hombre que se halla en una situación tan crítica, palabras: como es la de un amante que el marido encuentra es­ Por Dios D. Juan, linda gracia co…</t>
  </si>
  <si>
    <t>ue no reúnen aquel nota. En la gazeta del Iones 21 de abril, pág. encargo, á excepciou de Josef Domínguez, que se 594, donde dice haber sido nombrado D. Juan halla prófugo , y se les hizo igual intimación; pre­ Pacheco para ayudante del batallón de la guardia viniéndoles que en el preciso término de 24 horas qívica del quaTte…</t>
  </si>
  <si>
    <t>l Bra­ S. M. nombrar para el curato de la iglesia parro­ bante, presidida por Mr. Delacourt, al tribunal quial de santa María de la ciudad de Ecija á D. Juan criminal y al civil, al prefecto, á los asesores, á Fernandez, teniente de cura de ella. los gefes de las administraciones, al ciero católico, Igualmente ha tenido á bie…</t>
  </si>
  <si>
    <t>perio, ha á D. Santiago Tacbeler , y aban lera los á D. Fran­ marchado á España; y se asegura que ha sido nom­ cisco C'ianvilb, D. Franc sco Luv.'ns, D. Juan brado pvfe del estado mayor del mariscal Macdo- Levaseur y D. Lorenzo Cheíucux. n tid, duque de Tarento, al qual se le ha conferi­ En el regimiento de Soria, 4.0 de líne…</t>
  </si>
  <si>
    <t>vr parte de los habitantes. La partida de guerrilla de Catral, una de las mas i me­ diatas á la ciudad , acudió á ella por disposición de su ayudante D. Juan de Dios Casans, y viendo que no había proporción para la defensa, se retiró, después de haber clavado algunos cañones que había, volado un repuesto de pólvora y reti­ ra…</t>
  </si>
  <si>
    <t>olás de los - H er os.¿ 700090 DV Cirios Montargis;.;...;.. 5100 D. Jijan Lope* de -Quevedo.; ..r.i....... 74957' DoñarMaría Felipa Magdonell...4500* D. Juan íatreiture k'*k ikV|»fc ••i** PIOOSOO ‘ DbfiaFelipa Marta Magdonell.....'..«.. 3240 Tonu^ de ** 44^®^ Doña María Andrea Sit.......j............ ' 1080 , | Doña CajulÍD2 …</t>
  </si>
  <si>
    <t>'!. •„ Nombrarrtosocaballeros! gréfades Pigrtítelli (D-Gárlos), capkan de fragata retirad*. bandas de la Orden Real de .España ir.Ioi'ixcñoréa Ponce (D. Juan de Dios) , capitán de navio- dm Duque de Esclignac, nuestro gentilhombre -decá- - nuestra real .armadaf ; 4 ; mata. •• .’-M ■ :. Rancaño de Ganeio (D. Luís ), coronel de…</t>
  </si>
  <si>
    <t>un mágico en Salerno, , No solo de indulgencia, de justicia-. Una Marta en París, y en nuestra corte Que en España, aunque tengan sus defacto*, A un D. Juan trastornando el universo; Por delicada educación se olvidan, Si el Arca de Net le representan, Y son tratadas siempre con respeto. 1= M. EN LA IMPRENTA REAL. .</t>
  </si>
  <si>
    <t>io. tes. En el! i.f-de cazadores á caballo á I). Floren­ l~' Pb’r varió* decictos de ió del corriente se ha tino Lezaraa subteniente. Y finalmente, á D. Juan férvido S. M. nombrar en el regimiento de caballe­ Formalaguer teniente de ia compañía fixa de arti­ ría I%eiMT1 de la guardia real á D.' Josef Aie'xandro lleros deoMila…</t>
  </si>
  <si>
    <t>primer extracto, con ocasión de hablar acerc^ suras, obispados y prelacias, exención de pagar tribu­ del discurro preliminar del excelentísimo señor D. Juan tos concedida á ios eclesiásticos, provisiones de piezas Antonio Llórente, editor de esta preciosa colección, eclesiásticas, corporaciones religiosas, y dinero que se man…</t>
  </si>
  <si>
    <t>rar. . Amsterdan 1$ de julio. Ayer i las diez de la mañana hizo so entrada en aviso. ; . . esta ciudad el príncipe archi-tesorero, el qual fue El Sr. D. Juan .Baujtitta Guítart, deT consejo de recibido por el duque de Reggio, el general Du- S. M., juez de primera instancia en esta corte, ha man­ monceamc, el almirante Dewinte…</t>
  </si>
  <si>
    <t>ya y D. Antonio Fernandez Rebustillo j tenencia de granaderos al de fusileros D. José López, y de fusileros á los subtenientes D. José María Merlano, D. Juan de Dios del Gordo, D. Isidoro de la Torre y D. Manuel Soriano, los dos primeros de granaderos; subtenencias de granaderos á los de fusileros D. Manuel Suarez y D. José M…</t>
  </si>
  <si>
    <t>Para la de Colmenar á D. Francisco Repjso, ex-trinitario calzado. ? Nuestro consejo académico trata de. elegir un Para la de Aíhiaurtn de la Toree á D. Juan de prefífor ,d.« literatura francesa. Se han presentado Oya Osores, de la misma orden. quatro pretendientes. La institución de esta cate-. En Aatequera; para la primera d…</t>
  </si>
  <si>
    <t>r, D Josef Villa, Don Cayetano Janear, D. Josef Molinos, subteniente, El archidoqne Ranerio, llorado de sn gasto D. Carlos Beramendi, D. Luis Cañete, D. Juan por la historia natural&gt; ha corrido, los parages mas Galbsi, D. Santiago Moré, Don Joan Porcada, notables de las montañas de la Bukowina, aunque D. Josef Soria, D. Franc…</t>
  </si>
  <si>
    <t>toda la nación conside­ Casimira Estéban................ 4070 «.a- 44701a ran necesaria'esta unión íntima y esta sumisión al De 150 pesos de enero de D. Juan gobierno nacional. Manuel Gaona........................... 312043 312047 tandas iguales á las de loa persóriages que hablan; con tendría ninguna necesidad de ir al teatr…</t>
  </si>
  <si>
    <t>de Hue, 150. D. Cayetano Hüc,- I50. D. Tomas Ravina, 1000. D. Bernardo Nueve-Iglesias, 7C0. D. Amonio Suris , 400. D. Sebastian Antonio Garnica, 5C0. D. Juan</t>
  </si>
  <si>
    <t>4000. D. Blas del Hierro, 500. Don Manuel Saez A y lien, igo D. José Ignacio Echevarría, 40. D. Barto­ lomé deLopetedi, 100. D. Cecilio Zaldo , 600. D. Juan.Labargé, 20a. D. Juan Antonio Garaso, ioco. Conde de Maulé D. Nicolás de la Cruz, 1000. Marquesa de Bclgida, 408. Paul Larriera y compañía , 1500. Don Juan de Vega , 60 D…</t>
  </si>
  <si>
    <t>m. Favier ( U. Claudio), capitán de artillería de núes* Arpin (D. Pedro), cabo de la gendarmería esco­ tra guardu real. gida ) ídem. Faxardo y Henao (D. Juan ) , comandante de las Arsd (D. Felipe de), comandante de batallón del armas en la villa de Lora del Rio. regimiento núm. 7.* infantería de línea. Feraud (D. Luis Domiogo…</t>
  </si>
  <si>
    <t>Liegeois (D. Juan), cabo de artillería , ídem. Rodríguez (D. Francisco), húsar de nuestra guar­ Lobis (D. Leopoldo), soldado de caballería li­ dia real. . gera , ídem. Roujeor (D. Pedro), granadero, idem. Lo</t>
  </si>
  <si>
    <t>todos los decretos ( le­ Buman (D. josef), capitán de granaderos del Real yes y dccisiooes dados anteriormente sobre esta Extrángero. materia. Cardo (D. Juan), sargento del Real Irlandés. art. ii. -LoJ conventos qoe todavía existen . Dambli (D. Ped ro Nicolás), capitán de tiradores quedarán cercados á mas tardar para el ij de…</t>
  </si>
  <si>
    <t>(D. Manuel), tirador de nuestra guardia alemana con el título de viage d la Noruega y d real. la Laponía , por Mr. Leopoldo de Buch , mienta Bodnar (D. Juan), soldado del regimiento suizo. bro de la academia real de Berlín , en dos volú­ Bordes (D. Josef Raimundo), capitán de infan­ menes en 8.° con mapas geológicos. tería. U…</t>
  </si>
  <si>
    <t>de D. Juan Aragón, cu tér­ Una tierra de 3 fanegas y partí- mino de Truxilto........ . 6400 76800 do det cerro del Algarrobo, La titulada Castilla de D. Juan término de Lucena........... . 684 7776 "de Aragón , en el propio tér­ Otra tierra de una fanega^ ce­ mino de Trnxillo......... .‘...1;.... 6 joo 78000 lemines y quartil…</t>
  </si>
  <si>
    <t>ia ha expe­ batallón á D. Antonio Habert y Muñ^z y D. An­ rimentado la mayor satisfacción al ver que tos cí­ drés Porcel y Aguirre; pira ay udanres á D Juan vicos que le acompañaban» á pesar de ignorar el Ladrón de Guevara y D. Bartolomé Otero : y pa­ objeto de la marcha , manifestaban en su ademan ra abanderados á D. Juan Ce…</t>
  </si>
  <si>
    <t>José Matos, 75. D* Joáquin A fnezaga, 50, D, José &gt; Castro y» Ortega, 50. D Felipe Lopez&gt; Negrece; y^suhijo, * 500. D. Pedro del. Campo y Montes, 50. D. Juan! José Zimbrana,5CO.D. Antonio Izurrieta, $oox D. Cayetano Mutis-9 15* D/ jcséGuerrero 15Á D. Juan Manuel de Asunzalo, 15. D. Amonio Gúrruchategiii ,35; D¡ MánueL Gutiérr…</t>
  </si>
  <si>
    <t>viduos 157. — Ciénega de los Olivos. El subdelegado D. Atanasio Loya, 283. D. José Antonio Loya, 125*. D. Pablo Villalobos, 50. D. Ciríaco Salas, 20. D. Juan de Dios Rodríguez, 2 4. D. Francisco Obregon, 27. Varios individuos, ;r. Los naturales de Sta. Cruz de Valerio, 13. Id. de S. Pablo, 11 y 6 rs. Id. de S. Felipe, 12 y 3.…</t>
  </si>
  <si>
    <t>Yandiola, 10-- -Real del Oro. El subdelegado D. Tomas Diaz de Matos, 10. D. Gaspar Pereyra, 35. D. Jasé Francisco Rebota, 10. D. Tomas de Amezúa, 10. D. Juan de-Isasi, 12. D. Francisco Rubín de Celis, 12. D. Francisco Redondo, 10. D. Ignacio CeFerino Perez, 12. D. José Saracho y otros individuos de la hacienda de Ramos, 54. E…</t>
  </si>
  <si>
    <t>teniente ¿ D. Sebastian Ximenez prisionera de guerra. , • Rubio. J1 Habiendo yo llenado ya los deseos de S..M* Para teniente de la primera compañía á D. Juan creí * para no debilitar las tripulaciones de la divi­ Cadenas Palacios, eo la- vacante de D¿ Antonio sión, no deber marinar sino los ro corsarios y al­ Amar; y para sub…</t>
  </si>
  <si>
    <t>uan Antonio Fernandez, 200. D. Félix de Águirre, 400. D. Pedro del Paso Troncoso, 100. D. Prudencio Gutiérrez, 100. D. Pedro Francisco de Anza , 100. D. Juan de Dios Troncoso, 100. D. Alexandro Troncoso. , 100. D. Martin Urdapilleta, £0. I). José de la Lanza , 100. Señores Llano y Regato, 100. D. Pedro García la Lausa , 200. …</t>
  </si>
  <si>
    <t>a. Cruz, Nabojoa y Camoa, 168 y 5 rs. Varios individuos del real de la Aduana, 147. Los habitantes de los ranchos de Gerocoa y Cockibampo, 57 y 4 rs. D. Juan de Dios Hurtado, 10. D. José Escalona, 10. Varios individuos, 15 y ¿ rs. Don Víctor Soto, 14. D. Juan Miguel deAyala, 13. Quatro individuos, 28.— CADIZ : EN LA IMPRENTA …</t>
  </si>
  <si>
    <t>pescado de una magnitud enorme.; media compañía. D. Juap Capo Romerq ejstá nom­ Tiene de largo t o metros (*)» y pesa $2&gt; kiliógfa- brado .capitán, y D. Juan, Romero Rodríguez sub­ más.(»). . ; r. ' í ■ teniente. . . art. x. . En el lugar de Martin de .(a. Jara se " ' ESPAÑA. formará medía compañía. D. Francisco Segura está M…</t>
  </si>
  <si>
    <t>l 14 fiyl próximo enero en la posada del propio se­ ág que los-dos puntos esenciales, lg privación ab­ ñor juez, v por ante el escribano de provincia D. Juan soluta del cont.cto de! aire exterior (el que puede Antonia Zamácola, d las 12 de su mañana; en inteli­ estareu el iijtcpor no debe dar cuidado , p,orque¡ 1» gencia de q…</t>
  </si>
  <si>
    <t>Juan, Dq</t>
  </si>
  <si>
    <t>Dq Juan</t>
  </si>
  <si>
    <t>328 volante* toda Ja tropa de éste, y algunos oficiales y tropa de otros cuerpos , se han distinguido con servicios importantes ** El brigadier Dq Juan; .Díaz Porlier , comandante general de la división cántabra , remite á esta junta superior con ofi­ cio del 20 desde Ruron un certificado de sentencia de muerterpronunciada po…</t>
  </si>
  <si>
    <t>Juan, Jorge</t>
  </si>
  <si>
    <t>Jorge Juan</t>
  </si>
  <si>
    <t>efemérides necesarias, logran­ ,, Decir pues lo que en beneficio del estado traba­ do corregir su estima, y asegurar sus derrotas y re­ jó y escribió D. Jorge Juan fuera obra larga, asi caladas (2). Estos ilustrados marinos, juntamente como parece cosa incomprehensible que sobré tan­ con D. Josef Varela, practicaron ¡guales o…</t>
  </si>
  <si>
    <t>peño con que las naciones mas cultas de Europa bancas de nieve; y por último, un papel inédito han procurado adelantar el conocimiento de ios del Sr. D. Jorge Juan para dar á conocer la fá­ mares y tierras deí globo que habitamos con mag­ brica y uso del quarto de círculo. Quando se pu­ níficas y sabias expediciones en el últ…</t>
  </si>
  <si>
    <t>icado y repetido las tubre de' 17 53. Finalmente , ademas de otras ob­ observaciones por varios hábiles astrónomos y ma-, servaciones practicadas por D. Jorge Juan, y com­ rinos , rectificando algunas posiciones, y corrigien­ paradas Con las que se hicieron en París y Bolonia, do otras errores, la dirección Hidrográfica se ha…</t>
  </si>
  <si>
    <t>Juan, Manuel Tiburcio Martínez de No D</t>
  </si>
  <si>
    <t>Manuel Tiburcio Martínez de No D Juan</t>
  </si>
  <si>
    <t>...................... 11503 28 D. Santiago Santos................................. 090 81 D. Jaime Casanova................................. 6249 20 D. Manuel Tiburcio Martínez de No­ D Juan Teran.......................................... 13079 M vales....................................................... 6678 17 D. Antonio…</t>
  </si>
  <si>
    <t>Juan, Mariano de San</t>
  </si>
  <si>
    <t>Mariano de San Juan</t>
  </si>
  <si>
    <t>n Chavarri. D. Mari, no Villodas. D. Faustino de Nieva. D. Bernardo Dios dado. D. Mateo Casado. D. Ji-sef Ibaceta. D. Joaquio Palacios. Subtenientes. D. Mariano de San Juan. D. Dámaso Machuca. D. Mariano Lfanderal. D. Pascual Carsi. D. Víctor Moreno. D J uan de ios Heros. D Vicente Per^ti. Tenientes. D. Gregorio Simón de Dieg…</t>
  </si>
  <si>
    <t>Juan, Vicente Villarealy D</t>
  </si>
  <si>
    <t>Vicente Villarealy D Juan</t>
  </si>
  <si>
    <t>os códigos ; y sus errores nos taues D. Cayetano Serrano y Díaz, D. Josef Fer-*J fueron-'xransmitidos con las leyes 28 y, lít. B.°» nandez Cortacero, D. Vicente Villarealy D&lt; Juan part.,1).leyes que debea olvidarse para siempre de la Cruz Mendoza y D. Francisco de Paula Ra-* por ios-males qne causaron á (a nadón. £1 tal con­ …</t>
  </si>
  <si>
    <t>Juana</t>
  </si>
  <si>
    <t>Gaceta de Madrid n.º 255 (suplemento)</t>
  </si>
  <si>
    <t>viña, de" larañzádas..-.,..,....... 240 5 280 Otra al sitio de Santiago, de 4 aranzadas de tierra..... ............. 160 3520 Otra suerte de tierraen Doña Juana, de 45^ aranzadas........... 2730 60060 Otra junto á la huerta del Duende^ de _8 aranzadas...... ......... ICOO 2 3000. Otra en el arroyo del Membrillar , de 3 aranza…</t>
  </si>
  <si>
    <t>e os inducen á pelear. Portugueses, exa­ pueda, dar alguna luz para averiguar el.paradero de di­ minad bien vuestros intereses. ¡Por qué permitís cha Doña Juana y su hijo, lo avise en Madrid á Don la presencia de las tropas inglesas en vuestro terri­ Francisco de la'Palenque, "del comercio de lienzos, qn» torio? La Inglaterra…</t>
  </si>
  <si>
    <t>Juana, Doña</t>
  </si>
  <si>
    <t>Doña Juana</t>
  </si>
  <si>
    <t>nes, de que el maestro Cano había dado este parecer, el señor ios quales el uno'Contenía la bula llamada de la Cena; ■ Reí E&gt;. Felipe n escribió á la princesa Doña Juana, el otro era contra el obispo, declarando su obispado va­ gobernadora de los reinos de España, una carta, que es cante , y condenándole en privación de ¿1 y …</t>
  </si>
  <si>
    <t>Juani</t>
  </si>
  <si>
    <t>osef Cal­ mada. vo, y para subteniente á D. Jqan Manuel Mon- D. Pedro de Herdara está nombrado capitán; tijar.o. D. Josef Ramón Peñaranda teniente, y D. Juani art. m. En la villa de la Alameda se forma­ Bautista de Herdara subteniente. rá una compañía. • D. Josef Contreras queda nom­ art. xvi. En la villa de Conil se formará …</t>
  </si>
  <si>
    <t>JuanMuguiro</t>
  </si>
  <si>
    <t>de Prado, D. Manuel Sa­ ladar, D. Félix Aznar , D. Dionisio Angulo , D. Enrique Huelen, D. Agustín Cabrera, D. Manuel Ibarroia , D. Gregorio Arroyo, D. JuanMuguiro , D. Ramón Sánchez , D. José Goyti, D. Domingo Angulo , D. Andrés Martínez y D. Antonio Valderas ; y subte­ nencias , á D. José Perez , D. Jorge Bertolld , D. José…</t>
  </si>
  <si>
    <t>Juarros, Pascual</t>
  </si>
  <si>
    <t>Pascual Juarros</t>
  </si>
  <si>
    <t>tro palacio de Madrid á 14 de julio de 1810. D. Jacinto de la Quintana..................... 370-2si Don Josef Napoleón por la gracia de Dios y por |a D. Pascual Juarros................................. 72a constitución del Estado, REI de las Españas y de lás D. Antonio Fernandez Muñoz.......... 433* Indias. Señores Dovat, her…</t>
  </si>
  <si>
    <t>Juatvjgnacio</t>
  </si>
  <si>
    <t>. ........ • ':h tibañez..... .28093, í&gt;. jqanirinnreit.w^.^.^.i.túy¿at.uf.t MwtdtSti. t.»«* ••í Doña ÑicoIasa Martreorena............ .. 128868 16 , D. Juatvjgnacio.Joven..............»t»5 D. Sátnrnitio Ñrer;.v.v..v;.,.;v;;..i.«.i' 1200 ,r P, Jqaa.Malnerp.------ —...........«.ui.a-'j , j a79f;2'5» D. 'Juiían, D. *Angel y D. …</t>
  </si>
  <si>
    <t>Juau</t>
  </si>
  <si>
    <t>gimiento i.® de Trieste con este acontecimiento, porque el va­ de infantería ligera. lor de los franceses inspira una grande confianza , y Bochirii ( D. Juau), subteniente de artillería. pondrá al abrigo de los insultos del enemigo núes-- Carrillo (D. Alomo María), regidor de Jaén. tras costas y nuestras aguas. La pequeña isl…</t>
  </si>
  <si>
    <t>JuauDermudez</t>
  </si>
  <si>
    <t>bispa­ do y arcediano titular de Sevilla; á D. Francisco Viceute Venegas, arcediano de Niebla ; á D. Francisco Xavier Vilialta, arcediano de Reyna; á D. JuauDermudez &gt; dignidad de prior; ai Excmo. Sr„ D. Pedro Gravina , arcediano de C armón a ( actual nuncio de S. S. en estos reynoi) ; á D. Francisco Xavier Cienfuegos Javella…</t>
  </si>
  <si>
    <t>Judice, Julián</t>
  </si>
  <si>
    <t>Julián Judice</t>
  </si>
  <si>
    <t>ta, 200. D. Pedro de la Puente;‘20Q. B. Isidro Zulueta , 200. D. Bartolomé García y García, 100. Don Diego Barren , *200. D. Pedro José Caraso , 200. D. Julián Judice , 200. D. Jo­ sé Ramón Recaño.., 100. Guivcrt y Tulsó , 100. D. Valentín . Revilla, 200. Viuda de Torre y compañía , 100. D. Valentín de Huerta , 100. D. Mar­ t…</t>
  </si>
  <si>
    <t>Juíado, Bartolomé</t>
  </si>
  <si>
    <t>Bartolomé Juíado</t>
  </si>
  <si>
    <t>la capital: todos han formado su guar­ nia de la Real Orden eípañola que S. M. h«bia con­ dia cívica: muchos de ellos compañías francas, que ferido á D. Bartolomé Juíado , cabo de esquadra persiguen sin cesar á los foragidos: la mejor armo— de la compañía franca de infantería de Córdoba. ni i reina entre las tropas imperiales…</t>
  </si>
  <si>
    <t>Julia</t>
  </si>
  <si>
    <t>ás absxo Concluidas estas oraciones, el Emperador y la también del estrado, madama madre deí Empera­ Emperatriz volverán á ocupar sus sillas. dor; la princesa Julia, Rema de España; ia prin­ Acabad &gt; el evangelio, el primer obispo asisten­ cesa Hortensia., Reina de. Huianda;la princesa Ca­ te , precedido de un maestro y de un…</t>
  </si>
  <si>
    <t>l (D. Juan), cabo del mismo regimiento, Ídem. miento de granaderos de nuestra guardia real. Bertholet (D. Leopoldo ) , capitán de caballería li­ Gau (D. Julia» de) , eapitao dei* regimiento de gera , idem. Córdoba, núm. 7.% jatáótería de línea.. Bertin (D. Pedro María) , ídem de idem. Garsia (D. Luis), tirador de nuestra guar…</t>
  </si>
  <si>
    <t>Julián</t>
  </si>
  <si>
    <t>ación en los habitantes de Londres', dónde en po¿ Salaz^r (D. J osef), mariscal de campo. - eos dias se han hecho y vendido dos ediciones. Por Titos {D. Julián de), magistral de la catedral de otra parte, los amantes de Ja humanidad se com­ Jaén. r placerán sin duda al ver que en Inglaterra bai to­ Torre ( D. Joan María de la…</t>
  </si>
  <si>
    <t>cavernas, sino también todo quanto tiene Andiila (Barón de), coronel de infantería ligera. relación con las costumbres y civilización de los Arroyo (D. Julián), soldado del regimiento de habitantes de aquellas remotas regiones. Este vía- Jaén, 8.° de infantería de.línea. ge interesante se ha publicado poco há en leogua Bcitia…</t>
  </si>
  <si>
    <t>Júmene, Ventura</t>
  </si>
  <si>
    <t>Ventura Júmene</t>
  </si>
  <si>
    <t>s terminas; una fura oí conde de Cessac &gt; otra para el mariscal Soult. (2) Es el hospicio de a-jucHa ciudad que tienen fortificado. De esta acción de D Ventura Júmene* se 4ió noticia en la gazet* ministerial mí» mero 38 , pá'*. 343, .</t>
  </si>
  <si>
    <t>Junct</t>
  </si>
  <si>
    <t>tomar posesión de Grecia (1).— El 2.0 articulo se refiere á la marcha de una parte Reí exército francés para la península; parece que la división del general Junct, compuesta de 250 homares, viene desti tada contra Portugal. (No se había de la ' partida de ningún otro cuerpo). (1) ; Que de caros i En quatro líneas tenemos obr…</t>
  </si>
  <si>
    <t>Junot</t>
  </si>
  <si>
    <t>269</t>
  </si>
  <si>
    <t>to defraudar al público de las noticias siguientes, que han llegado por conducto seguro. El exército francés que asediaba a Astorga á las órdenes del general Junot, se reforzó á mediados de abril con 12c) hombres y varias piezas de artillería , que quedaron puestas en batería la noche, de.i 19. A las 5 de la mañana del 20 rom…</t>
  </si>
  <si>
    <t>s del regimiento provincia! de Lugo. Al salir la guarnición , se apoderaron los franceses de los ca­ ballos , equipages y espadas de los cñciales. El general Junot volvió la suya al gobernador , diciendo, que un oñcial tan bizarro no debía estar sin ella. cadiz l.° de junio * Con fecha de 21 del pasado dirigió el ministro de …</t>
  </si>
  <si>
    <t>s 2 que huyeron cobardemen­ te á refugiarse entre sus colunas, quedando ileso y triunfan­ te nuestro intrépido sargento.— Es notable ia arenga que el general Junot hizo al pue­ blo de Astorga á su entrada en aquella ciudad. Es un docu­ mento mezclado de necedad, dé rudeza y de hipocresía la mas grosera en que se ve á un maris…</t>
  </si>
  <si>
    <t>elebradas defensas de las otras plazas con que esta nación se ha ilustra­ do durante la actual guerra por su independencia.** Almeida 12 de julio. Eb general Junot fué elprimer fran­ cés que entró en Ciudad:-Rodrigo después de la capitulación. El 11 escaramuzaron las avanzadas de los exércitos ingles y francés. Una compañía d…</t>
  </si>
  <si>
    <t>rimea, y que le esperan en Berilo, $a tupaya. donde se propone acabar sus dias, ,,Las. cartas de Oporto anuncian que allí se reme que la división del general Junot no avance GRAN BRETAÑA* ¿ esta" plaza por el camino de Zamora. El general Frent ha salido para ponerse al trente de 14® hom­ Lóndtes uj d* agosta. bres de milicias…</t>
  </si>
  <si>
    <t>500 hombres en Santa Marta. El general Seras tiene muy pocas fuerzas, pues la división que se decia entrar por esta provin­ cia, se incorporó con el general Junot, que manda la vanguar­ dia del exército que entró en la Beyra. Tenemos noticias de Valladolid: en aquella ciudad hay muchos enemigos enfermos, y apenas 2000 hombres…</t>
  </si>
  <si>
    <t>a cordillera de Guarda) y Mazái del Chabn ^haj. ciéndo alto én el Brazal é igualmente en el valle del Mon.dego; y el octavo cuerpo, á las órdenes del general Junot, pa­ só el rio Coa por Puerto de Vide. El teniente general Sir Stapleton Cotton retiró la caballe­ ría británica por CelorIco aL valle del Mondego el dia 16 ; y el…</t>
  </si>
  <si>
    <t>hacerlas venir por su el coronel Stibbert traxo también la noticia del cuenta. Todos los demas habitantes del pais que movimiento que habia hecho él general Junot ha­ no sean comerciantes, ó que no residan en las ciu­ cia la provincia de Tras-os-Montes con el objeto dades designadas.; no podrán surtirse de estas mer­ de ataca…</t>
  </si>
  <si>
    <t>e podía cerca de esta capital, y los franceses se han sitúa-' darnos algunas noticias é instrucciones positivas y do en frente de él. La división del general Junot mui curiosas sobre una parte del mundo que ape­ está al frente de.la del general HilL en Villafranca. nas es conocida. Eu un diario ingles se acaba de Esperamos de…</t>
  </si>
  <si>
    <t>Jurado, Francisco</t>
  </si>
  <si>
    <t>Francisco Jurado</t>
  </si>
  <si>
    <t>fes civiles y militares. Duran­ tega, Juan Iglesias,'cabo de carabineros^ dispersó te la comida ha habido una gráh música militar, y y juramentado, y D. Francisco Jurado. Los que al fin de ella se ha briadado á SS. MM. ej Empe­ el día 33 de febrero persiguieron y escopetea­ rador y el REI, y á las familias imperial y real. ro…</t>
  </si>
  <si>
    <t>Jurado, Francisco Roznan</t>
  </si>
  <si>
    <t>Francisco Roznan Jurado</t>
  </si>
  <si>
    <t>. . v minado que se formen en la ciudad de Almagro (Para el corato de: la parroquial de MontCi^ue á tres compañías de la misma milicia , y ha nombra­ D. Francisco Roznan Jurado, presbítero, do para comandante á D. Manuel Josef de Zubiifj^-Para el de la.parrpqilia .de Fuente la Lancha al ria; para ayudante á D. Eugenio Gallego…</t>
  </si>
  <si>
    <t>Juriñe</t>
  </si>
  <si>
    <t>de sosa de Tarascón, y á que practiquen una pierna. Por fprtuna estaba entonces en S. Ger­ sus ensayos eu las costas del departamento de las vasio el profesor Juriñe, el qual acudió para cu­ Laudas/ raría. Después fue llevada á Ginebra en úna ca­ Poligni 27 de agosto. milla. El 23 de agosto el prefecto y el ingeniero en REINO…</t>
  </si>
  <si>
    <t>Jus, Francisco</t>
  </si>
  <si>
    <t>Francisco Jus</t>
  </si>
  <si>
    <t>e un modo reguh.r. Las Orden Real de España á D. Domingo Blanco de experiencias -que ha hecho la comisión central de Salcedo, intendente de Burgos: á D. Francisco Jus­ la sociedad de Ja vacuna, y las de ¡os corresponsa­ to Hugo, teniente quarrel-maestre, y tesorero del les. que tiene tanto en Francia como fuera de ella, cnerp…</t>
  </si>
  <si>
    <t>Justo-Salcedo, Josef</t>
  </si>
  <si>
    <t>Josef Justo-Salcedo</t>
  </si>
  <si>
    <t>......... 34656 j ■¡ La colegiata de Si lldefonso............. 12631.17’Los señores Meacorta y compañía..... 19133: .i Doña Xaviera de Yol ji.16S76 2 D. Josef Justo-Salcedo.,,4783’ 8f D. Nicolás de 4os Heros............... 424T 2^4 D. Agustín RatrintiPiteir*.*13700 8| Doña'Teresa Geferiua Ramonel....... 9009: 30’ D. Manad Eli…</t>
  </si>
  <si>
    <t>JuVn</t>
  </si>
  <si>
    <t>afrtch^p^iu &gt;3 Teniente, l). A-»¿ei Gatpía. ' , .. Teniente, D. Antonio Guarnan Maorique, '!5¿Jbteni9n?e, Di M¿nuét' Dí-izDomíngiietf.' Siibteniehte, D. JuVn^tfe Btiega. ■ * ' v" ‘ J .irv.t.T otl-.t-í -G ;!*J..O Dos compuñírir; en.Chincho# de d\ too,plácete. Compañía de Brea de d ioo plazas. Capitaatííi'P.T^dro Migáel de'Cabr…</t>
  </si>
  <si>
    <t>Juzoff</t>
  </si>
  <si>
    <t>heramientos defendidos con tesón &gt; han po­ sa salida; pero fue rechazado con gran pérdida por dido resistir á la valentía y constancia de las tro­ el general Juzoff. El mismo día recibió el general pas rusas. Esta jornada memorable las ha conc­ en gefc noticia positiva de que Muhtar—baxá se ha­ itado de nuevo* laureles. He aq…</t>
  </si>
  <si>
    <t>JVÍeyer</t>
  </si>
  <si>
    <t>por su denuedo y Píatien; $X"áe ja Transíivania al conde Kólowrath^ buenas disposiciones*, á'salvar un gran número de Liebsteiiski; el del BaOnato al general JVÍeyer; el buques. El capitan .G'exvasi íe ,b&lt;* pbr.tado también de la Crimea y Esclavonia al general Símbschen, perfectamente e^n ljt ,marina de yjfyon^tiy el de la Cr…</t>
  </si>
  <si>
    <t>JVilson</t>
  </si>
  <si>
    <t>ca, de 350 soldados que se habian extraviado de sus regimientos , durante la marcha del enemigo, á buscar que comer, según dicen. — Posteriormente el coronel JVilson se ha adelantado k Condeixa con un cuerpo de infantería y ca­ ballería, quedando al mismo tiempo el brigadier general Mi* lur en Coimbra. — Incluyo á V. E. copia…</t>
  </si>
  <si>
    <t>K, Nemesio</t>
  </si>
  <si>
    <t>Nemesio K</t>
  </si>
  <si>
    <t>istinguido D. José 'Antonio Andrés; y éri el de las Ordenes militares, compañía al capitán agregado Di Gregorio Arana, tenencias al teniente agregado D. Nemesio K:uiz , y á Iqs sub^ tenientes D. Ramón Vestid y Di Eulogio Sánchez, y subtenencias al sargento primero D. Teodoro Martínez, al cadete D. Pedro.Carmona y ál soldado d…</t>
  </si>
  <si>
    <t>Kaestá</t>
  </si>
  <si>
    <t>la elección El exército principal ruso, que forma el centro, de los estados que el que le inspira el zeto de que mandado actualmente por el teniente general Kaestá animado su corazón , que es el de la indepen­ menski, hermano del general en gefe, ocupa toda­ dencia y renombre de la Suecia. Tales son los sen­ vía sus posicione…</t>
  </si>
  <si>
    <t>Kaikrenth</t>
  </si>
  <si>
    <t>exemplar ; pero á pesar Luego que S. M. pyó misa dio en su gabinete de esta declaración hai sospechas-bastaate.fuodadas audiencia particular al señor mariscal Kaikrenth, para creer que el mismo baxá favorece secretamen­ ei quai entregó ai Emperador una carta del Rei de te'las empresas dfc los bandidos, y que entra-á la Prusía…</t>
  </si>
  <si>
    <t>Kaincnski</t>
  </si>
  <si>
    <t>otra parte coa el mayor encarnizamiento. Con este mes un refuerzo de 3b® hombres, con los todo, la* últimas cartas de la Valaquia dicen que quales el general Kaincnski estará en. dísposicioa el exército ruso se retira hacia la orilla izquierda de poder avanzar. del Danubio, y qoe los generales rosos han publi­ La fortaleza de…</t>
  </si>
  <si>
    <t>Kalkreurh</t>
  </si>
  <si>
    <t>se con palabras los vehe­ ñores conde de Donoersmark, edecán del Rei ; el mentes deseos que tienen todas las gentes.de est* .mayor Anhait, edecán del mariscal Kalkreurh; el país de ver asegurado enteramente el orden y la mayor Arnim, ídem,y el señor Reufner , conseje­ tranquilidad: hace mucho tiempo que ningún ban­ ro privado…</t>
  </si>
  <si>
    <t>Kalkreut</t>
  </si>
  <si>
    <t>ro plenipotenciario de S. M. el Empe­ audiencia que ha tenido del femperador Napoleón rador de Austria cerca de nuestra corte, llegó el feld-mariseal conde Kalkreut, S. M. I. le ha da­ aquí el 20 del corriente. do pruebas rada equívocas de la estimación que ha­ Escriben de Lindan que ya están casi conclui­ ce de su persona, m…</t>
  </si>
  <si>
    <t>Kalkreuth</t>
  </si>
  <si>
    <t>la dieta; y el 9 se pronunciará el ha estado interrumpido durante un año. S. E. el discurso acostumbrado para concluir las sesiones de feld-mariícal conde Kalkreuth , gobernador de esta esta. ciudad, todos los oficiales superiores que se hallan Quando el Príncipe Rea! pasó desde Helsinghórg aquí, y otras muchas personas de di…</t>
  </si>
  <si>
    <t>Kamcnski</t>
  </si>
  <si>
    <t>examen de los documentos del buque, e! davia, y no el general Kutusow como se lubia di­ diario del víage., el interrogatorio del capitán y de cho. El conde Kamcnski ha salido ya para su nue­ la tripu ación, y la verificación de las mercancías, vo destino. se harán po: nuestios comisarios; pero para evitar Acaban de hacerse va…</t>
  </si>
  <si>
    <t>Kame</t>
  </si>
  <si>
    <t>mayor-general $abanejeff con to batallones, para «1 coronel *Berlierc. Verificada la reunión* con el que'se apoderase por de tras del campo enemigo. conde Kame iski,„divi Jió sujíxérjito en cinco co- Este general no tardó en estar dentro del campo lunat, coy¿&gt; man^o confió ai teniente general Su- turco; y.esre ataque Inespera…</t>
  </si>
  <si>
    <t>Kamemki</t>
  </si>
  <si>
    <t>omar desde e te día. La monarquía aus­ 11 &gt; y el gran visir propuso una suspensión de ar­ tríaca tiene puestos en vosotros su&lt; ojos y su con­ mas. £1 conde Kamemki ha exigido que se firma­ fia .iza. S. M. os ht el gído p&lt;ra que, valiéndoos sen en seguida los preliminares de paz. El exército de los medios que se os indicaran, …</t>
  </si>
  <si>
    <t>irmar una acta de garan­ los rusos no han creído conveniente poner un sitio tía semejante á la que los estados hicieron para regular á esta plaza. FI general en gefe Kamemki, S. A. R. el difunto príncipe Carlos Augusto. deseando apoderarse ce esta fortaleza para defen­ S. M. ha desempeñado el deber que le prescri­ der las pos…</t>
  </si>
  <si>
    <t>Kamen</t>
  </si>
  <si>
    <t>mitidme j milord , que copie aquí el párrafo siguiente: Anteayer l'egó aqai un correo despachado por „I;vtstis en presentar las condiciones en que el conde Kamen kt, comandante en gete del exér»se convino d-fi lirivamente (en el convenio ajus- cito ruso del D.nubio, y ha traído las noticias si­ »tado en el mes de abril relati…</t>
  </si>
  <si>
    <t>Kamenski</t>
  </si>
  <si>
    <t>mantiene sos re­ laciones, y las procedentes de quilquicr orra parte Petersburgo aj de febrero. serán confiscadas. Las Cargamentos-vendrán en nom­ El conde Kamenski es el que reemplaza al prín* bre de una sola casa. cipe B.gration en el mmdo del exérciro de Mol­ ,,EI examen de los documentos del buque, e! davia, y no el gener…</t>
  </si>
  <si>
    <t>que han comerciado con ios empleos del tro senado la noticia de que, según pliegos de ofi­ parlamento ; aprueba nna expedición ■ necia y. de¡cio del general en gefe Kamenski - recibidos en Pe- sastrosa, sin embargo de qué ia ve desde su prin­ tersburgo , el general Issajeff ha batido al baxá de cipio reprobada por ia opinión …</t>
  </si>
  <si>
    <t>instrucciones de vutst.-o predecesor, esta es una pare e cierto es que el exé.citn ruso mandado por «cu siio.» para su gobierno y para él. A mí me el general Kamenski se ha puesto en marcha por «basta saber que tenia, ó á lo menos creia tener todas partes , y que por consiguiente habrá mui «poderes sefi i.nres para termina» e…</t>
  </si>
  <si>
    <t>ló antes de exponerse á los horrores de Se confirma la noticia de que los turcos han un asalto. ; sido completamente derrotados en la Bulgaria por El conde Kamenski, general en gefe, que ca­ el generai Kamenski. Los rosos valúan su pérdida bría el sitio con el exército grande, ha avanzado, en 8© hombres y la de los turcos en …</t>
  </si>
  <si>
    <t>232</t>
  </si>
  <si>
    <t>o del mar del Norte. sujetarse á la dominación dé los turcos. Del ja. FRUSIA. Se asegura que el gran visir ha hecho al gene­ BejrBtj Jt de julio. ral conde Kamenski propuestas de paz, y que yu En uno de nuestros periódicos se anuncia en están entabladas las negociaciones. ios términos siguientes el descubrimiento de una espec…</t>
  </si>
  <si>
    <t>mencionados estados , y poseer patrimonio de notropas que han empezado la guerra con los turcos. bies en la provincia en qne se haga la elección. El conde Kamenski segundo, general eu ge fe , ha ,,Ei comercio de Praga está autorizado para sido nombrado gran cruz de la orden de Wal- elegir por diputado suyo á un individuo del …</t>
  </si>
  <si>
    <t>e corrían sobre haber ya desavenencias res operaciones de nuestro exército: solamente se entre la Inglaterra y la Puerta; pero ahora ya desabe que el conde Kamenski sigue avanzando» y xo la legación sin el menor rezeto Scc. &amp;c.” de un día á otro se espera la noticia de una batalla decisiva con el gran visir. Buda 15 de julio.…</t>
  </si>
  <si>
    <t>1128</t>
  </si>
  <si>
    <t>r io£¡ torcos, gn* te y mui numerosa. S. M. dio audiencia £ muchas van prisioneros á Rusia. personas, y nombró mariscal de la dieta al barón S. E. el conde Kamenski hace que sus tropas de Fiemicg, primer gentilhombre de cámara, súrespeten las propiedades de los particulares, y ha geto mui conocido por sus talentos oratorios, …</t>
  </si>
  <si>
    <t>Gaceta de Madrid n.º 258</t>
  </si>
  <si>
    <t>gleses, ó por mejor decir, ccrmo si Las noticias que recibimos de Turquía son mui no fuesen buques ingleses disfrazados con nombre satisfactorias. El general Kamenski encerró el 24 de americanos. Pero esta estratagema no íes ha ser­ de junio al gran visir en la fortaleza de Schumla, vido para engañar á nadie. En las expedicio…</t>
  </si>
  <si>
    <t>íowsk. SS. AA. II. Pretbnrgé go de julio. han visitado de paso á la Emperatriz madre. Según las últimas cartas de Turquía , ya debe Se asegura que el general Kamenski ha obliga­ el gran visir haberse retirado de Schumla. Los pro­ do con nna grande división al exército turco á que gresos dejos rusos son indudables. Por el prim…</t>
  </si>
  <si>
    <t>edaron en el campo, y too fueron cogidos pri­ En las aguas de Revel se ha presentado una es­ sioneros. cuadra inglesa de cinco navios de línea. ,, El general Kamenski 1 ocupó el día 2» la cal­ S. M. la Emperatriz ha salido para la Curian- zada que va desde Schumia á Constantiuopla por día , adonde va á tomar los baños del mar…</t>
  </si>
  <si>
    <t>rar á la derecha una comunicación facii para llegar á los Maugalu, se había retirado delante de Bazardgik. muros de Scbumla. Al acercarse el teniente general Kamenski 1 se Ei comandante en gefe de las tropas turcas entró en la plaza ei seraskier con ro© hombres, la Mahmoud , fcaxá de dos colas; el príncipe Caflor del exército…</t>
  </si>
  <si>
    <t>esante ; y asi es qae los turcos no cesaron basta mino de Scbumla á Gernova: el 22 el general de por la noche de ver si podían recobrarla. infantería conde Kamenski 1 se apoderó del ca­ El tz salieron de nuevo con fuerzas mucho mino que conduce desde aquella plaza á Constanmas considerables , dirigiendo todos Sos esfuerzos ti…</t>
  </si>
  <si>
    <t>Kamenskí</t>
  </si>
  <si>
    <t>isma noche dió á la vela.. . ,,E1 dia 8 de agosto el general en gefe recibió ,, Según las noticias recibidas de las fronte­ noticias de su hermano el conde Kamenskí, en qne ras de la Turquía el general en gefe conde Xa- le avisaba que el gran visir había atacado con to­ mentkt * deipues de haber reforzado, con una par­ das tu…</t>
  </si>
  <si>
    <t>Gaceta de Madrid n.º 278</t>
  </si>
  <si>
    <t>o. *■ (S RUSIA. , .Al momento mismo de despachar éL cojrreo re­ cibió el general en gefe la;&gt;|Bbt¡cia,de qn&amp;yq her­ Peter¿burgo 15 de agosto. mano él conde Kamenski bahía conseguido «I 23 EL día ocho S. M. el Emperador pato á Oriem- de julio una notoria completa del enemigoque bann, y al día siguiente se embarcó acompañado de…</t>
  </si>
  <si>
    <t>on los rusos en la guerra última-, y se aguardaban mudanzasen. el ministerio. • Los 1500Í) hombres que se hablan destinado á reforzar el exército del conde Kamenski ¿ lian recibido contraorden. De Viena escriben que rusos y tuecos andaban en tratos, y que no se creía imposible el restablecimiento de la paz entre</t>
  </si>
  <si>
    <t>1286</t>
  </si>
  <si>
    <t>ores al frente de una numerosa di­ Mientras que los rusos no tomen esta posición, no putación de tus órdenes respectivos cumplimen­ será fácil que el general Kamenski asegure los pro­ taron á S. M..por su feliz llegada. . . gresos que se propone hacer en el pais que hai ca­ La corte se ha aliviado hoi del luto riguroso stre S…</t>
  </si>
  <si>
    <t>der por ahora la marcha de uq de la Romana. cuerpo de hombres, destinado á reforzar el El resultado de las contestaciones entre la troc­ exército del conde Kamenski (a). {The Statesptan.) ar) No hai tal cosa: el general Cox no ha sido herido; la Rusia lo está de la Francia. Nos alegramos tener este antes está y ha estado siem…</t>
  </si>
  <si>
    <t>d al cuerpo del-teniente Belgrado con el objeto de hacer una. diversión por general conde Langeron, y mandó al general de aquélla parte. • infantería conde Kamenski que se reuniese á él. El general en gefe dexó delante de Rudschuck Luego que hubo llegado el conde Langeron» se le al teniente general cOhde Langeron para que con…</t>
  </si>
  <si>
    <t>l general del exército de Alemania se Aiexandro ocupaban la fortaleza de Sistow, el ge­ ha trasladado, hace unos dias, desde Haunóver á neral en gefe conde Kamenski tuvo aviso de que esta ciudad. otro cuerpo de tropas rusas, mandad© por el coro­ Un decreto dado el 2 de octubre en Fontainenel Zwileneft', había tomado por asalt…</t>
  </si>
  <si>
    <t>s superiores de los monasterios , todos ios Petersburgo a de octubre. grandes boyardos, y los negociantes mas principales. S. M. I. ha condecorado al conde Kamenskí, No puede formarse una idea justa de todos los general en gefe del exército de Moldavia, con la medios de que se ha valido el señor Igoacius para orden de S. Andr…</t>
  </si>
  <si>
    <t>ordán, y el consejero priva­ lir de su campo fortificado de Schumla, amenazan­ do Henri, han manifestado snms actividad en esta do su retaguardia. El general Kamenski ha recibido ocasión, en la qual el comercio ingles ha sufrido algunos refuerzos, con los qne está ya en dispo­ una pérdida inmensa. sición de continuar sos oper…</t>
  </si>
  <si>
    <t>Kamenskoy</t>
  </si>
  <si>
    <t>rdida)iQ[o los fondos públicos: el 2 y medio por 100 ha¡bia baxado.al 9. A principios del corriente mes de octubre se aseguraba en Petersburgo que el conde Kamenskoy tenia encargo de reno­ var las proposiciones hechas anteriormente al Gran Señor, v de ceder, si fuese necesario, en el punto que fue causa del rompí mi entode la…</t>
  </si>
  <si>
    <t>Kamentki</t>
  </si>
  <si>
    <t>is meses cu compañía de sus augustos pa­ grande» que parecía imposible qoe después de ana dres. guerra tan dispendiosa hubiese habido cauoales pa­ £1 general Kamentki, que durante la última ra tanto. El pueblo de Vicna ha manifestado d campaña ha mandado nuestras tropas en Finiaodia, mayor júbilo cu estos dias, durante los qu…</t>
  </si>
  <si>
    <t>rción de fusiles y de armas Alexandro continuando la guerra con todo vigor; • de toda especien y no ha intentado coa sos nuevas victorias fundar ,,EI conde Kamentki ha ido después de esta viomotivos ó pretextos de nuevas pretensiones, ai . toria ocupando sucesivamente las posiciones inte­ pedirá á la sublime Puerta mas que lo…</t>
  </si>
  <si>
    <t>Kameoski</t>
  </si>
  <si>
    <t>acio Riga 37 de octubre. de Oerebro 21 de agosto de 1810.” Algunas cartas escritas por oficiales que se ha­ N.° 11. llan sirviendo en el exército del conde Kameoski dicen que las derrotas qué han padecido última­ Respuesta del Príncipe de Pontecorvo, fecha mente las tropas otomanas han determinado al en París el 7 de setiembr…</t>
  </si>
  <si>
    <t>Kameoskr</t>
  </si>
  <si>
    <t>ra especié de armas, tas de Buchátest aseguran que el gran visir ha ne­ serán detenidos los conductores y demas personas gociado un armisticio con el conde Kameoskr, ge­ interesadas en el transporte, y las arm^s setán con­ neral en gefe del exército ruso, y que ambas par­ fiscadas.’* tes estaban ya de acuerdo en las condicion…</t>
  </si>
  <si>
    <t>Kametuki</t>
  </si>
  <si>
    <t>u-geneial en ge&amp;Mi*'perder-tiempo mandó a! tarle la retirada , mientras el general de infantería mayor general S.tbanejeff qae se dirigiese con parta conde Kametuki le atacaba' por el frente con las de sus tropas cootra/el ultimó y mas fuerte de los .otras dos coladas. Estos dos cuerpos se apostaron atrieberamientos turcos pa…</t>
  </si>
  <si>
    <t>Kameuskí</t>
  </si>
  <si>
    <t>1197</t>
  </si>
  <si>
    <t>país,, que la divina chazados. La guarnición tarca opuso una resisten­ Providencia y ia particular benevolencia del Em­ cia mui tenaz é intrépida. El general Kameuskí perador Napoleón nos han confiado. ........... qneria arriesgar un quarto asalto; pero se lo disua­ ,,Las diferentes partes del gran ducado de dieron. Dícese qu…</t>
  </si>
  <si>
    <t>Kantenski</t>
  </si>
  <si>
    <t>nea y mas unáni­ coche. me ; esperamos que fixará el destino de la Suecia, y que no tendrá ningún influxo en la política ex­ Extracto de la carta del conde Kantenski, fecha terior dél reino, pues es un homeaage libre y vo­ , en el campo delante de Rudschnck el 2 7 de luntario de la nación sueca. . julio ( 8 de agosto de 181o)…</t>
  </si>
  <si>
    <t>Kapor</t>
  </si>
  <si>
    <t>an visir , en­ su acostumbrado valor y vivacidad, apoderándose tre los quaies se hallan 12® aibaoeses mandados de estas obras y de varios cañones. El conde Kapor el famoso Muchtar- baxá, hacen subir este menski, asegurado que uu asalto general costaría exército' á 8o0 combatientes; de suerte que es mucha gente, y habiendo vis…</t>
  </si>
  <si>
    <t>Karaens</t>
  </si>
  <si>
    <t>en 6© rixdalers. Para el dia 15 se ha fix,do, según $e asegura, Del 19. el matrimonio del principe Guillelmo con la prin­ Un correo despachado por el general Karaens- cesa Carlota. ; k¡ ha traido la noticia de la victoria completa que Por un decreto de S. M. cesará el dia x.° de ha alcanzado aquel general el día 7 de este mes…</t>
  </si>
  <si>
    <t>Karnchenbtrg</t>
  </si>
  <si>
    <t>da hacia el fuerte de la Concepción, el qual estaba ocupado con parte de la infantería de la tercera divi­ sión. En esta refriega se distinguieron el capitán Karnchenbtrg, y el alférez Cordemam al frente de un pequeño cuerpo de húsares, cargando al enemigo con mucha bizarría aunque inferiores en numero. También se distinguió …</t>
  </si>
  <si>
    <t>Katnenski</t>
  </si>
  <si>
    <t>e ge- Nuestro cambio acaba de experimentar ana bageneral Markow, y una parte del del general de xa considerable: ayer estaba 3I 472 y 474. infantería conde Katnenski 1 on combate sumamen­ Dícese que se van á tomar varias providencias te obstinado contra los turcos , que en número de de policía contra los agiotadores que embar…</t>
  </si>
  <si>
    <t>Kaunitz</t>
  </si>
  <si>
    <t>1779</t>
  </si>
  <si>
    <t>ricas: Todos los chicarlos Paises-Baxos ; pero no salid bien en es­ seres del mundo físico pueden servir de órgano de ta comisión. En 179a sucedió al príncipe Kaunitz la palab ra. Yo iré á enseñarla á la ciudad qúe me en el ministerio de Negocios extrangeros. En el asegüre ■ la suma de 25 luises, -porque no puedo mes'de mayó …</t>
  </si>
  <si>
    <t>Keaíing</t>
  </si>
  <si>
    <t>anceses llamaban últi­ mamente de Enlaparte, se rindió á las armas británicas el 8 de julio. La expedición destinada á su conquista á las ordenes deí teniente coronel Keaíing, llegó á la isla de Rodríguez el 20 de junio, salió de ella el 3 de julio, se trasbordó, el 6 á quatro fragatas, que con-"el navio Boádibeüformaban la e…</t>
  </si>
  <si>
    <t>Keating</t>
  </si>
  <si>
    <t>el oficial mas antiguo de los de la expedición ; pero luego que ESPAÑA. •sta llegue á la isla de Rodrigo, debe tomar el SeviUa * de octubre. mando el coronel Keating. Las fragatas la Doris, I« Diomedes y la. Z.eilan escoltan el convoi de lo* ■ Con‘el objeto de fomentar la elaboración del buques de traosporte. Salitre, tan úti…</t>
  </si>
  <si>
    <t>coronel Campbell manda la brigada ligera; el teniente coronel Fraser era el oñcial mas antiguo; pero al llegar la expedición debía tomar el mando el teniente coronel Keating. La Vorisel Diomedcs y el Ceylan escol­ taban la expedición. El estable e i mieato holandés de Amboyna fué tomado el 19 de febrero por los destacamentos …</t>
  </si>
  <si>
    <t>KéHey</t>
  </si>
  <si>
    <t>ado á S. M. vuestros despachos con todo lo qué venia incluso. S. M. aprueba la determinación que tomasteis de enviar á vuestro ayudante de campo , el capitán KéHey , con la noti­ cia del acontecimiento ocurrido últimamente en la provincia de Venezuela.</t>
  </si>
  <si>
    <t>Kelierman</t>
  </si>
  <si>
    <t>n del cabildo con las cere­ libertad al capitán y su muger, y ha tenido el monias de estilo) y la tropa de la guarnición con gusto de presentarlos al general Kelierman en Vala música. Uadolid. , El mal tiempo estorbó qne hubiera una corri­ Madrid % de abril. da de toros que para solemnizar el dia estaba dis­ Por real decreto …</t>
  </si>
  <si>
    <t>Keller</t>
  </si>
  <si>
    <t>T. -..fJ' «• '-i Qué nó lleguenaquílas noticias dé lbs esfuerzos delospútriotas en las .provincias delNorte,es quizá el objeto que se ha propuesto el general Keller.mam deteniendo en Valladolid el último correo, quedándose ¡con? !a: correspondencia del públi» co, y dexando pasar solamente la del gobierno. Esto pai ree se ha l…</t>
  </si>
  <si>
    <t>Kellerman</t>
  </si>
  <si>
    <t>Alcañiees 18 de enero. cesidad de verbo* activos y pasivos. No bastaba El general Kellerman , noticioso de los estragos decir fruta , animal, agua &amp;c.; era menester ex­ qae causaba en los pueblos de este partido el ban*- presar que la fruta v. gr. era buena ó mala; que .didoEchever</t>
  </si>
  <si>
    <t>rcantil; trabajos importantes y Ayer salieron de aqui los dragones pertenecien­ dignos de toda estimación, como lo ha comproba­ tes i la división del general Kellerman , y que es­ do la experiencia de mas de doce años , y el apre­ taban de guarnicioa en la ciudad. Hoi han entrado cio universal de los sabios mas distinguidos d…</t>
  </si>
  <si>
    <t>artas y avisos que daba el comandante de Astorga á los de León , Labañeza y Benavente , pidiéndoles pronto so­ corro de caballería, y que avisasen al general Kellerman. El mismo general Mahi con fecha del 9 dice á la expresa­ da junta lo siguiente: “Exorno. Señor: en la tarde de hoy he recibido aviso, aunque no de oficio, de …</t>
  </si>
  <si>
    <t>96</t>
  </si>
  <si>
    <t>por Merino y Saíazar; y en el paseo del Campo grande de Valladoiid penetraron dias pasados los patriotas matando y prendiendo-á varios franceses. El general Kellerman en la cor­ respondencia interceptada se queja á Napoleón de que le fal­ tan recursos para detener los progresos de las guerrillas y res­ ponder de la provincia.…</t>
  </si>
  <si>
    <t>Kelléy</t>
  </si>
  <si>
    <t>545</t>
  </si>
  <si>
    <t>545 Juago «te lá mayor importancia que el capitán Kelléy vuel­ va quanto antes le sea posible 4 Curazao ; y que esteis ente­ rado déla conducta qñe por disposición y en nombre deS. M* $ebereis observar , en virtud de las circunstancias expresadas en vu^ra carta. . $ ¡ El grande - objeto que S.</t>
  </si>
  <si>
    <t>Kerr</t>
  </si>
  <si>
    <t>por parte nuestra ni de la de los es­ sabe que el paquebot la Princesa Carlota, man­ pañoles qne fa de arrojar algunas bombas de riera-' dado por el capitán Kerr, habia llegado á aquel po en. tiempo. Es mui probable que dentro de al­ puerto, después de una travesía de seis días, coa gunos dias .principie el enemigo ¿ batir nu…</t>
  </si>
  <si>
    <t>Kesselstatr</t>
  </si>
  <si>
    <t>terinamente por ausencia del príncipe de Eckmühl, cerca de S. A. R. el gran duque de Wurtzburgo. ha vuelto á Ratisbona el dia 19 después del viage El conde Kesselstatr , mayordomo mayor del que ha hecho hasta Braunau para dar las disposi­ elector deTréveris, que h«bu pasado á Munich ciones necesarias al recibimiento de la Emp…</t>
  </si>
  <si>
    <t>Key, Fernando</t>
  </si>
  <si>
    <t>Fernando Key</t>
  </si>
  <si>
    <t>an Ger­ mán Rossio, D[ Juan Ascanío, D. Pablo González , D. Fran­ cisco Xavier Ustariz, D. Silvestre Tovar, D. Nicolás A usóla,' D. José Félix Rivas, D. Fernando Key, D. Linó dementé. Los ministros son los individuos: de"la misma Rossio, Key, Ansola y Clemente, el primero de estado, el segundó de ha^, cienda, el tercero de g …</t>
  </si>
  <si>
    <t>Kienmayer</t>
  </si>
  <si>
    <t>a la entrada del invierno sus opera­ reuniéndose?ei»’ el Bannato hn sidoconierida al te» ciones trigonométricas, las quales se extenderán niente feld¿mariscal Kienmayer, que durante la principalmente por el curso deIRin hasta las fion¿itima guerra ha maodado las trepas acantonadas teras del Tirol y por los cantones pequeños. …</t>
  </si>
  <si>
    <t>Kiudeían</t>
  </si>
  <si>
    <t>irado al general en gefe príncipe de Ponte- do’ evitar este nuevo atentado á la religión militar. corvo , y aun al misino Emperador, que le conde­ El general Kiudeían y otros varios oficiales siguie­ coró con Ij legión de Honor: distinción que soli­ ron el camino del honor. Entre ellos fue víctima, citó aquel general, y que r…</t>
  </si>
  <si>
    <t>Kiurakin</t>
  </si>
  <si>
    <t>II. sus votos, sus homeoages y sus res­ Negocios de Francia cerca de |a corte de Estockol- petos. mo , .ha pasado por aqui con dirección á Suecia. El príncipe Kiurakin, embaxador de Rusia, asistió anteayer á la función de las ceremonias re­ WESTFALIA. ligiosas del matrimonio de SS. MM., sin emb.rgo de que S. E. estaba á la sa…</t>
  </si>
  <si>
    <t>Kleber</t>
  </si>
  <si>
    <t>a plaza está ocupada por el regimiento Real-marina , y durante la revolución enemigo. Deseamos q-.e no sea asi; porque si la sirvió á las órdenes del general Kleber. Por sus ta­ evacuación de Guarda es cierta , no es de formar lentos é intrepidez fue elevado bien pronto á la ni .mi la esperanza de que el exé cito pueda precla…</t>
  </si>
  <si>
    <t>Kleist</t>
  </si>
  <si>
    <t>e, é inmediatamente montó á caba­ pues en libertad cohfisC4bdd antes el cargamento llo, y fue i pasar revistadla* tropas. que llevaba. r , . / , ■ El general Kleist había mandado preparar on Aquí jorren voces dé qííé los rosos hart pérdi-^ almuerzo muí espléndido én el salón de los arca­ do jéstos dt,ás; upa áccióh 'cerca dé …</t>
  </si>
  <si>
    <t>Klenau</t>
  </si>
  <si>
    <t>ipe Pablo, confor­ dante en gefe del reino el feld-mariscai Collowratb. me á- Jas intenciones del Re» de WescfaUa. Entre estas generales,se bailan el.conde Klenau , el príncipe de V^isd-Ronkel;, los generales Weisteo- GRAN DUCADQ DE BADEN. wplff, Winaigerode , VVartensleben, Murral &amp;C, E( Emperador.ha recibidíp'con la, mayor …</t>
  </si>
  <si>
    <t>Kliflci</t>
  </si>
  <si>
    <t>d debe en parte su celebridad, S. M. ha con ti» su quartel general .de Mora; peto fue rechazado •uado su viage para Goadalaxara, y dos ha dexa'por el coronel Kliflci, qne le .mató anos 30 hom­ do la esperanza de volverlo á-ver mui pronto. bres, y le cogió 50 prisioneros. . . El t2 el general Abb¿ rodeó la, posición de Guadaia…</t>
  </si>
  <si>
    <t>Knox, Tomas</t>
  </si>
  <si>
    <t>Tomas Knox</t>
  </si>
  <si>
    <t>Cranstovvn, ie). La señora Doña Felisa Dómine de Vaughan, 500. Por una apuesta ganada á D. Federico Grellet por D. Guillermo Beeston, 1600. El señor D. Tomas Knox, 30. El señor D. Juan Stanhope, 3®. El se­ ñor D. Tomas Tucker, 1®. El señor D. Miguel Costello, 1®. El Excmo. señor D-. Estéban Fernandez de León, consejero de est…</t>
  </si>
  <si>
    <t>Kociusko</t>
  </si>
  <si>
    <t>io de Ja Turquía , donde ha ¡do ascendiendo hasta el em- REINO DE ÑAPOLES. empleo de baxá. Este mismo Gieisztar sirvió algún tiempo en las tropas del general Kociusko , y se Lecce 15 de enero. halló cu las batallas de Raclawlre, de Szczekocini Las tropas rusas que estaban acantonadas en la todos los pormenores científicos par…</t>
  </si>
  <si>
    <t>Kólowrath</t>
  </si>
  <si>
    <t>rancia deP.dinura han vinci; el de Ja Gallitzia al príncipe de Reoss- contribuido particularmcpte, por su denuedo y Píatien; $X"áe ja Transíivania al conde Kólowrath^ buenas disposiciones*, á'salvar un gran número de Liebsteiiski; el del BaOnato al general JVÍeyer; el buques. El capitan .G'exvasi íe ,b&lt;* pbr.tado también de l…</t>
  </si>
  <si>
    <t>Konrakin, Alexo</t>
  </si>
  <si>
    <t>Alexo Konrakin</t>
  </si>
  <si>
    <t>e Polonia» circunstancia ig­ Pero no se puede negar : i.° que esto seria una norada hasta ahora. innovación de lo que cohstantemente se ha practi­ £1 príncipe Alexo Konrakin, hermano de S. E. cado desde el afio xi; y lo 2.® que el resultado de el embocador de Rusia en París, pasó él 9 por esta innovación seria nüa pérdida par…</t>
  </si>
  <si>
    <t>Koraltin</t>
  </si>
  <si>
    <t>escriben de Tío - ca de las quales hubiese alguna duda , se compro­ nigsberg lo siguiente: barán y reconocerán con toda exactitud, procer ,,S. A. el príncipe Koraltin, ministro de lo In­ diendo respecto de ellas del mismo modo que con terior del imperio de Rusia , comió, quando pasó las otras, puesto que se prohíbe todo trans…</t>
  </si>
  <si>
    <t>Koslowsky</t>
  </si>
  <si>
    <t>743</t>
  </si>
  <si>
    <t>o desde luego se supo con certeza que era Luciano Bonaparte. , Pretendía Luciano que se le permitiese permanecer aqui para descansar algunos dias.-El príncipe Koslowsky, encarga­ do de negocios de Rusia, se'opuso al pronto á ell(&gt;; pero des­ pués mudó de conducta, y apoyó la solicitud con mucha dili­ gencia. El ministro britá…</t>
  </si>
  <si>
    <t>Kourakin</t>
  </si>
  <si>
    <t>de Belgredi» por S. E. el gran maestre de ceremonias, y presen­ capitán y edecán del conde de Niepperg. tada por la condesa de Brignole. Por SI E. el príncipe Kourakin, embajador de Rusia, el príncipe Dolgorouki, teniente general, ESPAÑA. ministro de Rusia en la corte de Holanda; el prín­ Madrid a de Julia. cipe Boris Kouraki…</t>
  </si>
  <si>
    <t>rrojaba sobre el regimiento d« caballería de Vo­ En esta audiencia han sido presentados: luntarios de Cuenca, al que acuchilló y puso en Por S. E. el príncipe Kourakin , embaxador de fuga. N. Martin perdió entonces la serenidad; y S. M. el Emperador de Rusia: sus tropas acometidas con impetuosidad en todos El señor Tschitscha…</t>
  </si>
  <si>
    <t>Kourakin, AleXandro</t>
  </si>
  <si>
    <t>AleXandro Kourakin</t>
  </si>
  <si>
    <t>ra condesa de Gottorp, ex-Reina dé Táresete j de setiembre. Suecia, pasó ayer por aqui para Darmstadt. S. M. ha decretado que se construya aquí un El príncipe AleXandro Kourakin, ministro de grande almacén á la orilla del Elba, y para esto lo Interior en Rusia, y hermano del- embaxador ha concedido la cantidad de 130® rixdale…</t>
  </si>
  <si>
    <t>Kourakin, Alexandro</t>
  </si>
  <si>
    <t>Alexandro Kourakin</t>
  </si>
  <si>
    <t>boca, que Chalons ’del Mame 7 de setiembre. vomitaba colanas de foegof las qoales sabían á mas de 300 toesas. AI rayar el alba empezó á correr la El príncipe Alexandro Kourakin , ministro lava, y el rio qne teníamos pot, delante se cargó de lo Interior en el imperio de Rusia ,: al pasar tanto de ella, que vino á pasar por cer…</t>
  </si>
  <si>
    <t>Kourakin, Alexis</t>
  </si>
  <si>
    <t>Alexis Kourakin</t>
  </si>
  <si>
    <t>cía particular en el palacio de las el cuidado y solicitad del gobierno para promover los intereses del pueblo, para limpiar el país de Í ollerías Al príncipe Alexis Kourakin , ministro de lo los infinitos vagabundos y mal entretenidos que ha­ Interior de Rusia., encargado por sn Soberano de bía en él, para reprimir ó castiga…</t>
  </si>
  <si>
    <t>Kratzer, Francisco</t>
  </si>
  <si>
    <t>Francisco Kratzer</t>
  </si>
  <si>
    <t>Es­ cios con la perfección de sus producciones depende-” paña al capitán D. Juan de N.vaí, al teniento de que no se ha llegado todavía á hacer uso d» D. Francisco Kratzer, al sargento'J j$vf Giórimout, maquinar, para ei hilado del lino, como para el del y al granadero Josef, soldado veterano. algodón; Hemos decretado y decret…</t>
  </si>
  <si>
    <t>Krauckenberg</t>
  </si>
  <si>
    <t>distinguirse. Es muy justo hacer al mismo tiempo mención del zel6 é inteli­ gencia con que se ha portado en el- servicio de los puestos avanzados el capitán Krauckenberg y elalferez^Cordemarm del regimiento l.° de húsares , y el capitán Goeks del regi­ miento de dragones ligeros núm. 16. —- En el Norte no ha ocurrido cosa de …</t>
  </si>
  <si>
    <t>Kraukenberg</t>
  </si>
  <si>
    <t>del rio Mondego en el mismo dia l.0, y continuar la Retirada del .principal cuerpo del exéreito. — Al retirarse de Fornos la caballería británica, el capitán Kraukenberg del regimiento primero de húsares, y</t>
  </si>
  <si>
    <t>81$ el capitán Cockes del 1&amp; de dragones ligeros, atacaron y car­ garon ai euenrtigo; de esta refriega salió herido levemente el capitán Kraukenberg. Continué la retirada de esta parte del exéreito por los caminos de Soure y Pombal para Leiria, cer­ ca de cuya ciudad llegó toda ella el 3 del corriente y hi­ zo ayer alto, qued…</t>
  </si>
  <si>
    <t>KriecéUteiu, Francisco Biuder</t>
  </si>
  <si>
    <t>Francisco Biuder KriecéUteiu</t>
  </si>
  <si>
    <t>xecutado todas las ceremonias, han ^apombrado su enviado cerca de la corte de Co­ hecho esta solemnidad digna de su augusto objeto. penhague al señor barón Francisco Biuder KriecéUteiu. Del 4. F ALEMANIA. El senado en cuerpo, el consejo de Estado, el cuerpo legislativo, el clero y las autoridades ,consHamburgo 27 de marzo. ti…</t>
  </si>
  <si>
    <t>Krnse</t>
  </si>
  <si>
    <t>, los atacó, los arrolló y sus tropas se mantuviesen' en sus posiciones. Tor los dispersó. fortuna que los franceses se encaminaron hacia el El señor coronel Krnse signió el alcance al ene­ mediodía del Vouga , y los portugueses se retira­ migo con intención de echarle hácia las fabricas ron » sin ser perseguidos» á Oporto. d…</t>
  </si>
  <si>
    <t>Krose</t>
  </si>
  <si>
    <t>ía, y un cs- compuesto del regimiento de cazadores de Guadix .quadroo de caballería de. las milicias portuguesas, y de varias guerrillas reunidas. El coronel Krose» ■o podo lograr por mas esfuerzos qüe hizo el que al frente de 400 hombres, los atacó, los arrolló y sus tropas se mantuviesen' en sus posiciones. Tor los dispersó…</t>
  </si>
  <si>
    <t>Krusenstern</t>
  </si>
  <si>
    <t>91</t>
  </si>
  <si>
    <t>za de Sweaborg, situada en Finlan­ perador Alexandró 1 en Iqs navios Nadeshda y dia. Habían sido citados para el 8 de enero de 1810 Newa al mando del capitán Krusenstern. para respouder por sí ó por medio de procurador á Este es el primar viage que los rusos han he­ los cargos y acusación hecha por el fiscal general; cho al r…</t>
  </si>
  <si>
    <t>KtuffVnin, Eraoeisco</t>
  </si>
  <si>
    <t>Eraoeisco KtuffVnin</t>
  </si>
  <si>
    <t>sido nombrado D. Francisco Farsante para caballo muerto y otro herido; el capiran de gra­ subteniente de la guardia cívica del bar ,[Ion del naderos D. Eraoeisco KtuffVnin tuvo tambieu su quartel de Maravillas, debe decir T&gt;. Francisco caballo muerto. El capitán D. Juan de Navas se Varsanti. ha distinguido, y ha recibido uua …</t>
  </si>
  <si>
    <t>Kul</t>
  </si>
  <si>
    <t>ras, tres pabello­ quierdo del campo enemigo que estaba á orillas nes, y mas de y9 prisioneros, entre los quales se del Danubio. Entre tanto ei mayor general Kul- hallan Achmet, baxá de tres colas , el comandan­ dew dió la vuelta por el otro lado, y se apoderó te de la flotilla, baxá de dos colas, y un gran nú­ de otro campos…</t>
  </si>
  <si>
    <t>Kulncw</t>
  </si>
  <si>
    <t>nal que tra­ Nuestro exército principa!, cerca de Schnmla, zó Rafael en su primera juventud. ha dado los siguientes combatí -: el 6 de julio el mayor general Kulncw rechazó un fuerte ataque GRAN BRETA ÑA. dirigido contra el ata derecha, que duró quatro horas: el 8 el teniente general Uwao w con su Londres 14 de agosto. cuerpo…</t>
  </si>
  <si>
    <t>Kulnew</t>
  </si>
  <si>
    <t>argada de U amoruzaeion brillantes, y mui ventajosas para nnestras tropas. de los billetes de banco ,y ayer fue pnesto en El dia 24 de junio el mayor general Kulnew sesión de su empleo por el conde TrautsruansdoríF, rechazó vigorosamente una saiida que hicieron los mayordomo mayor de la corte. sitiados contra nuestra ala dere…</t>
  </si>
  <si>
    <t>Kurakin</t>
  </si>
  <si>
    <t>ó revista de chis­ peligro. Otras 15 ó 16 personas lo éstan también, tes, dichos agudos y sentenciosos, cuentos, anécdotas, pero menos gravemente. El príncipe Kurakin ha sucesos raros y poco conocidos de la historia general y logrado ya dormir , y lvai esperanzas de que so ac­ particular, exemplos memorables de vicios y virtu…</t>
  </si>
  <si>
    <t>Kuraquin</t>
  </si>
  <si>
    <t>s , y tuvo varias contusio­ nes. La princesa de la Leyen ha muerto de resultas de lo que padeció en aquella ocasión. Otras señoras de distinción y el príncipe Kuraquin , embaxador de Rusia, recibieron da­ nos de gravedad. Los 13 cardenales que vivían en París, han sido repartidos en la fortaleza de Ham , Rheims, y otros sitio…</t>
  </si>
  <si>
    <t>Kutschera</t>
  </si>
  <si>
    <t>a cesión se hará en paz y con acompañado del caballerizo mayor el conde VVibaa, decoro; ademas de que se han dado tas mejores de Sn ayudante el mayor general Kutschera. disposiciones para reprimir todo desorden. uestro augusto Soberano se dignó reconer lodo* los salones de este establecimiento , la biblioteca y PRUSIA. los de…</t>
  </si>
  <si>
    <t>Kutusow</t>
  </si>
  <si>
    <t>ue reemplaza al prín* bre de una sola casa. cipe B.gration en el mmdo del exérciro de Mol­ ,,EI examen de los documentos del buque, e! davia, y no el general Kutusow como se lubia di­ diario del víage., el interrogatorio del capitán y de cho. El conde Kamcnski ha salido ya para su nue­ la tripu ación, y la verificación de las…</t>
  </si>
  <si>
    <t>L, Juan Calvó</t>
  </si>
  <si>
    <t>Juan Calvó L</t>
  </si>
  <si>
    <t>.. 2199 30, Doña Gerónima Aguiiar......... ............. 90000 D. Luis Gerardi.v.iñi’........... 11102 Sor María Josefa de Sta.María deSocors. 18000' D. Juan Calvó L%cejó.....í...... 897° D. F rancisco López de Sáa................ 4545°' D. Atexo:Mariria.,....VJ.......'.;í.;,6t2fy D.a María Juana Hurtadode Mendoza. 43 81 x 26…</t>
  </si>
  <si>
    <t>L, Raque</t>
  </si>
  <si>
    <t>Raque L</t>
  </si>
  <si>
    <t>te que sea el mas venturoso de nuestra vida el día en de hatallon á D. Antonio Fa’gties; capitanes á qoe tengamos la dicha de recibir dentro de núes— D. Raque L:llo , D. Luis Pellejero, D, Aiexan— tres muros á Napoleón ti Grande y d la augusta dro Zegers, D. Francisco Maza y D. Josef EscoAtaría Luisa. En fin los ciudadanos de…</t>
  </si>
  <si>
    <t>la Bar, Josef de</t>
  </si>
  <si>
    <t>Josef de la Bar</t>
  </si>
  <si>
    <t>uan niente , on subteniente, dos sargentos , quatro ca-. Carguet» D. Josef Rivero, D. Antonio Aguirre, bos y 40 soldados. D. Juan de Dios Morquecho , D. Josef de la Bar­ art. iu. La plana mayor de este esquadron se rera, D. Josef Rech y Ferrando, D. Manuel Ra- compondrá de un comandante, un ayudante, un quejo, D. Josef María …</t>
  </si>
  <si>
    <t>la Bastida, Pablo Ruiz de</t>
  </si>
  <si>
    <t>Pablo Ruiz de la Bastida</t>
  </si>
  <si>
    <t>y buen desempeño en el mando político de dicha provincia. El Consejó de Regencia se ha servido promover á subteniente del real cuerpo de ingenieros á D. Pablo Ruiz de la Bastida, teniente del regimiento de infantería tercero provisional. Asimismo se ha servido promover en el real cuerpo de artillería á coroneles á los tejient…</t>
  </si>
  <si>
    <t>la Cabolería, Candido Manuel de</t>
  </si>
  <si>
    <t>Candido Manuel de la Cabolería</t>
  </si>
  <si>
    <t>en sus pechos, y restituirían á la nación D. Francisco Escaño, otro, D Femando Echandia. la paz y el sosieg que tanto necesita. Tercera ídem. Caoitan D. Candido Manuel de La Cabolería francesa esperaba á S. M. á una S. Martin , táñente D. M nuel Calvo , subtenien­ legua de Córdoba la infantería estaba ten.¡ida en te D. Josef …</t>
  </si>
  <si>
    <t>la Calle, Luis Bernardo de</t>
  </si>
  <si>
    <t>Luis Bernardo de la Calle</t>
  </si>
  <si>
    <t>dor. Id historia de Francia durante el siglo xvin Para la de la villa de Etfillana al ex-dominico por el señar Lacretelle , el joven , es .obra digna D. Luis Bernardo de la Calle. de particnlar distinción. Es el quadro mas comple­ Para la de Alcudia á D. Manuel Cantarero» to de los acontecimientos ocurridos 4 la Francia ea ex…</t>
  </si>
  <si>
    <t>la Cámara, Lucas Gil de</t>
  </si>
  <si>
    <t>Lucas Gil de la Cámara</t>
  </si>
  <si>
    <t>ña Manuela Roca.............. ;....... . - 6498 Doña Tomasa Quintillar, viuda, y su D. Tomas Vázquez..... ............................ 460*..25^ hijo D. Lucas Gil de la Cámara...... 1240 D. Fulgencio de la Riva Agüero......... 4449-25$ Los herederos de la marquesa de la</t>
  </si>
  <si>
    <t>la Camera, Ana de</t>
  </si>
  <si>
    <t>Ana de la Camera</t>
  </si>
  <si>
    <t>■ ■ ' • D. Isidro.Agustín de Herrera........ . 26820 y Larregarro.;.......... .......... 92*58 28^ D. Josef Dionisio de Aguiiar............. 'y 1120 Doña Ana de la Camera....... 60*006 *Doña Teresa Zeférina Ramones......... 60060 DA MimTeresaMomorode-la Concha. 1719131 D. Domingo Antonio García...,........ ;28800 D K-réban de…</t>
  </si>
  <si>
    <t>la Canal, Agustín de</t>
  </si>
  <si>
    <t>Agustín de la Canal</t>
  </si>
  <si>
    <t>Francisco Nicolás de la Torre. D. Francisco Saez. D. Diego del Rio. D. Francisco Acevedo. D. Luis Bordeta. D. Roque Bunio, hijo. D. Vicente Marañen. D. Agustín de la Canal. D. Domingo Villamil. D. Agustín del Mazo. D. Isidro Gutiérrez. Tenientes. D. Manuel González del Rio. D. Josef Ramón de Aguiar. D. Domingo Prieto. “•••i D…</t>
  </si>
  <si>
    <t>la Canal, Francisco de</t>
  </si>
  <si>
    <t>Francisco de la Canal</t>
  </si>
  <si>
    <t>............. 185661 12 12 D ña Alaria Eugenia de Zubiaga, por D. Santiago Antonio de Urizar........... 19*794 9 9 sí, y como tutora y curadora de su D. Francisco de la Canal...................... 18036 20 hijo D Pedro Marta de Zubiaga.... w ei 0 0 0 0 0 D. Josef y Lorenzo Mercado............... 13507 D. Nicolás Alomo de Teja…</t>
  </si>
  <si>
    <t>la Carlntla, LesStiria y</t>
  </si>
  <si>
    <t>LesStiria y la Carlntla</t>
  </si>
  <si>
    <t>inmediato* kreuth , gobernador civil y militar de Berlín y Je á la frontera de Turquía. 6** -La Gdílitaia. 7.1 -La la marca de Brandemburgo. El feld-mariscal LesStiria y la Carlntla, que se reunirán, porque este tocq, qüe ha hecho dimisión de sus destinos , se p¿is en la actualidad es mui poco considerable para propone vivir …</t>
  </si>
  <si>
    <t>la Carrera, Martin de</t>
  </si>
  <si>
    <t>Martin de la Carrera</t>
  </si>
  <si>
    <t>impaciente ; pero espero propor­ cionar á todos iguales ocasiones.” Parte que dan desde el B-oncn con fecha de 9 del corriente al maris­ cal de campo D. Martin de la Carrera los comandantes de la expe­ dición de Aldea- Nueva. ,. La gloria que acompaña siempre á las tropas de la vanguar­ dia no nos ha abandonado en la acción d…</t>
  </si>
  <si>
    <t>la Casa, Domingo de</t>
  </si>
  <si>
    <t>Domingo de la Casa</t>
  </si>
  <si>
    <t>ngo , en América^ para nna ta, por 1 5. canongía de la santa iglesia de Málaga, vacante Asi que, las providencias superiores se encami­ par muerte de D. Domingo de la Casa. , nan á la adjudicación particular que yjcnd. desea, Nuestro, ministro interinq.de Negocios eclesiás­ é-intenta excitar á ella con premios; y no obstan-' …</t>
  </si>
  <si>
    <t>la Cenia, Jorge</t>
  </si>
  <si>
    <t>Jorge la Cenia</t>
  </si>
  <si>
    <t>mé Muriel, 25. D. José de las Plazas , 100. D. Manuel Calvo, 50. D. Francisco Puy, 50. D. Domingo Lagoa, 100. Señores Matorell , Pía y compañía. 100. D. Jorge la Cenia, ICO. D. Bruno Barnoya, 100. D. José Lagarda, 100. D. Antonio Celestino Navar­ ro , 100. D. José Marsan , 100. D. Joséjlgnació Pabon , 100. D. Nicolás Campe­ r…</t>
  </si>
  <si>
    <t>la Cerda, Manuel de</t>
  </si>
  <si>
    <t>Manuel de la Cerda</t>
  </si>
  <si>
    <t>icede , Doña María Concepción.................. D. Antonio López................................. 4602 2 y y de Doña Alaría Josef; de Gareta. 22006 4 D. Manuel de la Cerda........................ 2181032 Doña Josefa Igñácia Reajero.4900 El mismo................................................. 10602 28 D. Plácido Piedra M!lié…</t>
  </si>
  <si>
    <t>la Con, María Teresa Montero de</t>
  </si>
  <si>
    <t>María Teresa Montero de la Con</t>
  </si>
  <si>
    <t>cía Abella, por réditos de que fue de To'osa......................... . \ 59204-28 su capital............................................... 2320.-14 Doña María Teresa Montero de la Con­ La real escuela de Veterinaria, por tres cha,....................................................... 697.. 2 vales de caxa..................…</t>
  </si>
  <si>
    <t>la Concha, Josef de</t>
  </si>
  <si>
    <t>Josef de la Concha</t>
  </si>
  <si>
    <t>cancillería de la Orden Real de España. Osorio de los Ríos; D. Francisco de Castro , ca­ Don Josef Napoleón por Ja gracia de Dios y pitán de ñafio ; D. Josef de la Concha , capitán re­ por la constitución del estado» REI de las España* tirado» y administrador de rentas de Carmona; •y de las Indias. D. Josef Velasco, capitán d…</t>
  </si>
  <si>
    <t>la Corcova, Ignacio de</t>
  </si>
  <si>
    <t>Ignacio de la Corcova</t>
  </si>
  <si>
    <t>e Gómez.,, 4. Aíinisterio del rioAe la Plata. D.Juan deFerrér, ministro de apos­ tadero, 200. D. José Gómez Soriano, oficial segundo, 50. Id. quarto, D. Ignacio de la Corcova, 60. D. Pedro Elizondo, oficial quinto, 25. Id. graduado, D. José Villegas, 25. D. José Battlé y Carreo, asentista de víveres de Montevideo, 150. Id. de…</t>
  </si>
  <si>
    <t>la Crouts, Jdsef</t>
  </si>
  <si>
    <t>Jdsef la Crouts</t>
  </si>
  <si>
    <t>y Lomas...... ....... 13820 , 1, p. Francisco Mariscal.. :196a 17 La ex-cohdesa de Expiíii.».............. 17576 .16 D.Manqel Barcena..... i4»59 &gt;71 D. Jdsef La Crouts;;;.;.....20216 B. Felipe Blanco.».............................. jj22a- D. Simón de CasaViélla.'.......... ....... . 119^0 , , D. Jojian de Aparicio y Pálatíos*…</t>
  </si>
  <si>
    <t>la Cruz, Antonio de</t>
  </si>
  <si>
    <t>Antonio de la Cruz</t>
  </si>
  <si>
    <t>rdi abal y Uribe. — A D. José Pizarro. Eí Cocsfcjo de Regencia se ha dignado promover á mariscales de campo de los reales exércitos a los brigadieres D. Antonio de la Cruz , y D. Alexandro de Ogea, coronel del regimiento de in­ fantería de Ordenes Militares ; y ha concedido grades de coronel á los tenientes coroneles D. Manue…</t>
  </si>
  <si>
    <t>la Cruz, Francisco Rodti En el de</t>
  </si>
  <si>
    <t>Francisco Rodti En el de la Cruz</t>
  </si>
  <si>
    <t>tos titulada el gran Virei de Ñapóles, y la opere­ de ella......................... 460a 25 ta, traducida del francés, titulada el Preso. Memorias de D. Francisco Rodti- En el de la Cruz, á las quarro de la tarde.se execuguez Solier......... ......................... 66408 12 tará la comedia titulada Dido abandonada , con bol…</t>
  </si>
  <si>
    <t>la Cruz, Iñiinon de</t>
  </si>
  <si>
    <t>Iñiinon de la Cruz</t>
  </si>
  <si>
    <t>ida humana es el término fina! nal en tres actos titulada la Mogignta, y el fin de fiesta de todas las leyes y cánones de la lógica. Fsta preroga­ de D. Iñiinon de la Cruz titulado el Sueño, ó el Zelo- tiva no se logra sino á fuerza de exerci i', o por una so sin motivo. feliz disposición de celebro con que la naturaleza gust…</t>
  </si>
  <si>
    <t>la Cruz, Juan Cutáneo de</t>
  </si>
  <si>
    <t>Juan Cutáneo de la Cruz</t>
  </si>
  <si>
    <t>D. Joan Paradis. ............................................................................................................ 0 Josef Agustín Míret. D. Juan Cutáneo de la Cruz......................................................... D. Bartolomé Torrado. D. Rafael Fleuriot......................................................…</t>
  </si>
  <si>
    <t>la Cruz, Mariano García de</t>
  </si>
  <si>
    <t>Mariano García de la Cruz</t>
  </si>
  <si>
    <t>pioalt y Co­ llado. D. Eugínio Roldan, D. Francisco Verdejo Paez.... D. Gabriel Leoneli. D. Josef González Oyuela.... D. Francisco Peirou y Goazalez. D. Mariano García de la Cruz. D. Autonio María Rodríguez. D. Antonio Uribarri D. Tomas Arenillas..;... D.' Josef Manuel López baña­ bas. D. Ramón Ríbes........... D. Antonio Tom…</t>
  </si>
  <si>
    <t>tán de lá quinta compañía. Urquijo.” D. Antonio Fabelrac , subteniente, á teniente de la novena compañía. Don Josef Napoleón por la gractar de Dioí y D. Mariano García de la Cruz, subteniente, á por la constitución del estado» REI de las Espa— abanderado. ñas y de las Indias. Décimo, batallón. Hemos decretado y decretamos lo …</t>
  </si>
  <si>
    <t>la Cruz, Ramón de</t>
  </si>
  <si>
    <t>Ramón de la Cruz</t>
  </si>
  <si>
    <t>uen suceso de las producciones literanal en tres actos titulada la Mogigata, y el fin de fiesta unas con un encarnizamiento, que prueba que le han de D. Ramón de la Cruz titulado el Sueño, ó e! Zclo- ■ tenido, atribuyó el de la Melania á la ilusión, á los so sin motivo. Actores en la comedia. Señoras García, «actores r» lecto…</t>
  </si>
  <si>
    <t>REI ha venido en nombrar á D. Vicente co actos titulada el Vano humillado, y un fi- de fiesta •Rico, y fi.-rnabé, presbítero, para una capellanía dé D. Ramón de la Cruz. A. lores en la o meoi -. Se­ de la real capilla de Granada. ñoras M-iría García y Rosario García. Señores Maiquez, Y atendiendo al méritoque los opositores i…</t>
  </si>
  <si>
    <t>esta en ver­ será exactamente elíptico. so por D. Gaspar Zavala, y un divertido fin de fiesta Las perturbaciones de la luna son las mas señaladas, de D. Ramón de la Cruz. Actores en la comedia. Seño­ las mas notables. La única de que se puede dar idea sin ras María García y Ramos. Señores Maiquez. Pohce, cálculo ea la del mov…</t>
  </si>
  <si>
    <t>la Cuerda, Francisco de</t>
  </si>
  <si>
    <t>Francisco de la Cuerda</t>
  </si>
  <si>
    <t>ias. Juan Antonio Perello , y subtenientes á D. Francis­ „ Nombramos para el arzobispado de Toledo á co del Arca, D. Francisco Mabiliy D. Rafael Ver­ D. Francisco de la Cuerda, obispo de Málaga; y dugo: en el de Córdoba , 7.° de línea, subtenientes para este obispado que dexa vacante á D. Manuel á D. Josef Garda, D. MaDuel de…</t>
  </si>
  <si>
    <t>la Cuerda, Mariaoo Lázaro de</t>
  </si>
  <si>
    <t>Mariaoo Lázaro de la Cuerda</t>
  </si>
  <si>
    <t>de Celedonio de Cea , cura de FuencemUlan. D. Diego Félix Pioilla , á D. Josef Ruiz, clérigo Para el de R o macones, vacante por ascenso de de prima. D. Mariaoo Lázaro de la Cuerda al de Romeral, Para el de Navas y Cinco-Villas, vacante por i D. Ramón del Rio y Sainz , cura de Atanzon. ascéoso de D. Simón Cob Suelves al de Ca…</t>
  </si>
  <si>
    <t>la Cuesta, Mariano de</t>
  </si>
  <si>
    <t>Mariano de la Cuesta</t>
  </si>
  <si>
    <t>faLcios. Tenientes. D. Juan Paredes. D. Agustín Ugarte. D............................... D. Antonio Arias. D. Vicente Ferrer. D. F rancisco Sagasta. D. Mariano de la Cuesta. Batallón del quartel de S. Gerónimo. D. Zacarías Camant. D. Manuel Saez de Prado. Capitanes. D. Vicente Romero de Tejada. D. Francisco Xavier Ruiz de Men…</t>
  </si>
  <si>
    <t>la Cuesta, Tomas de</t>
  </si>
  <si>
    <t>Tomas de la Cuesta</t>
  </si>
  <si>
    <t>uan S. Román , 100 D. Agustín Butler, 2000 D José Alvareda é hijos, 306* D: Juan Manuel S. Román, 100, D. M. D. D., 320. D. Fermín de Elizalde, 3000. D. Tomas de la Cuesta, 500. Don Alexandro de la Parra, 500. D. Fermin Ramón Barrera, 500. D. Fran­ cisco Buch y. Truxillo, 400. D. Juan Palau, 1000. D. Esteban Fernan­ dez de Le…</t>
  </si>
  <si>
    <t>la Cueva, Joaquín María de</t>
  </si>
  <si>
    <t>Joaquín María de la Cueva</t>
  </si>
  <si>
    <t>f Rech y Ferrando, D. Manuel Ra- compondrá de un comandante, un ayudante, un quejo, D. Josef María Venene, D. Miguel Osor- porta y dos trompetas. no, D. Joaquín María de la Cueva, D. Antonio art. iv. Esta tropa no* hará parte de nuestra Mier y D. Juan Josef Romero. guardia en los dias que señalemos. Tenientes. art. v. Los ind…</t>
  </si>
  <si>
    <t>la Esda, Simbschtagobernador de</t>
  </si>
  <si>
    <t>Simbschtagobernador de la Esda</t>
  </si>
  <si>
    <t>presentaron en palacio'todos Ips emplea­ Kne»r*r?¿h ,-quc está ba*o sUs órdenes; el teniente dos. SS. MM. se indítpoíileifoá de fesultaide esta Feid-mariscal Simbschtagobernador de la Esda-</t>
  </si>
  <si>
    <t>la Extracto, Diego de</t>
  </si>
  <si>
    <t>Diego de la Extracto</t>
  </si>
  <si>
    <t>= Por S. M. su ministro dino , D. Ramón de Cáceres, D. Mannel de Si­ secretario de Estado Mariano Luis de Urquijo.” les , D. Josef Saenz de Ramírez , D. Diego de la Extracto de las minutas de la secretaría de Barrera, D. Diego de Lora , D. Josef María de Estado. . Cnbas , D. Francisco Ladrón, D. Joaqnin Jáco- Real alcázar de …</t>
  </si>
  <si>
    <t>la Fuen, Diego de</t>
  </si>
  <si>
    <t>Diego de la Fuen</t>
  </si>
  <si>
    <t>eñor Oberkampf, propietario de las tirarse á las sierras. Pocas horas despuet Se presen­ manufacturas de Jpuiy de Essone. tó otra partida mandada por D. Diego de la Fuen­ La misma clase propone para los grandes pre­ te, la qual tenia á tomar parte en la acción; mas mios de segundo orden: también fne rechazada como la primera.…</t>
  </si>
  <si>
    <t>la Fuente, Bartolomé de</t>
  </si>
  <si>
    <t>Bartolomé de la Fuente</t>
  </si>
  <si>
    <t>s á las tres de la tarde inmediatamente contra ellos una partida de 2¡ cí­ de aquel mismo día : conducidos á la real cárcel de vicos á las órdenes de D. Bartolomé de la Fuente, esta corte, se les ha formado el correspondiente capitán de la segunda compañía. A la una de la proceso, y por estar convencidos y confesos en el tard…</t>
  </si>
  <si>
    <t>la Fuente, Clara de</t>
  </si>
  <si>
    <t>Clara de la Fuente</t>
  </si>
  <si>
    <t>antes fue viña , al Otra, camino de las Arcas de la fuente cerrillo de Montes, y correspondió al• deípalacio, que linda á oriente con la concurso de Doña Clara de la Fuente. 136..17 3003</t>
  </si>
  <si>
    <t>la Fuente, Juaii de</t>
  </si>
  <si>
    <t>Juaii de la Fuente</t>
  </si>
  <si>
    <t>errera, D. Clemente Grima, D. Bautista Vila, D. Casimiro Brodet, D. Guillelmo Claramunt, D. Bernardo Cobian y D. Francisco Juárez ; y subtenencias, á D. Juaii de la Fuente , D. Mtnuel Martinez , D. Pió Moron , D. Francisco Alonso , D. Bernab S María de Faez , D. Angel Salazar y Aldao, D. José Pereyra, D. Blas Peinador, D. Ant…</t>
  </si>
  <si>
    <t>la Fuente, Juan de</t>
  </si>
  <si>
    <t>Juan de la Fuente</t>
  </si>
  <si>
    <t>artolomé Gómez,. D. Joaqurn Sánchez. 9.a.......... D. Josef Chacón.......... D. Ventura Cordero. 10.a................................................ D. Juan de la Fuente. N.'estío ministro de la Guerra queda encargado de la cxecucion de e'te decreto. — Finnado=YO EL REI. = Por S. M. el mitiisrro secretario de Estado = Firmad…</t>
  </si>
  <si>
    <t>la Fuente, Pedro de</t>
  </si>
  <si>
    <t>Pedro de la Fuente</t>
  </si>
  <si>
    <t>a ya en la organiza- eade subteniente del regimiento de Castilla , i,° de don de las escuelas i i tricas, que parece se ban de — infantería ligera: í D. Pedro de la Fuente subte­ poner por el tenor de lat de Francia» dándose en niente del regimiento de Soria, 4.0 de infantería de ellas una instrucción tan completa y cómoda» q…</t>
  </si>
  <si>
    <t>la Gar, Jacobo de</t>
  </si>
  <si>
    <t>Jacobo de la Gar</t>
  </si>
  <si>
    <t>ecerán de guarnición. ta tanto que se haga una reparricion igual de los Se anuncia como noticia positiva que los prin­ tributos robre las tierras. El conde Jacobo dé la Gar- cipados de Saltzburgo y de Berchtolsgtden , y todo die ha propuesto á la nobleza que rtnuncie volun­ el Inviertel, se reunirán al reino de Baviera, y que…</t>
  </si>
  <si>
    <t>la Garma, Manuel de</t>
  </si>
  <si>
    <t>Manuel de la Garma</t>
  </si>
  <si>
    <t>ía Maeso.............. 4 joco D&lt;&gt;ña Feliciana Barí?............................ 1 263 27 D. C . yeM 10 Maeso................................. 4 j LOO D. Manuel de la Garma....................... 10830 D. Andrés Ai t nio Fernandez.......... 43920 D. Felipe A’ba Ruiz................................ S4S3 1?, D. Antorio Rubiilard…</t>
  </si>
  <si>
    <t>la Higue, Josef Díaz de</t>
  </si>
  <si>
    <t>Josef Díaz de la Higue</t>
  </si>
  <si>
    <t>et Casti­ nas y de las Indias. llo, predicador y confesor: para la de Biznar al En conformidad de lo dispuesto en nueetro de* ex-franciscano descalzo D. Josef Díaz de la Higue­ creto de i.° de mayo anterior sobre la provisión y ra: para la de la Mala y anexos á D. Miguel Masservicio de las sacri tLs de las iglesias de nuestro…</t>
  </si>
  <si>
    <t>la Huerta, Francisco Gutiérrez de</t>
  </si>
  <si>
    <t>Francisco Gutiérrez de la Huerta</t>
  </si>
  <si>
    <t>lano, suplente por la provincia de Toledo: D. Antonio Vázquez de Aídana , suplente por la de Toro : D. Manuel de Aróstegui, suplente per la de Alava: D. Francisco Gutiérrez de la Huerta, suplen­ te por la de .Burgos: D. Juan Gallego, sapiente por la de Zamora : D. José Valcarcel, suplente por la de Salamanca: D, José Zorraqui…</t>
  </si>
  <si>
    <t>la Huerta, Francisco Rodríguez de</t>
  </si>
  <si>
    <t>Francisco Rodríguez de la Huerta</t>
  </si>
  <si>
    <t>833111 D. Pedro Segando García Domínguez. 38:60 D. Miguel López............................ 4098 ic(&gt;. D. Josef Manuel de; lzaguirrc.......... 108000 D. Francisco Rodríguez de la Huerta. ,42°8 11 DoñacRnsa de Ja.Peña,,,................ 210000 D. Pedro JosefRecarte»...... 380 D. Manuel MaríaCímb/nnerp,.......... 7000O D. Pedro…</t>
  </si>
  <si>
    <t>la Huerta, Miguel de</t>
  </si>
  <si>
    <t>Miguel de la Huerta</t>
  </si>
  <si>
    <t>Madariaga, 20. D. Francisco J íuregui por 3a casa de D. Francisco Eíguea , 30. D. Juan Eíguezabal, 50. £). José Perez Ruiz, 22. D. Lepe de Vega, 20. D. Miguel de la Huerta, 20. Doña Plácida Mingura, 12. D. Juan José Atenas, 50. D. Santiago Abren, 30. D. Juan Capistrano Zubia ,8. D. José María Porras ,8. D. Ber­ nardo Martínez…</t>
  </si>
  <si>
    <t>la Iglesia, Nicolás de</t>
  </si>
  <si>
    <t>Nicolás de la Iglesia</t>
  </si>
  <si>
    <t>el D. Manuel Vatenzucla. entre tanto se envían piquetes de guardias turcas á D. Mateo de Mora y Lomas. su bordo. Una embarcación inglesa de comercio, D. Nicolás de la Iglesia Le roía. que llevaba quatro cañones con el objeto solamen­ D. Josef Manzanilla. te de hacer el saludo y salvas, se presentó pocos D. Francisco Rodríguez…</t>
  </si>
  <si>
    <t>la Junquera, Augereau de</t>
  </si>
  <si>
    <t>Augereau de la Junquera</t>
  </si>
  <si>
    <t>de Darnius el coronel Dr. D. Francisco Rovira al general en xefe del exército de Cataluña marques de Portago , que con noticia de que el 18 pasaba el general Augereau de la Junquera á Figueras con 32 hombres de infantería, y alguna caballería y ar­ tillería , y que algunas colunas enemigas habían tomado las al­ turas de la de…</t>
  </si>
  <si>
    <t>la Lama, Pedro García de</t>
  </si>
  <si>
    <t>Pedro García de la Lama</t>
  </si>
  <si>
    <t>as, por el tiem &gt;0 de un año vencido , ofreciendo continuar con igual cantidad y para ei pro­ pio ob]eto sucesivamente durante la presente gCiírru; y D. Pedro García de la Lama, vecino de la ciudad de Vera-Cruz, ha remitido también 3COO pesos fuertes para que se inviertan en beneficio de la patria en las actuales urgencias. E…</t>
  </si>
  <si>
    <t>la LapeiTa, Manuel de</t>
  </si>
  <si>
    <t>Manuel de la LapeiTa</t>
  </si>
  <si>
    <t>663</t>
  </si>
  <si>
    <t>ades de los senos , cosenos y lineas trigonomé­ tricas , y de parte de la geometría prácticay uso de la nive­ lación.. Presidió el acto el Excmo. Sr. D. Manuel de la LapeiTa, capitán general de Andalucía, y general en gefe de este exér­ cito , con asistencia de los señores D.. Antonio Aguirre y Don Francisco Hurtado,, que ofi…</t>
  </si>
  <si>
    <t>la Lausa, Pedro García</t>
  </si>
  <si>
    <t>Pedro García la Lausa</t>
  </si>
  <si>
    <t>100. D. Juan de Dios Troncoso, 100. D. Alexandro Troncoso. , 100. D. Martin Urdapilleta, £0. I). José de la Lanza , 100. Señores Llano y Regato, 100. D. Pedro García la Lausa , 200. D. Domingo Madariaga, 25. D. Juan Manuel Muñoz , 200. D. Joaquin Micon , 100. D. Jo­ sé Domingo Couto , 100. D. Mariano Pasquel, 100. D. Manuel E…</t>
  </si>
  <si>
    <t>la Mancha, Quixote de</t>
  </si>
  <si>
    <t>Quixote de la Mancha</t>
  </si>
  <si>
    <t>. Las callas estaban colga- Belliard. .beza mas grande del mundo 3 (De este mismo modo so­ mismo modo que él nos los pinta. Solo en dos cosas no baba D. Quixote de la Mancha.) Nosotros , que estamos tiene un adarme de razón, y son: que el poeta que ha .despiertos, vemos que sueña; pero ella, lo mismo que adoptado la huérfana …</t>
  </si>
  <si>
    <t>idiota que no se crea con suficiente capaci­ en un acto titulada los Enemigos generosos, y el gran dad para conocer y dictar verdades. baile titulado D. Quixote de la Mancha, executado por El hombre gusta de dominar, y no domina sino por Fernanda y Alexo Lcbrunier y demas bailarines. el valor y la sabiduría. De esto nace que …</t>
  </si>
  <si>
    <t>la Mata, Cristóbal de</t>
  </si>
  <si>
    <t>Cristóbal de la Mata</t>
  </si>
  <si>
    <t>ue si no son absolutamente perfectos, se acercaa Para la de la parroquia de Pulianas y sus aoe- muchísimo á serlo, y llenan las miras mas esen­ xos á D. Cristóbal dé la Mata» ex-franciscano, ciales. En este caso se halla el corso elementa! dé ministro y definidor de su órden. matemáticas de Mr. Lscroix, que ha merecido la Par…</t>
  </si>
  <si>
    <t>la Mata, José Joaquín de</t>
  </si>
  <si>
    <t>José Joaquín de la Mata</t>
  </si>
  <si>
    <t>tería i.° de ¿-.aboya; á D. Luis Sabates y de Cam­ po, subteniente del de Granada, á D. Antonio del Valle y Casti­ llo, subteniente del de Irlanda; á D. José Joaquín de la Mata, ayu­ dante del l.° de infantería de España; á D. Fernando Mon y Arguelles , teniente del 2.° de voluntarios de Madrid ¿ á D. Ma-</t>
  </si>
  <si>
    <t>la Moneda, Francisco Antonio de</t>
  </si>
  <si>
    <t>Francisco Antonio de la Moneda</t>
  </si>
  <si>
    <t>co del Castillo y Camacho, presbíteio y ex-serónimo, para la media-ración que dexa GarriJotá perioridad. La ílorilla enemiga se componía de fo embar­ D. Francisco Antonio de la Moneda, presbítero» caciones cargadas de tropas, con una corbeta y dos para otra media-radon de la catedral de Granada, bergantines que se le habían a…</t>
  </si>
  <si>
    <t>la Oliva, Francisco de</t>
  </si>
  <si>
    <t>Francisco de la Oliva</t>
  </si>
  <si>
    <t>principal. D, Josef López, fiel de carnicerías. D. Antonio de Ellatt, visitador de rentas pro­ D. Antonio de Villoslada, oficial primero. vinciales. D. Francisco de la Oliva , ídem a. D. Rafael Díaz de Casso, abogado fiscal. D. Agustín Martínez de Alcalá, idem 3. D. Sebastian de Vargas , agente de renta*. D. Casimiro de la Pa…</t>
  </si>
  <si>
    <t>la Oliva, Miguel de</t>
  </si>
  <si>
    <t>Miguel de la Oliva</t>
  </si>
  <si>
    <t>em. D. Alexo de Navas , ídem. Tesorería principal. D. Francisco Domínguez, ídem. D. Josef Bfitran . ídem. D. Pedro Díaz de Casso, tesorero principal. D. Miguel de la Oliva, meritorio sin sueldo. D. Vicente Díaz de Casso, oficial. D. Juan de la Portería, caxero. Contaduría de propios. D. Francisco González, portero. D. A rtron…</t>
  </si>
  <si>
    <t>la Orden, Manuel de</t>
  </si>
  <si>
    <t>Manuel de la Orden</t>
  </si>
  <si>
    <t>as acomodado Por el comercio de Vivero: D. Juan Pedro á las circunstancias. Bergcíra. De allí pasó S. M. á su real capilla, donde Por los labradores: D. Manuel de la Orden, se cantó otro Te Deutn\ y concluido este devoto proveedor general. acto se restituyó S. M. con el mismo acompaña­ miento á su real palacio. Diputación de …</t>
  </si>
  <si>
    <t>la P, Manuel García de</t>
  </si>
  <si>
    <t>Manuel García de la P</t>
  </si>
  <si>
    <t>Madrid , dice la gazeta de Sevilla del 3 de este mes, compuesta de los quatro regidores mas antiguos, D. Fru­ tos Alvaro Benito , D. Martin de Huici, D. Manuel García de la P a la y D. Tadeo Bravo del Rivero, después de cumplimentar á S. M. (José Bonaparte) por haber hecho la conquista de las An­ dalucías , atrayendo los pueb…</t>
  </si>
  <si>
    <t>la Palenque, Mtgoebde</t>
  </si>
  <si>
    <t>Mtgoebde la Palenque</t>
  </si>
  <si>
    <t>lussiútc-.* ^r-.,:, ..24074 bara, D. Pedro Cellini y compa- •í D.'Baltasar Delgado»,...........470 &gt; ñí:i, y Wcreruise hermanos......... .'. 645107 [ D. Mtgoebde la Palenque ¡ 263 5 ’ ló1 D. Dámaso de la Torre....»................ 3°594 25"l D. NicoUs Josef Masart..,.........«...i.; 40863 D. Juan Josef,de Gamboa............. …</t>
  </si>
  <si>
    <t>la Parra, Miguel de</t>
  </si>
  <si>
    <t>Miguel de la Parra</t>
  </si>
  <si>
    <t>. Los capellanes y tenientes de policía y demás subalternos del hospi­ cio de México, inclusos algunos mendigos de la casa, 114 pesos fuertes y 4 rs. D. Miguel de la Parra , vecino de Xiquilpan , 200. D. Antonio Serra y Aalet , vecino dé Villahermosa de Tabásco , 400, y 110 al año. Los sirvientes de la hacienda de Teoloyuc«Ui…</t>
  </si>
  <si>
    <t>la Pedrueza, Sabino de</t>
  </si>
  <si>
    <t>Sabino de la Pedrueza</t>
  </si>
  <si>
    <t>Salvador Porras, 50. D. Eugenio Vizoso, 50. D. Martin Mariñelarena, 12. D. Pedro Ignacio Irigoyen , i&lt;&gt;. D. Juan Trillo. 8. D. Gerónimo Maeeira, 50. D. Sabino de la Pedrueza, 33. D. Rafael Zubia , 20. D. Justo Madariaga, 20. D. Francisco J íuregui por 3a casa de D. Francisco Eíguea , 30. D. Juan Eíguezabal, 50. £). José Perez…</t>
  </si>
  <si>
    <t>la Peña, Agustín de</t>
  </si>
  <si>
    <t>Agustín de la Peña</t>
  </si>
  <si>
    <t>zmos. Doña María Josefa Pi­ cado Pacheco, 500. D. José Antonio de Mérida; vecino de Oaxaca, 500. D. Francisco Antonio de Santiago, y su hijo político D. Agustín de la Peña, por mitad, 500. D. Manuel Francisco del Cerro, 500. El licenciado D. José Antonio del Cristo y Conde, 500. D. Ignacio de Ubieta, 500. El contador de la ad…</t>
  </si>
  <si>
    <t>la Peña, Eugenio de</t>
  </si>
  <si>
    <t>Eugenio de la Peña</t>
  </si>
  <si>
    <t>á contar nio Cibat, inspector de sanidad de nuestra real desde él de 1815 guardia; D, Josef Mariano Moz¡óo,.vicé presiden­ te de la academia médica; D. Eugenio de la Peña, D. Luis Guarnerio y J&gt;. Sebastian Enche. IMPERIO FRANCES. art. m. Nombramos secretario de esta junta París a de noviembre. ,á D. Juan de Andújar. art. iv. …</t>
  </si>
  <si>
    <t>la Peña, José de</t>
  </si>
  <si>
    <t>José de la Peña</t>
  </si>
  <si>
    <t>, 30. D. Manuel Vi lia vicencío, 120. D. Félix Gastartlbide, 60. Id. de fragata, D. Martin Temoson , 50. — Cuerpo de pilotos. D. Joaquín Cundin , 70. D. José de la Peña, 70. D. Domingo Ugalde, 200. D. Juan de Heredia, 140. D. Juan Triana, 15. D. Fernando Sánchez, alterez de fragata graduado, con­ tramaestre de- construcción, …</t>
  </si>
  <si>
    <t>la Piedra, Benito de</t>
  </si>
  <si>
    <t>Benito de la Piedra</t>
  </si>
  <si>
    <t>16 Alicante. .... Señoras Casson y compañía. Badajoz............. D. Francisco Fernandez de la Peña y S. Miguel. Cádiz................ D. Benito de la Piedra. n . í D. Bernardo Elizalde, y en su ausencia D.CánCartagena. . . . J dido Montero de la’ ¿orlcha. Ciudad-Rodrigo. D. Antonio López. Córdoba............. Señores Barcia …</t>
  </si>
  <si>
    <t>la Piedra, Ignacio de</t>
  </si>
  <si>
    <t>Ignacio de la Piedra</t>
  </si>
  <si>
    <t>uan Miguel Aznar, 345. D. Angel Pusqual de Casara! , tenien­ te de milicias provinciales de Toíuca, y subdelegado del partido de Temoscaitepea, 200., D. Ignacio de la Piedra, y D. José Ar­ món a , vecinos de Tepecuaquilco , 500. El intendente de Guadalaxara D. Roque Abarca , 500. Por conducto del intendente de Veracruz se han…</t>
  </si>
  <si>
    <t>la Plaza, Benito de</t>
  </si>
  <si>
    <t>Benito de la Plaza</t>
  </si>
  <si>
    <t>0. Doña María de Vega, 2oDoña María Salas, 60. Conde de Talara, 6co Dones y Canadell, icoo. D. Manuel Jesús Fernandez , 300. D. Francisco Díaz , 2CQ. D. Benito de la Plaza, 160. D. Mateo Lobo, 320. D Gerónimo Martínez, 300. D. Pedro Antonio Eguía, 520. F. B., 100. J. S. , ico. Buch, hermanes y compañía, ¿co. Marques de Belgid…</t>
  </si>
  <si>
    <t>la Porrera, Francisco de</t>
  </si>
  <si>
    <t>Francisco de la Porrera</t>
  </si>
  <si>
    <t>rtolomé Velez, D. Antonio Guerra y D. An­ tonio Ximenez, y los diputados del comurt Don La primera división del gran tren de artillería» Martin Ruiz, D. Francisco de la Porrera, estando que llegó de Alemania á Strasburgo, ha sido colo­ juntos y reunidos en la sala capitular, juramos fi­ cada sobre el glacis de la ciudadela. d…</t>
  </si>
  <si>
    <t>la Portería, Juan de</t>
  </si>
  <si>
    <t>Juan de la Portería</t>
  </si>
  <si>
    <t>D. Josef Bfitran . ídem. D. Pedro Díaz de Casso, tesorero principal. D. Miguel de la Oliva, meritorio sin sueldo. D. Vicente Díaz de Casso, oficial. D. Juan de la Portería, caxero. Contaduría de propios. D. Francisco González, portero. D. A rtronio Díaz Balcongo, oficial primero. Córdoba 27 de enero de 1810. — Firmado. D. Jos…</t>
  </si>
  <si>
    <t>la Portilla, Vicente María de</t>
  </si>
  <si>
    <t>Vicente María de la Portilla</t>
  </si>
  <si>
    <t>Pedro García del Valle, 100. Den Juan Antonio Aguilar, 50. D. Pedro del Puerto Vicario ,.100, D. Clemente de Sta. Cruíz, 100. í&gt;. Benito Barin , 50. D. Vicente María de la Portilla 50. Don Juan Lagrava, 50. D. Juan de Guisasola, 100. D, Rafael Ixheniquc , 25. D. An­ gel Antonio Villar, 25. D. Mateo Lorenzo Murfi. 200. D. José…</t>
  </si>
  <si>
    <t>la Puente, Diego de</t>
  </si>
  <si>
    <t>Diego de la Puente</t>
  </si>
  <si>
    <t>o Morales, 32. Mariano Carabajal, 14. Varios vecinos, 132 y 6 rs. Los naturales del Mezquital, 13 — S Andrés. El subdelegado D. Manuel Rodríguez, 20. D. Diego de la Puente, 20. Varios individuos, 16 y 1 real. D. Juan José Yandiola, 10-- -Real del Oro. El subdelegado D. Tomas Diaz de Matos, 10. D. Gaspar Pereyra, 35. D. Jasé F…</t>
  </si>
  <si>
    <t>la Puente, Juan Gómez de</t>
  </si>
  <si>
    <t>Juan Gómez de la Puente</t>
  </si>
  <si>
    <t>ncia de Oaxaca y va­ rios vecinos de este partido, 2064. El teniente D. Ramón Gómez de Líafio y varios vecinos de la villa de Aguas-calientes , 2100. D. Juan Gómez de la Puente , vecino de Irapuaío , 100 ; y otros 100 anualmente. D. Froylan González Higueras , de Guanajuato , 2G0. El bachiller D. Juan José Villasusan , 100. P…</t>
  </si>
  <si>
    <t>la Puente, Pedro de</t>
  </si>
  <si>
    <t>Pedro de la Puente</t>
  </si>
  <si>
    <t>D. Juan Antonio Serra­ no , 200. D. Juan Felipe Laurnaga , 100. D. Gregorio García Corral, 100. O. .Juan Irigoyén, 100. D. Juan Manuel Revuelta, 200. D. Pedro de la Puente;‘20Q. B. Isidro Zulueta , 200. D. Bartolomé García y García, 100. Don Diego Barren , *200. D. Pedro José Caraso , 200. D. Julián Judice , 200. D. Jo­ sé Ra…</t>
  </si>
  <si>
    <t>la Puerta, Francisca de</t>
  </si>
  <si>
    <t>Francisca de la Puerta</t>
  </si>
  <si>
    <t>igos , recibió una cuchillada en “una ma­ no y una estocada ert el morrión. -— No es esta la única de su sexo en la partida, donde acaba de alistarse Doña Francisca de la Puerta que ha militado hasta ahora en la Mancha á las órdenes de D. Ventura Ximenez. CADIZ % DE AGOSTO. ha Centinela de la patria : con real aprobación de l…</t>
  </si>
  <si>
    <t>la Quintana, Ftáncisco de</t>
  </si>
  <si>
    <t>Ftáncisco de la Quintana</t>
  </si>
  <si>
    <t>curas y beneficiados 1 . , J 1 c. L ./ : \. D..Jacinto de Urria Nazaronduéhijos. : ■ 8coo de Madrid.................... ........... ....... . 4164'12 D. Ftáncisco de la Quintana...........;.' 50006. D. Francisco Sardina........................ 2140 D. Manuel Sánchez Tcseano.• 8c'Cob* D. Francisco Viaña........................…</t>
  </si>
  <si>
    <t>la Quintana, Jacinto de</t>
  </si>
  <si>
    <t>Jacinto de la Quintana</t>
  </si>
  <si>
    <t>de las minutas de la secretaría de Estado. D. Juan Pablo Pereira............................ 712 En'nuestro palacio de Madrid á 14 de julio de 1810. D. Jacinto de la Quintana..................... 370-2si Don Josef Napoleón por la gracia de Dios y por |a D. Pascual Juarros................................. 72a constitución del …</t>
  </si>
  <si>
    <t>la Quintana, Mateo de</t>
  </si>
  <si>
    <t>Mateo de la Quintana</t>
  </si>
  <si>
    <t>c«ii duque de Dalmacia.=Por ampliación = El ayu­ D. Antonio Hernández1.......................... 57600 dante comandante, subayudante mayor generáis: D. Mateo de la Quintana..................... 73531.-26 Firmado= Mooqueri. Dona Manuela Goihuru.......................... 36900 D. Josef J acobo Leopoldo Yabuck... j 4400o Madrid …</t>
  </si>
  <si>
    <t>la Rica, Josef González de</t>
  </si>
  <si>
    <t>Josef González de la Rica</t>
  </si>
  <si>
    <t>es poco razonables, aunque dor sinodal. demasiado comunes. Para la de Pnrullena al ex-agustino calzado Verdad es que la narración es rápida; pero es­ D. Josef González de la Rica. ta rapidez no procede tanto del estilo, quauto de Para la del Marchal al ex-fraociscano descalzo un hacina miento de acontecimientos que el autor D…</t>
  </si>
  <si>
    <t>la Rigada, Joan Henrique de</t>
  </si>
  <si>
    <t>Joan Henrique de la Rigada</t>
  </si>
  <si>
    <t>qnatro de ellos propusiesen el primer plan, pianos hechos anteriormente por el capitán de cor­ que hasta entonces se había presentado, para le­ reos D. Joan Henrique de la Rigada, y el piloto vantar las cartas de nuestra América septentrional, de la armada D. Josef de Hevia (que yacían olvi­ y ya estaba aprobado por el Reí qu…</t>
  </si>
  <si>
    <t>la Rigada, Juan Henrtque de</t>
  </si>
  <si>
    <t>Juan Henrtque de la Rigada</t>
  </si>
  <si>
    <t>stante y recular, y de otro que puedella­ D. Tomas Ugarte, D. Josef Ezquerra, D. Francis­ marse anuo. El primero Je causa el viento de la co Alcedo y D. Juan Henrtque de la Rigada; de­ mar, que sopla mientras dura la fuerza del sol so­ duciendo de ellas las advertencias oportunas para bre él horizonte #-y el terral, que le su…</t>
  </si>
  <si>
    <t>la Riva, Fulgencio de</t>
  </si>
  <si>
    <t>Fulgencio de la Riva</t>
  </si>
  <si>
    <t>D. Tomas García Domínguez. D Nicolás Herencia. Batallón del quartel de S. Martin. D. Gervasio Fernandez Izquierdo. Capitanes. D. León de Montenegro. D. Fulgencio de la Riva. Agüero. D. Ignacio de la Torre. D. Mana' 1 Calderón. El marques de Cusano. Subtenientes. D. Benito Prado y Ulloa. D. Francisco Diez. El conde de S o Rafa…</t>
  </si>
  <si>
    <t>la Ro, Pedro de</t>
  </si>
  <si>
    <t>Pedro de la Ro</t>
  </si>
  <si>
    <t>de Borbon ai teniente D. Ha no i Fraach, y al ayundante D. Ramón Puertolas ; ayudantía al teniente Don Francisco González; tenencias b los alféreces D. Pedro de la Ro­ cha, D. Fernando de la Rocha, D. Juan Rivera y D. Juan Ai* tonio Correa empleos de alférez á los porta estandartes D. Vi­ cente Vargas, D. Carlos Blance, D. Ma…</t>
  </si>
  <si>
    <t>la Rocha, Fernando de</t>
  </si>
  <si>
    <t>Fernando de la Rocha</t>
  </si>
  <si>
    <t>. Ha no i Fraach, y al ayundante D. Ramón Puertolas ; ayudantía al teniente Don Francisco González; tenencias b los alféreces D. Pedro de la Ro­ cha, D. Fernando de la Rocha, D. Juan Rivera y D. Juan Ai* tonio Correa empleos de alférez á los porta estandartes D. Vi­ cente Vargas, D. Carlos Blance, D. Manuel Monti y D. Ma­ nue…</t>
  </si>
  <si>
    <t>la Rocha, Manuel de</t>
  </si>
  <si>
    <t>Manuel de la Rocha</t>
  </si>
  <si>
    <t>iento; D- Manuel de ministra secretario de Estado Mariano Luis de Ur­ Mendivü; D. Gabriel Julián García; D. Francisco quijo.” i Barreda y Benavides ; D. Manuel de la Rocha » ad­ En nuestro palacio del alcázar de Sevilla i 6 ministrador principal de correos de esta ciudad y de febrero de 181 o. su partido; D. Pedro León Rodríg…</t>
  </si>
  <si>
    <t>la Rúa, Manuel de</t>
  </si>
  <si>
    <t>Manuel de la Rúa</t>
  </si>
  <si>
    <t>88o con D. Manuel de la Rúa............................ 63-17 *397 fina tierra de 2} fan. en la Alverízi, que lin­ Otra de Si fan. camino de Valdcmoro, Incor­ da con Jacinto Dorado.................................. 3-</t>
  </si>
  <si>
    <t>la S, Felipe de</t>
  </si>
  <si>
    <t>Felipe de la S</t>
  </si>
  <si>
    <t>v ..... espana. .. .VVitithuiscn queda nombrado .capitán de infan­ ’ '■ - •f tería. ' ' :‘ ” ' Madrid T4 de junio.- ■1 Por decreto de 5 del corriente D. Felipe de la S.: M. ha expedidp el decreto siguiente: Corte está nombrado sargento mayor dé brigada Extracto de - Jas minutas de La secretaria de del cuerpo de ingenieros. . …</t>
  </si>
  <si>
    <t>la Sagra, Miguel Pale Para el de la Alameda de</t>
  </si>
  <si>
    <t>Miguel Pale Para el de la Alameda de la Sagra</t>
  </si>
  <si>
    <t>ima. Francisco Valdivieso, á D. Antonio Martinez Ve- Para el de Armuña de Tajuña, vacante por lasco, cura de Campo Real. muerte de D. Ramón Ibañez, á D. Miguel Pale­ Para el de la Alameda de la Sagra, vacante por ro, clérigo de prima. ascenso de D. Josef Binuesa al de Carabaña, á Para el de S. Andrés de Talavera, vacante por …</t>
  </si>
  <si>
    <t>la Sema, Pedro de</t>
  </si>
  <si>
    <t>Pedro de la Sema</t>
  </si>
  <si>
    <t>alhajas. Continúan los donativos de la provincia de Sonora. Cieneguilla. D. Francisco Vázquez, lio. D. Lázaro Serrano , ty. Di Francisco Sánchez, 10. D. Pedro de la Sema, 25. D. Francisco Rodrí­ guez, 100. D. Jacinto del Pino, 20. D Julián Romero, 25 D. Antonio Vázquez , 1$. D. José María Noriega, 25. D. Vicente Moreno , 10. …</t>
  </si>
  <si>
    <t>la Serna, Francisco de</t>
  </si>
  <si>
    <t>Francisco de la Serna</t>
  </si>
  <si>
    <t>ia: D. José de Cea, suplente por la de Córdoba: D. Juan Clímaco Quintano , suplente por la de Palencia: Q. Gerónimo Ruiz, Suplente por la de Segovia: D. Francisco de la Serna, suplente por la de Avila: D. Fran­ cisco Eguía, jupíente por el señorío de Vizcaya: D. Evaristo Perez de Castro , suplente por la provincia de Valladol…</t>
  </si>
  <si>
    <t>la Torre, Dámaso de</t>
  </si>
  <si>
    <t>Dámaso de la Torre</t>
  </si>
  <si>
    <t>nda­ dentes de las ventas de (sienes nacionales , hoi do­ do en el cimiento incontrastable ae la santa justicia. mingo 7 de enero el señor corregidor D. Dámaso de la Torre pasó cfi.io al Exorno. Sr. D. Auguro Beliard, gobernador de esta plaza, para que á las once y media u; la mañana hubiese un piquete de infantería , con su …</t>
  </si>
  <si>
    <t>ientras los principios ele­ las y D. Pedro Ramón de Echeverría, consejeros mentales de la náutica estuvieron ignorados ó ceñi­ de Estado, y los Sres. D. Dámaso de la Torre, dos á tan estrechos límites, padecían igual atraso la corregidor de esta villa , y D. Diego Barreda , capi­ construcción ó el arte de fabricar las naves, …</t>
  </si>
  <si>
    <t>sta declaración solemne impedirá el que dro Rarnon de. Echevarría , consejeros de Estado, muchos individuos abandonen sus casas, y el que y los Sres. D. Dámaso de la Torre, corregidor de en ia duda de cómo serán reatados por las tropas esta villa, y D. Diego Barreda, capitular de ella, crean correr menos riesgos, siguiendo el…</t>
  </si>
  <si>
    <t>no una nobleza numerosa , altanera articulo r. 1, Nombramos comendador de la y esforzada, que so color de defender la indepen­ Orden Real de España á D. Dámaso de la Torre, dencia de la nación, pelea por conservar sus pro­ corregidor de Madrid , y caballero de aquella. pios fueros. art. 11. Nuwtros gran canciller y gran tesor…</t>
  </si>
  <si>
    <t>arís. Dicen que trae facultades y auto­ ridad sobre los demas ministros hispano-gálicos: especie que, como es natural, incomoda á estos notablemente. D. Dámaso de la Torre, corregidor de Madrid, llevó uno de estos días á palacio á dos hijos suyos pequeños con unifor­ me de la guardia cívica de caballería. José Bonaparte los a…</t>
  </si>
  <si>
    <t>la Torre, Damaso de</t>
  </si>
  <si>
    <t>Damaso de la Torre</t>
  </si>
  <si>
    <t>cas principales de tejidos. Los dueños de .Sánchez Mendoza, decapo del tribunal de apela­ estas fabricas deberán hacer una justificación de los ción; D. Damaso de la Torre, corregidor de Ma­ medios que tienen para hacer uso de estas máqui­ drid; D. Martin Navarrete , D- Carlos Pignateii, nas, y darán las correspondientes lian…</t>
  </si>
  <si>
    <t>la Torre, Estéban de</t>
  </si>
  <si>
    <t>Estéban de la Torre</t>
  </si>
  <si>
    <t>lla............. ......... ........... 1689 1 brejas......... .............................14364 30 Doña Micaela Fanrdinier..................... 577+ D. Estéban de la Torre..'.....i. f.-....'..... 5 48 28 D. Juan López....................................... 6510 : El mismo.......... .................. 21749 24: D. Juan Bautis…</t>
  </si>
  <si>
    <t>la Torre, Felipe</t>
  </si>
  <si>
    <t>Felipe la Torre</t>
  </si>
  <si>
    <t>arceada. i“.......... .... D. Rafael de las Doblas......... D. Santiago Martínez. 3.*.............. ................................................. D. Felipe la Torre. D. Felipe Colmenares. .............................................................. D. Antonio Flebraa. ..... D. Ramón Fernandez de Quiroga.................…</t>
  </si>
  <si>
    <t>la Torre, Francisco de</t>
  </si>
  <si>
    <t>Francisco de la Torre</t>
  </si>
  <si>
    <t>ista David, y los capitanes Or­ to ño y CevaUos , 172!. • D. Ramón Al-arcon, 20* D Valentín González de Rada , 100. X). Miguel Duque de Estrada, 100. D. Francisco de la Torre, 500. D, Manuel Pelaez de Pelayo , cura de Zoyatian, por sí y varios seguios, 700. Los vecinos del corregimiento de Ciiaro , 468 y 4 rs. D. .Tose S.igar…</t>
  </si>
  <si>
    <t>la Torre, Francisco Nicolás de</t>
  </si>
  <si>
    <t>Francisco Nicolás de la Torre</t>
  </si>
  <si>
    <t>677 D. Francisco Nicolás de la Torre. D. Francisco Saez. D. Diego del Rio. D. Francisco Acevedo. D. Luis Bordeta. D. Roque Bunio, hijo. D. Vicente Marañen. D. Agustín de la Canal. D. Domingo Villamil. D. Agustín del Mazo. D. I</t>
  </si>
  <si>
    <t>la Torre, Ignacio de</t>
  </si>
  <si>
    <t>Ignacio de la Torre</t>
  </si>
  <si>
    <t>olás Herencia. Batallón del quartel de S. Martin. D. Gervasio Fernandez Izquierdo. Capitanes. D. León de Montenegro. D. Fulgencio de la Riva. Agüero. D. Ignacio de la Torre. D. Mana' 1 Calderón. El marques de Cusano. Subtenientes. D. Benito Prado y Ulloa. D. Francisco Diez. El conde de S o Rafael. D. Francisco García. Marques…</t>
  </si>
  <si>
    <t>la Torre, Isidoro de</t>
  </si>
  <si>
    <t>Isidoro de la Torre</t>
  </si>
  <si>
    <t>9 cel., , celemines...................... ........................ 11 *4* • que linda á mediodia con olivar de Otra en Valdelobbs, de 5 fjn. y-8 ce­ D. Isidoro de la Torre.............. .......... *4 308 lemines..........................'........ .'I........... 64 1408 Otra en Valdegorban, de fan., que Otra en el Candial, de …</t>
  </si>
  <si>
    <t>la Torre, Jacinto Perez de</t>
  </si>
  <si>
    <t>Jacinto Perez de la Torre</t>
  </si>
  <si>
    <t>tonio Herrera. Subtenientes. D. Joaquín de b Paliza. D. Juan Manuel Montero. D. Fausto Foronda. D. Estéban Moreno. D. Fermín María Uria y Nafarrondo. D. Jacinto Perez de la Torre. D. Josef de las Barcenas., D. Gnillelmo González Saez. D. Claüdio Larrañaga. D. Santiago Larramendi. D. Manuel Sánchez del Valle. D. Manuel Ramos Z…</t>
  </si>
  <si>
    <t>la Torre, José García de</t>
  </si>
  <si>
    <t>José García de la Torre</t>
  </si>
  <si>
    <t>em­ barcados en dicha fragata eran él conde de Gimonde, el vizconde deQuintanillá, D; LorenzoBónifaz, D. Sebastian Jócano, D. Fráncisco.Cas­ tañedo y D. José García de la Torre; que la delación dada por D. Fran­ cisco de Noceda de que tenían como 300 baúles dé oro y plata era ca­ lumniosa; que según declaraciones dé varios in…</t>
  </si>
  <si>
    <t>la Torre, Juan María de</t>
  </si>
  <si>
    <t>Juan María de la Torre</t>
  </si>
  <si>
    <t>aeza compuesta de los sugetos si­ la labranza y pastoría, manantiales de la riqueza guientes : y del poder. Ha determinado también la erección El Dr. D. Juan María de la Torre» corregidor, de una milicia cívica en número suficiente á im­ subdelegado de rentas reales, y director de la so­ poner respeto á los bandidos, para ase…</t>
  </si>
  <si>
    <t>la Torre, K-réban de</t>
  </si>
  <si>
    <t>K-réban de la Torre</t>
  </si>
  <si>
    <t>amera....... 60*006 *Doña Teresa Zeférina Ramones......... 60060 DA MimTeresaMomorode-la Concha. 1719131 D. Domingo Antonio García...,........ ;28800 D K-réban de la Torre...-...•...V.i.;..i.. 94228 8 Doña Manuela Ferrero y Velasco.... 90000 D. Manuel García Montenegro......... yóocb' D. Mateo Gil de Sola...... .......... ...…</t>
  </si>
  <si>
    <t>la Torre, Lorenzo de</t>
  </si>
  <si>
    <t>Lorenzo de la Torre</t>
  </si>
  <si>
    <t>bteniente, D. Gaspar G’atveJt''1" t Compañía de Vilíantieva dé la JCañada Compañía de Alcatd de d loo plazas. * de a toó'plaídíí' tV‘ ' ' ■’ Capitán, D. Lorenzo de lá Torre, Y'~ Capitán, D. Be¿itbi'YIiadiera.' / ! ' ~ 'Teniente, D, Domingo A átomo de Escqza. Tefiiente,' D. Jósef Loa isa.1, : ’ Subteniente, D. Alberto Mongé. S…</t>
  </si>
  <si>
    <t>la Torre, Luis de</t>
  </si>
  <si>
    <t>Luis de la Torre</t>
  </si>
  <si>
    <t>er que prófugos y emigra­ serán las que se levanten en ese pais, y no esperéis dos, en especial los que pierden todos sus bienes, de otra parte.ss A. D. Luis de la Torre, por Va­ y los que han tenido algún gobierno han de ser lencia , Alcanar.” mal recibidos, aunque ellos crean lo contrario, en «No ha de quedar asi; pues yo n…</t>
  </si>
  <si>
    <t>la Torre, Pedro de</t>
  </si>
  <si>
    <t>Pedro de la Torre</t>
  </si>
  <si>
    <t>del quartel de la Plaza. Don Josef Napoleón por la gracia de Dios y por la constitución del estado, REI de las Espa- Capitanes. ñas y de las Indias. D. Pedro de la Torre. aíknuicr a la cazeta de madud. Señores redactores: Domingo 10 de junio de 1810. teatros. Mi frecuente asistencia al teatro me ha proporcio­ En el del Prínci…</t>
  </si>
  <si>
    <t>la Torre, Vicente de</t>
  </si>
  <si>
    <t>Vicente de la Torre</t>
  </si>
  <si>
    <t>Santiago Sedaño................. D. Antonio González. D. Ignacio Agudo y Andrade. D. Manuel Calvo. 4: .......... D. Matías Cesáreo.................. D. Vicente de la Torre......... JX Francisco Bian. í D. Juan Xaramiilo.................. D. Sebastian del Conde Va­ D. Luis Losada y Calvo. lle jo. 6.*.......... D. Ramón García …</t>
  </si>
  <si>
    <t>la Tres, Claudio</t>
  </si>
  <si>
    <t>Claudio la Tres</t>
  </si>
  <si>
    <t>ntarios de te , llevan consigo la recomendación de la opinión Madrid , y á D. Juan Antonio Montes; y subte­ general. nientes en el mismo regimiento á D. Claudio la Tres solos cree dignos de ser mencionados: Rosa, que lo fue del de Jaén, y á D. Eugenio Carlos Martel, o la Francia libertada de los Astruc: en el 4..“ de cazadore…</t>
  </si>
  <si>
    <t>la Vega, Estéban de</t>
  </si>
  <si>
    <t>Estéban de la Vega</t>
  </si>
  <si>
    <t>, ió. D. Juan Antonio Bernal, 10. D. Ignacio Noriega, 8. D. José María Moreno, 10. Varios indivi­ duos, 71 y 1 real. — Fuerte. D. Gaspar Zañudo, 200. D. Estéban de la Vega, 50. D. Joaquín Velarde, 25. D. Joaquín de la Huerta y Don Francisco Cevailos, 50. Varios individuos, 156 y 5 reales. (JV continuará) CADIZ ; EN LA IMPRENT…</t>
  </si>
  <si>
    <t>la Vega, Juan María de</t>
  </si>
  <si>
    <t>Juan María de la Vega</t>
  </si>
  <si>
    <t>X-.neque los que ha tenido Wi.kes en el mayor auge nez: para la de S. Cristóbal al ex- ti añascado des­ de su favor popular. ( Se concluirá.. ) ea.zo D. Juan María de la Vega. art. u. En los pueblos del arzobi«pado que se ESPAÑA. expr. s.n a los cX- regulares qoe siguen : Para ia sacristía de la villa de las G vias ai ex­ Mad…</t>
  </si>
  <si>
    <t>la Vega, Mamó de</t>
  </si>
  <si>
    <t>Mamó de la Vega</t>
  </si>
  <si>
    <t>uan Cosulh-ela ; t ív.-ncias á. D. l^edro Carmena , D. Luis Carceller, D. Nicolás de Robles , D. Vicente Castaño , IV José .Zurbanó, D. José Lorite , D. Mamó 1 de la Vega, D. Domingo Molina, D. Cícmentí Lemüs, D. Tornas Gatída . *D. 'Santiago Blanco , y D. A«nt©nio Morí troya ■; y Whireneircias á D. Litis Ramos , D. Ma­ nuel …</t>
  </si>
  <si>
    <t>La-Carrera</t>
  </si>
  <si>
    <t>ués que el comandante del cuepo francés no parece. Ciudad-Rodrigo 29 de junio.— En oficio del 23 del actual desde el campo de Gallegos , participa el general La-Carrera al general en gefe de este exército, que el teniente coronel D. Julián Sánchez había salido la noche anterior de lá pla­ za de Cjudad-Bodrigo abriéndose paso …</t>
  </si>
  <si>
    <t>n aquellas ciudades pequeños destacamentos. El 9 en­ tró en Ciudad-Rodrigo un convoy grande de harinas y de ba­ las que se remitieron de Portugal. El general La-Carrera tiene su quartel general en Almedill a cubriendo la derecha de los ingleses. Los franceses han acercado su campamento al rio, y tienen á la parte de acá unos …</t>
  </si>
  <si>
    <t>por sí mis­ mo el terreno á la caballería enemiga, y después en cumplimiento délas . órdenes que tenia, se retiró á Fuente de Cancos, donde estaba e! general La-Carrera con su división dé caballería y artillería volante. Los enemi­ gos no pasaron de Monasterio. — El ijr al amanecer, salieron los fraa-</t>
  </si>
  <si>
    <t>830</t>
  </si>
  <si>
    <t>ntaron por diferentes puntos y acalló los fuegos de la fran­ cesa. — Por fin la infantería enemiga había ya llegado á reunirse con la Cabañería, y el general La-Carrera juzgó que era este el momento de ve­ rificar su retirada : díó las disposiciones convenientes y las tropas verifi­ caban ya las evoluciones preparatorias, qua…</t>
  </si>
  <si>
    <t>La-Fnente, Mariano</t>
  </si>
  <si>
    <t>Mariano La-Fnente</t>
  </si>
  <si>
    <t>de la Parra, alcalde del nio Aidama á juez en el tribunal criminal extraor­ crimen en Granada. dinario de Xerez de Ik Frontera , á D. Juan Ferre2.0 A D. Mariano La-Fnente, alcalde en el ra, teniente de asistente cd Utrera: para la alcal­ mismo tribunal. día mayor de Xerez de la Frontera, vacante por 3.0 A D. Justo Martínez de…</t>
  </si>
  <si>
    <t>Labal</t>
  </si>
  <si>
    <t>las tropas francesas , se halla ya ocupada de nuevo por la división dei brigadier Villacampa, que esta tarde sa­ le para Celia, acercándose á la del general Labal, cuyos destaca­ mentos se extienden hasta Villafranca. Esperamos que en llegando algunas piezas de artillería de campaña , se sostendrán con el ma­ yor tesón y denu…</t>
  </si>
  <si>
    <t>Labarrieta, Santiago</t>
  </si>
  <si>
    <t>Santiago Labarrieta</t>
  </si>
  <si>
    <t>José Cobos, 10. D. Martin Zubizar, 100. D. Juan Zubizar, 100. D. José Tomas Yañez, 10 Tres individuos, 15. — AÁapimi- D. Francis­ co Labarrieta, 100. D. Santiago Labarrieta, 25. — Cuencamé. D. Miguel Arróspide, too. D. José María Pedriza, 50. D. Tomas Troncoso, 3 — Papa:-qttiaro. El cura D. Jote Joaquín Escarzaga, 25. D. Fran…</t>
  </si>
  <si>
    <t>Labenerte</t>
  </si>
  <si>
    <t>bailiage de Radstadt, la primera piedra de la toma de Abruzan. Este cuerpo ha venido al la nueva iglesia parroquial católica. Este aero ha mando del capitán Labenerte en lugar del pete de sido tanto mas solemne y tierno quanto S. A. R. batallón Bcrtrand , que hab:endo sido herido gra­ el gran duque, acompañado de su ilustre E…</t>
  </si>
  <si>
    <t>Labenette</t>
  </si>
  <si>
    <t>iva el gran Napoleón, viva el Empe­ Pero lo mas importante es haber ganado las tropas rador i " francesas las- excelentes posiciones del Mondego y El capitán Labenette respondió al corregidor la ciudad de Coimbra, de donde se pneden sacar manifestando el afreto de sus soldados á la persona grandes recursos. El oficial que tra…</t>
  </si>
  <si>
    <t>Labjstida, Pedro</t>
  </si>
  <si>
    <t>Pedro Labjstida</t>
  </si>
  <si>
    <t>atallón. • La embarcación llamada e.\. Dromedario, pro­ Nombramos para comandante de este batallón cedente de la Nueva-Gales meridional , ha traído á D. Pedro Labjstida; para ayudah.te-pr-imero á varias cartas que un oficial eocwífó en la tierra de D. F rancisco M lina, y para ayudante .segundo á. Dienten en la Nueva-Holanda.…</t>
  </si>
  <si>
    <t>Laborda, Bernardo</t>
  </si>
  <si>
    <t>Bernardo Laborda</t>
  </si>
  <si>
    <t>aén el dia 2 de abril, se componía de gidor decano; D. Antonio Estrada Navarrete, al­ D. Josef Martínez Sánchez, alcalde primero; Don guacil mayor, y D. Bernardo Laborda. Francisco Xavier Grai, alcalde segundo; D. Juan Por Montemayor D. J uan Nepomuceno Bligni, Tomas de Coza, alguacil mayor; et bachiller Don alcaide del casti…</t>
  </si>
  <si>
    <t>Labrandero, Antonio</t>
  </si>
  <si>
    <t>Antonio Labrandero</t>
  </si>
  <si>
    <t>rcía , y subtenencia á D. Fernando Pmango ; y en el de Voluntarios de la Patria , co?npañías á D. Pedro Al­ cántara Rute , D. Francisco de Cárdenas , D. Antonio Labrandero , y D. Francisco Federic ; ayudantes, á D. Diego Zapata y D. J¡ a i Diestre; tenencias, á D. Fernando de Prado, D. Manuel Sa­ ladar, D. Félix Aznar , D. Di…</t>
  </si>
  <si>
    <t>Labruyere</t>
  </si>
  <si>
    <t>ías confiscadas en el gran ducado en bene­ las ciudades anseáticas; y la división de coraceros ficio de ios establecimientos de beneficencia ó de del general Labruyere está en lo qae antes era país utilidad común, las provisiones qoe 'resultasen dé de Hannóver. las confiscaciones, y qne fueren adjudicadas á la BA VIERA. direc…</t>
  </si>
  <si>
    <t>Lacarre</t>
  </si>
  <si>
    <t>por­ menores , aunque las noticias convienen en general que ha sido de consideración la pérdida del enemigo, y que nuestra caballería, mandada por el general Lacarre^a, se ha cu­ bierto de gloria. Ayer estaba nuestro quavtel general en los Santos, y el enemigo en Fuentedéeantos , Calzadilla y sus contornos. Nuestras tropas se…</t>
  </si>
  <si>
    <t>Lacepede</t>
  </si>
  <si>
    <t>ficado el escrutinio, ha habido en favor A las quatroy inedia vuelve á principiar la se­ del proyecto el número de votos- requerido por el sión; y el conde Lacepede, uno de los miembros artícul-i lvi dé la acta de las constituciones del 4 de la comisión especial, habiendo obtenido el per­ de agosto de 1802. Porloqual, la a. r…</t>
  </si>
  <si>
    <t>eino, y apenas han discernimiento con que los autores los examinan; logrado apurarlas. _ • pero cree que ninguna es mas original, ni puede t El señor conde Lacepede , á:'quien BufFoo dexó ser de tan poderosa influencia para ios progresos el encargo de continuar el magnífico edificio que de esta parte importante de los conocim…</t>
  </si>
  <si>
    <t>Lacre, Juan</t>
  </si>
  <si>
    <t>Juan Lacre</t>
  </si>
  <si>
    <t>. Agustín de Aldecoa , alférez de fraga­ ta , 30.—Depo'sito. D. José Obregon , capitán de fragata, 200 —Te­ nientes de navio. D. Domingo Navarro, no. D. Juan Lacre, 110 D Ma­ nuel Laiglesia, nd.—Idem de fragata. D. Joaquín SUgasri , 80. I jem D. Manuel Villodas,-3o. JlI contador oficial quarto D Francisco Tomas Estrada, cedió…</t>
  </si>
  <si>
    <t>Lacroust, Josef</t>
  </si>
  <si>
    <t>Josef Lacroust</t>
  </si>
  <si>
    <t>ronel se le había encargado una expedición D. Josef Antonio Auiet........................... 3 8c 17 en las Cinco-Villas, la que ha concluido eon in­ D. Josef Lacroust................ 1230 27 teligencia y actividad. Sr. D. Vicente G mzilez Arnao........... 26100 Quartel general de Teruel 25 de diciembre de D. Antonio S únz de…</t>
  </si>
  <si>
    <t>ria en París, da esta noche un giran baile, al D. Diego. .............................. 48403.-21 qual han sido convidados les principales pcrsonages D. Josef Lacroust........... ,.................. 7&gt;33i de la corte y de la ciudad. D. Josef Bouchet y Dandumont..... 1353..25I D. Antonio Saín2 de Rozas................... 2346.…</t>
  </si>
  <si>
    <t>Lacy</t>
  </si>
  <si>
    <t>Núm. 56 GAZETA DE LA REGENCIA DE ESPAÑA É INBIAS DEL MARTES 14 DE AGOSTO DE 1810. CADIZ 13 DE AGOSTO. Sigue el núm. XV de la correspondencia del general Lacy con el general en gefe D. Joaquín Blake* •Mis sospechas al fin se realizaron. El enemigo reuniendo fuerzas de otros puntos, que quizá ha dexado descubiertos con la segur…</t>
  </si>
  <si>
    <t>abordó la expedición al punto de la costa que llaman de Moría, dos leguas de la barra de Huelva, entre las torres del Oro y de la Arenilla, donde el general Lacy determinó se hiciese el desembarco. Así se veriñcó con el mayor orden y celeridad desd^ las 10 hasta la una de la no­ che en que la división se hallaba ya caminando …</t>
  </si>
  <si>
    <t>596</t>
  </si>
  <si>
    <t>mproviso la cabeza de nuestra colana, y sorpreliendidos los franceses, huyeron estos precipitadamente á Moguer. Da división de nuestras tropas con el general Lacy á su frente entró en el pueblo revuelta con los ene­ migos , quienes á la voz de adelantar, dada por nues­ tro general, huyeron vergonzosamente, dexando en nues­ tr…</t>
  </si>
  <si>
    <t>ral Copons con las tropas de su mando en la expresada villa de Niebla, y des­ empeñado completamente el objeto de la expedición; juzgó conveniente el general Lacy que volviesen á embarcarse sus. tropas, y se restituyesen á este puerto de Cádiz, donde ha. fondeado felizmente anoche el convoy que las conducid. Los habitantes de…</t>
  </si>
  <si>
    <t>uevos derechos a la gratitud y reconocimiento de la nación española. S. M., muy satisfecho de la pericia, valor y conocimicntos que ha manifestado el general Lacy , y de la bizarría y subordinación de las tropas de su mando, ha dispuesto se les den gracias en su real nombre, ínterin llegan á su no­ ticia los pormenores de lo …</t>
  </si>
  <si>
    <t>s del enemigo hasta ponerse á tiro de metralla de sus baterías , y se mantu­ vieron lo bastante para que se allanase enteramente la obra. Entonces el general Lacy, que desde la casa de la Soledad di­ rigía la operación, acompañado de su estado mayor y de tres edecanes del general ingles Graham , que se presentaron á ofrecer s…</t>
  </si>
  <si>
    <t>Lacy, Luis</t>
  </si>
  <si>
    <t>Luis Lacy</t>
  </si>
  <si>
    <t>523</t>
  </si>
  <si>
    <t>n hasta la plaza de Tarifa. — Dios guarde á V. S. muchos años. Quartel gene­ ral de los Barrios 8 de julio de 1810. — Francisco Xavier Abadía.— Señor D. Luis Lacy. — P. D. Me ha parecido mas conveniente el ama­ necer sobre el Guadiaro, tomar pcsicion en el ¡Sausal, y esperar allí las noticias que V. S. quiera comunicárme. — O…</t>
  </si>
  <si>
    <t>Lacy, Miguel</t>
  </si>
  <si>
    <t>Miguel Lacy</t>
  </si>
  <si>
    <t>a ayundantía mayor, á D. Luis Fernando Mon ; segundas tenencias de fusileros, á. D. José de Lemus, D. José Vaádés y Casasola, D. Tadeo Miranda y Mon, D Miguel Lacy, D. Ven­ tura Escario, D. Juan Nepomuceno Heredia , y D. José María dé Mena ; y empleos de alféreces de granaderos, á D. José Antonio Fació, y D. Ramón de Zuloaga …</t>
  </si>
  <si>
    <t>Ladei, Antonia María</t>
  </si>
  <si>
    <t>Antonia María Ladei</t>
  </si>
  <si>
    <t>s de Sierra-Morena, por E&gt;. Manuel Sánchez Toscano............... 41041 su apoderado D. josef Julián Diaz. 421941..31 La casa de Zelveguer y compañía D. Antonia María Ladei............. ........ 23007.. 22 medio de su apoderado D. Teodori- D. J uan Josef deMatuic, en nombre co Kraux............................................…</t>
  </si>
  <si>
    <t>Ladrón, Francisco</t>
  </si>
  <si>
    <t>Francisco Ladrón</t>
  </si>
  <si>
    <t>. Josef Saenz de Ramírez , D. Diego de la Extracto de las minutas de la secretaría de Barrera, D. Diego de Lora , D. Josef María de Estado. . Cnbas , D. Francisco Ladrón, D. Joaqnin Jáco- Real alcázar de Sevilla á 7 de febrero de 1810. me, D. Antonio de los Ríos , D. Josef de la Hi­ Don Josef Napoleón por la gracia de Dios y …</t>
  </si>
  <si>
    <t>Lafon, Guillermo Josef</t>
  </si>
  <si>
    <t>Guillermo Josef Lafon</t>
  </si>
  <si>
    <t>Biller (D. Josef), cabo de granaderos de nuestra Gauthier (D. Juan) , idem. . guardia real. Gamhier (D. Nicolás Claudio), capitán de caba­ Biagniac (D. Guillermo Josef Lafon de) , teniente llería ligera de ídem. . general de nuestros reales exércitos , primer ca- Gayangos (D.Francisco), ayudante mayor de hú­ . bailerizo de la…</t>
  </si>
  <si>
    <t>Laforest</t>
  </si>
  <si>
    <t>i'tíngue por las grandes dificultades qoe el au­ perador de los franceses y Rei de Italia, S. E. el tor ha superado con felicidad y por su extraordi­ conde Laforest, emhaxador de S. M. I. y R. cer­ naria utilidad. El señor Pinel ha perfeccionado la ca de S. M. católica , dio un espléndido banquete, doctrina de sus predecesore…</t>
  </si>
  <si>
    <t>los años que le ruego. Ma­ drid 12 de diciembre de i8op.—Señor.—De V. M. I. y R. el mas re­ verente y primer admirador. — ¿fosé de Mazarredo. VI. Del conde Laforest al duque de Cadore. Madrid 5 de julio de 1810.—‘Monseñor: El correo expe­ dido de Paris con las balijas del 18 y 19 del mes último ha llegado ayer, habiendo corri…</t>
  </si>
  <si>
    <t>Graf del regimiento de Irlanda, y Alexandro Diez del de Campo-mayor, que fue de los pri­ meros que entraron en el parapeto. CARTAS INTERCEPTADAS. Del conde Laforest al duque de Cu dore (t). * Jlfsrdrid 7 de julio, de ribo.—Monseñor:-anoche- hubo una alar­ ma en Madrid. Seria difícil referirla conforme á las voces que corren, …</t>
  </si>
  <si>
    <t>Lafout</t>
  </si>
  <si>
    <t>do y condenado á servir como marinero. Ha muerto ya de pena. — Pero Bonaparte sa­ tisfecho , ha prometido volver regalo por regalo , y l’a sangre del capitán Lafout ha pagado la sangre del almirante Hanikoff. -— Júzguese pues si la marina está contenta. La marina es la parte militar mas exasperada contra el emperador , y cont…</t>
  </si>
  <si>
    <t>Lafuente</t>
  </si>
  <si>
    <t>rcos, pene­ traron por el Bosque , y en número de &amp;000 infantes y 400 caballos ocuparon el pueblo de Ubrique en la tarde del 30 de setiembre; pero el coronel Lafuente, que sé situó en el punto de los Charcones con el destacamento de infantería y caballe­ ría que tenía a sus órdenes en Ximena-• y el brigadier Cortés con su reg…</t>
  </si>
  <si>
    <t>Lafuente, Roque</t>
  </si>
  <si>
    <t>Roque Lafuente</t>
  </si>
  <si>
    <t>n 40 ca­ ballos á la parte de Oliete, el comandante interino D. Vicente García con 200 de infantería y 20 caballos hácia Esterquel, y los comandantes D. Roque Lafuente, O. Domingo Sabiron y yo con 120 de á pie y 20 cabillos partimos al puerto de Cariñena. Habiendo llegado á sus in­ mediaciones ei 31 de marzo, y hecho cargo de…</t>
  </si>
  <si>
    <t>Lagarda, José</t>
  </si>
  <si>
    <t>José Lagarda</t>
  </si>
  <si>
    <t>Manuel Calvo, 50. D. Francisco Puy, 50. D. Domingo Lagoa, 100. Señores Matorell , Pía y compañía. 100. D. Jorge la Cenia, ICO. D. Bruno Barnoya, 100. D. José Lagarda, 100. D. Antonio Celestino Navar­ ro , 100. D. José Marsan , 100. D. Joséjlgnació Pabon , 100. D. Nicolás Campe­ ro , 100. D. Manuel de Villa y Gibaja, 200. D» F…</t>
  </si>
  <si>
    <t>Lagarda, Vicente</t>
  </si>
  <si>
    <t>Vicente Lagarda</t>
  </si>
  <si>
    <t>rza total que desembarcó, de 130. — Tengo la complacencia de ase­ gurar á V. que el destacamento d'e voluntarios de Zaragoza al mandó del subteniente D. Vicente Lagarda , se portó pér­ fidamente , en especial dicho oficial y los cabos primeros Marte no Loscas, Miguel Lázaro y el soldado Francisco Gra­ cia : también se comport…</t>
  </si>
  <si>
    <t>Lagerbring</t>
  </si>
  <si>
    <t>julio. po principal de los servios, mandado por el co­ En esta capital reina la mayor tranquilidad. mandante en gefe, está apostado mas arriba de El coronel Lagerbring exerce cu la actualidad las Deiigrad y al rededor de Bao ja. Otro.cuerpo, al funciones de comandante militar.. mando de Pedro Dobrinaz , se ha reunido á los ro…</t>
  </si>
  <si>
    <t>Laget, Manuel</t>
  </si>
  <si>
    <t>Manuel Laget</t>
  </si>
  <si>
    <t>o con­ ceder compañías á D. Feíix Mijares, y D. José Montero ; ayundamía , á D. Martin Sierra ; tenencias, á D. Eduardo Velase»; D. Vicente Cabañas , D. Manuel Laget, D. Miguel Navarro, D. Antonio Aznar , y D. Laureano Sauz; y subtenencias, ? X). Bruno Soaso, D. Antonio Llamas, D. Lorenzo Adelantado D. Juan Sotelo , D. Gregor…</t>
  </si>
  <si>
    <t>Lago, Benito</t>
  </si>
  <si>
    <t>Benito Lago</t>
  </si>
  <si>
    <t>Pedro Hurtado de Corcuera, 160. El teniente de navio D. Domingo Allende, 50. El teniente de fragata D. José Roldan, 80. Id. D. Manuel Borras, 40. Id. D. Benito Lago, 35. El alférez de fragata I). Mateo Mozo, 25. Id. D. Lorenzo Sotomayor, 2$. Id. D. Eugenio Loño, 25^ Oficiales mayores. D. Fulgencio de Exea, oficial quinto, con…</t>
  </si>
  <si>
    <t>Lagoa, Domingo</t>
  </si>
  <si>
    <t>Domingo Lagoa</t>
  </si>
  <si>
    <t>isco Guer­ ra , 50. D. Francisco Torres y Juyol, 25. D. Bartolcmé Muriel, 25. D. José de las Plazas , 100. D. Manuel Calvo, 50. D. Francisco Puy, 50. D. Domingo Lagoa, 100. Señores Matorell , Pía y compañía. 100. D. Jorge la Cenia, ICO. D. Bruno Barnoya, 100. D. José Lagarda, 100. D. Antonio Celestino Navar­ ro , 100. D. José…</t>
  </si>
  <si>
    <t>Lagos, Cristóbal</t>
  </si>
  <si>
    <t>Cristóbal Lagos</t>
  </si>
  <si>
    <t>so Ventura Mena, y Ja izquierda á la compañía fixa de Marbella mandada por el - alférez D. Angel Rábago, y á la partida de Cartagima á las órdenes de D. Cristóbal Lagos. El resultado del ataque f ié que el enemigo rechazado de sus puestos tuvo que tomar la llanura y refugiarse á Ronda , á cuya entrada sufrió una des­ carga de…</t>
  </si>
  <si>
    <t>Lagrange</t>
  </si>
  <si>
    <t>ufchatel , vice­ ra del Peloponeso: contiene una excelente pintura de condestable 1 la historia, literatura y costumbres de los griegos y de­ Mrs. el barón Lagrange y el barón S. Germán más naciones antiguas , habiendo merecido que el autor Chabot, generales de división. del viige de Anacarsisla prefiriese en cierto modo i la…</t>
  </si>
  <si>
    <t>veces por las repeti­ podían concurrir al premio señalado. Tal es la me­ das aclamaciones de viva el Emperador ! y con un cánica analítica del señor conde Lagrange, obra entusiasmo que no es fácil describir, en el qual to­ original en que eL autor ha hecho una acertada maron parte los espectadores que había atraído es­ aplica…</t>
  </si>
  <si>
    <t>bre eilas una obra mas cierto, neologismo que en matemáticas tiene sus in­ completa 'y acabada. conveniente'. lo mismo que. en literatura. . El señor conde Lagrange publicó en efecto es­ - íí&amp;fcc&amp;r, Ttcamp ♦ cuyo etetho sobre las refrac­ ta obraen tSoV'bax.j el título de Lecciones sobre, ciones foe proclamado a años há en el …</t>
  </si>
  <si>
    <t>Lagraoge</t>
  </si>
  <si>
    <t>graudés compañía escogida del regimiento 26.0, á pesar de premios de primera clase: estar cansados los'Caballos; le mató 12 hombres, le i.° Al señor conde Lagraoge, autor de la me­ hirió i2o&gt;-y le cogió siete prisioneros, que han si­ cánica analítica. do conducidos A Madrid.' 1 ¡i.n ' Al señor conde T.aplace, autor de la me­ …</t>
  </si>
  <si>
    <t>Laguna, Gregorio</t>
  </si>
  <si>
    <t>Gregorio Laguna</t>
  </si>
  <si>
    <t>de Santiago : D. Francisco Pardo por idem: D. Vicente Ter­ rero, por la de Cádiz: D. Francisco María Riesco, por la junta supe­ rior de Extremadura: D. Gregorio Laguna, por la ciudad de Badajoz: D. Vicente de Castro Lavandeyra * por la provincia de Santiago , D. Do­ mingo García Quintana, por la de Lugo: D. Andrés Morales de …</t>
  </si>
  <si>
    <t>Laguna, Joaquín</t>
  </si>
  <si>
    <t>Joaquín Laguna</t>
  </si>
  <si>
    <t>JBaepa ¿-vacante por muerte de D. Mar­ lipe Carrillo, y para subtenientes i D. Pedro Al­ tin hAdprfeste, f ai 'presbítero D. JoseF Gutiérrez vares y D. Joaquín Laguna. Igualmente ha deter­ Rabé. -rx-v-i ■'! ' V. . v minado que se formen en la ciudad de Almagro (Para el corato de: la parroquial de MontCi^ue á tres compañías de…</t>
  </si>
  <si>
    <t>Laguna, José</t>
  </si>
  <si>
    <t>José Laguna</t>
  </si>
  <si>
    <t>fimtevideo y otros destinos. D. Juan Angel de Michelena, capitán de navio, 150. Id. de fragata, D. Juan de Vargas, 100 Id. D. Juan Posadas , 100. Id. D. José Laguna , 100. Id. D/Fernando de Soria Santacruz, 110. D. Diego Ponce de León, teniente de navio, 20.—Alféreces de navio. D. Domingo Mesa , 30. D. Manuel Vi lia vicencío,…</t>
  </si>
  <si>
    <t>Laguna, Tomas</t>
  </si>
  <si>
    <t>Tomas Laguna</t>
  </si>
  <si>
    <t>El corregidor, llevando la voz, ha arengado á S. xM. del modo siguiente : Por el cabildo de la catedral. ,,Señor: los individuos que tenemos la gran D. Tomas Laguna, caballero de la orden de ventura de estar en la augusta presencia de V. M. España , arcediano de Ubeda, y dignidad mayor de venimos en representación de la M. N.…</t>
  </si>
  <si>
    <t>Lahons</t>
  </si>
  <si>
    <t>ahora el comercio ingles? ESPAÑA. tbatros. Madrid 2/ de diciembre. En *1 del Príncipe , á las siete de la noche, se re­ Habiéndose encargado al señor general Lahons- presentará por la compañía española la comedia de fi­ saye, gobernador de ia provincia de Toledo, ha­ gurón en tres actos titulada un Montañés sabe bien donde el…</t>
  </si>
  <si>
    <t>Lahonssaye</t>
  </si>
  <si>
    <t>, se re­ presentará por la compañía española la'ópera nueva Madrid 2 5 de octubre. en tres actos titulada el Gulistán, ó el llullá de.Samar­ El señor general Lahonssaye, gobernador de canda, música del célebre Daiairac. Toledo , ha salido en busca de las reuniones de En el de la Cruz, á las quatro y media de la tarde, se exec…</t>
  </si>
  <si>
    <t>Lahoussaye</t>
  </si>
  <si>
    <t>risioneros, entre ellos dos oficiales, y haber dis­ persado enteramente el cuerpo de N. Martin. Las últimas noticias de Londres convienen en El señor general Lahoussaye entró el dia 15 en que los comerciantes todos de aquella capital y Cuenca. Dicho señor general hace los mayores elo­ del resto del reino están sumamente abati…</t>
  </si>
  <si>
    <t>Laicos</t>
  </si>
  <si>
    <t>e abril. brado comendador de la orden al teniente general conde RadetzAi, y caballeros al mayor Teimer, al Se ha dado órden de erigir un monumento de capitán Laicos y á otros varios oficiales. ,r mármol en el mismo sitio en que se verificó la en­ Parece que se han apaciguado ya las turbulen* trega de la Emperatriz.de los fran…</t>
  </si>
  <si>
    <t>Lamarque</t>
  </si>
  <si>
    <t>e julio. Anteayer cerca del anochecer fue bautizado el El Rei ha pasado hoi revista á la división del principe, hijo del duque Guillermo , hermano Je general Lamarque, qne consta de lo© hombres. nuestro Rei, y se le han puesto los nombr.-s de S. M. ha manifestado so satisfacción y contento por Federico Guillermo Alexandro Fer…</t>
  </si>
  <si>
    <t>Lamberto</t>
  </si>
  <si>
    <t>. = Aproba­ Amonio Gieitz tenientes; á D. Cristóbal Sehmit do por el general eri gífj del tercer cuerpo del ejér­ y D. G.ispar Crohon subtenientes; á D. Lamberto cito imperial de España, gobernador general de Dupont, á D. Josef Luis Dumont y á D. Hipó­ Aragón =cosoe SucHET- lito Pereillon subtenientes: en el regimiento nú­ £1…</t>
  </si>
  <si>
    <t>LambsdpríF</t>
  </si>
  <si>
    <t>otras en está ciudad. Ayer huljo on gran general de ingenieros el Sr. D^-^ohint y el tenien­ concierto en los apóstenlas de 3a Reina ,.y,koi se ha te general LambsdpríF han sld'p nombrados, en: re­ celebrad? *;on Ia maypr^iólemnidad y pstenta»oa compensa de lo* distinguidos servicios que han he­ la función que ha dado .el Rei…</t>
  </si>
  <si>
    <t>Lamorliere</t>
  </si>
  <si>
    <t>cho trabijo, el poder rom­ en premio de sus grandes servicios. Esta insignia per sus ligaduras. Sigue e! camino que habían to­ ha sido llevada por el general Lamorliere, cotnau- mado los malhechores; refiere su desgracia á cinco dante de la 15.a división militar, da parte de S. E. trabajadores, vecinos deiPadul, que va encont…</t>
  </si>
  <si>
    <t>Lamotte</t>
  </si>
  <si>
    <t>gones, y el mayor Broon del 52.* compuesta del 3.® de húsares y tíel 1 j.° de caza­ Les hemos cogido ademas una tandera , 400 hom­ dores al mando del general Lamotte, y precedi­ bres y dos cañones. Nuestra pérdida ha sido da da del barallon de cazadores de sitio, abría la mar­ cerca de 300 hombres entre muertos y heridos. cha…</t>
  </si>
  <si>
    <t>Lamperez, Pedro</t>
  </si>
  <si>
    <t>Pedro Lamperez</t>
  </si>
  <si>
    <t>batiéndose con una incalculable pérdida dél enemigo. Quedo esperando las órdenes de V. S. en la altura de Chavero, como igualmente los dos ayudantes D. Pedro Lamperez, D. José Arespacochaga, y el capitán D. Fernando Alvarez , quienes no se me hán separado durante la acción , y permanecen hasta que V. S, determine. Los enemigo…</t>
  </si>
  <si>
    <t>Lancei</t>
  </si>
  <si>
    <t>tar, que eri los años que se creó una comisión paa que presentase intermedios contribuía con graciosas tocatas ai lu­ un informe sobre el déficit del general Lancei, que cimiento de la fiesta , anoic.:ron la festividad cel importaba ioo25 libras esterlinas; y la única ventaja dia siguiente, al qual se dio principio ton ura mi…</t>
  </si>
  <si>
    <t>Land, MiglMfde</t>
  </si>
  <si>
    <t>MiglMfde Land</t>
  </si>
  <si>
    <t>2 1 r i D. Feliciano de Guizaburuaga,..,2089.14c/ D. Ventura de ArqueJlada..^... '• » ^607 ' 19I D. Benito CantalinóV............... «./ 6470 :2*.3; D. MiglMfde Land.í..,,,,.,...... . .. ' ^s^xSo ; 1 D. Martin 5 2oqxi Doña Auíonia QuadradP........... 12 25 - ^ 1 I3i Antonio Barra................................ , xxo^ Doña. M…</t>
  </si>
  <si>
    <t>Landero, José María</t>
  </si>
  <si>
    <t>José María Landero</t>
  </si>
  <si>
    <t>Coinpany. A i nisrxio se ha servido S. M. conferir en el 2.° batallón de in­ fantería da Ciudad-Rodrigo , compañía á D. Enrique Arias, ayu­ dantía á D. José María Landero , y subtenencias á D. Pasqual Torcano y D. Joaquín Ovilo: en el de Canarias, tenencias á. D. Miguel Manzano y D. Aureliano Carabeo, y subtenencias á D. J an…</t>
  </si>
  <si>
    <t>Landry, Francisco</t>
  </si>
  <si>
    <t>Francisco Landry</t>
  </si>
  <si>
    <t>Gaceta de Madrid n.º 18</t>
  </si>
  <si>
    <t>ue va á entrar naestra nación, y den Real de España á los capitanes de mi guardia veamos qué es lo que podemos prometernos en or­ D. Josef Monchoiby, D. Francisco Landry, Don den á la perfección de la literatura. Luis Aubineau, D. Víctor Labouille y D, Pedro La España, según la sabía organización de su Mathio. gobierno, y sus…</t>
  </si>
  <si>
    <t>Lanera, M'geel Sancho</t>
  </si>
  <si>
    <t>M'geel Sancho Lanera</t>
  </si>
  <si>
    <t>iuda .te Tronaga é hijos........ 3 s 017 Doña Manuela Barrera............................ 270 2jf D -uta Mana Fe-i;-.» de Llano.............. 1624 37 D. M'geel Sancho Lanera.................... 5l44 Doña María Uribe S lazar.................... -7797 D. M neo de O-bregon............................ 2346 17 D. Jacinto Gómez, ap…</t>
  </si>
  <si>
    <t>Laneron</t>
  </si>
  <si>
    <t>ción de las operaciones del exército de dia 27 orden del geoeral en gefe de presentarse delan­ S. M. en Moldavia. te de Djnma,donde entró el tenienre general Laneron,que había llegado de Silistria,se apod.-ró de Las últimas tentativas de los torcos contra las Í bkistambnl en el camino de Schumla á Casa ni. tropas rosas 00 han…</t>
  </si>
  <si>
    <t>Langeron</t>
  </si>
  <si>
    <t>GAZETA DE MAD RID DEL SABADO 4 DE AGOSTO DE i8ió. ----------------- ■ .......... —mmmrnmmÉmm TURQUÍA, El teniente general Langeron tiene bloqueada á Síllstria. La plaza de Farlukai ha sido tomada Constantinoplí* 11 de mayo. por asalto el dia i.° de este mes por el caballero Machos propietarios de calas del arrabal de Sass, un…</t>
  </si>
  <si>
    <t>re, ni querer ir á casa del hurgo-maestre para re­ el ene-ligo en una salida. En la misma noche el cibir sn recompensa, prosiguió su camino diciendo: conde Langeron hizo pasar a toda vela y remo la no he hecho mas que cumplir con mi deber. mitad de la esquadrilla bazo el ftíego'de las bate­ París og'dejulio. ^ rías de la ciud…</t>
  </si>
  <si>
    <t>la Venus y Ja Emprendedora estaban ocupa­ forme á las órdenes del general en gefe, cedió el das en reparar sus averías.” puesto de Djuma al teniente general Langeron , que El briele tocó en Sta. Helena, y salió de allí el acababa de llegar con su cuerpo de Silistria, y en 18 de jnnio, dia en qne ann no habla llegado la seguid…</t>
  </si>
  <si>
    <t>1141</t>
  </si>
  <si>
    <t>uadra inglesa apresada por los di­ ki, general en gefe del exército tmo, pasó el 9 de namarqueses, fecha en Cristiansand el 6 de ago&lt;to el cuerpo del general Langeron al campo agosto. de Rudschuck á reforzar las tropas qoe sitian esta plaza ; pero no bai apariencias de que se le dé otro ,,Nuestra esquadra compuesta de 200 buq…</t>
  </si>
  <si>
    <t>397</t>
  </si>
  <si>
    <t>vieron que retirar­ fuerzos contra nuestra ala izquierda, donde se ba­ se con el mayor desorden. La pérdida que nosotros ilaba el cuerpo del teniente general Langeron. El tuvimos en este dia, en el qual se peleo sin cesar general mayor Ilovaiski sostuvo con su regimien­ desde Us siete de la mañana hasta las tres de la to de c…</t>
  </si>
  <si>
    <t>bien la noche , y apro­ regimiento, y se defendió con la mayor firmeza. vecharse entonces de la obscuridad para entrar en la Finalmente, el teniente general Langeron acudió plaza ayudados de la impetuosidad de la corrien­ en persotia hacia aquel punto con ei regimiento te, mandó al starchina de ios cosacos Murcew, 14.0 de caz…</t>
  </si>
  <si>
    <t>Langiduiff</t>
  </si>
  <si>
    <t>argamentos de esto1 buques,4 botani'-a del mismo viage se publicará también mui fin de evitar qualquier fraude sobre este particular. písltoW; por el doctor Langiduiff, y contiene la des­ Nuestra corte ha resuelto obrar en un todo de cripción Je un número considerable de plantas nue­ acuerdo con el gobierno trances, á fin de …</t>
  </si>
  <si>
    <t>Lannes</t>
  </si>
  <si>
    <t>7*9 I la catedral desde la cata de la ciudad tos cuerpos trayendo. Hoi í lat 9 de la mañana ban basado del mariscal Lannes, duque de Muntcbeiio, y del SS. MM. á la torre de orden- El Emperador ba pa­ general St. Hiiuire, que han estado depositados alli sado revísta á las tropas , y ha visitado los foerrec desde</t>
  </si>
  <si>
    <t>intención era al Otros dos coches también enlutados, y en uno de parecer cortarle, la cabeza, y Je dio muchos gol­ ellos el señor Crepi, pariente del mariscal Lannes. pes en la frente y el cuello; pero el duque logró Los alumnos del liceo; y un destacamento de 20 escapar desús manos, y abrir uoa ventana, por dragones cerrabaa…</t>
  </si>
  <si>
    <t>Lanriston</t>
  </si>
  <si>
    <t>e en calidad los c.godos al señor Patje, consejero íntimo de ga­ de embaxador ordinario. binete, estimado generalmente de sus conciudada­ hl o¿i,Gral conde Lanriston, edecán de S. M. nos. Se asegura que S. M. al darle el título de in­ el Emperador Napoleón, llegó á esta capital en U tendente general, le ha conferido la dignid…</t>
  </si>
  <si>
    <t>Lanunian, Jorge</t>
  </si>
  <si>
    <t>Jorge Lanunian</t>
  </si>
  <si>
    <t>oncedido asimismo grados de coroneles de infantería á les te­ nientes coroneles de artillería 6 ingenieros de la propia nacioá D. O vven Huiuphry , y D. Jorge Lanunian. En el regimiento de infantería de Africa se ha dignado con* ceder el Consejo de Regencia el empleo de coronel al coronel, graduado D. Tomas de RiítortiRo■Ténh…</t>
  </si>
  <si>
    <t>Lanz, Josef María</t>
  </si>
  <si>
    <t>Josef María Lanz</t>
  </si>
  <si>
    <t>irigir á £1 una* resolución tan acertada ? pendones, reclamaciones &amp;c., ocurrirán al gefe de En fin, yo no fui bastante virtuoso para arros­ división D. Josef María Lanz, en la secretaría del trar el dictamen de los necios, porque este era el mismo ministerio, calle de Alcalá, quien, durante del mayor número, y el que, al par…</t>
  </si>
  <si>
    <t>Lanz, Vicente</t>
  </si>
  <si>
    <t>Vicente Lanz</t>
  </si>
  <si>
    <t>desacreditan ¿ un militar, cente Lago: capitán en el regimiento jftitnero de. que hace Vanidad de no envidiar nada oí á Turena cazadores á caballo á D. Vicente Lanz, y tenien­ ni i otros. De forma que los ingleses, que me da­ tes del pasmo regimiento á D. Agustin Gómez y rán partido, no creo dexaré de tomarlo, y esto se­ D. A…</t>
  </si>
  <si>
    <t>Laoy, Luis</t>
  </si>
  <si>
    <t>Luis Laoy</t>
  </si>
  <si>
    <t>campo D. Cárlcs de Gand y D. Antonio Samper: á mariscales de campo , á los brigadieres D. Félix Co^on, D. Antonio García Conde, D. Gaspar de Vigodet, D. Luis Laoy, y D. Francisco Co­ pón s : y á brigadieres, á ios coroneles D. Manuel Armen gol, y marques de Beliisca. ______________________________________ * ..................…</t>
  </si>
  <si>
    <t>Lapeilolerie</t>
  </si>
  <si>
    <t>jarse de los principios de tolerancia consa­ ciones cío Cataluña y de Valencia. grados por el código Napoleón; Levantarse contr* Los di as 13 y 16 el coronel Lapeilolerie, al las leyes orgánicas que rigen lo interior del impe­ frente del 64.“ y dé los cazadores del Arriege, rio, y en ¡o que por ningún título debia mezclar­ at…</t>
  </si>
  <si>
    <t>Lapena, Miguel</t>
  </si>
  <si>
    <t>Miguel Lapena</t>
  </si>
  <si>
    <t>723 D. Benito Rafean.................................... 551? D. Miguel Lapena......-............ .............. 64500 5 D. Juan Manuel García Rubia............ 18042 14 14 Doña Josefa Piedra.................................. 691 24 D. Gabriel Rodríguez de Ccbrian....</t>
  </si>
  <si>
    <t>Lapiace</t>
  </si>
  <si>
    <t>las afinida­ alguna qne les haya hecho hacer tantos progresos des electivas: todo lo somete á la atracción mutua' como la mecánica celeste del señor conde Lapiace, de diferentes cuerpos; pero cuyos efectos son mo­ la comisión propone esta obra para el gran premio dificados por cau»as de diferente naturaleza , quade ciencias s…</t>
  </si>
  <si>
    <t>Laplace</t>
  </si>
  <si>
    <t>ncisco Jaxicdurt, CoRSBTl» nf«cretarÍQS. =,V.ispb, y sellado- = El IcauDf,la reunión de los estados de'Rfímá al impirio^ ei|ler del;senído= firmado ==Conde Laplace. articulo i.° El estado de Roma se, reúne- al S. A. I. e( príncipe virei ha marchado á Milán. imperio francés, y hace una parte integrante de este. 2.a Formará dos…</t>
  </si>
  <si>
    <t>Lapucbin</t>
  </si>
  <si>
    <t>un rikásffde S. M. sobre el nue­ Lawadofski, ministro de Instrucción pública; el de vo arreglo y organización del consejo llamado del la. segunda el príncipe Lapucbin y ministro de I2 imperio. Tarhbien leyd loí nombres dfel presidente, Justicia ; el de la tercera el conde AraktscbejcWy d;i secretario del imperio, de, los secr…</t>
  </si>
  <si>
    <t>Lara, Rafael</t>
  </si>
  <si>
    <t>Rafael Lara</t>
  </si>
  <si>
    <t>a­ cio Colon, 15. El teniente cura Fr. Juan Bórica, 10 D. José María Sánchez, 12. D. Rafael Franco, 15 D. Manuel Camarero, 25. Don Pedro Barraza, 12. D. Rafael Lara, 5. D Rafael Sánchez A varez, 12. V^ios individuos, 63. — Cuencamé. El subdelegado D. José María Du­ ran., 50. D. José Esparza, 100. D. José Horna, 6. D. Juan Bau…</t>
  </si>
  <si>
    <t>Larbanoi, Josef</t>
  </si>
  <si>
    <t>Josef Larbanoi</t>
  </si>
  <si>
    <t>mui útil presentar á su vista zadores á caba lo á D. Manuel Antonio Ranci y un bosquejo de la conducta de Mr. Pitt y de sus D. Guillermo Perquts; y á D. Josef Larbanoi* secesores, y los efectos de esta misma conducta teniente de la compañía de inválidos de Granada. desde la exaltación de Bonaparte hasta la época en que nos ha…</t>
  </si>
  <si>
    <t>Lardizaba, Domingo</t>
  </si>
  <si>
    <t>Domingo Lardizaba</t>
  </si>
  <si>
    <t>ragones provinciales de Nueva Galicia, 7678. La provincia de re­ ligiosos agustinos de esta capital,&gt;9. El convento de religiosas de Jesús María, 40. D. Domingo Lardizaba! , tesorero da la aduana, Y su hijo D. Manuel Joaquín , 40. Ei marques de Santa Cruz de Inguanzo, 49. El conde dei Peñasco y su padre, por mitad, 49. La mar…</t>
  </si>
  <si>
    <t>Lardizabal, Luis</t>
  </si>
  <si>
    <t>Luis Lardizabal</t>
  </si>
  <si>
    <t>n el objeto de incomodarlos unas de. cerca que con los fuegos de las fortale­ zas , el señor gobernador comisionó el día 15 al capitan .de artillería D. Luis Lardizabal y al subteniente de ingenieros D. Juan Bautista Rock , para que reconociesen el terreno : y á consecuencia mandó que se construyese una batería en la concurre…</t>
  </si>
  <si>
    <t>Laredó, Antonio</t>
  </si>
  <si>
    <t>Antonio Laredó</t>
  </si>
  <si>
    <t>D. M.riano Calderón. 8.' D* Joan Palas........... D. Ventara Arqoellada......... D. Manuel Canuco.............. . D. Francisco Saochcs Moa9/. dragon. D. Antonio Laredó. 10. Segundo batallón. Pata ayudante primero D. Francisco Dufoo» para ugundo D. Manuel Alevio» y para abande­ rado D. Carlos Abancini. D. Tomas Garda Suelto...…</t>
  </si>
  <si>
    <t>Larlace</t>
  </si>
  <si>
    <t>s acciones : la.Francia admirará vuestro Visto y sellado — E! Canciller del senado. Fir- sacrificio sublime, y hará á V. M. I. y R. un eter­ ttiado — Conde Larlace- no homenage de reconocimiento, de respeto y de En seguida se sujetaron á la decisión, y fueron amor.” aprobadas las dos representaciones propuestas por El senado …</t>
  </si>
  <si>
    <t>Larochc</t>
  </si>
  <si>
    <t>Del 11. ' El barón'de Ducrest, coronel de! at.* de línea. Ayer tarde llegó aquí un convoí con toda la ar­ El barón Larochc, coronel del i.° regimiento tillería necesaria para armar las baterías de la cos­ de carabineros. ta. Los tnimigos no se han atrevido á atacarlo; le­ Ei barón Blancar, coronel del 2.0 id. j</t>
  </si>
  <si>
    <t>Larramendi, Santiago</t>
  </si>
  <si>
    <t>Santiago Larramendi</t>
  </si>
  <si>
    <t>Moreno. D. Fermín María Uria y Nafarrondo. D. Jacinto Perez de la Torre. D. Josef de las Barcenas., D. Gnillelmo González Saez. D. Claüdio Larrañaga. D. Santiago Larramendi. D. Manuel Sánchez del Valle. D. Manuel Ramos Zafra. D. Manuel Celestino Carrasco. D. Francisco Zuñiga. D. Mariano Trevíño. Tenientes:, D. Pedro M-ría Bro…</t>
  </si>
  <si>
    <t>Larrañaga, Claüdio</t>
  </si>
  <si>
    <t>Claüdio Larrañaga</t>
  </si>
  <si>
    <t>o Foronda. D. Estéban Moreno. D. Fermín María Uria y Nafarrondo. D. Jacinto Perez de la Torre. D. Josef de las Barcenas., D. Gnillelmo González Saez. D. Claüdio Larrañaga. D. Santiago Larramendi. D. Manuel Sánchez del Valle. D. Manuel Ramos Zafra. D. Manuel Celestino Carrasco. D. Francisco Zuñiga. D. Mariano Trevíño. Teniente…</t>
  </si>
  <si>
    <t>Larraz, Miguel</t>
  </si>
  <si>
    <t>Miguel Larraz</t>
  </si>
  <si>
    <t>laquer, D. Lean­ dro Rubira , D. José Velasco, D. Joaquín Velasco, D. Caytt no Vico, D. Manuel Aranda , D. Antonio Sánchez Navarro , D. José Ocaña, y D. Miguel Larraz. Empleos de alféreces en el regimien­ to de Reales Guardias Españolas , á los cadetes del mismo cuer­ po , D. Juan Manuel Coghen, D. José María de Casasola, D. …</t>
  </si>
  <si>
    <t>Larrea, Josefa</t>
  </si>
  <si>
    <t>Josefa Larrea</t>
  </si>
  <si>
    <t>ntonio García de Roa........¿..... . 4061 8| * hijo D. Pedro Zubiaga...... ........ 5764 31 D. Pedro Madrid.................................¡. ¡'-361 Doña Josefa Larrea.............. . 5106 24 D. Martín Fernandez Navarrete......... 9Ó 8| El monte pío del colegio de abogados 1 D. Cayetano Lim-Maeso.;................ 180 17 de …</t>
  </si>
  <si>
    <t>Larrea, Miguel Sancho</t>
  </si>
  <si>
    <t>Miguel Sancho Larrea</t>
  </si>
  <si>
    <t>-ña María'Teresa de Anoz........... . - 536$.. 10 ^ D. Pedro Cellini y compañía................. 30000 . ' D. Manuel de Ramos de Zafra..... tope.. 2 D. Miguel Sancho Larrea y .D. An­ D. Francisco García de Rozas........... . : 8438..II drés de Aransai,.......................... 120000 D. Andrés de Sam,al—«............ 4463-20…</t>
  </si>
  <si>
    <t>D. Francisco Antonio de Brir.gas......... 1500 D. Pedro Cellini y compañía.............— 44000 . Juan Josef de Matute...................... 42415..11 D. Miguel Sancho Larrea...................... D. Santiago de Urtzar............................ García y Villanue-va, y en su nombre sus apoderados Pinillos y Pcrez....... . 357…</t>
  </si>
  <si>
    <t>Larripa, Raía</t>
  </si>
  <si>
    <t>Raía Larripa</t>
  </si>
  <si>
    <t>embre. La expedición que por disposición del general-Bassecourt se embarcó en Peñíscola el 22 leí pasado al mando del capjtan del tercero de Valencia D. Raía 1 Larripa, con destino á sorprehender la guarnición francesa de la torre y ciudad de San Carlos, no pudo conseguir su intento; pues aunque desembarcó en la madrugada del…</t>
  </si>
  <si>
    <t>las Barcenas, Josef de</t>
  </si>
  <si>
    <t>Josef de las Barcenas</t>
  </si>
  <si>
    <t>. Joaquín de b Paliza. D. Juan Manuel Montero. D. Fausto Foronda. D. Estéban Moreno. D. Fermín María Uria y Nafarrondo. D. Jacinto Perez de la Torre. D. Josef de las Barcenas., D. Gnillelmo González Saez. D. Claüdio Larrañaga. D. Santiago Larramendi. D. Manuel Sánchez del Valle. D. Manuel Ramos Zafra. D. Manuel Celestino Carr…</t>
  </si>
  <si>
    <t>las Barreras, Francisco de</t>
  </si>
  <si>
    <t>Francisco de las Barreras</t>
  </si>
  <si>
    <t>346..17 ESPAÑA. . D. Matías de Mor.......;......................... 992 D. Josef Bonar........................................ 722 Madrid 2 de marz*. D. Francisco de las Barreras............ 149970..25! D. Lucas de Carranza...................... 170805.. 17 . AVISO. • D. Pedro del Rio. ....................... 14660.. 2 El dia…</t>
  </si>
  <si>
    <t>........................... 180..17 D.' Juan Bauiista Condestable....................... 20880 D. Rodrigo Zorrilla............................... 722 D. Francisco de las Barreras....;........... 6390 D. Andrés de Saucal........... -...... ......... *4079-l7 D.-Mariano Blancas............... 9725 ' Doña Josefa Mar&amp;illa de Teru…</t>
  </si>
  <si>
    <t>las Casas, Bartolomé de</t>
  </si>
  <si>
    <t>Bartolomé de las Casas</t>
  </si>
  <si>
    <t>n Peralta, vecino de Corles. Durante la refriega llegó dé refuerzo 4 los patriotas una partida del regimiento pr&lt; vincial de Ronda con su comán­ dame D. Bartolomé de las Casas, y tuvo mucha parte en el buen suceso. El 23 de octubre hubo noticia en Igualeja de que e! ene­ migo se habla presentado en crecido número en los líano…</t>
  </si>
  <si>
    <t>las Casas, María Luisa de</t>
  </si>
  <si>
    <t>María Luisa de las Casas</t>
  </si>
  <si>
    <t>. Ha tenido dé costo cada unifor­ me 168 rs-. y 12 mrs. — Tota!, 67340 rs. Cádiz 18 de octubre de 1810, — ^uan Rovira. Dona María Antonia Montezuma y Doña María Luisa dé las Casas,</t>
  </si>
  <si>
    <t>las Cuevas, José de</t>
  </si>
  <si>
    <t>José de las Cuevas</t>
  </si>
  <si>
    <t>mien­ to de Reales Guardias Españolas , á los cadetes del mismo cuer­ po , D. Juan Manuel Coghen, D. José María de Casasola, D. Ra­ món de Melgarejo, D. José de las Cuevas, D. Ramón de Zuluaga, D. José María de Vergara , D. Francisco Xavier Villarino, D. Juan de Vargas, D. Bernabé Sánchez, y D. Antonio Fació. En el batallón d…</t>
  </si>
  <si>
    <t>las Doblas, Rafael de</t>
  </si>
  <si>
    <t>Rafael de las Doblas</t>
  </si>
  <si>
    <t>s siguientes: Capitán, D. Josef Caballo y Goitia. Extracto de las minutas de la secretaría de Teniente, D. Gerónimo López Fando. Estado. Subteniente, D. Rafael de las Doblas. En nuestro palacio de Madrid á 16 de mayo Batallón del quartel de la Plaza. de i8ro. D&lt;m Josef Napoleón por la gracia de Dios y Cápitan , D. Francisco M…</t>
  </si>
  <si>
    <t>uinta batallan. Para ayudante primero él balón de Horit , para segundo D. Agostía Tavira, y para abanderad* D. Juan López Sarceada. i“.......... .... D. Rafael de las Doblas......... D. Santiago Martínez. 3.*.............. ................................................. D. Felipe la Torre. D. Felipe Colmenares. ............…</t>
  </si>
  <si>
    <t>las Indias, Ma y de</t>
  </si>
  <si>
    <t>Ma y de las Indias</t>
  </si>
  <si>
    <t>Dios y de Barcia ; D. Ped o Segovía ; D. Diego de Ugal- por ia constitución dei estado, REI de las Españas de; D. Miguel Gar la de Pisa , lectora! ; D. Ma­ y de las Indias. nuel de Espejo; D. Gragoyio Merlo, magistral; Españoles: D- Manuel Arj na, penitenciario ; D. Diego de Ha llegado el momento en que debeis oir la • Gorma,…</t>
  </si>
  <si>
    <t>las Llamosas, José de</t>
  </si>
  <si>
    <t>José de las Llamosas</t>
  </si>
  <si>
    <t>a denominación de tribunal de apela? ciones, establecieron un juzgado de policía, y nombraron un * gobernador militar. Los individuos de la junta son D. José de las Llamosas, D. Martin Tovar Ponte, D. Feliciano Palácip; D. Nicolás de Castro, D. Juan Pablo Ayala, D. José Cortés; D. Hilario Mora, D. Isidro Mendez, D. Francisco …</t>
  </si>
  <si>
    <t>las Peñas, Ignacio de</t>
  </si>
  <si>
    <t>Ignacio de las Peñas</t>
  </si>
  <si>
    <t>órdenes del brigadier D. Pedro García Navarro. Al día siguiente repitieron el ataque reforzados con 200 grana­ deros, y fueron rechazados igualmente. D. Ignacio de las Peñas , comandante de la cabeza del puente de Tortosa ha dado parte al gobernador de la plaza, y este al general en gefe, de que la noche del 9 al 10 del cor­ …</t>
  </si>
  <si>
    <t>las Plazas, José de</t>
  </si>
  <si>
    <t>José de las Plazas</t>
  </si>
  <si>
    <t>100. D. Juan Antonio Leunes , 100. D. Francisco Magarola , 50. D. Francisco Guer­ ra , 50. D. Francisco Torres y Juyol, 25. D. Bartolcmé Muriel, 25. D. José de las Plazas , 100. D. Manuel Calvo, 50. D. Francisco Puy, 50. D. Domingo Lagoa, 100. Señores Matorell , Pía y compañía. 100. D. Jorge la Cenia, ICO. D. Bruno Barnoya, 1…</t>
  </si>
  <si>
    <t>las Procuraré, Miguel de</t>
  </si>
  <si>
    <t>Miguel de las Procuraré</t>
  </si>
  <si>
    <t>- del mejor espíritu, pañía D. Francisco Roso, para teniente D. Fran­ y ansiosos por llegar á las manos con el oemigo. cisco Mida, y para subteniente D. Miguel de las „ Procuraré hacer preseñtes i "V. A. los nom­ Cuevas. bres de los oficiales que se han hecho mas acreedo­ art. v. En tas aldeas de Lantejuela y el Ru­ res á la …</t>
  </si>
  <si>
    <t>Lasart, Dionisio</t>
  </si>
  <si>
    <t>Dionisio Lasart</t>
  </si>
  <si>
    <t>eniente para llenar este Subtenientes. D. Joaquín Sotelo, D. Antonia objeto con arreglo á los establecimientos navales. Mendiberri, D. Manuel Mandli, D. Dionisio Lasart. iii. Nuestro ministro de Marina queda serra , D. Lnis Duran, D. Josef Jáuregui, D. Auun gran chasco el no hacerlo asi. te que su estilo puede confundirse con…</t>
  </si>
  <si>
    <t>Lasarte, Ignacio</t>
  </si>
  <si>
    <t>Ignacio Lasarte</t>
  </si>
  <si>
    <t>............................................... *S S3o ción , que linda á oriente con tierra de Un erren á la era de Navalahija»............... 9 198 D. Ignacio Lasarte ............................. 11 342 Un erren al alto de la Mesa........................ *3-*7 297 Otra mas abaxo de la anterior, en el sitio Una suerte de ti…</t>
  </si>
  <si>
    <t>Lasserre, Beitran</t>
  </si>
  <si>
    <t>Beitran Lasserre</t>
  </si>
  <si>
    <t>cio Por Villafranca D. Bartolomé Castro y Luque, María de Ortega, oñcial retirado, por la milicia; corregidor; D."Gabriel de Vida y Herrera , algua­ ,D. Beitran Lasserre, por el comercio; D. Juan de cil mayor; D= Rafael Zamorano y Jurado, dipu­ Aguilar, por la agricultura; D. Antonio Melgare­ tado del común , y D. Josef de Ca…</t>
  </si>
  <si>
    <t>Latiner</t>
  </si>
  <si>
    <t>strellas están mas lejos de E&lt; corsario la Victoria , su capitán Picaudaíre aquel punto inmóvil deteriben túcelos tanto ma­ ha apresado el Nimble, su capitán Latiner, carga­ yores. Muchas, como ls potar y las de la osa ma­ do de vino y de otriS mercancías. yor, jamas tocan al horizonte. El cÍjcbIo máximo E: corsario el Lobo m…</t>
  </si>
  <si>
    <t>Lau</t>
  </si>
  <si>
    <t>o¡3 francos iglesia de S. Isidro; D. Pedro Fiorcz Qu^vedo, para la compra dé las máquinas propias para hi­ juez.de la junta de negocios contenciosos; D. Lau­ lar algodón , lana &amp;c., las quales se. enviarán á reano Jado, fiscal del mistnp tribunal; D. Josef las fabricas principales de tejidos. Los dueños de .Sánchez Mendoza, d…</t>
  </si>
  <si>
    <t>Laurain</t>
  </si>
  <si>
    <t>s de la Isla por refugiados naturales de chado á Utrechr , desde donde se dirigirá á Francia. ellas, aunque sean sirvientes , con tal de que prue­ El coronel Laurain está encargado del mando ben sn origen con los documentos de estilo. Esta de esta ciudad. augusta asamblea, formada sin consentímento , y Ginebra 3 de agosto. au…</t>
  </si>
  <si>
    <t>Laurencin, Germán</t>
  </si>
  <si>
    <t>Germán Laurencin</t>
  </si>
  <si>
    <t>D. Josef Antonio de Muxica............... 23OI3 23 D. A ntonio de Benito y Picalomini.. 812 81 Doña Vicenta de Musita...................... 27616 14 D. Germán Laurencin........................... 4873 J7 D. Lorenzo de Palacio y Gorbea....... 3842I 31 D. Manuel Zavala................................. 13 5 3 2í Doña Tomasa Guer…</t>
  </si>
  <si>
    <t>Lauriston</t>
  </si>
  <si>
    <t>irán á Braunau, ciudad fronteriza del la pas, y parece que un espíritu de creación em­ lutria. pieza á desenvolver el caos del letargo y de la no­ El general Lauriston, edecán de S. M. I., sa­ che en que nos h.liábamos, para dar un nuevo ser lió para Viena el 25 , encargado de llevar el retra­ y forma á esta ciudad. Van desap…</t>
  </si>
  <si>
    <t>tación pan honor cte besar la mano ai tiempo de entregarla una Cassel á prestar el juramento da fidelidad,}' á ren­ carta del Emperador Napoleón, tíl conde Lauriston dir el homenage debido á nuestro nuevo Soberano. ha sido recibido en Víena con una distinción mui El 6 llegarán los diputados de Luneburgo : los d» Sude , y otra…</t>
  </si>
  <si>
    <t>s, podrá seguir la direc­ dad acompáft^tfo de sn aya madama de B ubers» ción de la costa sin aLrg ir mucho su camino ; y del caballerizo mayor, y del general Lauriston. seguro de encontrar coosuntemente el temple de S. A. R. va á París. - « quitarlas este vínculo, el desembarazarlas de cita traba buenos escritores han pintado…</t>
  </si>
  <si>
    <t>Laurnaga, Juan Felipe</t>
  </si>
  <si>
    <t>Juan Felipe Laurnaga</t>
  </si>
  <si>
    <t>a Intendencia, 200. D. Francisco Barrero, promotor fiscal , 100. I&gt;. Pedro Gómez , Escribano de real hacienda , 100. D. Juan Antonio Serra­ no , 200. D. Juan Felipe Laurnaga , 100. D. Gregorio García Corral, 100. O. .Juan Irigoyén, 100. D. Juan Manuel Revuelta, 200. D. Pedro de la Puente;‘20Q. B. Isidro Zulueta , 200. D. Bart…</t>
  </si>
  <si>
    <t>Laval</t>
  </si>
  <si>
    <t>Este en un momento reunió en un * de la iglesia de Zaragoza, asistiendo á la fancion el punto todos los conocimientos legales de que tiene Excmo. Sr. general Laval, con otros varios oficia­ atestada y repleta la mollera; pero sí, ni por esas les de superior graduación, las autoridades de la. se adelanta un ápice en el negocio…</t>
  </si>
  <si>
    <t>es decreto arriba citado el museo de pintura reunirá ,batid un cuerpo de 8® valencianos, se dirigió el todos los quadros de los conventos suprimidos, general Laval sostenido por los coraceros del gene­ que sean dignos de ofrecerse al estudio, ó de ex­ ral Boussart í S. Mateo, y recorrió las costas pa- ponerse á la vista del p…</t>
  </si>
  <si>
    <t>emigóse acer­ cito del mediodía en España al Excmo. Sr. có á los campamentos; pero no bien tuvo noticia D. Blas de Aranza , comisario regio en Se­ el general Laval, quando reuniendo las selectaa villa. compañías de los regimientos 44.* y 2° del Vís­ tula, marchó á su frente con el general Chlopiski, ,,Excmo. Sr. consejero de …</t>
  </si>
  <si>
    <t>Lavandeyra, Vicente de Castro</t>
  </si>
  <si>
    <t>Vicente de Castro Lavandeyra</t>
  </si>
  <si>
    <t>Vicente Ter­ rero, por la de Cádiz: D. Francisco María Riesco, por la junta supe­ rior de Extremadura: D. Gregorio Laguna, por la ciudad de Badajoz: D. Vicente de Castro Lavandeyra * por la provincia de Santiago , D. Do­ mingo García Quintana, por la de Lugo: D. Andrés Morales de los Ríos, por la ciudad de Cádiz: D. Antonio L…</t>
  </si>
  <si>
    <t>Lavayen, Juan Miguel</t>
  </si>
  <si>
    <t>Juan Miguel Lavayen</t>
  </si>
  <si>
    <t>1 pena,; 59. ,D. Domingo., Sarácho , 10. Ramón; Gár&amp;y^lio. D. Freií-; ci$co Antonio Saenz, 25*. D. Bernardo Fernandez ,-2-5". DrPedro Colfófftes, 10. D. Juan Miguel Lavayen, 25. .D. Berharcío «Mires, 3a D. José Hilario Rodríguez, 10. D. Andrés de írazabal, 30-. D. Francisco Iturbe, 25.</t>
  </si>
  <si>
    <t>Laxan, Manuel</t>
  </si>
  <si>
    <t>Manuel Laxan</t>
  </si>
  <si>
    <t>, por la ciudad de Tuy: D. Bernardo Mártinez, por la provincia de Orense: D. Pedro Cortinas por idern: O. Diego Muñoz Torrero, por ía de Extremadura: D. Manuel Laxan por idem: D. Antonio Darán de Castro , por la de Tuy: D. Agustín Rodríguez Bahamonde por ídem: D. Francisca Calvet y Rivacoba, por la ciudad de Gerona: D, José S…</t>
  </si>
  <si>
    <t>Layar, Cipriano</t>
  </si>
  <si>
    <t>Cipriano Layar</t>
  </si>
  <si>
    <t>. 9369 19 do tropas á Rubieios, de donde la pretendida jun­ D. Pedro Giroud Je Viliet.................... 207250 ta de Aragón se dio prisa á escapar. D. Cipriano Layar......................................... 397 5 Sus habitantes salieron precipitadamente al en­ D. Josef Fernandez Hermosa........... . 1100 cuentro del general…</t>
  </si>
  <si>
    <t>Lazo, Andrés</t>
  </si>
  <si>
    <t>Andrés Lazo</t>
  </si>
  <si>
    <t>a batalla que ha decidido Dsuerte de tonio Madrigal , que lo fue en el de dragones de una nación. Asi que, por esta parte no hai defecto Lnsitanía, á D. Andrés Lazo, subteniente que «n el argumento del poema, y tiene toda la gran­ también fue del de caballería de Calatrava, á Don deza que le conviene; pero tiene contra sí el …</t>
  </si>
  <si>
    <t>Lcjensne, Pedro</t>
  </si>
  <si>
    <t>Pedro Lcjensne</t>
  </si>
  <si>
    <t>nmascarados, y de algunos autor Mr. Bir-íubé : traducido al castellano, y au­ otros qne se deben considerar como especies, como mentado con rotas por D. Pedro Lcjensne, tenien­ dt yaws y sibbins, de las complicaciones de las te de caballería retirado. No hai clase de personas sífilis con las escrófulas, reumatismo, sarna Scc.…</t>
  </si>
  <si>
    <t>le Clair, Luis</t>
  </si>
  <si>
    <t>Luis le Clair</t>
  </si>
  <si>
    <t>Alevio» y para abande­ rado D. Carlos Abancini. D. Tomas Garda Suelto...... D. Tullan González Saes, D. Ceferino Casas. El Marques de los Zoidos..... D. Luis Le Clair........... , D. Pedro Luis Napoli. D. Mariano Herranx........... . D. Josef Gamarra........... . D. Juan Valenchana.............. D. Jaime Rostan. •#•-»••«•* ••…</t>
  </si>
  <si>
    <t>Le-Cor</t>
  </si>
  <si>
    <t>ar nues­ tra posición, el teniente genera!. Hill pasó aquel rio, haciendo Tin peqiK«io movimiento háoia su izquierda en la mañana del S6, ¿'exaudo a! coronel Le-Cor apostado con svi brigada en la Sierra de Murcella, con el fin de cubrir la derecha del exército, y al brigadier general Fane con su división de Caballé-</t>
  </si>
  <si>
    <t>Leal, Tomas</t>
  </si>
  <si>
    <t>Tomas Leal</t>
  </si>
  <si>
    <t>nete ingles en retirar sus Primer batallón. Comandante de batallón Don tuerzas de aquel punto: esta determinación oca si Cayetano Calatrava, ayudante D. Tomas Leal, naiia una pérdida inútil de tiempo, coya duración, abanderado D. Pedro Motero, cirujano D. Pedro estando ya tan adelantada la estación, no seria fá­ Moron. cil de…</t>
  </si>
  <si>
    <t>tez, D, José Va­ ra del Rey, D. José Joaquín Daureia, y D. José Tirso Carvajal; y subtenencias , á D. Juan Miguel Balanza , D. Antonio Diaz Pintado , D. Tomas Leal, D. Francisco Ortiz , D. José Mazon, D. Andrés Serrano,D. José Gutiérrez Genico, D.Pablo Carcía Bermejo, I&gt;. Juan Bautista Padilla, D. Antonio López, D. Pió Sotolo…</t>
  </si>
  <si>
    <t>Lean</t>
  </si>
  <si>
    <t>Blas Marín, D. Antonio Ferrer, D. Agustín Escobar . D. Miguel Federico, D. Francisco Blanco , D. Bartc lomé Blanco D. Joaquin Gómez, D. José Flaquer, D. Lean­ dro Rubira , D. José Velasco, D. Joaquín Velasco, D. Caytt no Vico, D. Manuel Aranda , D. Antonio Sánchez Navarro , D. José Ocaña, y D. Miguel Larraz. Empleos de alfére…</t>
  </si>
  <si>
    <t>Leandro</t>
  </si>
  <si>
    <t>que en la villa de lugar de Camarina pertene­ Valdemoro perteneció al Car­ cieron á la capallenía de Ani­ men calzado, con su huerta y mas que fundó D. Leandro regadío de pie, cuya cabida Bayo....................... 1344 16128 es como de una fanega, y sil Varias tierras y casas que en el renta anual...........................…</t>
  </si>
  <si>
    <t>LebndoríF</t>
  </si>
  <si>
    <t>Reina de resultas de una ligera bara en el golfo pérsico cerca de Basora, lo que “ indisposición. Ies hace dueños de la pesca de perlas. El xerife El conde LebndoríF, qne ha sido nombrado 'Homohd, uno de los descendientes de los xerifes nuestro embaxador cerca de la corte de Madrid, dé la Meca, se ha adelantado desde Zemen ha…</t>
  </si>
  <si>
    <t>Lecanda, Juan</t>
  </si>
  <si>
    <t>Juan Lecanda</t>
  </si>
  <si>
    <t>D. Víctor Moreno. D J uan de ios Heros. D Vicente Per^ti. Tenientes. D. Gregorio Simón de Diego. D. Ramón Vartureu. D Macuel Alevio. D. Diego Castro. D. Juan Lecanda. • D. Josef Casalc. D. Plácido Ffexalde. D. Ramón Pando. D. Cj i*o Garc.a. D. Tomas García Domínguez. D Nicolás Herencia. Batallón del quartel de S. Martin. D. G…</t>
  </si>
  <si>
    <t>Lecoq</t>
  </si>
  <si>
    <t>se dividirá en dos divi­ una dieta general de los estados de la confedera­ siones , de las quales una estará á las órdenes del ción del Rin. teniente general Lecoq, y otra á las del teniente Sabemos positivamente que todo el principado general Zeschau. de Hanau será incorporado á nuestro gran ducado, ALEMANIA. á excepción de …</t>
  </si>
  <si>
    <t>Ledesma, Francisco Rodríguez</t>
  </si>
  <si>
    <t>Francisco Rodríguez Ledesma</t>
  </si>
  <si>
    <t>colás de la Iglesia Le roía. que llevaba quatro cañones con el objeto solamen­ D. Josef Manzanilla. te de hacer el saludo y salvas, se presentó pocos D. Francisco Rodríguez Ledesma. dias há enfrente de los castillos, y quiso pasar el D. Francisco Bernabeu. canal sin detenerse ni hacer caso de las señales que D. Rafael Antonio…</t>
  </si>
  <si>
    <t>Legarreta, Severino</t>
  </si>
  <si>
    <t>Severino Legarreta</t>
  </si>
  <si>
    <t>de los pue­ blos. Se hallará en Cádiz en la librería de Murguía, calle de S. Fran­ cisco. ConUnúan los donativos de la provincia de Sonora. Trinidad. D. Severino Legarreta, SO.* D. Salvador Mongo , 40. D. Ignacio Mongo, 10. Varios individuos, 104. El cura de Arivechi, 1.5. D. Ramón Vilíaseñor, 10. D. Pasqual Murrieta, l£L Var…</t>
  </si>
  <si>
    <t>Legras</t>
  </si>
  <si>
    <t>, mis pueblo^ los apfe- ebus, consejero de Estjtdo; el coronel Dmloupeiarán ea todo su valor, y presagiarán las mas fe­ Verdun , edecán del Reí ; el coronel Legras ; el ca­ lices consecuencias. Mis provincias, divididas en pitán Blanchard ; Duchambou , tesorero general de otro tiempo, "ven nacer baxo*i1rttitucion*s unifor­ la…</t>
  </si>
  <si>
    <t>Legu</t>
  </si>
  <si>
    <t>general comandante de la Dtima— durante la función de iglesia, y luego desfilaron á cia, el intendente de Ztra, y el administrador ge­ " resencia del general Legu ú y de su estado mayor. neral de Ragusay de Cáttaro, quedan encargados, g ,1 inmenso gentío qué b ibia en las calles y piazas y en los balcones y ventanas Jio pudie…</t>
  </si>
  <si>
    <t>Lehndorf</t>
  </si>
  <si>
    <t>759</t>
  </si>
  <si>
    <t>creedores ó accionistas, y sigue PRUSiA. suspenso el pago de los intereses de los créditos que han sido negociados. Berlín 14 de mayo. Se dice que el conde Lehndorf irá á Madrid en GRAN BRETAÑA. calidad de embaxador de S. M. cerca de aquella Lóndres tj de mayo. corte. El dia 3 de este mes llegó á Kóüigsberg una En la sesión q…</t>
  </si>
  <si>
    <t>Leiral, Antonio</t>
  </si>
  <si>
    <t>Antonio Leiral</t>
  </si>
  <si>
    <t>30*5 fempaifeo ^ Capttaaat. «ratona*. Subtaaltittas. ' D. Antonio Leiral... D. Valdoméro Gallego, D. Gerónimo Wolls. D. Tomas Campillo, D. Mariano Fernandez del Canto; D. Narciso Batía..... D. Matías de Mor y Ríos.... D. Josef Villanas; D. Rafael Yarce..... D. E</t>
  </si>
  <si>
    <t>Leith</t>
  </si>
  <si>
    <t>cndida la división propio de la Viñuela. del general HUI. Los otroá 40 están en Tomar á Para el de la parroquial de Jubrique, vacante las órdenes del general Leith, á excepción de nn por fallecimiento de D. Alonso García, á D. Fran­ regimiento que ha quedado eu Lisboa. Los regi­ cisco Ranedo, clérigo diácono. mientos 79.0 y 9…</t>
  </si>
  <si>
    <t>por el te­ niente coronel Trench , y por la brigada de infantería portu­ guesa del coronel Champalimaud á las órdenes del coronel Makinnon. El mayor general Leith se movió igualmente ha­ cia su izquierda para apoyar al mayor general Picton , ayu­ dando á destrozar al enemigo en esta parte el tercer batallón del regimiento rea…</t>
  </si>
  <si>
    <t>llería portuguesa mandada por el mayor Arentschiid. Merece igualmente particular memoria la conducta del capitán Danser del regimiento 88. — El mayor general Leith recomienda la buena conducta del regimiento real, del primer batallón del regimiento 9, y del segundo batallón del 38 ; y puedo asegu­ rar á V. E. que nunca he vis…</t>
  </si>
  <si>
    <t>1486</t>
  </si>
  <si>
    <t>n reíbr—• franceses nos van estrechando cada vez mas. La di­ ni á principios del año próximo: basta ahora todo visión de tropas inglesas que manda el general Leith sigue baxo el mismo pie que antes. está de guarnición en Lisboa, y se compone de La mayor parte de los.pueblos del Ti rol, que 3500 hombres. habían sido incendiado…</t>
  </si>
  <si>
    <t>oné arriba, fueron seguidas en su marcha por la división del mando de Sir Brent Spencer y por la quinta división de infantería man­ dada por el mayor general Leith. — El 17 del corriente re­ cibí los pliegos que enviaba el mayor general Fane de de la orilla izquierda del Tajo, participándome que el enemi­ go habia construido …</t>
  </si>
  <si>
    <t>Lejtusne, Pedro</t>
  </si>
  <si>
    <t>Pedro Lejtusne</t>
  </si>
  <si>
    <t>ión ; la ioogitud de Palma en Mallorca, en prosa: su autor Mr. Gesner, traducido al caste­ comprobada por D. Gabriel Ciscar, que situó tam­ llano por D. Pedro Lejtusne, teniente de caballe­ bién varios puntos de Cerdeña y de otras islas y ría retirado. Un tomo en 8.° Quando se publicó Je costas del Mediterráneo; las noticias …</t>
  </si>
  <si>
    <t>Lemente, Alberto</t>
  </si>
  <si>
    <t>Alberto Lemente</t>
  </si>
  <si>
    <t>le preparaba esta infantería ligera á D. Gabri 1 Gayo: tenientes de ciudad á su regreso de Lérida, entró inesperada­ infantería á D. Blas Valverde, á D. Alberto Lemente en ella el domingo 20 del corriente entre Grand y á D. Jaime Fransoi: teniente del regi­ ocho y nueve d« la noche. Inmediatamente pasa­ miento de Sevilla, 3.0…</t>
  </si>
  <si>
    <t>Lemos</t>
  </si>
  <si>
    <t>cieron á cada cuerpo de darse á conocer, podiendo este ser llamado un dia glorioso para el nombre portugués. Merecen particular men­ ción y elogio el brigadier Lemos , el ayudante general Brito Moziño, los coroneles Durban , Champalimaud , Palmeirin y José Cardoso de Meneres Sotoraayor ; los teñí ente-coroneles Hcuglas, Sutto…</t>
  </si>
  <si>
    <t>Lemüs, Cícmentí</t>
  </si>
  <si>
    <t>Cícmentí Lemüs</t>
  </si>
  <si>
    <t>Carmena , D. Luis Carceller, D. Nicolás de Robles , D. Vicente Castaño , IV José .Zurbanó, D. José Lorite , D. Mamó 1 de la Vega, D. Domingo Molina, D. Cícmentí Lemüs, D. Tornas Gatída . *D. 'Santiago Blanco , y D. A«nt©nio Morí troya ■; y Whireneircias á D. Litis Ramos , D. Ma­ nuel Saez , ID. Francisco Hidalgo , D. Redro On…</t>
  </si>
  <si>
    <t>Leo</t>
  </si>
  <si>
    <t>antería ligera, D. Anastasio de Olabarr teta á ayu- to á las platas y alhajas que pertenezcan á conven­ - dantedel 2.° batalferiV D. Francisco Leroi, D. Leo- tos suprimidos, iglesias , «asas y bienes confisca­ nardo BoyaronDr Pedro Pabló Peraldi, D. Ale­ dos , Ó correspondientes á personas emigradas. jandro Barennev -O- Imber…</t>
  </si>
  <si>
    <t>rario tales movi­ mientos a los cuerpos celestes. París aj de octubre. ' Para formar ana idea gxlcta del movimiento Acaba dé llegar á esta capital el príncipe Leo­ diurno del eider, supongamos un observador atento. ■ poldo de Saxonia- Cobourg. - . ■ - Ei horizonte es el plano tangente á la superficie de £1 buque americano de …</t>
  </si>
  <si>
    <t>León</t>
  </si>
  <si>
    <t>án de grana­ tremadura y ciudad de Badajoz , y de que tendré deros de nuestra guardia real. mucho gusto de tener noticias de sn seguridad y Sagasta { D. León de), juez de primera instancia. prosperidad. Creo que el exército británico no de­ Salas { D. Ramón de ), intendente de Guadalaxara. ba nada á esta provincia; pero si ac…</t>
  </si>
  <si>
    <t>ausentes D. Ja fian Vie jo. al procurador de este juzgado D. Baltasar Marco, 3 D. fíónífício Zaldivar. cuya ihstanch» en 13 del corriente por el Sr. D. León ; D. Manuel Eugenio. 1 de Sagasta, caballero de la Orden Real de España, del art. iii. En tos diez batallones de milicia cí­ conbejó de S. M., juez de primera instancia d…</t>
  </si>
  <si>
    <t>León, Antonio</t>
  </si>
  <si>
    <t>Antonio León</t>
  </si>
  <si>
    <t>mon el señor Vicente aumentarán tres compañías. Nombramos para co­ García , actor retirado de esta misma compañía. mandante de las qoarro compañías á D. Antonio León, para ayudante á D. Josef María León, En el de la Cruz, á las quatro y media de la tarde, menor ; y para abanderado á D. Joan Mateos. se executará la comedia en …</t>
  </si>
  <si>
    <t>León, Ignacio</t>
  </si>
  <si>
    <t>Ignacio León</t>
  </si>
  <si>
    <t>eTeutlama, 30 y 4. Los de Caborca y Pltic, 54 y 2. Los de Sta. Cruz, 31 y 3 —Pitic. D. Manuel Rodríguez, 100; D. José Buelna, 25. D. Xavier Díaz, 25. D. Ignacio León, 25. D. Ig­ nacio Araíza, 25. D. Ignacio Serrano, 10. D. Tomas Valencia, 10. D. José López, 10. D. Agustín Pesqueyra, ió. D. Juan Antonio Bernal, 10. D. Ignacio …</t>
  </si>
  <si>
    <t>León, Josef</t>
  </si>
  <si>
    <t>Josef León</t>
  </si>
  <si>
    <t>477</t>
  </si>
  <si>
    <t>880 chez 275 2200 Otra , dormitorio de S. Agustín, Otra, 542714 calle de Pedro Angulo, núm. ....................................... 600 4800 que vive D. Josef León......... íí° 4400</t>
  </si>
  <si>
    <t>León, Josef María</t>
  </si>
  <si>
    <t>Josef María León</t>
  </si>
  <si>
    <t>res compañías. Nombramos para co­ García , actor retirado de esta misma compañía. mandante de las qoarro compañías á D. Antonio León, para ayudante á D. Josef María León, En el de la Cruz, á las quatro y media de la tarde, menor ; y para abanderado á D. Joan Mateos. se executará la comedia en cinco actos titulada el Abate Asi…</t>
  </si>
  <si>
    <t>León, Manaei Pablo</t>
  </si>
  <si>
    <t>Manaei Pablo León</t>
  </si>
  <si>
    <t>D. Josef María Carvia; : entitéusis, señalándole qualidades necesarias para D. Francisco Izquierdo. sd celebración.¡.Desde esta época .fueron muchas D. Manaei Pablo León: Castillo. los'glosadores ó cimentadores de dicha Iei: que aiit. iv. Quedan agregados a este reglmieoro,: con-mala lógica y peor .metafísica escribieron farr…</t>
  </si>
  <si>
    <t>León, Manuel</t>
  </si>
  <si>
    <t>Manuel León</t>
  </si>
  <si>
    <t>acante por-muerte de D.'Martí«r More­ Para el medio beneficio de la nmma., :vac4rHfl, no Montenegro , á D. Juan Ximencz Rosillo , pres­ por muerte de D. Manuel León, á D. Antonio bítero- • Verdugo ¿ prefiero ,lexííréjfulír.T. I M 31 I^tl el medio beneficio dé la parroquial de la Pata el beneficio de la parroquia de S. Juan de…</t>
  </si>
  <si>
    <t>Leonardo</t>
  </si>
  <si>
    <t>es, idem. llón de u guardia cívica de Madrid. Buscnt (D Josef) , tirador del mismo cnerpo. Guignot ( D. Antonio), granadero de nuestra guar­ Cacatte (D. Leonardo),'mariscal de campo de dia reo. nuestros reales exércitos, comandante de la pla­ Horst (Barón de), capitán de fragata retirado. za de Madrid. Houri (L). Estéban), ti…</t>
  </si>
  <si>
    <t>Leoneli, Gabriel</t>
  </si>
  <si>
    <t>Gabriel Leoneli</t>
  </si>
  <si>
    <t>derado D. Manuel Moresqui; D. JoseF Palafói...'.................. D.‘ Bernardo Espioalt y Co­ llado. D. Eugínio Roldan, D. Francisco Verdejo Paez.... D. Gabriel Leoneli. D. Josef González Oyuela.... D. Francisco Peirou y Goazalez. D. Mariano García de la Cruz. D. Autonio María Rodríguez. D. Antonio Uribarri D. Tomas Arenillas…</t>
  </si>
  <si>
    <t>Leonor</t>
  </si>
  <si>
    <t>este modo Ja la muerte á si» IX Lope de Almcida, caballero portugués, á pocos tnuger; después de lo qual parte con el Rei para iz días de casada con Doña Leonor, datas castellana, en­ guerra de Africa, dcxaado su haaor purificado con el</t>
  </si>
  <si>
    <t>á su carácter una atro­ hubiera hecho mas comedia que esta, y si Malos Frago­ cidad sin exempio. so no hubiera compuesto sino la de Juan Labrador, no Doña Leonor es una nsuger débil é imprudente. habría quien no prefiriese «1 autor de la segunda al de Sn el discurso da ia pieza no haca mas que vacilar en­ la primara. Pero la …</t>
  </si>
  <si>
    <t>es. Falta al decoro el actor que no viste y que solo disimula por exceso de xelos. conforme la persona que representa, ó e.l que sale con El papel de Doña Leonor ha sido excretado con un trage que no es del tiempo en que la acción se su­ bastante propiedad; pero la actriz ha olvidado algunas pone. Por esta regla lia faltado e…</t>
  </si>
  <si>
    <t>en , ó el fatal recuerdo de .sus.pasadas ta es efecto de un sistema:.mui calculado; pero una tal glorias. Por mui desamorada que sea una cómica, su ‘ Doña Leonor, que poco mas. ó menos tiene su modo de oficio suele obligarla i fingir en las tablas lo contrario; pensar, y que- se ha propuesto despreciar á todo» los y es á la v…</t>
  </si>
  <si>
    <t>l cabo no tie­ ne maldita la gracia que por ser mui enamorado le cor­ ten á un pobre hombre el pescuezo. Es el caso que una COLISEO DEL FRINCltK. tal Doña Leonor, hembra menos casta que vengativa y JEl valiente justiciero y el rico hombre lie Alcalá. _Co- rencorosa, después de haber andado poco cauta para media en tres actos …</t>
  </si>
  <si>
    <t>con decoro y con firme­ razones. Estas son sus palabras : za: A mi alcoba se va por la iglesia. Hubiérale dicho , Hal en el amor ©tro tanto Ja buena Doña Leonor al atrevido D.Tello, Cantidadf.va de fuego, y yo la fio que no hubiera tenido necesidad de pedir Y quando esta se reparte después, ó su honra , ó la cabeza de su aman…</t>
  </si>
  <si>
    <t>.í J Otra , calle de Nogales garren- ¡ 670.-32 5367-*jl8 dada á Manuel de Campos.,,... IÓJ • ; I320 Mitad de otra , calle de Burén-as* Otra, calle de Doña Leonor,ar». ' arrendada ¿ Antonio Vino:..-. *54 1232 rendada á Francisco Félix Otra, calle de S. Gregorio, ar- - . , ,0 Ortiz................... ................. . j08 .1J…</t>
  </si>
  <si>
    <t>Leonora</t>
  </si>
  <si>
    <t>na expresa perfectamente la im­ cia , pasó por aqui ayer para París con sos tres hi­ presión que hacen en las gentes los viages de S. M. jos y con la princesa Leonora, hermana del emba­ á los diferentes puntos de su imperio, y es un xador. También ilegó aqui ayer el príncipe Yous- verso de Boíleau. sonpoff, consejero intimo d…</t>
  </si>
  <si>
    <t>Leopoldina</t>
  </si>
  <si>
    <t>o del hombre. Por razón de la sequedad de­ viene. Dicea que no esrará roas que ocho días, y ben escasear también los forrages. El comercio del que la princesa Leopoldina vendrá en su com­ ganado lauar y vacuno padece ya con este motivo, pañía. pues se ya envileciendo su precio. Parece que los El señor barón de Bourgoing, mini…</t>
  </si>
  <si>
    <t>Leopoldina, María</t>
  </si>
  <si>
    <t>María Leopoldina</t>
  </si>
  <si>
    <t>.................. 2707 17 El marques je Muz.juiz........................ j 9 ' •&gt; s 8 6 16 D. Carlos T’S ■rcíaer............................... 6859 Doña María Leopoldina de us lleras. Doña Xa viera de O h &gt;a........................ 1S0 17 Doña Xaviera de Yoldi......................... 4CCCO Doña Xa viera de Osmj............…</t>
  </si>
  <si>
    <t>Leopoldo</t>
  </si>
  <si>
    <t>duque de Orleans llegará í Paiermo, y que ha ; dos casamientos proyectados, uno entre S. A. R. y la hija tercera ¿e S. M. siciliana, y otro entre el príncipe Leopoldo , hijo segundo del rey y madamisela de Orleans. — Marchan á Portsmoutii 700 caballos para completar algunos regimientos que están en Por­ tugal. Un caballero qu…</t>
  </si>
  <si>
    <t>e arti­ ría I%eiMT1 de la guardia real á D.' Josef Aie'xandro lleros deoMilaga; y á D. Josef JLarbanois capitán Bo$c c'ofxíaH'dante^ dé ¿squadroh ; á D. Leopoldo de la compañía de inválidos provinciales hábiles de Ber’tolet ¿u^itárt;'i-D. Juan Baiirista Dupúi ay«-i Granada. . * . - —— * — ____________din'te ífiáy&lt;ir Julio Mor…</t>
  </si>
  <si>
    <t>(D. Essébaú ), gefe de música del regi­ Berthol (D. Juan), cabo del mismo regimiento, Ídem. miento de granaderos de nuestra guardia real. Bertholet (D. Leopoldo ) , capitán de caballería li­ Gau (D. Julia» de) , eapitao dei* regimiento de gera , idem. Córdoba, núm. 7.% jatáótería de línea.. Bertin (D. Pedro María) , ídem de i…</t>
  </si>
  <si>
    <t>Liegeois (D. Juan), cabo de artillería , ídem. Rodríguez (D. Francisco), húsar de nuestra guar­ Lobis (D. Leopoldo), soldado de caballería li­ dia real. . gera , ídem. Roujeor (D. Pedro), granadero, idem. Lorieux ( D. Juao Bautista) , cabo de caballería li­ Roujon (D. Pedro), capitán de tiradores, idem.</t>
  </si>
  <si>
    <t>Leopor, Diego</t>
  </si>
  <si>
    <t>Diego Leopor</t>
  </si>
  <si>
    <t>villavdei; M.rtáñb Sicilia al de ducirá Señora de lasAngustus Vnianueva'Mesía y so anexo la Mota leda, vacante, .de la .propia ciudad de Graoada , á -D. Diego Leopor ñutirte dé D. Juan Antonio Pefez Montoro, vigiído de la ,0 i va, teniente de cilla: de Alhama. ú D. JoaquinLopezGijon , ex-régularde agutti-íi iP.fir-c-et-de ia …</t>
  </si>
  <si>
    <t>Lerga, Joaquín</t>
  </si>
  <si>
    <t>Joaquín Lerga</t>
  </si>
  <si>
    <t>. Dámaso de la Torre....»................ 3°594 25"l D. NicoUs Josef Masart..,.........«...i.; 40863 D. Juan Josef,de Gamboa............. . 31392 *7- D. Joaquín Lerga... 16000 *' D. Antonio Barra,....*........ *.............. 16425 D. Bonifacio de Porras..................... 122968 aóí D. Gaspar Soliveres...».................…</t>
  </si>
  <si>
    <t>silio.Ramón Fernandez............... ¿54 ^ D. Josef Sánchez...... .”............................. 1805 ■&gt; • Dr Manuel Sánchez Toscano........ 20000 1 D. Joaquín Lerga..................................... 7aa - L» marquc»a de la Solana........... . 9000 D. Manuel -Bustaniantc.......... ....... 171-4..2 5Í El marques de Bajamar…</t>
  </si>
  <si>
    <t>Lérida</t>
  </si>
  <si>
    <t>ión , como el señor gobernador de Lé­ La cabra siempre tira al monte. rida ; porque las quejas de este, claro está que no son (5) Parece que el señor gobernador Lérida sigue efecto de ambición, sino de su patriotismo. Y, á Ja ver­ el sistema de la* partidas de guerrilla: ¡ lástima por cierto dad , debe ser una cosa mui penosa…</t>
  </si>
  <si>
    <t>Leroi, Francisco</t>
  </si>
  <si>
    <t>Francisco Leroi</t>
  </si>
  <si>
    <t>ecreto, en quin­ * fantería ligera, D. Anastasio de Olabarr teta á ayu- to á las platas y alhajas que pertenezcan á conven­ - dantedel 2.° batalferiV D. Francisco Leroi, D. Leo- tos suprimidos, iglesias , «asas y bienes confisca­ nardo BoyaronDr Pedro Pabló Peraldi, D. Ale­ dos , Ó correspondientes á personas emigradas. jandr…</t>
  </si>
  <si>
    <t>Lerrini, Saxon</t>
  </si>
  <si>
    <t>Saxon Lerrini</t>
  </si>
  <si>
    <t>os reformados , y de un cuer­ siderables para esta empresa, que, según dicen , se­ po de veteranos y de inválidos. Nuestra guarni­ rá dirigida por el general Saxon Lerrini. La uni­ ción y la de la fortaleza de Praga se van á compo­ versidad de Wittemberg debe ser trasladada, no APBNDICB A IA GAZETA DE MABXÍD. en extremo abund…</t>
  </si>
  <si>
    <t>Lestoq</t>
  </si>
  <si>
    <t>aterra» á ral prusiana Leítoq (querrá decir i'Estocq, no habien­ 'los buqaei suecos qoe lleven los correspondientes do en el exército prusiano ningún general Lestoq) pasaportes; pero no se concederá ninguno para el llegará aqui dentro de píceos dias. Dicen que salió Báltico. Esta noticia ha llenado á'los suecos de in­ de Berl…</t>
  </si>
  <si>
    <t>Lésztzinska, Taida</t>
  </si>
  <si>
    <t>Taida Lésztzinska</t>
  </si>
  <si>
    <t>temática entre el facultativo y el ma* rada en Cbstin, donde está ¿í pateon de sus ante­ gistrado, desde luego se verá que ni laspróvidenpagados. .La princesa Taida Lésztzinska, abuela d¿ ¿ia¿ de la magistratura eran quasi nunca aceitadas, su mafidq, y. parienta múi cercana de María* Les- rit jamas tan prontas, eficaces y ené…</t>
  </si>
  <si>
    <t>Leunes, Juan Antonio</t>
  </si>
  <si>
    <t>Juan Antonio Leunes</t>
  </si>
  <si>
    <t>o Madariaga, 25. D. Juan Manuel Muñoz , 200. D. Joaquin Micon , 100. D. Jo­ sé Domingo Couto , 100. D. Mariano Pasquel, 100. D. Manuel Elguero , 100. D. Juan Antonio Leunes , 100. D. Francisco Magarola , 50. D. Francisco Guer­ ra , 50. D. Francisco Torres y Juyol, 25. D. Bartolcmé Muriel, 25. D. José de las Plazas , 100. D. M…</t>
  </si>
  <si>
    <t>Leval</t>
  </si>
  <si>
    <t>taba; pero han sido tan completamente acometidos y penetrados por todas nuestras tropas, que sin la menor contingencia fué tomada su posición. ... El general Leval ha sido herido al frente de su división: el señor mariscal duque de Treviso ha recibido una contusión en el brazo.... Nuestra'pérdida , que creo llega á unos 400 h…</t>
  </si>
  <si>
    <t>Lew</t>
  </si>
  <si>
    <t>10. \. RUSIA. ido tres banderas. Nosotros hemos tenido 2 jas horaPetersburgo 8 de agoste. t res entre muertos y heridos. Habiendo recibido el tenieme general Lew»' el Continuación de las operaciones del exército de dia 27 orden del geoeral en gefe de presentarse delan­ S. M. en Moldavia. te de Djnma,donde entró el tenienre ge…</t>
  </si>
  <si>
    <t>Lewis</t>
  </si>
  <si>
    <t>Monarca una carta del du­ ,,E1 ü ios turcos dirigieron sus principales que de Augustetnburgo, y ha recibido ya la con­ fuerzas contra este panto. El general Lewis ha­ testación que debe remitir á aquel príncipe. bía formado por el lado deiecho un gran quadro, dando al mismo tiempo orden al teniente general Del jo. Trebetzskoi…</t>
  </si>
  <si>
    <t>la plaza á Constanmas considerables , dirigiendo todos Sos esfuerzos tinopla por Gseli-kovafc: el dia antes 2® forragecontra esta altara: el reniente general Lewis, que ros, que salieron de Schnmla, babian sido persegui­ la defendía, habia formado en ella un gran qoadro dos y derrotados por el teniente general Woinow i la der…</t>
  </si>
  <si>
    <t>francesas, han zarpado de la isla de Francia tra ba sido de 260 hombres. para ir á los cruceros del m-&lt;r de Indias. La Man­ Ei 9 de julio el teniente general Lewis, con­ cha , la Venus y Ja Emprendedora estaban ocupa­ forme á las órdenes del general en gefe, cedió el das en reparar sus averías.” puesto de Djuma al teniente ge…</t>
  </si>
  <si>
    <t>Leyba, Joaquín</t>
  </si>
  <si>
    <t>Joaquín Leyba</t>
  </si>
  <si>
    <t>suplente por el vireynato del Perú: D. Vicente Morales, suplente por idem: D. Ramón Feliu, suplente por idem: D. Antonio Suazo, su­ plente por idem: D. Joaquín Leyba, suplente por Chile: D. Miguel Riesco, suplente por idem: D. Francisco López Lisperguer, suplente por el vireynato de Buenos-Ayres: D. Luis Veiasco, suplente por…</t>
  </si>
  <si>
    <t>Leyva, Joaquín</t>
  </si>
  <si>
    <t>Joaquín Leyva</t>
  </si>
  <si>
    <t>se para que se I). Manuel Ros. terminen prontamente las causas cri­ I). Vicente Morales. D. José Morales Gallego, minales, á fin de que salgan de las D. Joaquín Leyva. prisiones los que fuesen inocentes, y -1). Pedro María Ric. sean Drontamente casti erados los aue D. Caslr0• í^en culpados. Y cumpliendo con D. Francisco Gonzá…</t>
  </si>
  <si>
    <t>Lezpona, Josef María</t>
  </si>
  <si>
    <t>Josef María Lezpona</t>
  </si>
  <si>
    <t>á D. Lorenzo Angulo: en el sión cree digno de este examen. de cazadores de montaña de Carmona teniente á El argumento de este poema es una sola bata­ D. Josef María Lezpona, y subtenientes á D. An­ lla ; pero es una batalla que ha decidido Dsuerte de tonio Madrigal , que lo fue en el de dragones de una nación. Asi que, por es…</t>
  </si>
  <si>
    <t>Lfanderal, Mariano</t>
  </si>
  <si>
    <t>Mariano Lfanderal</t>
  </si>
  <si>
    <t>no de Nieva. D. Bernardo Dios dado. D. Mateo Casado. D. Ji-sef Ibaceta. D. Joaquio Palacios. Subtenientes. D. Mariano de San Juan. D. Dámaso Machuca. D. Mariano Lfanderal. D. Pascual Carsi. D. Víctor Moreno. D J uan de ios Heros. D Vicente Per^ti. Tenientes. D. Gregorio Simón de Diego. D. Ramón Vartureu. D Macuel Alevio. D. D…</t>
  </si>
  <si>
    <t>Li, Paul</t>
  </si>
  <si>
    <t>Paul Li</t>
  </si>
  <si>
    <t>ebastian de Perales .................. lx • • *7 471 la Cabeza de Gato, que linda i sa­ pira al Portilló, de 2 fanegas y 6 cele- liente con tierra de Doña Paul* Li­ \ nttnes, que parece está inclusa en la' nares, y al mediodía con otra de Pe­ dé Clemente' Linares, y linda coa dro García........ ........ 8a 1804 tierra de la m…</t>
  </si>
  <si>
    <t>Libas, Fernando</t>
  </si>
  <si>
    <t>Fernando Libas</t>
  </si>
  <si>
    <t>después roda Pedro Jacinto de Andraca al arcedianato de Val- la casa; y se llevaron varias alhajas de plata y di­ £oeste, dignidad de la de Burgos: á D. Fernando Libas, beneficiado curado de Mojados, para el ferentes ropas. También desarmaron y trataron de arrestar á curato de Santa María de Mérida, en Extremadu­ un agente de…</t>
  </si>
  <si>
    <t>Lícbtenstein</t>
  </si>
  <si>
    <t>de ptodncciones rusas. están ya altanadas, &lt;5 io estarán mtii pronto. PRUSÍA. CIUDADES ANSEATICAS. lieriin 18 dé. agosto. Haraburgo no de agosto. El doctor Lícbtenstein ha tenido cartas de sos Las noticias de Londres de 12 de agosto anuna amigos del cabo de Buena- Esperanza , donde ba Cían la partida de Mr, Canntng á Sicilia …</t>
  </si>
  <si>
    <t>Lidon, Josef</t>
  </si>
  <si>
    <t>Josef Lidon</t>
  </si>
  <si>
    <t>uel de Santayara...................... 73000 Doña María Elexaga.................. ........... 9**37 8f D. Francisco García de Rozas............ 56000 D. Josef Lidon....................................... 45 1 8f D. Fernando del Campo....................... 51957 22 D. Luis de Elexaga................................. 3700 81 D…</t>
  </si>
  <si>
    <t>Ligera, Pedro</t>
  </si>
  <si>
    <t>Pedro Ligera</t>
  </si>
  <si>
    <t>y D. Juan Antonio Tabuenca; tenencias, &amp; D. Pedro Ligera, D. Gaspar AUué, y D. Atilano Basurti ; y subtenencia, á D, Mariano Tabuenca, O. Francisco Asura , JD. Francisco Aiastey, D. José Salvador , y D. José María Rodríguez. Por el Ministerio de</t>
  </si>
  <si>
    <t>Liinas, Benito</t>
  </si>
  <si>
    <t>Benito Liinas</t>
  </si>
  <si>
    <t>ssereau, D. Joaquín Ruiz y Abreu y D. Alberto Felipe de Ealdrich : empleo de alférez de granaderos á Don Esteban Pagcs de Bañüls: ídem de fusileros á D. Benito Liinas, D. An­ tonio de Fort, D. Eduardo dé ¿ilva y D. José Clemente de Bueren. CADIZ: EN LA IMPRENTA REAL.</t>
  </si>
  <si>
    <t>Lili</t>
  </si>
  <si>
    <t>os caudales y maldiciones de los pueblos, y lle­ que han mudado dos ó tres gobernadores. Di aquí vando consigo en miniatara la imagen de la pa­ va de gobernador Lili ó el conde de Alacha de uno tria (como se explicaba cierto gobernador hablan­ de los batallones nuestros; es bastantednro,= Fir­ do con la central) , que es como…</t>
  </si>
  <si>
    <t>Lillo, Bernardino</t>
  </si>
  <si>
    <t>Bernardino Lillo</t>
  </si>
  <si>
    <t>junta criminal de Jaén, queda nom­ D. Mauricio de los Mártires y Do­ brado presidente de la de Málaga. ña Francisca de Velasco................. 24000 D. Bernardino Lillo, D. Juan Alaminos y Doña Jesusa y D. Joaquín Calvo, D. Bonifacio Amoraga quedan igualmente noiáhermanos...................... 24000 brados jueces de la misma…</t>
  </si>
  <si>
    <t>Lim-Maeso, Cayetano</t>
  </si>
  <si>
    <t>Cayetano Lim-Maeso</t>
  </si>
  <si>
    <t>.............¡. ¡'-361 Doña Josefa Larrea.............. . 5106 24 D. Martín Fernandez Navarrete......... 9Ó 8| El monte pío del colegio de abogados 1 D. Cayetano Lim-Maeso.;................ 180 17 de Madrid............i........... 489879 15 D. Manuel Josef de Iraola.................. 1*759 3* D: Miguel de Esparza............'…</t>
  </si>
  <si>
    <t>Limón, Guillermo</t>
  </si>
  <si>
    <t>Guillermo Limón</t>
  </si>
  <si>
    <t>bernador intendente D. A’exo Gar­ cía Conde, *00. El ayudante inspector D. Antonio Texada, ioo. — Fronteras. Capican D. Antonio Narbona, 90. Teniente D. Guillermo Limón, 10. Alférez D. Ignacio Diaz, 6. Id. D. Manuel Casanova , y. Lqs sargentos , cabos y soldados:,, 212. — Sta. Cruz- Capitán D. Do­ mingo? ¡Espinosa, 50. Tenien…</t>
  </si>
  <si>
    <t>Liñan, Pasqual</t>
  </si>
  <si>
    <t>Pasqual Liñan</t>
  </si>
  <si>
    <t>rpo; y esta resulta al agrega­ do £&gt;. José ig nació Gómez de Teran. Asimismo se ha servido S. M. conferir en el prepio cuerpo compañía de cazadores á D. Pasqual Liñan id. de fusileros á D. Pedro Eseovedo, I). Rafael Meneos y D. Vicente Diez Sánchez ; primera ayundantía mayoF á D. Ignacio Morales; primeras tenencias de granade…</t>
  </si>
  <si>
    <t>Linares, Benito de la Mata</t>
  </si>
  <si>
    <t>Benito de la Mata Linares</t>
  </si>
  <si>
    <t>de Cerrcdo............... 27609-28 D. Basilio Fernandez.............................. 170.-25! D. Guillelmo Peironet....................... 20628.. 7 D. Benito de la Mata Linares............... ,3*49 D. Gabriel Luquet.......;........................ 2250 D. Santiago Estepar................................. 3527 P. Julián Alfo…</t>
  </si>
  <si>
    <t>Linares, Esteban</t>
  </si>
  <si>
    <t>Esteban Linares</t>
  </si>
  <si>
    <t>aranzadas, 4 los CarcaSo­ al norte con türra de la'Casa de Tem­ nes , que liíía 4 saliente con tierra poralidades . yotradc Felipc Panto- que fue de D. Esteban Linares, j |», de 6 celemines, , 99 ' confronta por mediodía con el camiOtra al Armii de S. -\nton. de a fane­ \ no del boto.14**7 **99 gas, que iin,fi 'por saliente i…</t>
  </si>
  <si>
    <t>Linares, Francisco</t>
  </si>
  <si>
    <t>Francisco Linares</t>
  </si>
  <si>
    <t>ente con tierra deManuel de nombre , y al norte Con tierra de he­ Leito, y al mediodía con otra de rederos de Rodrigo'de Arias....... .. ¿4,. 17 1199 D. Francisco Linares......'............... 18 39* Otraen Valdeorli|a, de 2 fanegas, qué Otra en las Arboledas altas, de 5 fane­ linda á oriente con otra de Doña gas, que linda p…</t>
  </si>
  <si>
    <t>Linares, Paula</t>
  </si>
  <si>
    <t>Paula Linares</t>
  </si>
  <si>
    <t>ales, qüc la parte ZUcla..-.......... .... , .HMM4— Í2..17 Í373 la vereda, y linda 4 oriente con tier­ Otra.de 2 fanegas al camina de IIleseas, ra de Doña Paula Linares 8t 1804 linde 4 saliente con tierra de Felipe Otraen la Fuente vieja , que está in­ Pantoja , y 4 mediodía con otra de clusa en otra del convento de reli­ Jps…</t>
  </si>
  <si>
    <t>Lindblon</t>
  </si>
  <si>
    <t>ado restituir á sus dueños una gran porción uno de los 18 miembros de la academia de Estocde mercancías turcas, que habían sido embargadas. kolmo. El doctor Lindblon, arzobispo de Upsal, h» sido nombrado, porque fe,correspondía de de­ SUECIA. recho , orador del clero. La dieta principiará sus se­ siones la semana próxima, yes…</t>
  </si>
  <si>
    <t>Lindholm</t>
  </si>
  <si>
    <t>qne ce han empezado á construir en el borg para recibir á S. A. al entrar en el territorio Sarvitz; y despees se regresará S. M. por Boda á sueco. El doctor Lindholm, obispo de Lund,, se Viena. El objeto de las obras del Sarvitz es el de­ halla desde ayer en Elseneur para recibir alii la secar las lagañas ó pantanos que hai e…</t>
  </si>
  <si>
    <t>Linó</t>
  </si>
  <si>
    <t>o, D[ Juan Ascanío, D. Pablo González , D. Fran­ cisco Xavier Ustariz, D. Silvestre Tovar, D. Nicolás A usóla,' D. José Félix Rivas, D. Fernando Key, D. Linó dementé. Los ministros son los individuos: de"la misma Rossio, Key, Ansola y Clemente, el primero de estado, el segundó de ha^, cienda, el tercero de g acia y justicia, …</t>
  </si>
  <si>
    <t>Liobregat, Gabriel</t>
  </si>
  <si>
    <t>Gabriel Liobregat</t>
  </si>
  <si>
    <t>io Loño, 25^ Oficiales mayores. D. Fulgencio de Exea, oficial quinto, conta­ dor, 25. El segundo cirujano D. Juan Gutiérrez Moreno, 30. El cape­ llán D. Gabriel Liobregat, 20. Id. D. Manuel Fontcla, 20. El tercer piloto D. José Morales, 15. Oficiales de mar , de sueldo fixo y temporal. Primer contramaestre, D- Pedro Villar Ló…</t>
  </si>
  <si>
    <t>Liona, Juan Antonio</t>
  </si>
  <si>
    <t>Juan Antonio Liona</t>
  </si>
  <si>
    <t>n Ortuz&amp;r, D, A1onso Levba, D Francisco Va­ ca y D. Fernando Sánchez ; y ei de secretario de la sargentía ma­ yor con ía graduación de subrigadier, á D. Juan Antonio Liona. Ei Concejo de R- g-ncia se ha servido conferir ios empleos de coroneles de los regimientos de infantería l.6* de Saboya y de Valencia a D. Melchor Alv&amp;rez…</t>
  </si>
  <si>
    <t>Liorna</t>
  </si>
  <si>
    <t>e. art. IT. Nuestro ministro de Hacienda queda IMPERIO FRANCES. encargado de la execucion del presente decreto. es FirmadnrsYO EL REI. = Por S. M. su ministro Liorna 1$ de junio. secretario de Estado == Firmado = Mariano Luis de Urquijo.” El IX del corriente se publicó aquí un decreto imperial, su fecha eo Ambéres á 3 de mayo…</t>
  </si>
  <si>
    <t>or de ser presentados á S. A. han quedado su­ IMPERIO FRANCES. mamente gastosos y contentos del agasajo con que los ha recibido. Los señores Levezow, consejero Liorna ir. de octubre. privado, y Hafner, quartelmaestre general, han Se ha decidido ya la suerte de los buques oto­ recibido á S. A. en las fronteras de Dinamarca» y …</t>
  </si>
  <si>
    <t>Lisanskii</t>
  </si>
  <si>
    <t>fundamento , y el espirita á las órdenes del señor Krusenstern , y el segundo nacional por otra parte es mui contrario á todo gé­ á las del teniente capitán Lisanskii , se separaron nero de innovaciones. Las tropas húngaras se hallan cerca de las islas de Landwick. El Nadeshda se en la actualidad ocupadas en sus evoluciones m…</t>
  </si>
  <si>
    <t>Lisperguer, Francisco López</t>
  </si>
  <si>
    <t>Francisco López Lisperguer</t>
  </si>
  <si>
    <t>D. Ramón Feliu, suplente por idem: D. Antonio Suazo, su­ plente por idem: D. Joaquín Leyba, suplente por Chile: D. Miguel Riesco, suplente por idem: D. Francisco López Lisperguer, suplente por el vireynato de Buenos-Ayres: D. Luis Veiasco, suplente por idem: D. Manuel Rodrigo, suplente por idem: D. Andrés de Llano, su­ plente…</t>
  </si>
  <si>
    <t>Liverpool</t>
  </si>
  <si>
    <t>e otro mensagero. El mismo asi, haría él mismo una mocion el lunes próximo «anciller presentó , con motivo de estar ausente el sobre este particular. conde Liverpool, varios papeles relativos á la ex­ Lord Erskine hizo en srguida algunas reflexio­ pedición de YValcheren , diciendo que los demas nes para justificar la conducta…</t>
  </si>
  <si>
    <t>os salieron dos dias hace. SS. MM. vol­ j'Extracto de una carta del lord vizconde We­ verán para el 15 , dia en que se celebrará con toda llington al conde Liverpool, fecha en Alverca solemnidad la fiesta del Emperador. el 11 de julio de 1810. El nuevo ministro de Rusia barón de Jacowleff,que reemplaza al príncipe Repnin cerc…</t>
  </si>
  <si>
    <t>Lla, Antonio</t>
  </si>
  <si>
    <t>Antonio Lla</t>
  </si>
  <si>
    <t>. Tiradores. Capitán IX Ramón Vidondo, te— recibimiento del pueblo. Un inmenso gentío llena­ Oteóte D. Juan de Ortega, otro» D. Antonio Lla­ ba toda la carrera desde mucho mas allá de las mas , subteniente D. Francisco París, otro , D. Ra­ puertas de la ciudad hasta el palacio obispal, si­ fael Vázquez. tuado al otro extremo …</t>
  </si>
  <si>
    <t>Llamas, Antonio</t>
  </si>
  <si>
    <t>Antonio Llamas</t>
  </si>
  <si>
    <t>. Eduardo Velase»; D. Vicente Cabañas , D. Manuel Laget, D. Miguel Navarro, D. Antonio Aznar , y D. Laureano Sauz; y subtenencias, ? X). Bruno Soaso, D. Antonio Llamas, D. Lorenzo Adelantado D. Juan Sotelo , D. Gregorio Aívarez Carbalio , D. Ramón Min guillen , y D. José Piñeyro. Asimismo ha concedido grado de capitan de infa…</t>
  </si>
  <si>
    <t>Llamas, Fermín</t>
  </si>
  <si>
    <t>Fermín Llamas</t>
  </si>
  <si>
    <t>or la dos á eximí.iar los hechas jí observación :s de cier­ soma de• pe*a«» ••••••••••••• , 120000 tos fenómenos que ofrece la naturaleza, hallan me­ D Fermín Llamas, ex-igU'tino calzado. 44000 dios seguros .de rectificar los sbtemas ya estableci­ D. Cárlos -Nog.les , éx agustino reco- dos y IrfS teóricas mejor admitidas, par…</t>
  </si>
  <si>
    <t>Llaneras, Antonio</t>
  </si>
  <si>
    <t>Antonio Llaneras</t>
  </si>
  <si>
    <t>stro Lavandeyra * por la provincia de Santiago , D. Do­ mingo García Quintana, por la de Lugo: D. Andrés Morales de los Ríos, por la ciudad de Cádiz: D. Antonio Llaneras, por la isla de Mallorca: D. Ramón Lázaro de Don , por Cataluña: D. Alonso Maria de la Vera y Pantoja , por la ciudad de Mérida: D. Antonio Capmani, por Cata…</t>
  </si>
  <si>
    <t>Llórente, Antonio</t>
  </si>
  <si>
    <t>Antonio Llórente</t>
  </si>
  <si>
    <t>stüla, Navarray Aragón, por los principes no sefundan mas que en la costumbre. « de la sangre real y por los magnates de la monarquía, El Eterno. Sr. D. Antonio Llórente, después de «con súscufiádái, sobrinas yprimas hermanas, sin que establecer estos principios con una claridad y precisión «los obispo»,rcprobaieti semejantes…</t>
  </si>
  <si>
    <t>Llórente, Juan</t>
  </si>
  <si>
    <t>Juan Llórente</t>
  </si>
  <si>
    <t>757</t>
  </si>
  <si>
    <t>aunque este se arruine. , El 13 por la noche murió el comisario general de Cruza­ da D. Patricio Martínez de Bustos, y se lia nombrado en su lugar á D. Juan Llórente, no obstante que se hallan secues­ trados sus bienes por un descubierto de 16 millones que ha contraido mientras ha sido director de los llamados bienes na­ cion…</t>
  </si>
  <si>
    <t>Llórente, Juan Antonio</t>
  </si>
  <si>
    <t>Juan Antonio Llórente</t>
  </si>
  <si>
    <t>Gaceta de Madrid n.º 301</t>
  </si>
  <si>
    <t>espiritual es ei primero en el orden so­ citados en ta disertación. Su autor el Excmo. Señor brenatural por su objeto , por su dignidad y por su ex­ D. Juan Antonio Llórente, consejero de Estado, ca- celencia , también el poder soberano temporal es el pri­ b illcro comendador de la Orden Real de Españj &amp;c. mero en el órden na…</t>
  </si>
  <si>
    <t>istianismo de las grandes provincias eclesiásticas con. la división civil del imperio romano; pasa despu»s el Lunes 29 de octubre de 1810. Excmo. Sr. D. Juan Antonio Llórente á explicar la dis­ TSATXOS. ciplina española de ios 11 primeros siglos acerca da En el del Príncipe , á las siete de la noche, se re­ la división de las…</t>
  </si>
  <si>
    <t>á la provincia eclesiástica de Lu- hizo con presencia de la antigua y legitima. sitania , por instancia que le hizo el metropolitano de El Excmo. Sr. D. Juan Antonio Llórente ilustra Mérida Orón ¡o, fundando su pretensión en que ya to­ estos hechos con observaciones y reflexiones oportu­ dos los territorios y obispos estaban …</t>
  </si>
  <si>
    <t>Llovera, Salvador</t>
  </si>
  <si>
    <t>Salvador Llovera</t>
  </si>
  <si>
    <t>o­ mendación el sargento mayor de los expatriados D. Esteban Llovera, el capitán de tiradores de la sección D. José Casas, ei subteniente de la misma D. Salvador Llovera, quien en la retirada se batió á sablazos con el enemigo , y asimismo los de igual clase y del mismo cuerpo D. Antonio Casals y D. An­ tonio Basols, no menos…</t>
  </si>
  <si>
    <t>Lnisa, María</t>
  </si>
  <si>
    <t>María Lnisa</t>
  </si>
  <si>
    <t>que se presenta el príncipe da tiempo lo permita. Nenfchatel las gentes acuden de tropel á verle, y le llenan de aplausos. HOLANDA. La partida de la Emperatriz María Lnisa se ve* riieará el día 13, y la acompañará una numerosa Amsterdan 20 de marzo. r brillante comitiva compuesta de 23 caballeros, al Según las cartas de Londr…</t>
  </si>
  <si>
    <t>Ló, Antonio</t>
  </si>
  <si>
    <t>Antonio Ló</t>
  </si>
  <si>
    <t>. Manuel de Abalo, 4. Manuel Rodríguez, 4. Jcsé Alvarez, 4. Pedro Martínez, 4. Inocencio Rivas , 4. Dependientes de la provisión de víveres. Maestre, D. Antonio Ló­ pez Pardo, 54. Joaquín Azpeytia, dispensero, 11. Francisco García, to­ nelero, 15. Fragata Flora. El comandante, capitán de navio, D. Fermín de Ezterripa , ^co. E…</t>
  </si>
  <si>
    <t>Lo, Dionisio</t>
  </si>
  <si>
    <t>Dionisio Lo</t>
  </si>
  <si>
    <t>augusto Sobera­ sef de Cárdenas y D. Juan García Tribiñoj y pa­ no, una escuela de dibuxo y de matemáticas puras ra subtenientes á D. Joaquín Perez, D. Dionisio Lo* en el real colegio de ia Asunción de esta ciudad, pez, D. Ramón Melgarejo, D. Vicente Montema- para que , ínterin se establece el liceo, que con ar­ yor, D. Rafae…</t>
  </si>
  <si>
    <t>Lo, Enrique</t>
  </si>
  <si>
    <t>Enrique Lo</t>
  </si>
  <si>
    <t>mpleos de alférez á los porta estandartes D. Vi­ cente Vargas, D. Carlos Blance, D. Manuel Monti y D. Ma­ nuel Arjona; y estas resultas b los cadetes D. Enrique Lo^-esr, D. Joaquín Bustamente, D. Ramón de Moya y D. T&lt;iesf. ro Sotolongo, este último del de dragones de Viitdvicioso ; en el de Calatrava la comandancia del tercer…</t>
  </si>
  <si>
    <t>Lo, Francisco Xavier</t>
  </si>
  <si>
    <t>Francisco Xavier Lo</t>
  </si>
  <si>
    <t>de muselinas, indianas &amp;c. so Antones, D. Josef Companon y D. Josef Re­ JL.a permanencia de los exércitos rusos en el Danu­ jón : cirujano primero á D. Francisco Xavier Lo­ bio ha puesto en circulación mucho numerario en sada , que lo era segundo del Real Extrangero; y la Valaquia y en la Moldavia, el qual se emplea esta resu…</t>
  </si>
  <si>
    <t>Ló, Juan Josef</t>
  </si>
  <si>
    <t>Juan Josef Ló</t>
  </si>
  <si>
    <t>Rúan, y una de y Gutiérrez subteniente en el regimiento de infanellas ha sido mandar que se le entregoen 20® fran­ tería de Toledo, 2.® de línea : á D. Juan Josef Ló­ cos para que los reparta entre los pobres. El Em­ pez y 4 D. Juan Arteaga y Enderica subtenientes perador, queriendo dexar al corregidor una prenda de infanterí…</t>
  </si>
  <si>
    <t>Ló, Manuel</t>
  </si>
  <si>
    <t>Manuel Ló</t>
  </si>
  <si>
    <t>uezas, recho á dicho abintestato, á fin de que lo deduzca ante el poder y los honores, sinb de su propia dig­ S. S. por la escribanía de provincia de D. Manuel Ló­ nidad. pez de Riva». La orden de los Templarios está ya extingui­ da : prenden al gran maestre en medio de sus ca­ balleros armados: lo examinan y lo juzgan como T…</t>
  </si>
  <si>
    <t>Loa, Jósef</t>
  </si>
  <si>
    <t>Jósef Loa</t>
  </si>
  <si>
    <t>plaídíí' tV‘ ' ' ■’ Capitán, D. Lorenzo de lá Torre, Y'~ Capitán, D. Be¿itbi'YIiadiera.' / ! ' ~ 'Teniente, D, Domingo A átomo de Escqza. Tefiiente,' D. Jósef Loa isa.1, : ’ Subteniente, D. Alberto Mongé. Subteniente, Di Ezeqúi¿YC»adtí.n : * Compañía dé lá villa de Torré* de d 50plazas. Compañía de Valdentorillo de d:j¡ 0 pla…</t>
  </si>
  <si>
    <t>Lobo, Francisco Texeira</t>
  </si>
  <si>
    <t>Francisco Texeira Lobo</t>
  </si>
  <si>
    <t>557 soldados. Algunos de los prisioneros no puodeni andar pol­ lo grave de sus heridas: los demas serán enviados á Opor­ to. — El capitán Francisco Texeira Lobo mandaba nuestra avanzada, y el mariscal comandante en gefe le ha nombrado en la orden del dia mayor graduado del regimiento ními. 12. ESPAÑA. Tarancon 23 de julio. A …</t>
  </si>
  <si>
    <t>Lobo, Mateo</t>
  </si>
  <si>
    <t>Mateo Lobo</t>
  </si>
  <si>
    <t>a María Salas, 60. Conde de Talara, 6co Dones y Canadell, icoo. D. Manuel Jesús Fernandez , 300. D. Francisco Díaz , 2CQ. D. Benito de la Plaza, 160. D. Mateo Lobo, 320. D Gerónimo Martínez, 300. D. Pedro Antonio Eguía, 520. F. B., 100. J. S. , ico. Buch, hermanes y compañía, ¿co. Marques de Belgida , 3C0. Un apasionado de D …</t>
  </si>
  <si>
    <t>Lobo, Vicente</t>
  </si>
  <si>
    <t>Vicente Lobo</t>
  </si>
  <si>
    <t>que han contraido en las guerrillas del exército del centro los cadetes D. Antolin Chacón, del regímiento de granaderos á caballo de Fernando VII, y D. Vicente Lobo, del primero de húsares de Extremadura , se ha servido S. M. promoverlos á alféreces en sus respectivos cuerpos. Asimismo se ha servido conceder grado de capitán …</t>
  </si>
  <si>
    <t>Locatelli</t>
  </si>
  <si>
    <t>dos mas distinguidos extrangeros de Dinamarca , que trae igual encargo han sido los primeros á dar el exeriíplo de su sumi­ de su Soberano; sión:, el cardenal Locatelli, obispo de Spoleto, los Al barón de Arding, teniente general bávaro, obispos de Rieti, de Narni, de Tívoii y otros han qne ha venido á lo mismo de parte del R…</t>
  </si>
  <si>
    <t>Loche, Sebastian</t>
  </si>
  <si>
    <t>Sebastian Loche</t>
  </si>
  <si>
    <t>. D. Juan Manuel Vaienzueu. D. Miguel Calderón do Barca. 6a• »«• D. Gervasio López Faodo........................ ................................... D Sebastian Loche. fc” ...................................................... D. Joaquín Manad Vhlaiba. D. Joan Paradis. .........................................................…</t>
  </si>
  <si>
    <t>Lodin</t>
  </si>
  <si>
    <t>Suecia Carlos Augus­ útil empresa. to han hecho aqui gtan sensación , y sobre todo la Son muchos los edificios''que se construyen de declaración del doctor Lodin, que supone que el nuevo en esta ciudad: el de la aduana, construido Príncipe ha sido envenenado. Sni embargo, lo* á expensas del gobierno, es uno de los mas her­ ho…</t>
  </si>
  <si>
    <t>Loisoa</t>
  </si>
  <si>
    <t>Carlsruhe a de diciembre. Vizcaya y Guipúzcoa han experimentado ya Se asegura que habrá mataciones considerables grandes utilidades de la llegada del general Loisoa en nuestros planes de reotas, y que Mr. de Tur— con su división: los salteadores que infestaban los kheim , que dirige este ramo, está trabajando coa caminos han …</t>
  </si>
  <si>
    <t>Loison</t>
  </si>
  <si>
    <t>os ingles y francés en las fronteras de Por­ tugal. Un cuerpo considerable, que según algunos llegaba á 7000 infantes y 3000 caballos, mandado por el general Loison, acometió al amanecer del 24 del pasado á la vanguardia inglesa á las órdenes del general Cráuford $ que se supone ser de 4 á 5000 hombres» Este general se hallab…</t>
  </si>
  <si>
    <t>laCon- puestos í páio de staque, sin que*nuestras tropas cepci&amp;a, pasando por Villar del Puerco y Casti­ vacilaren un momento. llejo de dos Casas. El general Loison encontró en „ £1 general Crauíbrd , despues de haber reuni­ este'último pueblo at enemigo, el qual huyó al do toJa su división baxo el canoa de la plaza, creía ac…</t>
  </si>
  <si>
    <t>RETAÑA. tropas , sobre todo de caballciía , entre Pan he te y Sant.iren en la orí ¡la del Ljjo ; y creo que la di­ Londres 20 de noviembre. visión dd general Loison no se ha dirigido hacia los dos exércitós de Portugal hace ya mucha* aquel punto, como lo Labia yo participado .1 V. S. «emanas que csta’o al frente uno de otro ,…</t>
  </si>
  <si>
    <t>Loisson</t>
  </si>
  <si>
    <t>dida ; y ahora debo añadir a V. M. que el general Loisson . no contento con haber arruinado á la llioja, resentido de la orden de V. 1YI. (10) ha escrito al emperador, asegurándole que en aquellas provincias hahia dos años que no se pagaban ni aun</t>
  </si>
  <si>
    <t>Lomera, Iries</t>
  </si>
  <si>
    <t>Iries Lomera</t>
  </si>
  <si>
    <t>de la Rosa , como albacea testamentario de la Sra. Do­ ña Ana Muiñosj 9419. El Sr. D. Joaquín de Villanueva, 10Ó0. Los Sres. Don José Diez Catalan y Doña Iries Lomera, 400. El Sr. D.F. M. H., vecino de Ma­ drid , 750. ( Las contribuciones siguientes son anuales , empezando desde 1811, mientras dure la guerra. ) El Sr. D. Manu…</t>
  </si>
  <si>
    <t>Longa, Francisco</t>
  </si>
  <si>
    <t>Francisco Longa</t>
  </si>
  <si>
    <t>39,5 ESPAÑA. Medina de Pomar M de junio. — El 9 del corriente la pa r­ tida de D. Francisco Longa interceptó entre la ciudad de Vi­ toria y la puebla de Arganzon un correo que venia de Fran­ cia á Madrid con correspondencia del gobierno y dos balijas del público. Treinta y dos dragones que lo escoltaban, pere­ cieron en Ja re…</t>
  </si>
  <si>
    <t>Loño, Eugenio</t>
  </si>
  <si>
    <t>Eugenio Loño</t>
  </si>
  <si>
    <t>ata D. José Roldan, 80. Id. D. Manuel Borras, 40. Id. D. Benito Lago, 35. El alférez de fragata I). Mateo Mozo, 25. Id. D. Lorenzo Sotomayor, 2$. Id. D. Eugenio Loño, 25^ Oficiales mayores. D. Fulgencio de Exea, oficial quinto, conta­ dor, 25. El segundo cirujano D. Juan Gutiérrez Moreno, 30. El cape­ llán D. Gabriel Liobrega…</t>
  </si>
  <si>
    <t>Looez, Antonio</t>
  </si>
  <si>
    <t>Antonio Looez</t>
  </si>
  <si>
    <t>, D. Andrés Choya. 9.0 y 20 0 de cazadores. Los c riciales de los dos D. Tomas de Sancha y Prado. regimientos de fusileros de la guarnía imperial que D. Antonio Looez ¡¿alazar. están aquí acantonados salieron al encuentro de D. Faustino de Vega y Velasco. los referidos tres cuerpos, y ofrecieron á sus ofi­ ciales un banquete …</t>
  </si>
  <si>
    <t>Looez, José</t>
  </si>
  <si>
    <t>José Looez</t>
  </si>
  <si>
    <t>madre de r6 hij$s, 200. Conde de Noblejas, 94. El mismo, en una letra á cargo de la dirección de reales provisiones, que aun no se ha cobrado, 9906. D. José Looez, 1®. El desechado, 200. D. Gregorio VVindel, 20. A. B., 100. D. Benito Herrera, zoo. D. Ri­ cardo Meade, 2000. D. Tadeo Sánchez Escandon, 60. Marques de las Hormaza…</t>
  </si>
  <si>
    <t>Lope</t>
  </si>
  <si>
    <t>de Ribera llega á Madrid acompa­ Que han de pedirnos dinero; ñado de un solo criado. La extraordinaria semejanza con Y audaces fortuna juvat. un ral D. Lope, hijo de D. Pedro de Luxan, hace que este buen hombre crea con la seguridad mas terca y bon­ D. Fernando. dadosa que ha encontrado á su hijo, de quien no tenia IQuieres c…</t>
  </si>
  <si>
    <t>media no podría terminarse suele faltarle á veces es la memoria. felizmente. Siento no tener nada que decir respecto de las ac­ Ortigas representa el D. Lope verdadero, y lo re­ trices que han representado. La señora García, í quien, presenta mui bien. Sn semejanza con el fingido no es lo según merece, distingue el voto de mu…</t>
  </si>
  <si>
    <t>oieute del regimiento minos, y limpiarlos de los bergantes ó guerrillas de línea núm. 2.0 que interceptaban y robaban á los caminantes , y Mazarredo (D. Lope). saqueaban Jos mismos pucb os. De este modo des­ Mazarrcdo (D. Ramón). de el Campo de S. Roque hasta Sierra-Morena se Nuevas ( D. Juan de Dios de), caballero qne fue ha…</t>
  </si>
  <si>
    <t>s titulada el Donado fingido, y ia opereta el Se­ cencia pari acompañarlo en la expedición de Africa, creto. le responde de un modo, que hace creer á D. Lope qun En el de la Cruz, á las seis de la tarde, se execu- el Rei está informado de su agravio. En vista de toda tará la comedia en don actos titulada Isabel primera de est…</t>
  </si>
  <si>
    <t>ges de la comedia son mui subal­ la ¡nj’üm'que secretamente se íe había hecho. ternos , y asi no merecen que s« hable de ellos. Hai que Efxarácter de D. Lope es el de un hombre zeloso, advertir que uno de estos pertonages subalternos es Don ciego de pasión, y horrible en la venganza. El disimu­ Sebastian, Rei de Portugal, que…</t>
  </si>
  <si>
    <t>lmente momentos tan Es ya maña vieja en los actores truncar las piezas, preciosos. ó bien para ahorrarse de trabajo, ó para reformárselas bl papel de D. Lope ha sido uno de los mas mal 4 su modo. De donde resulta muchas veces que acor­ representados- El actor no ha sabido hacerse cargo do tando una relación, ó suprimiendo una…</t>
  </si>
  <si>
    <t>pellanías de Francisco Martí­ dicha villa................. ........... . 2586 3103a nez de Alcolea, ¿ la que fun­ Quince mil cepas de viñedo, que dó D. Lope, y á la que fuá-’ en la villa del Prado perte­ dó María Martin................. 1156 *3872 necieron á los Bernardos de- Varias tierras y olivos que en Val-de-Igtesias, co…</t>
  </si>
  <si>
    <t>Lope, Diego</t>
  </si>
  <si>
    <t>Diego Lope</t>
  </si>
  <si>
    <t>tima ^e^íp^ejtkpt^e 4 CoifflQñíij^cpipvjífcarnet#, dfi d^Jt,iqo plaza*. Capitán, D. Matías..Pgrefc .v-,.,^.^ Cipitan, D. Isidro Totrar. _ Tertléfltey-D. Diego Lope? Aguado*' ’ Téhiéute y Di Manuel Lopéz'GotilIá. - ■* * a. Subteniente, D. Antonio de Frtííos/' k, Subteniente-, D..M &lt;nuel F^guorpa. , - . .-.:r:'‘ ■-.... '■ , eiO…</t>
  </si>
  <si>
    <t>López, Andrés</t>
  </si>
  <si>
    <t>Andrés López</t>
  </si>
  <si>
    <t>­ jeto tan digno. Para ello, respetando las leyes y la prohibición de jun­ tas secretas, se ocurrió á una de las potestades públicas. El goberna­ dor D. Andrés López concedió el permiso y nombró al comisario ID. Joa­ quín de Viiianueva para que presidiese la primera sesión : con este requi­ sito se unen los suscriptoies y acu…</t>
  </si>
  <si>
    <t>López, Antonio</t>
  </si>
  <si>
    <t>Antonio López</t>
  </si>
  <si>
    <t>........... D. Benito de la Piedra. n . í D. Bernardo Elizalde, y en su ausencia D.CánCartagena. . . . J dido Montero de la’ ¿orlcha. Ciudad-Rodrigo. D. Antonio López. Córdoba............. Señores Barcia , padre é hijo. Coruña. .... D. Manuel Antonio Eizaurdi. Cuenca. .... Señores viuda de Escolar , No riega é hijo. Granada. …</t>
  </si>
  <si>
    <t>ncias, á D. Manuel Sainz, D. Juan Conde, D. Francisco Carrion, D. Miguel Valbuena, D. Rafael Sánchez Saravia, D. Mi­ guel Guajardo, D. José Arechaga, D. Antonio López, D. Juan Arango, D. José Herrera, D. Clemente Grima, D. Bautista Vila, D. Casimiro Brodet, D. Guillelmo Claramunt, D. Bernardo Cobian y D. Francisco Juárez ; y …</t>
  </si>
  <si>
    <t>o , D. Tomas Leal, D. Francisco Ortiz , D. José Mazon, D. Andrés Serrano,D. José Gutiérrez Genico, D.Pablo Carcía Bermejo, I&gt;. Juan Bautista Padilla, D. Antonio López, D. Pió Sotolongo, D. Fc-lix de Anaya , y D. Francisco Truxiilo. Da las muchas pruebas que tenemos del horror á los males que nos ha acarreado el privado D. Man…</t>
  </si>
  <si>
    <t>. 3600 como apoderado de D. Miguel de D.. Andrés Dávila.................................. 4602 i y •Ericede , Doña María Concepción.................. D. Antonio López................................. 4602 2 y y de Doña Alaría Josef; de Gareta. 22006 4 D. Manuel de la Cerda........................ 2181032 Doña Josefa Igñácia R…</t>
  </si>
  <si>
    <t>López, Cayetano</t>
  </si>
  <si>
    <t>Cayetano López</t>
  </si>
  <si>
    <t>randa, Continúan los donativos de la Nueva-Kizcaya. D. Manuel Pacheco, 20. D. Francisco Soberon , 10. D. Juan Pes­ cador, 20. D. Mariano Garvizo, 12. D. Cayetano López, 25. D. Juan Ba.rrera, 200. Don Tomas del Campo, 25. Don Juan Ventura Ga~ ray, ro. Varios pobres, 25 y 4 rs. D. Leonardo Flores, 20, D. Pedro Rábago 24 y 4 rs.…</t>
  </si>
  <si>
    <t>López, Diego Manuel</t>
  </si>
  <si>
    <t>Diego Manuel López</t>
  </si>
  <si>
    <t>lcalde mayor; la península puede ser mas completa. D. Benito García Romero, escribano de ayunta­ S. M. se ha dignado nombrar caballeros de la miento; D. Diego Manuel López, comandante de Orden Real de España á D. Francisco Alonso , ca­ la partida para persecución de malhechores, y Don pitán de la primera compañía franca de ca…</t>
  </si>
  <si>
    <t>López, Dionisio</t>
  </si>
  <si>
    <t>Dionisio López</t>
  </si>
  <si>
    <t>Antonio Sainz de Rozas y García. 1963 17 D. Juan Bautista de Sarathaga......... 8032 8f D. Blas Martínez.................................... 6644 19 D. Dionisio López................................. 2166 D. Mariano Bernuces............................. 899 17 D. Diego Basañez.......................... ....... 14079 Doña Feli…</t>
  </si>
  <si>
    <t>López, Francisco</t>
  </si>
  <si>
    <t>Francisco López</t>
  </si>
  <si>
    <t>siéi. D. Juan Bravo. - Escriben de Pinnouth con fecha del 3 lo si­ guiente j ; -...j:. . * Tenientes. ,. El brick armado el Orestes ha salido de aquí D. Francisco López. para Falmouth , y la TrSguti’Niémen y los bergan­ D. Francisco Riveros. tines North Star y Peacock tienen orden de mar­ D. Rafael Ponce. A char al mismo puer…</t>
  </si>
  <si>
    <t>iudad de Crispe. El tesorero interina .D. Ignacio B ;s.rmante, 100. El interventor D. Lázaro Morales , 45. El subdelegado D. Te­ rnas Escalante, 100. D. Francisco López, 25. D. Rafael Morales, 150. D* Martin Zuviria, ico. D. Miguel Morales, 50. D. Gabriel Padilla, 20. D&gt; Ignacio Serrano, 45 Doña Gertrudis Bravo, 15 D. Rafael …</t>
  </si>
  <si>
    <t>López, Francisco Antonio</t>
  </si>
  <si>
    <t>Francisco Antonio López</t>
  </si>
  <si>
    <t>993 gastó, TOO. D. Juan Francisco López Diestro , IOOj D. José Sañudo López, 50. TJ. José Gutiérrez Zamora , lOO. D. Francisco Antonio López , 25. Dr. T). Fran­ cisco Hernández , 25. D. Juan José de Arejula,25.1). Gerónimo José Malagairba , 25. Sarrat y Marciria compañía, 100. D. Salvador Carrau , 25. D, Gabriel Gómez , 100. …</t>
  </si>
  <si>
    <t>López, Gabriel</t>
  </si>
  <si>
    <t>Gabriel López</t>
  </si>
  <si>
    <t>de Otra al camino del Espinar, de (anega y me­ Cobeña, y mediodia con Francisco de la dia, linde dicho caminoy vínculo dcFran- Peña, y á poniente con D. Gabriel López. 4* 902 cisco Prieto................................................... 54 ~»7 1199 Otra en término de Cobeña donde dicen Otra en la vega, de qf fanegas, linde …</t>
  </si>
  <si>
    <t>López, Gabriela</t>
  </si>
  <si>
    <t>Gabriela López</t>
  </si>
  <si>
    <t>6390 D. Andrés de Saucal........... -...... ......... *4079-l7 D.-Mariano Blancas............... 9725 ' Doña Josefa Mar&amp;illa de Teruel........ . 361 Doña Gabriela López....,.....-»,,....... 3 2594..30 ' Doña Gabriela López , viuda. de Don La*marquesa de Branciforte............... ..." 30011..10 Josef Compan........... .......…</t>
  </si>
  <si>
    <t>López, Hilarión</t>
  </si>
  <si>
    <t>Hilarión López</t>
  </si>
  <si>
    <t>ata á la anterior, ..Otra en la Quemada, de 2 fanegas, linde $31 de una fLncga, linde á oriente 'con tierra Claudio López el menor, y herederos de de D. Hilarión López, y í mediodia con Josef Celada................................................. tierras dé la capellanía que llaman de iS 3PÓ Otra en el sendero de la Vega, qu…</t>
  </si>
  <si>
    <t>López, Isidro</t>
  </si>
  <si>
    <t>Isidro López</t>
  </si>
  <si>
    <t>onderable la bi­ zarría con que se portaron nuestros soldados, ccmo muy digno de elogio el acierto con que dirigieron el ataque el teniente co­ ronel D. Isidro López, comandante de la anillen*, el de igual clase D. Antonio Camargo, xefe de todas as goerri-Ias de irfanter'a, D. Julián Sánchez que manda, las de caballería, y el…</t>
  </si>
  <si>
    <t>López, José</t>
  </si>
  <si>
    <t>José López</t>
  </si>
  <si>
    <t>naderos D. Miguel Carballo; ayudantías á ios tenientes D. Antonio Fominaya y D. Antonio Fernandez Rebustillo j tenencia de granaderos al de fusileros D. José López, y de fusileros á los subtenientes D. José María Merlano, D. Juan de Dios del Gordo, D. Isidoro de la Torre y D. Manuel Soriano, los dos primeros de granaderos; su…</t>
  </si>
  <si>
    <t>Rodríguez, 100; D. José Buelna, 25. D. Xavier Díaz, 25. D. Ignacio León, 25. D. Ig­ nacio Araíza, 25. D. Ignacio Serrano, 10. D. Tomas Valencia, 10. D. José López, 10. D. Agustín Pesqueyra, ió. D. Juan Antonio Bernal, 10. D. Ignacio Noriega, 8. D. José María Moreno, 10. Varios indivi­ duos, 71 y 1 real. — Fuerte. D. Gaspar Za…</t>
  </si>
  <si>
    <t>López, José Sañudo</t>
  </si>
  <si>
    <t>José Sañudo López</t>
  </si>
  <si>
    <t>993 gastó, TOO. D. Juan Francisco López Diestro , IOOj D. José Sañudo López, 50. TJ. José Gutiérrez Zamora , lOO. D. Francisco Antonio López , 25. Dr. T). Fran­ cisco Hernández , 25. D. Juan José de Arejula,25.1). Gerónimo José Malagairba , 25. Sarrat y Marciria co</t>
  </si>
  <si>
    <t>López, Josef</t>
  </si>
  <si>
    <t>Josef López</t>
  </si>
  <si>
    <t>tedral de Granada. también varios destacamentos numerosos de tropas Avilés (D. Cristóbal de). de Saxonia, de Reus 8cc,, que vienen de Magun­ Barajas (D. Josef López). cia , y seguirán á la división de tropas confedera­ Barquero (D, Joaquín Hidalgo-). das que esta» en camino para España. Bautista de Castro ( D Juan), mariscal …</t>
  </si>
  <si>
    <t>López, Juan</t>
  </si>
  <si>
    <t>Juan López</t>
  </si>
  <si>
    <t>...... .............................14364 30 Doña Micaela Fanrdinier..................... 577+ D. Estéban de la Torre..'.....i. f.-....'..... 5 48 28 D. Juan López....................................... 6510 : El mismo.......... .................. 21749 24: D. Juan Bautista Albertos.................. 15019 DA Rosa de la Peña,…</t>
  </si>
  <si>
    <t>Lopéz, Juan</t>
  </si>
  <si>
    <t>Juan Lopéz</t>
  </si>
  <si>
    <t>d , qne comprehende la Angermania , él Mede!ex-franciscano observante. ad y lalemtia, 84500; de Ornea, que comprePara la de Alfarnare y Alfaruatejo á D. Juan Lopéz, de la misma-'óirdéri. 1 E ende la- Westrobotnia y la. Laponiá, 71572; de Wisbi, ó la isla de Gotlandia, 31295 ^Ja PomePara la de Periana á D. Manoel Gallardo» de …</t>
  </si>
  <si>
    <t>López, Juana</t>
  </si>
  <si>
    <t>Juana López</t>
  </si>
  <si>
    <t>apoderado D. Teodori- D. J uan Josef deMatuic, en nombre co Kraux............................................ *5°S4~33 de D. Juan y D. Manuel Matute Doña Juana López, viuda de D. Ni­ Arroniz...................i........................... 62614..25 colás de Arux..................................... 4200 Los reales Hospicios de…</t>
  </si>
  <si>
    <t>López, Luis</t>
  </si>
  <si>
    <t>Luis López</t>
  </si>
  <si>
    <t>divide los términos de Algete y Cobeña, Otra en Valdeserrano , de fanega y media, yí poniente con tierras de Jas Animas..... 36 linde i poniente con D. Luis López , y i 79* Otra en el Albillo, de 14 fanegas, linde á oriénte con Juan Manuel López............. 10 3 20 mediodia con la vereda del Albillo, y í Otra en el cerrado d…</t>
  </si>
  <si>
    <t>López, Maceo Borrego</t>
  </si>
  <si>
    <t>Maceo Borrego López</t>
  </si>
  <si>
    <t>D. Joaqnla Paitor, D: fétef de loi itioy," Perez, D, Pedro Molina Gallardo, P. Joan Mati- D. Santos’ Quijada. • ; ■: r ‘ - r. 11a Rouriguez Linares, D. Maceo Borrego López, Asimismo se presentaron á S. M. lo* señores D. •Francisco de Paula Coca Cejalbo, D. Josef curas párrocos siguientes : López Saiazar, D. Joaquín Laines y L…</t>
  </si>
  <si>
    <t>López, Manuel</t>
  </si>
  <si>
    <t>Manuel López</t>
  </si>
  <si>
    <t>nombre de su ayuntamiento y vecinos D. Manuel Imafia , idem 2. han prestado á S. M. el juramento de fidelidad y D. Ramón Montoya, idem 3. obediencia. D. Manuel López, idem 4. D. Estanislao del Castillo , idem f. D. Mariano Mendoza, idem $. D. Alfonso Díaz , portero. LIBROS. D. Miguel García de Tienda, fiel colector de La Mogi…</t>
  </si>
  <si>
    <t>tonio G.rcía Vargas. D. Higinio Zazo de Lares. D. J ulian de Fuentes. D. Francisco Bezares. D Julián Saez. Tenientes. D Juan Roca. D. Tomas C.mpillo. D. Manuel López. D Ramón J ver. D Francisco S.tenz Rufz.' Batallón del quartel del Barquillo. D. Gaspar B usá. D. Narciso B.*sia. Capitanes. D. Francisco López de Moya. Marques …</t>
  </si>
  <si>
    <t>dor. Granada nos hace nuestro comisario regio de di­ Para la de S. Matías de la misma al ex-domicha ciudad, según los informes que sobre sn ido­ nico D. Manuel López. neidad y circunstancias ha tomado de aqnel reve­ .Para la primera de S. Ildefonso al fcx-franrisrendo arzobispo', y demas 'que le han parecido cano D. Josef Mar…</t>
  </si>
  <si>
    <t>López, Miguel</t>
  </si>
  <si>
    <t>Miguel López</t>
  </si>
  <si>
    <t>. 3000 D. Francisco Rodríguez Puente....... 2700o D. Carlos Aupetit...................... .......... 833111 D. Pedro Segando García Domínguez. 38:60 D. Miguel López............................ 4098 ic(&gt;. D. Josef Manuel de; lzaguirrc.......... 108000 D. Francisco Rodríguez de la Huerta. ,42°8 11 DoñacRnsa de Ja.Peña,,,.......…</t>
  </si>
  <si>
    <t>López, Pablo</t>
  </si>
  <si>
    <t>Pablo López</t>
  </si>
  <si>
    <t>...... ‘6H l-T&amp;Ó Otra en los Escobares, de 3 fanegas', que El prado del Cerradiüo.................................. 282..17 3993 linda á mediodia con D. Pablo López La erren de los Endrínalejos......................... 59 1298 Adan, 5 poniente la vereda, y al nor­ Los que llaman Pradillos............................204..17 44…</t>
  </si>
  <si>
    <t>López, Pedro Díaz</t>
  </si>
  <si>
    <t>Pedro Díaz López</t>
  </si>
  <si>
    <t>•-»••«•* ••*•••••»«••■»•« D. Josef Paniagua. D. fíustaqnio Villaseftor....... D. Manuel Gamarra. D. Pedro Sao Micbel............. D. Juliao Gajlcedo. D. Pedro Díaz López............ D. Antonio Gamarra. D. Juan Ezterripa D. Atexandro Leal Ib-trra.... D. Isidoro Pugeo. D. Manuel Gomes Alvaoeita. Tercer batallón. Pata ayudante p…</t>
  </si>
  <si>
    <t>López, Salvador</t>
  </si>
  <si>
    <t>Salvador López</t>
  </si>
  <si>
    <t>á los sugetos que vacunaren mayor número la parroquial de Hueneja en la diócesis de Guade personas y con mejor éxito, superado mas obs-' dix: al Dr. D. Salvador López, cura de Don Die­ táculos, y recogido observaciones mas interesantes go, para el de Sta. María de Lantegra en el mis­ acerca de la vacuna. El prefecto añade que…</t>
  </si>
  <si>
    <t>López, Santiago</t>
  </si>
  <si>
    <t>Santiago López</t>
  </si>
  <si>
    <t>en el 3.0 por la constitución dei estado, REI de las Espa- de la expresada arma teniente á D. Joaquín Con­ ñas y de las Indias. de ; y subtenientes á D. Santiago López, D. Ni­ Consiguiente á lo prevenido en nuestro decreto colás Aparicio y D. Felipe Acuña : cu el 4.0 de la de i.° de mayo de 18&amp;9, hemos decretado 'y de­ misma …</t>
  </si>
  <si>
    <t>López, Tadeo</t>
  </si>
  <si>
    <t>Tadeo López</t>
  </si>
  <si>
    <t>ado su división, y apresado tres buques de villa, 3.a de línea, á D. Cayetano Calatrava; ca­ la compañía procedentes de Inglaterra con direc­ pitán á D. Tadeo López; tenientes á D. Josef ción á Bengala. El mismo dia se divisaron seis bu­ Aquinta y D. Francisco Guian, y capellán á Don ques, que fueron reconocidos al dia siguie…</t>
  </si>
  <si>
    <t>Lopezí, Juana</t>
  </si>
  <si>
    <t>Juana Lopezí</t>
  </si>
  <si>
    <t>..... 1Ó24..17 de Doña Vicenta Perez Eseo.... ....... 448* Doña Ana María Henriquez de Luna. 2ÍÓ¿ D. Manuel López de Cerrcdo............... 17122..17 Doña Juana Lopezí................................ &lt;*3*-*5i D. Juan Antonio de Noreña, como ma­ D. Esteban Corones.......................... 992..251 rido de Doña Alaría Jgnacia …</t>
  </si>
  <si>
    <t>Lopt, Muitel</t>
  </si>
  <si>
    <t>Muitel Lopt</t>
  </si>
  <si>
    <t>...../ 3068 D^Aptónio Pojliec.».........—.+,¡nv*- *4963 9ííf Doña Marín Piferrer.. *444•■"í. D-iMjaTiano Saoz.Merino.................,,011116234 2 5|-D. Muitel Lopt^z. &gt;. , 722 - t 1 D. ;F/ancisco Lope¿Iííuñe*¿.2.í.::.v;W‘'í‘i }7 Df. Josef de Roxas......541- .17 -Fraalflisco Angulo....................... kv^í¿ 99 8|f Di Nicol…</t>
  </si>
  <si>
    <t>Loren</t>
  </si>
  <si>
    <t>Vicente Menchéro Para el de S. Pedro de Talavera, vacante por y D. Manuel Morales, curas que fueron de las par­ muerte de D. Manuel Josef Sánchez, ¿ D. Loren­ roquias de S. Vicente y de ia Magdalena de la ciu­ zo Josef Gomes, cora del Casar. dad de Toledo para los curatos de Guadamur y Para el de S. Andrés de Guadalaxara, vac…</t>
  </si>
  <si>
    <t>té&amp;atfó1 pór e§¿ te en la Isla de Leen *1 dia- J* de eneró próximo, y proposición que só* bre la liberad de imprenta hizo en iz de setiembre de 1805» D. Loren­ zo Calvo de Pvozas, oe veade en el puesto del Conciso, calle de la Car? sie, nutrí; i$6, ;f-.T -■ - . .?-V CADIZ : EN LA IMPRENTA REAL!</t>
  </si>
  <si>
    <t>Lorente, Marcelino</t>
  </si>
  <si>
    <t>Marcelino Lorente</t>
  </si>
  <si>
    <t>estandarte D. Aíexandro Asti, y el de portaes­ tandarte á D. Antonio Sotclongo, cadete del de dragones de Viilayiciosa; en el de Montesa, ayudantía á D. Marcelino Lorente, tenencia al al­ férez con grado de capitán D. Lázaro Sierra , empleo de alférez al por- taestandarte D. Francisco Cambil., y\ esta resulta al: sargento i °…</t>
  </si>
  <si>
    <t>Lorenzo</t>
  </si>
  <si>
    <t>n sus contes­ de ios s.ñores cauón'gos que firmaran esta acta: taciones les ha inculcado las sub imes verdades qu« Don Felipe Ventura González, deán: D. Lorenzo brillan en la proclama siguiente, que te ha fizado Irizarri, m ¡estrescuela; D. Ju.n R monde Ubi- en los puestos públicos. llos , arcediano de Pevtroches ; D. Ba tasa…</t>
  </si>
  <si>
    <t>Weodernotte ( D. Antonio) , soldado de la gen­ infantería , comandante de la plaza de Segovia. darmería escogida de nuestra guardia real. Pelletier (D. Lorenzo), sargento de artillería de art. 11. Nuestros gran canciller y gran tesore­ ni.e.tra guardia real. ra de la Orden Real quedan encargados de la eje­ P&lt; nin ( D. Antonio…</t>
  </si>
  <si>
    <t>tubre próximo. Dumonr (D. Josef), subteniente de granaderos art. ni. Desde i.° de noviembre nadie podrá del mismo. llevar hábito religioso. Fumagai (D. Lorenzo), cabo de tiradores del art. iv. Los ioiivideos de las religiones su­ mismo. primidas son dueños de toda su ropa y de todos Gaist (D. Jaime), capitán en el Real Irland…</t>
  </si>
  <si>
    <t>Lorenzo, Fernando</t>
  </si>
  <si>
    <t>Fernando Lorenzo</t>
  </si>
  <si>
    <t>................................ IXO 1329 Cinco marjales de riego, en el Trece marjales de riego» en Carpago de Pontil, linde con Don laja, linde con D. Fernando Lorenzo Sevilla y acequia del Perez, arrendados al mismo en 38a 4584 pueblo, arrendados á Salva­ Doce marjales de ciego, en Caudor Boeno en...i..................... …</t>
  </si>
  <si>
    <t>Lorge</t>
  </si>
  <si>
    <t>te caudillo ha sido preso , y que le ha reemplazado Villa-campo (3); Las quadridas que había en la provincia de la Mancha, han sido destruidas por el general Lorge ^4} : las de Castilla la Nueva, que no son sino compañías de contrabandistas y salteadores , están perseguidas en todas partes. Por lo demás, la* provincia y da ca…</t>
  </si>
  <si>
    <t>el comisario imperial Mr. Lesseps , para el que escri­ Las tropas que están á las órdenes del señor ba ia mejor memoria sobre algún ramo interesante general Lorge acabao de alcanzar nuevas é impor­ de la estadística de las islas jónicas. tantes ventajas contra ias partidas de guerrilla. También ofrece otro prémio de 600 franc…</t>
  </si>
  <si>
    <t>i ja8 que 3$ franceses aparecieron repentinamente en las •e dirigió de órden del señor general Lorge , go­ orillas del Vouga antes de la acción de Busaco; bernador de la Mancha , hacia la sierra de Alcaraz» y que el coronel Trant , qae se hallaba eo la orilla donde sorprehendió un cuerpo de</t>
  </si>
  <si>
    <t>Loriga, Domingo Antonio</t>
  </si>
  <si>
    <t>Domingo Antonio Loriga</t>
  </si>
  <si>
    <t>uín de Osma de teniente coronél, al capitán de artilleros á.caballo , gradua­ do de teniente coronel D. Antonio Pardo : á capitanes á los tenien­ tes D. Domingo Antonio Loriga, graduado de capitán , al teniente de artilleros á caballo , graduado de capitán D. Joaquín de Montene­ gro , á D. Ramón de Cucalón , y á D. Cristóbal …</t>
  </si>
  <si>
    <t>Lorina, José Antonio</t>
  </si>
  <si>
    <t>José Antonio Lorina</t>
  </si>
  <si>
    <t>l Campo, 25. Don Juan Ventura Ga~ ray, ro. Varios pobres, 25 y 4 rs. D. Leonardo Flores, 20, D. Pedro Rábago 24 y 4 rs. D. Juan Femando Ceballos, 40. D. José Antonio Lorina, 50. D. Manuel Orendain, 25c D. Cirios de Arriaga, 100. Don Francisco Antonio de la Presa , 50. -- Chibuagua. Ei ministro tesorero D. Francisco Truxiílo, …</t>
  </si>
  <si>
    <t>Lorite, José</t>
  </si>
  <si>
    <t>José Lorite</t>
  </si>
  <si>
    <t>Áivarez , y D. Juan Cosulh-ela ; t ív.-ncias á. D. l^edro Carmena , D. Luis Carceller, D. Nicolás de Robles , D. Vicente Castaño , IV José .Zurbanó, D. José Lorite , D. Mamó 1 de la Vega, D. Domingo Molina, D. Cícmentí Lemüs, D. Tornas Gatída . *D. 'Santiago Blanco , y D. A«nt©nio Morí troya ■; y Whireneircias á D. Litis Ramo…</t>
  </si>
  <si>
    <t>los Anules, Teresa de Saxonia Hildbourgción de</t>
  </si>
  <si>
    <t>Teresa de Saxonia Hildbourgción de los Anules</t>
  </si>
  <si>
    <t>n publicado aqni recientemente muchas lativo al próximo matrimonio de nuestro Príncipe obras nuevas de mérito, y entre otras la continua­ Real con la princesa Teresa de Saxonia Hildbourgción de los Anules de política del señor Schmalz, hausen, no obstante que no se celebrará hasta se­ que cxercerá las funciones de profesor de…</t>
  </si>
  <si>
    <t>los Diaz, Ignacio</t>
  </si>
  <si>
    <t>Ignacio los Diaz</t>
  </si>
  <si>
    <t>aranzada y media con pocas cepas, que Otra de 2 aranzadas y 3 quariiUas, al Qualinda á norte y poniente con viña de Car­ dro de la Jarilla, linde con D. Ignacio los Diaz............................................................ 6.. 17 143 Martin, presbítero.......................................... 54-17 1199 Una tierra de …</t>
  </si>
  <si>
    <t>los Fieros, Nicolás-de</t>
  </si>
  <si>
    <t>Nicolás-de los Fieros</t>
  </si>
  <si>
    <t>... l8 I 1- 6 ' ■ D. Manuel Moresqui............ .................. .5593° EFmismo-J.................................................. . . ■i93d7» 3‘ D. Nicolás-de los Fieros......................... 43750 El marques de Branciforte.-...v-.y.*.*** * *5*455- * ‘ Albert é hijos............... 3845 D. Francisco Viaña—....... ....…</t>
  </si>
  <si>
    <t>los H, Nicolás de</t>
  </si>
  <si>
    <t>Nicolás de los H</t>
  </si>
  <si>
    <t>19600 Doña- Gerónima Magdonell.....;......... 37 5° i D. Antonio Hernández...i.:..,....:......' 22400 Dona Teresa Conrote...;.....;...,...;..„. 24628 D. Nicolás de los - H er os.¿ 700090 DV Cirios Montargis;.;...;.. 5100 D. Jijan Lope* de -Quevedo.; ..r.i....... 74957' DoñarMaría Felipa Magdonell...4500* D. Juan íatreiture k'…</t>
  </si>
  <si>
    <t>los Mártires, Mauricio de</t>
  </si>
  <si>
    <t>Mauricio de los Mártires</t>
  </si>
  <si>
    <t>................. 24000 articulo 1. „ D. Luis María Guerrero, pri­ D. Valerio Calvo por sus tutores mer juez de la junta criminal de Jaén, queda nom­ D. Mauricio de los Mártires y Do­ brado presidente de la de Málaga. ña Francisca de Velasco................. 24000 D. Bernardino Lillo, D. Juan Alaminos y Doña Jesusa y D. Joaqu…</t>
  </si>
  <si>
    <t>los Reyes, Gerónimo y</t>
  </si>
  <si>
    <t>Gerónimo y los Reyes</t>
  </si>
  <si>
    <t>unos viles cobar­ ,, Vosotros peleáis hoi con encarniza miente por des quando vivian y servían baxo la dinastía de la casa de Borbon, y vuestros tíos D. Gerónimo y los Reyes moros': ¿Vuestro tío el marques de D. Xavier, hermanos de mi abuelo, se hicieron Mondejar era un hombre vil quando peleaba con inatar con igual furor, el…</t>
  </si>
  <si>
    <t>los Ríos, Andrés Morales de</t>
  </si>
  <si>
    <t>Andrés Morales de los Ríos</t>
  </si>
  <si>
    <t>orio Laguna, por la ciudad de Badajoz: D. Vicente de Castro Lavandeyra * por la provincia de Santiago , D. Do­ mingo García Quintana, por la de Lugo: D. Andrés Morales de los Ríos, por la ciudad de Cádiz: D. Antonio Llaneras, por la isla de Mallorca: D. Ramón Lázaro de Don , por Cataluña: D. Alonso Maria de la Vera y Pantoja …</t>
  </si>
  <si>
    <t>los Ríos, Antonio de</t>
  </si>
  <si>
    <t>Antonio de los Ríos</t>
  </si>
  <si>
    <t>era, D. Diego de Lora , D. Josef María de Estado. . Cnbas , D. Francisco Ladrón, D. Joaqnin Jáco- Real alcázar de Sevilla á 7 de febrero de 1810. me, D. Antonio de los Ríos , D. Josef de la Hi­ Don Josef Napoleón por la gracia de Dios y guera y Lara y D. Josef del Biyena. por la constitución del esrado, REI .de las Empañas Su…</t>
  </si>
  <si>
    <t>Losa</t>
  </si>
  <si>
    <t>cuerpos, y 100 del regimiento de la Corona mandados por el capitán D. Francisco V'alanzat, pasó el rio Na Ion la noche del 15 del pasado de orden del general Losa­ da, cen el designio de sorprehender los puestos avanzados de la guarnición francesa de la villa de Aviles , compuesta de ICO hombres, y apoderarse de algunos grano…</t>
  </si>
  <si>
    <t>Losa, Francisco Xavier</t>
  </si>
  <si>
    <t>Francisco Xavier Losa</t>
  </si>
  <si>
    <t>anuel Calderón ,segundo, 10. D. Ramón Peimbert, ensayador, 2 D. Antonio Cabrera, administrador de rentas, 50. D. Fran­ cisco Prieto, interventor, 10. D. Francisco Xavier Losa , vista , 10 D. Juan José Ruiz de Bustamante, subdelegado, 250. Alcalde del primer voto D. Francisco del Valle. 12. Id. de segundo D. Pedro Vaíois, 50. …</t>
  </si>
  <si>
    <t>Losada</t>
  </si>
  <si>
    <t>sta de 62Ó hombres ? salió ebdía 6 de jimio de Mérida para la Mancha , con destino a ocupar , según se decía , á Ciudad-Real, Almagró y Herencia.— El general Losada ha recibido orden de pasar á Galicia éon 8 quadros de cuerpos que necesitan reclutarse. Escriben de Álmeyda con fecha del 10 del corriente que 9 cargas de municio…</t>
  </si>
  <si>
    <t>0, entre ellos un oficial : por nuestra parte tuvimos 2 artilleros y 8 soldados muertos, y el teniente de artillería Vigil, y 30 soldados heridos. EÁ general Losada al dar parte de estos sucesos á la junta superior con fecha de 7 de octubre desde el quartd general de Porciles, añade que el brigadier B rcena se dirigía de nue­…</t>
  </si>
  <si>
    <t>^ lier desde S: Andrés de Langreo que la noche del ¿10 de se­ tiembre se habia acampado en las alturas del Fadrín* eir cum­ plimiento de la orden dei general Losada, y que el i.c del corriente se hallaba enfrente del enemigo. Goii' el objeto de­ mejorar de situación y de impedir que recibiesen socorros los franceses, determin…</t>
  </si>
  <si>
    <t>bar­ cas que habían de servir para e:io, estaban baxo los fuegos ene­ migos. Nuestra pérdida se reduxo á 6 levemente heridos. El 22 se presentaron al general Losada 3 desertores fran­ ceses ele los que estaban en Grado con armas y caballos. D. Fernando Miranda, comandante de los tiradores de As­ turias, acometió con 100 hombr…</t>
  </si>
  <si>
    <t>Losada, Benito</t>
  </si>
  <si>
    <t>Benito Losada</t>
  </si>
  <si>
    <t>que vienen vestidos y armados. En otros buques ingleses han llegado algunos soldados mas de la misma clase, municiones , &amp;-c. 'Tarragona 19 de junio. D. Benito Losada escribe al gene­ ral en geíé interino desde Cervera con fecha de 12 del cor­ riente , que not cioso G '/j .■«_&gt; íiíifi v-tÍ^U\&gt; v . _ í o 600 i rifa n-¡ i n cti…</t>
  </si>
  <si>
    <t>Losada, Felipe</t>
  </si>
  <si>
    <t>Felipe Losada</t>
  </si>
  <si>
    <t>, 30. D- Bartolomé Cerda, capellán , 20. Id. D. Lorenzo Salas, 20. D. José María Cordero, segundo piloto, 50. Id. tercero j D. Vicente Manso, 15. Id. D. Felipe Losada ,15. (\5&gt; continuará.) CADIZ : EX LA IMPRENTA REAL.</t>
  </si>
  <si>
    <t>Louguet, Gabriel</t>
  </si>
  <si>
    <t>Gabriel Louguet</t>
  </si>
  <si>
    <t>... . 171902' • marldoD. Manuel Pico Santístébán. 1312'y D. Ignacio Jáuregui....... ..................... 20020 D. Manuel Sánchez Toscaño, pór sí y ! D. Gabriel Louguet.............................. 3600 como apoderado de D. Miguel de D.. Andrés Dávila.................................. 4602 i y •Ericede , Doña María Concepció…</t>
  </si>
  <si>
    <t>Lovato, José María</t>
  </si>
  <si>
    <t>José María Lovato</t>
  </si>
  <si>
    <t>rra. El provisor D. Pedro de Ponte, 1500 ; y dos clérigos por su conducto , 60. Los dependientes de las haciendas de Bocas y sus anexas , 441 y 2 rs. D. José María Lovato, 80. I). Lorenzo Santa María . vecino de Tacotal pa de Tabasco , 100. D. Joa­ quín de Santa María, vecino de id., 25. D. Manuel Surria, vecino de Teapa, 100…</t>
  </si>
  <si>
    <t>Lovaton, José Agustín</t>
  </si>
  <si>
    <t>José Agustín Lovaton</t>
  </si>
  <si>
    <t>los partes dados el dia 28 del pasado por el xefe de esquadra D. Juan de Dios Topete , general encargado de las fuer­ zas sutiles de la Isla , y por D. José Agustín Lovaton, capitán de fragata y comandante de la división de lanchas cañoneras situa­ das en el apostadero de Gallineras , resulta que á las 6 de la ma­ ñana de dic…</t>
  </si>
  <si>
    <t>Lovetie, Cristóbal</t>
  </si>
  <si>
    <t>Cristóbal Lovetie</t>
  </si>
  <si>
    <t>ía en el pi­ iirtiier subtenielmrs.' En las compañías dé! tren de so &gt; ai* de lá casa ;que fue de temporalidades, pla­ artillería dé la guardu íeal á D. Cristóbal Lovetie’ zuela) del duque de Alba. : ténienté, y al Sri Da.txsubceniente. En el cuerpo Todos los días , exceptuando los domingos , se dé artillería á D.v Gonzalo, M…</t>
  </si>
  <si>
    <t>Lovi</t>
  </si>
  <si>
    <t>tá orga­ en camino .parávBresiau SS. MM. quienes perma­ nizando, y se ha confiado la dirección de este es­ necen todavía en Potsdam. tablecimiento vi teniente coronel Lovi*, sugeto mni SS. MM. no se detendrán'mucho tiempo en instruido-, Se dice quo S¿ M«¡ cederá iu*o 4e.sus/paSilesia , y se cree qne ¿ su regreso se próponeiti…</t>
  </si>
  <si>
    <t>Loya, Atanasio</t>
  </si>
  <si>
    <t>Atanasio Loya</t>
  </si>
  <si>
    <t>D. Ignacio Cepeda, 16. D. José Cabada, 50. D. José Cabada , menor, D. J&lt;sé Blanco, 16. Varios individuos 157. — Ciénega de los Olivos. El subdelegado D. Atanasio Loya, 283. D. José Antonio Loya, 125*. D. Pablo Villalobos, 50. D. Ciríaco Salas, 20. D. Juan de Dios Rodríguez, 2 4. D. Francisco Obregon, 27. Varios individuos, ;r…</t>
  </si>
  <si>
    <t>Loya, José Antonio</t>
  </si>
  <si>
    <t>José Antonio Loya</t>
  </si>
  <si>
    <t>D. José Cabada, 50. D. José Cabada , menor, D. J&lt;sé Blanco, 16. Varios individuos 157. — Ciénega de los Olivos. El subdelegado D. Atanasio Loya, 283. D. José Antonio Loya, 125*. D. Pablo Villalobos, 50. D. Ciríaco Salas, 20. D. Juan de Dios Rodríguez, 2 4. D. Francisco Obregon, 27. Varios individuos, ;r. Los naturales de Sta.…</t>
  </si>
  <si>
    <t>Lozano, Juan</t>
  </si>
  <si>
    <t>Juan Lozano</t>
  </si>
  <si>
    <t>en las asambleas por centurias ; pe­ franciscos de Uxíjar: para ia de S. Cecilio al ex­ ro en Inglaterra no se compensa con nada este de­ franciscano D. Juan Lozano: para la de la Alambra fecto con respecto á la Escocia, á la Irlanda, y á k D. Joaquín Castañeda, ex-guardiao de franciscos un gran número de ciudades importantes…</t>
  </si>
  <si>
    <t>Lozano, Manuel Palomino</t>
  </si>
  <si>
    <t>Manuel Palomino Lozano</t>
  </si>
  <si>
    <t>ncisco López de Moya. Marques de Canillejas. D. Manuel Barraltes. D. Francisco Marchámalo. D. Rafael de Yarce. D. Rafael Riesco. D. Clemente Meibicl. D. Manuel Palomino Lozano. cuela del hombre sensible, donde se aprenden las ver­ tiene á la verdad defectos mui reparables; pero á pesar dades morales doradas con el disfraz de …</t>
  </si>
  <si>
    <t>Lozano, Páblo</t>
  </si>
  <si>
    <t>Páblo Lozano</t>
  </si>
  <si>
    <t>i­ gos que eran 100 y después de una obstinada resistencia se retiraron á la fo&gt; tificacion que tienen hecha en la altara del camino. Porlier envió á D. Páblo Lozano, teniente también de Cantabria , con 150 hombres á los parapetos tomados por Guerras , para que apoyase sus operaciones. En este t:em-</t>
  </si>
  <si>
    <t>Lqísdfi</t>
  </si>
  <si>
    <t>que se&lt;hallaban sentados. millas alrededor. Qnince rnil honíbres del exército i la puerta de so casa fueron apianados por un si­ enemigo al m*é4p del general Lqísdfi están sobré llar que la explosión les. arrojó encima. El con­ Almeida. . Los otros ;ic»S hombres ,d«l cuerpo del sejero Don ha-muerto quemado, y en sn casa.se ma…</t>
  </si>
  <si>
    <t>Lqpcz, Francispo</t>
  </si>
  <si>
    <t>Francispo Lqpcz</t>
  </si>
  <si>
    <t>amora.............. ;......... . 42123. 29 D. Juan Ca .VOv......m*.iVi.iVMv__ * j 20185 • '; D.'Feíípe de Canga 'Argfietíés.'....n¿......; 2902^ Ao;f D. Francispo Lqpcz.de Alcaraz.— L5149 31 D. P^olo Arrib'ss 7b, . D. Juats Antonio de„í.tHíU, 2) D. Manuel de Urbíria 8.9j¿4T 1). Francisco Ruiz Savslí...;.».-.. ;.&amp;ii -ib ¿yíj'i…</t>
  </si>
  <si>
    <t>Lshoussaye</t>
  </si>
  <si>
    <t>surgente de Cuenca, se h.bia adelantado el día 14 rable se hará á la vela para so destino. hasta Villar de Cañas, donde sapo e! movimiento del señor general Lshoussaye: quiso huir entonces, París i% de noviembre. pero ya no era tiempo. Viéndose acosado por to-das partes, hizo alto en Valverde, y colocó sus S. 'M. el Emperador…</t>
  </si>
  <si>
    <t>Lswis</t>
  </si>
  <si>
    <t>ientos enemigos, tas dos acciones dan á conocer toda su importan­ que dominaba de modo que se Ies podía inquietar cia. El dia 18 de junio el teniente general Lswis en extremo, bacía esta posición sontamente inte­ se hizo dueño de Djutna, pueblo situado en el ca­ resante ; y asi es qae los turcos no cesaron basta mino de Scbum…</t>
  </si>
  <si>
    <t>Lubomirski</t>
  </si>
  <si>
    <t>Gaceta de Madrid n.º 352</t>
  </si>
  <si>
    <t>Bohemia. &lt; J fa continentfil. Los empleados cuidarán de anotar estos objeto? en sus asientos. Del 9. Mandamos á tojos nuestros fieles subditos que El príncipe Lubomirski y su esposa la prince­ se conformen en un todo con Jo dispuesto en ests sa de Czártorinski han pasado por aqui para la decreto. Nuestros ministros quedan enc…</t>
  </si>
  <si>
    <t>Luboutski</t>
  </si>
  <si>
    <t>mente al servicio de! ducado de Varsovia : por 'a del Rei de Saxonia, gran duque, al general El conde de Fourcroi , consejero de Estado, RoznkAi y al príncipe Luboutski , y por la ha fallecido repentinamente el día 13 por la ma­ del Austria al general Mayer y al conde d* ñana de un accidente apoplético. W urinser. El &gt;3 de es…</t>
  </si>
  <si>
    <t>Lucena, Josef</t>
  </si>
  <si>
    <t>Josef Lucena</t>
  </si>
  <si>
    <t>. mariscal Soult, duque de Dal- su prisión fon el alcalde mayor de Monturque roacia i mayor general del exército , coa sus oficia­ D.Juan de Estrada, D Josef Lucena , comandan­ les del r si ado mayor general. te de ia mí ida cívica; D. Juan i’orcel , sargento; Los gefes y oficiales de la casa real. D Bernibé Saravia , sargent…</t>
  </si>
  <si>
    <t>Lucotte</t>
  </si>
  <si>
    <t>o, el decoro, la magestad y grandeza nas se ha presentado una colana francesa mandada correspondientes las augustas festividades de nues­ or el señor general Lucotte, el gefe de insurgentes Sdssecour ha tenido la prudencia de uo esperarla, y tra santa Teligion, dando por sí el exemplo. La presencia de S. M. en la procesión ha…</t>
  </si>
  <si>
    <t>559</t>
  </si>
  <si>
    <t>0 caballos y 8 cañones. Inquietaba á algunos partidos de la provincia dé­ la Mancha, y S. M. C. deseando destruirlo ó arrobarlo mas le­ jos, envió al general Lucotte sobre Cuenca. El enemigo, infor­ mado de este movimiento, se apresuró á evacuar la ciudad , y se dirigió k todo correr k Valencia. El general Lucotte entró en Cu…</t>
  </si>
  <si>
    <t>Lucotte, Amado</t>
  </si>
  <si>
    <t>Amado Lucotte</t>
  </si>
  <si>
    <t>eral de nues­ Marques de Montehermoso , nuestro primer gentil* tros Reales exércitos. hombre de cámara. Huici (D. Martin), director de la compañía dé D. Amado Lucotte, teniente general, y nuestro Filipinas. ^ primer mayordomo. Hussei (D. Eduardo), comandante de batallón D- Benito Pardo de Figueroa, teniente general, y del reg…</t>
  </si>
  <si>
    <t>Lucótte, Amado</t>
  </si>
  <si>
    <t>Amado Lucótte</t>
  </si>
  <si>
    <t>mundos la memoria de ios gefes y de do gobernador militar y político de esta ciudad al los cuerpos que han rechazado á los ingleses, sal­ Excmo. Sr. D. Amado Lucótte, teniente general vado á 300 esp.iñoíes, pacificado la antigua Bé- de los reales exércitos , ayudante de campo de S. M., tioa , y reconquistado á ia Francia sos …</t>
  </si>
  <si>
    <t>Lucottedebió</t>
  </si>
  <si>
    <t>y envió caballería á perseguir á los enemigo^ pero no se pudo alcanzarlos. No ofreciendo Cuenca y todos sus contornos ninguha especie de recurso, el general Lucottedebió abandonar aquel desierto (11) , y ha puesto sus tropas de observación en IJclés, Huete y Tarancon. Queriendo los valencianos oponerse á los sitios de Tortosa…</t>
  </si>
  <si>
    <t>LúeaS'Carranza</t>
  </si>
  <si>
    <t>D. Vjcenté Ferrer Carrera..........,.^;;. 51171 2.3^ D.t Fraueifco Be testa...... .................;" 7129 2f| IX Francisco María López MofelIe.,r: i D. LúeaS'Carranza..............................aír 22291 "2tI D_ I¿nació Mener.dez................v.bS4:L*:x7 ^ La real lac.-ídemia de-iS-:Fernando...... ióódó ; .vi. Dona Micae…</t>
  </si>
  <si>
    <t>Luego, Josef</t>
  </si>
  <si>
    <t>Josef Luego</t>
  </si>
  <si>
    <t>vin­ princesa* irán en el mismo orden con que fueron á cia y del clero, ofrecieron á S. M. sus respetuosos ella. homenages, y con un viva Muestra REI D. Josef Luego que la comitiva salga de la galería del Napoleón 1 se concluyó esta escena tan patética y Museo, se detendrá en la galería de Diana , y el Em­ tierna, que inspira…</t>
  </si>
  <si>
    <t>Lueotte</t>
  </si>
  <si>
    <t>escalzos, y se halló arrojado por el suelo. Este es el tercer saqueo que ha padecido Cuenca en el discurso de dos años por parte de los franceses. El general Lueotte, que los mandaba en esta ultima oca-don-, marques que se califica de Sopetran, y ayudante de S. M. C. (José), lia dicho que nada hubiera pa­ decido el pueblo , s…</t>
  </si>
  <si>
    <t>Luesti</t>
  </si>
  <si>
    <t>386</t>
  </si>
  <si>
    <t>rugadadel 12 ya iban caminando 1200 hombres. Las tro­ pas que salieron en los dias 12 y 13 hácia Tarancon, serán como 4500 hombres, á las órdenes del general Luesti. El 13.llegaron de la Mancha muchos oficíales dé la bri­ gada holandesa, por haberse desertado casi toda ella, y con esta ocasiou solicitan con amia la licencia p…</t>
  </si>
  <si>
    <t>Lugo, José Joaquín</t>
  </si>
  <si>
    <t>José Joaquín Lugo</t>
  </si>
  <si>
    <t>12. V^ios individuos, 63. — Cuencamé. El subdelegado D. José María Du­ ran., 50. D. José Esparza, 100. D. José Horna, 6. D. Juan Bautista Bonifaq, 5. D. José Joaquín Lugo, 5. D. Julián Rivas, 5. Manuel Frayre, 5. D. Vicente Valdes, 10. Silverio Fabela, 10 Antonio Abad y Nungaray, 5. Varios individuos, 20 y 3 rs. Los vecinos d…</t>
  </si>
  <si>
    <t>Luí</t>
  </si>
  <si>
    <t>6o 2 ■ Teniente, D. Luí,s,jB¡ibjí;fj.- encargado de Ja, execucion de este decreto. = Firí Subteniente, D. Juan,Francisco Pallasar. " madossTO EL KET.'=Tdr Sf M. stí' ministró' se­ ; Nuestro-ministro de Ja Guerra q</t>
  </si>
  <si>
    <t>Lui</t>
  </si>
  <si>
    <t>e pre­ tenido. sentar, dice el autor en un párrafo del capítulo 77 Se echa de ver desde luego cierta afectación en y último ioriri/lado Napoleón y la Princesa Lui­ hacer Agorar á no viejo venerable, á quien apartan sa , una pintura de las principales épocas de la bisigualmente de los negocios su edad y sus ocupa­ toiia de Ale…</t>
  </si>
  <si>
    <t>Lui'a, María</t>
  </si>
  <si>
    <t>María Lui'a</t>
  </si>
  <si>
    <t>a celebrar el matrimonio de S. M, e! Em­ llas de oro y de plata en memoria del matrimonio perador de los franceses , la función deberá ser bri­ re la Emperatriz María Lui'a. En el anverso, y llóte y magnífica : por decontado se sabe que la d.ntro de una guirnalda formada de ramos de pal­ i.urninaeion ha de ser general en la c…</t>
  </si>
  <si>
    <t>Luí, María</t>
  </si>
  <si>
    <t>María Luí</t>
  </si>
  <si>
    <t>rodillas al pie del altar , obser­ watt- ra por t uestra mi ger y legítima esposa á vándose para su ofrenda el misino ceremonial que »5i, A. I. y K. Doña María Luí a, archiduquesa para ia del Emperador. »d. Austria, que está aquí presente?” La E npe-r.it iz volverá luego á ocupar so silla; El Emper d».r responderá: &lt; Después …</t>
  </si>
  <si>
    <t>Luirán, Labarthedel</t>
  </si>
  <si>
    <t>Labarthedel Luirán</t>
  </si>
  <si>
    <t>spondientes aldeas; tó- 8 hombres. Habiéndosele reunido la guarnición y por respecto á .las de Andalucía la Carlota, la de S. Rafael, manda Ja por el capitán Labarthedel Luirán,i, San Sebastian de los Ballesteros y Fuen­ 9-ade infantería ligera, el qual, inmediata menta te P.lmera, también/¿on su* respectivas aldeas, que oyó …</t>
  </si>
  <si>
    <t>Luis</t>
  </si>
  <si>
    <t>7 á Stras- Cretvinker (D. Miguel), deán de la Catedral de burgo, y continuará so vuge hasta firauoau con Granada, un numeroso acompañamiento, Dávila (D. Luis), comandante de la guardia no­ ble de Granada. ESPAÑA. Diez Govantes Bizarron (D. Juan de), Granada ai de frtarzo. Enriqcez de Luna (D. Jcsef), fiscal que fee de la chan…</t>
  </si>
  <si>
    <t>ui de los uiputados de la Gailitzia. derica María, ha tenido por padrinos y madrinas al Reí y Reina, al príncipe real y la princesa real, BAVIERA. al duque Luis y la duquesa Luisa , y entre los au­ sentes al Emperador de Rusia, á la Emperatriz Augs burgo 8 de marzo. madre de Rusia , á la Reina de Westfalia, al du­ El 15 de es…</t>
  </si>
  <si>
    <t>Urgir prontamente á la total pacificación. Sus ór­ Montes (D. Diego) , regidor de Granada. denes 0$ llaman á nuevos trabajos; vais á marchar Moreno ( D. Luis), teniente coronel de ingenieros. con un equipage de, sitio para rendir la* plazas que Passari ( D. Noel ), capitán de la guardia real. te atreven á retener todavía los …</t>
  </si>
  <si>
    <t>ispuestos; el misino convite hizo García Puerta ( D. Simón), brigadier de exército. S. M. la Emperatriz, la qual después de haber [le­ Gorda Puerta ( D. Luis). gado á esta ciudad y haber descansado, comió con Hore ( D. Vicente ). lo íntimo del corazón. Pocas veces se divierte Ossian. que tenían las naciones del Norte en la an…</t>
  </si>
  <si>
    <t>ue ha restablecido en todas las Andalucías la seguri­ de la orden extinguida de Carlos m. dad de los caminos, y se han purgado de ellos los Taillan ( D. Luis), capitán del regimiento i.° de malvados. Esto mismo sucederá en las Castillas y cazadores í caballo. en la Mancha quando se empleen iguales medios Vaienzuela (D. Juan d…</t>
  </si>
  <si>
    <t>isfacer la pasión que tiene á su que impiden que pueda hacerse una-comparación exacta •mame. cutre los dos poetas. La comedia de que se trata es un • D. Luis es un joven incauto, que no ve el precipi­ monstruo, pero un monstruo producido por un genio cio que Se presenta delante de *us pies, y que no tiene debe por consiguient…</t>
  </si>
  <si>
    <t>en tiempo del Rei D. Sebastian su­ dramático que tiene tan acreditado. Por exemplo, quan­ pone ya introducida la invención del encerado. do habla con D. Luis disfrazado de joyero, lo hace de Pido al público que mire con indulgencia estas jr un modo tan poco disimulado, que era menester que Otras observaciones que pienso publi…</t>
  </si>
  <si>
    <t>el viento era favorable para entrar en el mar del Snnd. Erfurt 6" de mayo. Nuestros corsarios han conducido á este puer­ Ayer llegó aqui S. A. R. el príncipe Luis de to dos buques amtricanor, que serán examina­ W u rtemberg. dos con el mayor rigor, cotpo también un ber­ Algunos generales franceses, y otras muebat gantín sueco…</t>
  </si>
  <si>
    <t>Luís</t>
  </si>
  <si>
    <t>n de Dios) , capitán de navio- dm Duque de Esclignac, nuestro gentilhombre -decá- - nuestra real .armadaf ; 4 ; mata. •• .’-M ■ :. Rancaño de Ganeio (D. Luís ), coronel de ingé* Don Miguel de Santaoder, arzobispo de Sevilla. ! micros, gobernador de la casa de nuestros caba-; Don Juan Bautista Alexaudro Strolz, mariscal de i '…</t>
  </si>
  <si>
    <t>a dignado $. M. nombrar á D. Josef de ¿¿alazar y .Miranda La gazeta ministerial del reino de Italia con­ mariscal de campo de sus reales exétcitoi; i D. Luis tiene un decreto dado en Havre el 28 de- mayo, Fleuri, capitán de infantería de líne- á D. Joaquín por el qual se reúne al reino de Italia la parre del Molina Gailard, s…</t>
  </si>
  <si>
    <t>sin contar para nada con el rey Luis, mandaba que toda per­ sona acusada de introducir .mercancías*, inglesas ,ó de tener relaciones directas 6 indirectas con la Gran-Bretaña, fuese ar­ restada y juzgada por una comisión espec</t>
  </si>
  <si>
    <t>tra vcc Jacinto Lábanda, conservándole su graduación de solo en el mando; pero no lo he permití io, mani­ teniente: teniente de infantería de línea á D. Luis festándole se qaedaria este punto sin ge fe, pues yo Viced, teniente graduado de capitán del regi­ también me iba. Queda siempre tuyo y verdadero miento de suizos de Vil…</t>
  </si>
  <si>
    <t>e batallón de fluencia en la solidez de la construcción, el uso la guardia cívica de Madrid. del timón, de los mástiles y vergas, con sus di­ Albert (D. Luis), granadero de nuestra guardia mensiones , y los parages que deben ocupar. El real. maestro de maniobra» les enseñará en qué consis­ Aidania (D. Juan Manuel de), prebend…</t>
  </si>
  <si>
    <t>Gau (D. Julia» de) , eapitao dei* regimiento de gera , idem. Córdoba, núm. 7.% jatáótería de línea.. Bertin (D. Pedro María) , ídem de idem. Garsia (D. Luis), tirador de nuestra guardia real. Biller (D. Josef), cabo de granaderos de nuestra Gauthier (D. Juan) , idem. . guardia real. Gamhier (D. Nicolás Claudio), capitán de ca…</t>
  </si>
  <si>
    <t>án en adelante con Gorda (D. Pablo), sargento de tiradores del Real arreglo á la quota fixada anteriormente para los de Irlaudes. su ciase. Gregoire (D. Luis), capitán de granaderos del art. vi. Todo religioso que, destinado por sai . mismo cuerpo. obispo para exercer las funciopes de sacerdote se­ Hagard (D. Juan), capitán d…</t>
  </si>
  <si>
    <t>nifeb tiradores de Kiclavig y de R/bvogy que con motivo de la pes­ nuestra guardia real. : ca son mui frecuentados por los europeos. Una de Visseti ,(D. Luis), capirao de infantería. las cosas qne mas admita es la meada de barbarie Ysmer ( D. Joan Ilenrique), tambor mayor del y de cultura intelectual que se nota en los habi­ …</t>
  </si>
  <si>
    <t>cía Lisboa. Se cree que los varias evoluciones. A las siete de la noche se ce­ franceses son ya dueños de Oporto, coya ciudad lebró el matrimonio del príncipe Luis y de la prin­ estaba indefensa, pues no habia eu ella ni un solo cesa Teresa en la capilla de palacio según el tito cañón. católico, aunque la princesa profesa la …</t>
  </si>
  <si>
    <t>Luis, Don</t>
  </si>
  <si>
    <t>Don Luis</t>
  </si>
  <si>
    <t>no, El 19 tuvo una conferencia en el marques de Weliesley, y ayer llegó íi e. ta capital. . ■&gt; . ESPAÑA. Valen:ia 26 de octubre. Nue tro coman lar;te general Don Luis d Bassecourt, salió el 11 de este mes de su quartel ge­ neral de Castellón de la Plana, para recono er ios puntoso- upalos tanto por nuestras trocas como por la…</t>
  </si>
  <si>
    <t>Luis, Francisco</t>
  </si>
  <si>
    <t>Francisco Luis</t>
  </si>
  <si>
    <t>la magestuos'a pirámide colosal de Schueckoct- Corret (D. Josef), cabo del regimiento suizo. tan, la quáVtiene 1270 toesas de elevación. Pero Dedon (D. Francisco Luis), coronel y director lo que mas sorprehende es el ver que la vegeta­ general dei real cuerpo de artillería. ción, la qual está tixada, por decirlo asi, en la Du…</t>
  </si>
  <si>
    <t>Luis, Juan Aloe</t>
  </si>
  <si>
    <t>Juan Aloe Luis</t>
  </si>
  <si>
    <t>. M. el de Villavente. ministro secretario de E$tado= Firmados:Mariano Para el de San Llórente del Páramo, vacante Luis de Urquijo." por prQmocion de D. Juan Aloe Luis, á D. Ra­ món Moral Herranz , toosurado. Para el de VUlamohol, vacante por muerte de D. Gregorio Pacho, á D. Pablo 'Ramos Quauda, tonsurado. En la tarde de est…</t>
  </si>
  <si>
    <t>Luisa</t>
  </si>
  <si>
    <t>zarría y gallarda presencia de este cuerpo de la princesa Real, el principa y la princesa Paula exérciro, y principalmente por el entusiasmo qae y la princesa Luisa han servido de testigos. se nota en todos los soldados. El enemigo, viendo la rennion de los batallo­ nes en la costa mas abaxo de la villa San Juan, SUIZA. desta…</t>
  </si>
  <si>
    <t>i á esta ciudad á las tres vo i sus resultados. de la mañana , acomp-ñada Je sus augustos padres, Todas las noticias de las provincias alemanas de la princesa Luisa su hermana, y de unas 30 de la monarquía austríaca convienen en anunciar personas de comitiva. Las autoridades de esta ciu­ qne se harán muchas posturas á los bie…</t>
  </si>
  <si>
    <t>noticia ni anuncio. Esta tarde han llegado aquí SS. AA. los duques SS. MM, han estado en esta ciudad algunas horas, de Saxonia-Hiidburghausen con la princesa Luisa y y en seguida se regresaron al palacio de Haga. El una comitiva mui numerosa, y se han alojado en ¿jico objeto de su venida há sido el ver los nue­ el palacio del…</t>
  </si>
  <si>
    <t>Luisa, María</t>
  </si>
  <si>
    <t>María Luisa</t>
  </si>
  <si>
    <t>r Napoleón, y dan un nuevo testimonio na se están preparando funciones para obsequiar á de la religiosidad del Emperador de loi franceses S. A. I. la Princesa María Luisa. en executar los tratados que «típula. Y sin embar­ Mr. Hallé, médico de S. M. I., ha recibido or­ go nuestros ministros se esfuerzan á querernos per­ den d…</t>
  </si>
  <si>
    <t>dado el menor sentimiento; antes por felicitaciones del senado con motivo de su matri­ el contrario nos ha ayndado con una prndencía su­ monio con la Emperatriz María Luisa. perior á lo que podía, esperarse.de sú edad , y en Dícese que el Emperador saldrá uno de estos estos últimos tiempos ha mostrado al frente de dias para i…</t>
  </si>
  <si>
    <t>rio en el salón principal del cha de 6 del corriente ha circulado á todos los palacio. pueblos de ella el siguiente manifiesto : El dia 8 marchará la Emperatriz María Luisa, ,, Ha sido para Sevilla mui sensible la obstina­ y atravesará con un acompañamiento magnifico las ción harto impolítica de sus puertos: en eilos ve salle…</t>
  </si>
  <si>
    <t>imperial salieron ayer paraCom- Casatremañes (marques de), gobernador del Fuerpiegne, Soisons y Reims , donde esperarán á S. M, Jo de Santa María, la Emperatriz María Luisa. Cogheeri (D. Juan Bernardo). S. M. la Reina de España marchó el 7 á Stras- Cretvinker (D. Miguel), deán de la Catedral de burgo, y continuará so vuge has…</t>
  </si>
  <si>
    <t>que son una especie de teatro que hai en ocho caballos, y destínala, según se cree, para el logar donde se hacen las elecciones. conducir á S. M. la Emperatriz María Luisa. Mr. Wardle se adelantó en electo, y declaró P^ra el día I y de marz &gt; deben estar dispti st' s ios que seguía en un todo la Opinión del noble lord t:ros e…</t>
  </si>
  <si>
    <t>de que está penetrado para con vos. va árdea. Bien presto conocerá lo que os debe, por lo* BA VIERA. buenos exemplos que ha recibido de vos la archi­ duquesa María Luisa, la qual no podia aprender Augsburgo 5 de. marzo. por mejor modelo á conciliar la magestad del tro­ Tres esquadroaes del regimiento de caballería no con la a…</t>
  </si>
  <si>
    <t>e organizar guardia*, cí­ 15 para StUtrgirdt , encargado de una cou iuon de vicas para restab ecvr y mantener la tranquilidad S. AL cerca de d. M. la Emperatriz María Luisa. pública, ha formado un cuerpo de 80 ciud«danos honrados, con su r.fi rtalidad. correspondiente. Este ESPAÑA. cuerpo se presentó en formación delante de l…</t>
  </si>
  <si>
    <t>magnificencia. La'nobleza abría la órden con que habiau ido á la iglesia, al salón del marcha; seguían luego los grandes oficiales de la banquete. La Emperatriz María Luisa se sentó decorona, después los ministros, el embaxador ex- ■baxo del dosel en la cabecera de la. mesa, teniendo traordinario, los archiduques, el Emperado…</t>
  </si>
  <si>
    <t>480 Emperatriz María Luisa, adorno y gloria do- etitrado en este puerto mas de 200 embarcaciones su stxó! de diferentes portes, procedentes la mayor parte WESTFALIA. de Istria, de Venecia y de otros puertos de Italia</t>
  </si>
  <si>
    <t>la India se halla en disposición de unirse á matrimonio de S. M. I, y R. con S. A. S. la archi­ qualquier exército que penetre en la península , con duquesa María Luisa, hija del Emperador de Aus­ tal que sea enemigo de la gran Bretaña...... No se tria, se celebró en esta ciudad una misa solemne han recibido noticias de ofici…</t>
  </si>
  <si>
    <t>ctino.................................................... 44000 D. Josef García Ximenez, como ma­ D.Francisco Gobierno, ex franciscano. 44000 rido de Doña María Luisa deVelo D. JorefMcasa, id., y D. Eugenio y Arce.................................................. 1125 de Castro , ex- mercenario di scalzo. 88000 D. Manuel More…</t>
  </si>
  <si>
    <t>701</t>
  </si>
  <si>
    <t>algunas cartas repiten de la desgracia de TaUéyrand, y aun de otros principales personages de la corté de GÍoud, que atribuyen al iníluxo de la nueva emperatriz María Luisa. Las fiestas del cumpleaños de Napóleoli en París, han si­ do muy tristes éste año. No hubo fuego.; artificiales,, ni otra éosa que las luminarias que se …</t>
  </si>
  <si>
    <t>Luisa, NHría</t>
  </si>
  <si>
    <t>NHría Luisa</t>
  </si>
  <si>
    <t>dor de Rusia; pero ri.iiía dicen de la época precisa de su partida y ni Vierta x8 de marzo. del caini ¡o que lomarán, ni del objeto de su viaS. M. la Emperatriz NHría Luisa ha consagra­ ge ; soio sí añaden que es reguur que ia Reina do a ia beneficencia ios primeros instantes que ii- v*nga tarnbien con los dos Soberanos. gu&lt;e…</t>
  </si>
  <si>
    <t>Luk</t>
  </si>
  <si>
    <t>ltan las que se veían. Ei Rodear, su capitán Huret, ha apresado tam­ Si se concibe ana estrada en la prolongación del bién el briek. inglés Jorge, su capitán Luk.irrei, con exe de la tierra, estará siempre á una misma altu­ nueve hombres de tripulación, que iba de Quebec ra del horizonte, y parecerá inmóvil. Parece pues á Lon…</t>
  </si>
  <si>
    <t>Lumbier, Rafael</t>
  </si>
  <si>
    <t>Rafael Lumbier</t>
  </si>
  <si>
    <t>rios individuos , 48 y 2 rs. B. José Flores, 21. D. Antonio Posé , 30. Varios individuos, 23. — S. Antonio de la Huerta. I). José Tomas de Zuza, 200. D Rafael Lumbier, 100. El cura D. Diego García Celis, 100. D. Carlos La­ vandera , 120. B. Felipe López, 20. D. Juan Monzon , 20. Varios individuos, 87 y 2 rs. — S. Francisco Xa…</t>
  </si>
  <si>
    <t>Lumbreras, Fermín</t>
  </si>
  <si>
    <t>Fermín Lumbreras</t>
  </si>
  <si>
    <t>. D. Agustín del Mazo. D. Isidro Gutiérrez. Tenientes. D. Manuel González del Rio. D. Josef Ramón de Aguiar. D. Domingo Prieto. “•••i D. Pedro Soler. D. Fermín Lumbreras. Batallón del quartel de Maravillas. D. Josef Osteret. D. Manuel Zavala Espetillo. Capitanes. D. Rafael Fleuriot. D. Francisco Xavier Berindoaga. D. Benito A…</t>
  </si>
  <si>
    <t>Lüonor</t>
  </si>
  <si>
    <t>ó el Hombre singular, con tonadilla y sainete. puede 13ar i una injuria secreta una secreta venganza. Una casualidad le pone la ocasión en las manos. Doña Lüonor escribe un billete á D. Luis para avisarle qu* COLISEO DEL PRINCIPE. Vaya á Verla á la quinta del Rei Don Luis busca ua barco para acudir a la cita, y D. Lope le ofr…</t>
  </si>
  <si>
    <t>Luquet, Gabriel</t>
  </si>
  <si>
    <t>Gabriel Luquet</t>
  </si>
  <si>
    <t>andez.............................. 170.-25! D. Guillelmo Peironet....................... 20628.. 7 D. Benito de la Mata Linares............... ,3*49 D. Gabriel Luquet.......;........................ 2250 D. Santiago Estepar................................. 3527 P. Julián Alfonso López.................... 6120 D. Nicolás Bars…</t>
  </si>
  <si>
    <t>Luxan, José Ramón</t>
  </si>
  <si>
    <t>José Ramón Luxan</t>
  </si>
  <si>
    <t>gnacio Oliden, 40. D. José Ignacio Cordero, 20. D. Manuel EstaviLlo, 10. D. Francisco Díaz Velarde, 40. D. Joaquín Maynez , 10. Don Agustín Soto, 20. D. José Ramón Luxan, 10. Fr. Juan Cnacon , 25. D. Eugenio Perez, 30. D. Marcos Vagues, 130. Varios individuos, ^4 y 4 rs. --- Gnuvizamey. D. Ramón Re villa, 50. Fr. Luis Salgado…</t>
  </si>
  <si>
    <t>Luxm, Manuel</t>
  </si>
  <si>
    <t>Manuel Luxm</t>
  </si>
  <si>
    <t>tado por el reyno de Valencia. Habiendo precedí io asimismo las Cortear generales y extraordinarias á la rmovaeion del mas antiguo de sns secretarios D. Manuel Luxm , ha sido elegido para secretario el Sr. D. José Aznarez, diputado'suplente por el reyno de Aragón. Discurso sobre la cansritircion que dió al reyno de Vra!enc'*á…</t>
  </si>
  <si>
    <t>Luzana, Domingo</t>
  </si>
  <si>
    <t>Domingo Luzana</t>
  </si>
  <si>
    <t>a i han puesto aqui ai bri­ fil de Croixj subteniente del regimiento de ¡rifad- ' gadier González , para que de acuerdo dirijamos tería de Murcia , á D. Domingo Luzana, sargento ambos las operaciones: á esto me fisasí, ni he trímero que fue del'regimiento de guardias YVa-. querido da* mi troto, ni plan, y c a, ni prestar cono…</t>
  </si>
  <si>
    <t>M, Isidro</t>
  </si>
  <si>
    <t>Isidro M</t>
  </si>
  <si>
    <t>g de mayo. D. Gregorio Serralta. En la semana última han llegado sucesivamente D. Carios San R 'man., á esta ciudad , y han continuado su camino para D. Isidro M ere i o. Nantes , tres regimientos de caballería ; á saber: el 7.0, D. Andrés Choya. 9.0 y 20 0 de cazadores. Los c riciales de los dos D. Tomas de Sancha y Prado. r…</t>
  </si>
  <si>
    <t>M, J'sel</t>
  </si>
  <si>
    <t>J'sel M</t>
  </si>
  <si>
    <t>de tíi-joj js. nombrado gobernador general de Roma, y de los D. joscf Ibañ z p&lt;ra el de Costada. departamentos que forman la trigésim 1 división mi­ D. J'sel M iral s Mecía p.ra el de Mañosa. litar, ha nombrado S. M por un decr.-io de 3 de D. Domingo Tomas Perez Gaseo para el de junio ministro de ia Po icía general ai señor d…</t>
  </si>
  <si>
    <t>M, Joaquín</t>
  </si>
  <si>
    <t>Joaquín M</t>
  </si>
  <si>
    <t>por la noche se represen­ aquella colegiata D. Francisco de Paula Q esada, taron en el teatro , que con tan plausible motivo D. Luis Mana de Menda , D. Joaquín M ñd&lt; nado estaba iluminado, valias piezas dei mejor gusto: y D. Gaspar Guerrero de Hervas , individuos do por la tarde hubo una función de volatices en la su ayuntami…</t>
  </si>
  <si>
    <t>M, José</t>
  </si>
  <si>
    <t>José M</t>
  </si>
  <si>
    <t>a cubierto su flaneo:izquierdo por las compañías del escuadrón del; QOrhandaqt^ Martin á las jórk denes del capitán D. Vicente Sardina y del teniente D. José M onde d éu y 1 a£r dos' partidas reunidas &gt; delX'José Bohzas y D. Raymundo Hernando. Rompieron el fuego la» guerrillas, y en breve se eu peñó una acción que duró &amp;'hora…</t>
  </si>
  <si>
    <t>idal , 10. B. Ignacio Serrano y B. Pedro Troto , 10. D. Tomas IJrrea , 5. I&gt;. José (le la Vega, 25. D. Manuel -Vanderas , 50. D. Jacinto Gaxiola, 11. D. José M aria Verdugo , 50. Varios individuos , 119 y 5'rs. — Rio de Sonora. D. Francisco Caxigas, 10. D. IBrnardo Urabo y B. Francisco Salcido , 20. Varios individuos , 37. Lo…</t>
  </si>
  <si>
    <t>M, Josef</t>
  </si>
  <si>
    <t>Josef M</t>
  </si>
  <si>
    <t>botánica'D. Pedro partícoJares para este objeto. x Velutl, guardia de honor, D. Joan Teruel y Dr.Jo en Petersburgo ei 25 de julio de 1810.S Quevedo, D. Josef M¿rij Ibañ;z. De arquitectu­ Firmado = Ax-exandro. =£i conde de Román t- ra militar D. Andrés de Mendoza, subteniente de row, canciller.” zapadores. De las demas clases …</t>
  </si>
  <si>
    <t>M, Julián Diaz</t>
  </si>
  <si>
    <t>Julián Diaz M</t>
  </si>
  <si>
    <t>' D. Mateo Gil de Sola...... .......... ......... 44100 D. Francisco Viaña...... ............Tójsó D. Domingo Torrecilla....................... 21780 D. Julián Diaz M^reho......... 73'rr 16 Doña Manuela Sánchez.......... .............. 72900 iDoña'Cipiriana Martínez Dáviía........ 2199 30, Doña Gerónima Aguiiar......... .....…</t>
  </si>
  <si>
    <t>M, Juüan</t>
  </si>
  <si>
    <t>Juüan M</t>
  </si>
  <si>
    <t>: te............ 4'- 202 17 D. Josef Perez- Aguilera........................ J41 *7 D. Juan Turar:......................................... j 4;. , _ D. Juüan M.rtin;z................ ................ 63 t 2j¿- D. Gregorio de Anguila........................ 37*4 25í D. b'.-our.tciis (til................................... dcé…</t>
  </si>
  <si>
    <t>M, Manuel</t>
  </si>
  <si>
    <t>Manuel M</t>
  </si>
  <si>
    <t>ópez............................... . 3 5 ' 23 D. j*ranci-co Xavier Aceñero.............. 4602 2j D Auto ño Melonjrn............................ 1083 D. Manuel M.tesqui.....-........................ io8co D N-colas B1 rs¿1 ■. ti ............................... j ^ 66 8f D. Luis--Gómez................. &lt;1300 • Doña Ma-ía Luisa…</t>
  </si>
  <si>
    <t>M, Pedro</t>
  </si>
  <si>
    <t>Pedro M</t>
  </si>
  <si>
    <t>ar .1 ex francis­ En nuestro palacio de Madrid á 27 de junio cano descalzo D. Juan Ciaverías : para la de Alfade 1810. car al ex-franciscano descalzo D. Pedro M01 rea! y Don Josef Napoleón por la gracia de Dios y Vega, predicador y confesor: oara la de Guevejaa por la constitución del estado, REI de Jas Es pa­ al ex-francisca…</t>
  </si>
  <si>
    <t>. Manuel López. D. Güilísimo González.......... D. Clemente Villalba. D. Francisco Lopes Moya.... D. Joan Colmenero. D. Clemente Mesbiele...........- D. Pedro M*ría Brost, D. Josef María SorroialD. Mariano Triviño,.., D, Alberto Gteúudelt. Quar/o batallón. Para ayudante primero t&gt;. Bernardo de Ara, para segundo D. Gregorio Ch…</t>
  </si>
  <si>
    <t>M, Plácido Piedra</t>
  </si>
  <si>
    <t>Plácido Piedra M</t>
  </si>
  <si>
    <t>anuel de la Cerda........................ 2181032 Doña Josefa Igñácia Reajero.4900 El mismo................................................. 10602 28 D. Plácido Piedra M!liéra,f.i.¡.r.':......... 31Í625 D. NLolas Barsanti............................ 1825 D. Mariano Iiundain..'..... ..ÍV...1.......... 1983 28 Doña María Andrea…</t>
  </si>
  <si>
    <t>M, S</t>
  </si>
  <si>
    <t>S M</t>
  </si>
  <si>
    <t>o—Sz- EL REI. = Por S. M. su ministro secretario de mo3ville y Beurnon villb, secretarios. Estado Mariano Luis de Urquijo." Representación del senado d S* M. la Empera­ triz y Reina. Tenemos á la vista varios periódicos de Sevilla, El senado conservador, reunido en el número de los quales iremos copiando algunos artículos, de…</t>
  </si>
  <si>
    <t>hai tal crimen, y ct &gt; o.nbre de la nación sueca quedará JEstock Imo 2 § de junio. libre de una imputación tan odiosa. Esmckolno 23 Petición dirigid* d S M p&gt;r la chancillerí* de de jumo de 18.0 = En nombre y por ó^d-o de i* la Justicia. chaí.cilleríd=:F.rmaiio= W. de Kliotcbetg.=Gus­ tavo Thomée. .t 1 En cumplimhnto de la or…</t>
  </si>
  <si>
    <t>Ma, Agustín</t>
  </si>
  <si>
    <t>Agustín Ma</t>
  </si>
  <si>
    <t>D. Meíiton Ramos. En el de volunta­ rios de Gerona, segunda ayudantía k D. Francisco Delgado ; te­ nencia. á D. Francisco Guarro ; y subtenencias, á D. Agustín Ma­ gín D mienten, D. Pedro Cuir y D. Fra ncisco Sniglesias. Y en el de voluntarios J.p de Borbast.ro, cornosíiía á D. Manuel Alvares; empleo de capitán 2.° á D. Anton…</t>
  </si>
  <si>
    <t>Ma, Jcsé</t>
  </si>
  <si>
    <t>Jcsé Ma</t>
  </si>
  <si>
    <t>na á D. José Ezpeleta : subtenen­ cia en el 1.* de B dajoz al cadete D. José fiuiz : la sargentía mayor del 2.® batallón de volunrarion de Cataluña á D. Jcsé Ma­ zar raza j y grados de coronel á D. José María Olona, teniente coronel del regimiento de infantería de Fernando vil de A ra­ gón : de capitán al ayudante del mismo c…</t>
  </si>
  <si>
    <t>Ma, Joan</t>
  </si>
  <si>
    <t>Joan Ma</t>
  </si>
  <si>
    <t>369 touio Rocha, D. Feliciano Bastante, D. Joan Ma- aMádáajbrigadíer D. Secñndino Salamanca. 11er, D. Francisco Saenx de Tejada» D. Josef de • í: 'Poé piró 3écV^"dé-(J ijel ¿órríéoí'e; sé Ká dig­ Lana, D, .Manad Mardto. nado S. M. rióóabrar oapitan dé' infakit</t>
  </si>
  <si>
    <t>Ma, Joan Antonio</t>
  </si>
  <si>
    <t>Joan Antonio Ma</t>
  </si>
  <si>
    <t>l real colegio de cirogíadc&amp;Gárlos. Albert é hijos......................;;;;........ 1100 D. Pedro Fernandez • 118o; D. Joáef Antonio Girard.....2025 D. Joan Antonio Ma«ao........i.'...... ‘ ; 935 D.Francisco María‘Dufooi.;;;.';.V.......i 8576'23,' D. Andrés, y D.. ladea Perez...;.;..... 7*9*4 Dí Rámon de Posada’y Soto.;.....…</t>
  </si>
  <si>
    <t>Ma, Joaquín</t>
  </si>
  <si>
    <t>Joaquín Ma</t>
  </si>
  <si>
    <t>vio descubier­ tercer curato de dicha iglesia , vacante por muer-íl tas: la celeridad de sus maniobras para emprender te de D. Alonso Diaz Cañadas, á D. Joaquín Ma­ su fuga co le impidió recibir á bordo uoa treintena rin; y para ei quarto curato, vacante por muerte ' de balas roxas , que íe causaron fuertes averías, y de D: J…</t>
  </si>
  <si>
    <t>Ma, José</t>
  </si>
  <si>
    <t>José Ma</t>
  </si>
  <si>
    <t>omuceno Heredia , y D. José María dé Mena ; y empleos de alféreces de granaderos, á D. José Antonio Fació, y D. Ramón de Zuloaga ; y de cazadores , á D. José Ma­ ría Casasoia. En el reg' miento de infante'.--! i de Aragón se ha servido con­ ceder compañías á D. Feíix Mijares, y D. José Montero ; ayundamía , á D. Martin Sierra…</t>
  </si>
  <si>
    <t>e fue eí de|átor^ ' §e abstuviese en lo sucesivo de suplantar especies desnudas dé fundamen­ to-sólido, y ló mismo al contador de la fragata Cornelia D. José Ma­ fia Croquer, en cuya presencia así c9mo en la dé Neceé* se prgcediéj</t>
  </si>
  <si>
    <t>ez, 15Ó:• D^abriel rez, 25. D. José ..Suarez, 13. D. Vicente: Rodríguez , 10 Dájosé Áná3nib? Gil , 12. D. Francisco Gagiola, 10. D* Secundino Gil ,18 D. José Ma.riá Viniegra, 12. D José Antonio Sandoval , 79. D Hermenegildo Perez, 25. Va:ios vecinos, 60.--S. Dimas- D. Franc'sco -Al ian Génzalez^; 105V Varios individuos, ..yo.…</t>
  </si>
  <si>
    <t>Ma, Josef</t>
  </si>
  <si>
    <t>Josef Ma</t>
  </si>
  <si>
    <t>comandante del rez, D. Francisco Rodríguez, D. Francisco Esca- 4.0 batallón de milicia cívica D. Manuel Raquejo. rena , D. Francisco Xavier Guillen, D. Josef Ma­ art. 11. Nuestro ministro de la Guerra queda ría Pardo , D. Joaquín Moralez , D. Juan Marques encargado de la execucion del presente.decreto.s: Barroso, D. Candido G…</t>
  </si>
  <si>
    <t>lebridad ' Los vecinos de la ciudad de Bujalance, qne pren­ de la fiesta un espléndido y suntuoso banquete ,..á dieron poco há á tresíadrones, fueron D. Josef Ma­ qae han asistido los señores'ministros, el cuerpo ría González, comisionado y escribano público, diplomático, muchos consejeros de Estado, los se­ D. Josef de Flore…</t>
  </si>
  <si>
    <t>Rafael Ruiz de Peralta. habia empeñado una acción; pero lejos de mostrar­ D. Juan Ansoii Coronado. se sorpreheudidos, rectificaron so orden de rhar- D. Josef Ma ría Vaiverde. iha, y apresuraron el paso para socorrer la caba­ D. J uan de Orejón y Haro. llería. No se puede elogiar suficientemente el zelo D. Pedro Caamaño y Siei…</t>
  </si>
  <si>
    <t>Ma, Juan</t>
  </si>
  <si>
    <t>Juan Ma</t>
  </si>
  <si>
    <t>D. Francisco Fernandez; empleos de capitanes segundos á D. Juan Quintanilla, D. Cayetano Miranda, D. Francisco de Paula Miranda, D. Francisco Sacue, D. Juan Ma­ tos, y D. Claudio González ; segunda ayudantía, á D. Jacinto Inozal ; tenencias, á D. Eustaquio Cevaílos , D. José Ramírez, D. Joaquín Moreno, D. Juan Morales, D. Jos…</t>
  </si>
  <si>
    <t>....................................... ia lemines, linde á oriente con D. Josef Otra en dicho sitio, cerca del anterior, de Aguarlo, y á mediodiacon D. Juan Ma­ igual cabida, que linda por oriente con nuel López.................................................. 5® 1100 majuelo de Francisco Diaz, y á poniente Otra en los Aren…</t>
  </si>
  <si>
    <t>Ma, Manuel</t>
  </si>
  <si>
    <t>Manuel Ma</t>
  </si>
  <si>
    <t>ere lugar á ella. tado la musa de varios poetas distinguidos. La si­ art. v. Los alcaldes de los puebles, y los mi­ guiente oda ha sido compuesta por D. Manuel Ma­ litares ó destacamentos franceses que á la llegada ría de Arjona, penitenciario dé la catedral de Cór­ de los bandidos pudieren hallarse en ellos, estarán doba. ba…</t>
  </si>
  <si>
    <t>Ma, Miguel</t>
  </si>
  <si>
    <t>Miguel Ma</t>
  </si>
  <si>
    <t>la química , al. mérito que ha contraido en­ Menibrillera subtenientes en el ;mismo regimiento: señándola por el espacio de 25-,años en España, y, á D. Miguel Ma(tir:cz y. D.. Josefr'Fonsansoro y ¿ la solicitud que ha hecho de su retiro por razop Serralta subtenientes de infantería de ¡íneaz.á Don de enfermedad hibitua¡; Vict…</t>
  </si>
  <si>
    <t>Ma, Vicente</t>
  </si>
  <si>
    <t>Vicente Ma</t>
  </si>
  <si>
    <t>569</t>
  </si>
  <si>
    <t>sabemos que tuvieron muchos heridos, cin­ co de ellos de gravedad. Un muerto y un herido fueron nues­ tra pérdida. Señaláronse en esta última acción D. Vicente Ma­ ría de Haro , teniente dél regimiento provincial de Alcázar de S. Juan , que antes de ella se incorporó con 4 soldados , el sargento Luis Moreno, el cabe l.° Luis …</t>
  </si>
  <si>
    <t>MaA</t>
  </si>
  <si>
    <t>secretario de Estado María* D/JqséfJítaríaidyXe4^Bná y i D, Rabión de Vál-j ao Luis de Urqoiíjo.* ‘ - * ' carcelv yifenfeHréye. caéadóres á cabillorá D. MaA ti' ■,/ ' : : * ■ '' ' • nuel ObanSo y Adornó.' ■ ':* ' ;°‘‘Dón josef'Napoleón por la gracia de Pros ;jr por la constitución del estado, REI dé las Espá— Segovia jp jde m…</t>
  </si>
  <si>
    <t>Macarti, Juana</t>
  </si>
  <si>
    <t>Juana Macarti</t>
  </si>
  <si>
    <t>00 D. Ramón de Landa.............................. 9769.. 8$ D. Antonio Hernández, como testa­ D. Francisco García de Rozas......... 5415 mentario de Doña Juana Macarti.... 2964-27 D. Manuel de Amandarro..... . 61099.. 8§ D. Antonio Torres................................. 5319 D. Manuel López Cerrcdo................... . 3664…</t>
  </si>
  <si>
    <t>Macctonald</t>
  </si>
  <si>
    <t>1816</t>
  </si>
  <si>
    <t>/ SUPLEMENTO A LA GAZETA DE LA REGENCIA DEL VIEIVRSS 14 DE SETIEMBRE DE 1816. ESP A TÍA. Tarragona 28 de agosto. El mariscal Macctonald se dingió en días pasados con todas sus fuerzas y mucha artillería hacia el Campo de Tarragona con el de i «mío al parecer de preparar el sitio de esta plaza, para lo que con ubi con el exérc…</t>
  </si>
  <si>
    <t>Macdoaald</t>
  </si>
  <si>
    <t>úmero, de nuestras tropas li­ había quedado en la. Stiria hasta la evacuación de geras, y para esro muchos regimientos de infante­ esta provincia. El mariscal Macdoaald habia liegado ría de línea se transformarán en infantería ligera. también á Laibach con su quartel general; pero no También habrá variaciones en la caballería…</t>
  </si>
  <si>
    <t>Macdonaid</t>
  </si>
  <si>
    <t>apitán general de Cataluña D. Enrique O-Donell ha dirigido el paite que sigue al Sr. ministro de la guerra : ' “Excelentísimo Señor.—-El exército del mariscal Macdonaid reunido emprendió su marcha sobre el Campo de Tarragona, abandonando todos los puntos que ocupaba, después de ha­ ber dexado solo las indispensables guarnicio…</t>
  </si>
  <si>
    <t>Macdonal</t>
  </si>
  <si>
    <t>s ki haalcáirza- unión en Lérida del exército de Cataluña, á las do cercá de Schürrila, dotíde líá sido atacado--por órdériés del excélebtítimo ieñor mariscal Macdonal, el gran visir ; befo Va bin llegado á está capital Con el-tercer cuerpo-imperial mandado por S. E. 40 polas deVibirilb , qúé'kotí ©tros tantos trofeos. el^ go…</t>
  </si>
  <si>
    <t>Macdonald</t>
  </si>
  <si>
    <t>242</t>
  </si>
  <si>
    <t>desea libertaros de los que os amenazan , y que so­ tablecido en esta ciudad su quartel general. lo toma en la actualidad la pluma pera apartar de Ei mariscal Macdonald va, según dicen, á Es­ vuestros ojos la venda fatal que os ciega, y no os paña , donde tomará el mando de algún exército. dexa ver el profundo precipicio que …</t>
  </si>
  <si>
    <t>Macdooall</t>
  </si>
  <si>
    <t>utoridades. Ambires a J de mayo. Parece que se va á aumentar hasta 4® hombres París 95 de mayo. el número de los trabajadores en el arsenal de ma- Él mariscal Macdooall pasó el 15 de este mes ripa de este puerto. por Nimes*. S. E. va á tomar el mando del exéc£1 regimiento 3.° de infantería ligera que había citó francés de Cat…</t>
  </si>
  <si>
    <t>Macdouald</t>
  </si>
  <si>
    <t>y la Españi’ba" quedado otra vel abando­ mes caballeros de'la orden" de la corona de Hierro nada á ella misma y á solas sus- fuerzas. Si ipv, ge­ al mariscal Macdouald, duque de Tarento; al mi­ nerales que han ilustrado los fastos británicos1; sí • nistró secretarlo de’ Estado duque de Bassano; al los Cadogans, los Atlones y …</t>
  </si>
  <si>
    <t>Macduff</t>
  </si>
  <si>
    <t>a partida del brigadier D. yuan J&amp;artin el Empecinado, desde 6 de setiembre hasta iR de octubre por los señores: Don Diego DuíF, 200Ó reales vn. Lord vizconde Macduff, 5000. D. Manuel Femando Ruiz del Burgo, 500. Oficiales de la primera se­ cretaría de estado, 7000. Archivero de la misma y sus oRciales, noo. D. Antonio Capman…</t>
  </si>
  <si>
    <t>Mach</t>
  </si>
  <si>
    <t>y todos han dia t.° de junio en las altaras de Rasgrad los tur­ resuelto con él proporcionar todos los auxilios po­ cos fueron al fin derrotados: su comandante Mach— sibles á laclase industriosa é indigente. La córpomut, baxá de dos colas, y el príncipe de Molda­ \ ración de Dublin debe, i proporcioa de sv$ cortos via Kalimac…</t>
  </si>
  <si>
    <t>Machado, Angel</t>
  </si>
  <si>
    <t>Angel Machado</t>
  </si>
  <si>
    <t>íño. Tenientes:, D. Pedro M-ría Brost. D. Pedro San Miguel. I&gt;. Josef Perez Azofra. Batallón del quartel de Avapies. D. Pedro Rubio, hijo. Capitanes. D. Angel Machado. D. Antonio Fuentes. El marques de C &lt;mpo Villar. D. Bernabé Fuentevila. El marques de Cevados. D. Agu stin Chavarri. D. Mari, no Villodas. D. Faustino de Nieva…</t>
  </si>
  <si>
    <t>Machinena, Juan Bautista</t>
  </si>
  <si>
    <t>Juan Bautista Machinena</t>
  </si>
  <si>
    <t>9Í2 D.Jjan. Pedro Iiurralde, $o. D. José Binito Fernandez i£&gt;. D. José An­ drés Vázquez, io. D. Faustino Fernandez, 30. D. Pedrtf Collantes, 15. D. Juan Bautista Machinena, 30. Los dueñ s de la hacienda de S. Juan Bautista, 20. Varios individuos 35 —— Coy ame. Timoteo Franco, 14. Mariano Morales, 32. Mariano Carabajal, 14. Va…</t>
  </si>
  <si>
    <t>Machuca, Dámaso</t>
  </si>
  <si>
    <t>Dámaso Machuca</t>
  </si>
  <si>
    <t>Villodas. D. Faustino de Nieva. D. Bernardo Dios dado. D. Mateo Casado. D. Ji-sef Ibaceta. D. Joaquio Palacios. Subtenientes. D. Mariano de San Juan. D. Dámaso Machuca. D. Mariano Lfanderal. D. Pascual Carsi. D. Víctor Moreno. D J uan de ios Heros. D Vicente Per^ti. Tenientes. D. Gregorio Simón de Diego. D. Ramón Vartureu. D …</t>
  </si>
  <si>
    <t>Mack</t>
  </si>
  <si>
    <t>la Inglater­ ministro, diciendo que todo el mal debia atribuir­ ra ofreció reconocer como legítimas las usurpacio­ se á la debilidad é ignorancia del general Mack. nes que acusaba á la Francia haber hecho durante Pero decidme, partidarios de Pitt, ¿ quién si no él la paz, con tal que se le cediese ia isla de Malta, hubiera co…</t>
  </si>
  <si>
    <t>Mack-Rean</t>
  </si>
  <si>
    <t>serva, se movió para apoyar la derecha de la división de Crauford : ella y un bata­ llón del regimiento portugués núm. 19, mandado por el téfiféíP te coronel Mack-Rean , hicieron un valeroso y feliz contra un cuerpo de otra división del enemigo que procuraba penetrar por aquel mismo parage. — En este combate se dis­ tinguiero…</t>
  </si>
  <si>
    <t>Mackenna, Juan</t>
  </si>
  <si>
    <t>Juan Mackenna</t>
  </si>
  <si>
    <t>l estado mayor general peí exército.—Asimismo ha concedido grado de teniente coronel de in­ fantería con la antigüedad de i.9 de enero de este ano, á D. Juan Mackenna , sargento mayor de brigada del real cuerpo de ingenieros en la división' de .Iridias. . ? : El dia 3 del pasado falleció en esta ciudad á la edad de 53 anca el…</t>
  </si>
  <si>
    <t>Mackie</t>
  </si>
  <si>
    <t>as que 18 pies de quilla; que se insertarán los pliegos que se han recibido pero de alli á una hora la mar se alborotó , y á las de sir J. Stnárt. El capitán Mackie, que es qnien nueve reinaba Un viento de S. E. mui violento. los ha traído, venia tan enfermo, que al llegar á A media noche una ola dio un vuelco á la chalu­ Lón…</t>
  </si>
  <si>
    <t>Mackintosh</t>
  </si>
  <si>
    <t>rania á la Suecia, se estipula en él la gracia ó cuerpo considerable de insurgentes , mandado por remisión de rodas las contribuciones debidas por el capitán Mackintosh , «1 qual había interceptado aquella provincia ; la garantía de la integridad del al frente de dos batallones de tropas indias , entre territorio sueco actual…</t>
  </si>
  <si>
    <t>64</t>
  </si>
  <si>
    <t>tro gran duque piensa pasar cio de un consejo de guerra, han admitido este úlalgunas semanas en Aschaffemburgo, donde S. A. R. timo partido, menos el capitán Mackintosh, que ocupará la mayor parte del dia en la organización mandaba el destacamento de Chiltledroog. ¿el gran doc-ido. Todavía no se ha determinado Ei cadáver del …</t>
  </si>
  <si>
    <t>MacVeagh, Guillermo</t>
  </si>
  <si>
    <t>Guillermo MacVeagh</t>
  </si>
  <si>
    <t>ronel y agregación de capitán en el regimiento de infantería de Irlanda á D. Carlos Silvertop; y grade y agregación de subteniente en el de Ibernia á D. Guillermo MacVeagh. En America se ha servido S. M. promover á teniente general de los reales exéreitos al marisca; de campo D. Pedro Garibay, y á bri­ gadieres al coronel D. …</t>
  </si>
  <si>
    <t>Madariaga, Domingo</t>
  </si>
  <si>
    <t>Domingo Madariaga</t>
  </si>
  <si>
    <t>00. D. Alexandro Troncoso. , 100. D. Martin Urdapilleta, £0. I). José de la Lanza , 100. Señores Llano y Regato, 100. D. Pedro García la Lausa , 200. D. Domingo Madariaga, 25. D. Juan Manuel Muñoz , 200. D. Joaquin Micon , 100. D. Jo­ sé Domingo Couto , 100. D. Mariano Pasquel, 100. D. Manuel Elguero , 100. D. Juan Antonio Le…</t>
  </si>
  <si>
    <t>Madariaga, José Cortés</t>
  </si>
  <si>
    <t>José Cortés Madariaga</t>
  </si>
  <si>
    <t>487</t>
  </si>
  <si>
    <t>argo de la resistencia; qué opuso A ha- ' cerio. Figuraban en el. ayuntamiento como, diputados del pue-1 blb y directores de la conmoción el canónigo D. José Cortés Madariaga , el presbítero. D , José Francisco Riv,as, I). Juan Germán Rossio y D. Félix Sosa, á quienes se agregó después por'parte de los mulatos J).: José Félix…</t>
  </si>
  <si>
    <t>Madariaga, Justo</t>
  </si>
  <si>
    <t>Justo Madariaga</t>
  </si>
  <si>
    <t>in Mariñelarena, 12. D. Pedro Ignacio Irigoyen , i&lt;&gt;. D. Juan Trillo. 8. D. Gerónimo Maeeira, 50. D. Sabino de la Pedrueza, 33. D. Rafael Zubia , 20. D. Justo Madariaga, 20. D. Francisco J íuregui por 3a casa de D. Francisco Eíguea , 30. D. Juan Eíguezabal, 50. £). José Perez Ruiz, 22. D. Lepe de Vega, 20. D. Miguel de la Hue…</t>
  </si>
  <si>
    <t>Madden</t>
  </si>
  <si>
    <t>se incorporó en el exército el general Butrón con la caballería de su mando, y se aguardaba la bri­ gada portuguesa de la misma mrma , mandada por el general Madden, que lord Wellimgton envía á disposición del mar­ ques de la Romana. Erratas en algunos ejemplares de los números y 60. En el núm. 59, pág. 575, en la nota, donde…</t>
  </si>
  <si>
    <t>dujo un poco de desorden y se apodes ó de nuestra ar­ tillería. Continuaban los enemigos persiguiendo á nuestras divisiones en su retirada, quando el brigadier Madden comandante dei cuerpo de caballe­ ría portuguesa (que el lord VVellingron ha puesto á las órlenes deí Excmo. Sr. marques de Romana ) situado cerca de C.ilzadill…</t>
  </si>
  <si>
    <t>Maderna, Miguel</t>
  </si>
  <si>
    <t>Miguel Maderna</t>
  </si>
  <si>
    <t>Alariano Luis de Urquijo................ 8664 D. Antonio Entrena............................... 32760 D Nicolás Alonso de T^ejada.............. 3220 D. Miguel Maderna................................. 133631 1 2 3 6 3 1 26 D. Alaría Aúnela Azpi-oz, como tuDoña N ¡casia de Cañas.......................... 28816 14 «ora de sus !¡…</t>
  </si>
  <si>
    <t>....................................... 1370 D., Antonio de Siles........................... . 5505- Doña María Josefa Dolarea.,................ 2C9$ D. Miguel Maderna............................ . 1826.. 8! D. Nicolás Barsanti, como- apoderado D.íjosef Hermosa..................... ............ 1083 de D. Félix, D; Luis y D. …</t>
  </si>
  <si>
    <t>Madero, Isidro</t>
  </si>
  <si>
    <t>Isidro Madero</t>
  </si>
  <si>
    <t>anuel Orendain, 25c D. Cirios de Arriaga, 100. Don Francisco Antonio de la Presa , 50. -- Chibuagua. Ei ministro tesorero D. Francisco Truxiílo, 100. D. Isidro Madero, oficial primero de la resorería, 20 D. Manuel Calderón ,segundo, 10. D. Ramón Peimbert, ensayador, 2 D. Antonio Cabrera, administrador de rentas, 50. D. Fran­ …</t>
  </si>
  <si>
    <t>Madiedo, Ramón</t>
  </si>
  <si>
    <t>Ramón Madiedo</t>
  </si>
  <si>
    <t>ió el error y la intriga, y el oro otro beneficio de la parroquia de S. Pedro apóstol de una nación enemiga nuestra' y de la Europa al­ en Avila; y á D. Ramón Madiedo, ayuda de ora­ teraron el juicio , ó corrompieron los corazones pre­ torio en el real palacio, para un beneficio de la parados á sacar para sí un provecho del t…</t>
  </si>
  <si>
    <t>Mádows</t>
  </si>
  <si>
    <t>.- , :r; &gt; jnrw-.lr,. en el Danubioi.de consiguiente todas las mercan­ Léndret j de noviembre. cías que entr^ireór'Ááiitfé rtrlflbporel lado de la El doctor Mádows -y otros varios médicos fue­ SaabiaÜD^rinrv^ quedalgaq npor estalpartbí, ya ron llamados el .jueves .para y ¡sitará S. M., y se ■sea -por tierra, 'ya. sea pónel-Da…</t>
  </si>
  <si>
    <t>MADRID, GuiiielAfEVDICK A A CAZETA DB</t>
  </si>
  <si>
    <t>GuiiielAfEVDICK A A CAZETA DB MADRID</t>
  </si>
  <si>
    <t>Gaceta de Madrid n.º 82</t>
  </si>
  <si>
    <t>s co'egios y tel general en Brixen, cuya guarnición se compon­ «stadús del país. Esta diputación se compondrá de drá del regimiento de infantería del duque GuiiielAfEVDICK A 1A CAZETA DB MADRID. mor de ser impíos nos hace á veces ser supersticiosos, asi también el temor de caer en los errores de nuestros Viernes *3 de marzo d…</t>
  </si>
  <si>
    <t>Madueño, Juafi Ximenez</t>
  </si>
  <si>
    <t>Juafi Ximenez Madueño</t>
  </si>
  <si>
    <t>I.»4®. t Para el de Mistóles, vacante por muerte jJe je* . clérigo de prima. ' D. Juafi Ximenez Madueño, á D. Mateo Razóla, Para el de Caudilla, vacante por ascenso de cora de Torija. D. Saturnino Carrillo al de Algete, á D. Pedro Para el de Calera, vacante por muerte de Don Amonio Areta , cl</t>
  </si>
  <si>
    <t>Maedonaíd</t>
  </si>
  <si>
    <t>— Juan Larrea.—Dr. Juan José Passo} secretario.-Dr. Mariano Moreno, sccretaua.” Tarragona QS de agor/o. Luego que el exéveito francés mandado por el mariscal Maedonaíd emprendió su retirada del campo de Tarragona el 2-5 del corriente ; el nuestro se puso al instante en movimiento, y marchó sobre la retaguardia oremiga, incomo…</t>
  </si>
  <si>
    <t>Maedoúald</t>
  </si>
  <si>
    <t>doseme ase­ gurado que el general Suchet y una división de 4000 hombres ha pasado á la plaza de Lérida, probablemente con objeto de personarse con el mariscal Maedoúald, si este llega á di­ cha pla,za. — Dios guarde á V. E. muchos anos. Tarragona 29 de arrosco de 1810. —Exorno, Sr. — Enrique O-Donell. —* Exorno. Sr. D. Ensebi…</t>
  </si>
  <si>
    <t>Maeeira, Gerónimo</t>
  </si>
  <si>
    <t>Gerónimo Maeeira</t>
  </si>
  <si>
    <t>on Fanón de Ochoa, 65. D. Salvador Porras, 50. D. Eugenio Vizoso, 50. D. Martin Mariñelarena, 12. D. Pedro Ignacio Irigoyen , i&lt;&gt;. D. Juan Trillo. 8. D. Gerónimo Maeeira, 50. D. Sabino de la Pedrueza, 33. D. Rafael Zubia , 20. D. Justo Madariaga, 20. D. Francisco J íuregui por 3a casa de D. Francisco Eíguea , 30. D. Juan Eígu…</t>
  </si>
  <si>
    <t>Maeso, Cayetano Luis</t>
  </si>
  <si>
    <t>Cayetano Luis Maeso</t>
  </si>
  <si>
    <t>.....1 2cS t 8; Doña María-Ana Ramírez de Estenoz. 22JOO D. Francisco Tiburcio de Iturríba'rWá. 2 1 60 D.a María Teresa Montero de la Concha. 7503-14 D. Cayetano Luis Maeso...l.9000 Boulade y Casadavant.......................... ' 3OO78 ' D. Santiago Fautrier......‘iU.'.v../.. 4707. Doña Dionisia de Urrochi.. ■21600 D. Josef …</t>
  </si>
  <si>
    <t>Maestre, Nicolás</t>
  </si>
  <si>
    <t>Nicolás Maestre</t>
  </si>
  <si>
    <t>isario regio ha confirmado pro­ Discurso que pronunció ayer el señor lecíoral de visionalmente en sus empleos y destinos al inten­ esta santa iglesia D. Nicolás Maestre antes de dente corregidor D. Fernando de Osuna, á los oi­ principiarse ei solemne Te Deum. dores de la chancillería, á los iudividuos del ayun­ _ Encargado po…</t>
  </si>
  <si>
    <t>Magarola, Francisco</t>
  </si>
  <si>
    <t>Francisco Magarola</t>
  </si>
  <si>
    <t>l Muñoz , 200. D. Joaquin Micon , 100. D. Jo­ sé Domingo Couto , 100. D. Mariano Pasquel, 100. D. Manuel Elguero , 100. D. Juan Antonio Leunes , 100. D. Francisco Magarola , 50. D. Francisco Guer­ ra , 50. D. Francisco Torres y Juyol, 25. D. Bartolcmé Muriel, 25. D. José de las Plazas , 100. D. Manuel Calvo, 50. D. Francisco …</t>
  </si>
  <si>
    <t>Magarola, Pedro</t>
  </si>
  <si>
    <t>Pedro Magarola</t>
  </si>
  <si>
    <t>pa­ ra que se formen listas ciscunstanciadas de todos ello*. S. M. ha concedido empleos de alféreces, en «I regimiento de Reales guardias españolas á D. Pedro Magarola y al conde de Torrejon, cade­ tes del mismo cuerpo. La Centinela de ¡a patria : con real aprobación de la Regencia de Espafía i Indias, número 5.0 Contiene una…</t>
  </si>
  <si>
    <t>Magdale, María</t>
  </si>
  <si>
    <t>María Magdale</t>
  </si>
  <si>
    <t>... - 57».. -...... 4576 arrendada á Juan Villalba....- 1 66 1 ■" 5*8 Otra, calle de Granada, arren­ Mitad de otra, calle dei Moral, . , ..■ &gt; dada á Doña María Magdale-, arrendada á Gregorio Rosado. m...... 2184 na de Arce............ ............. . 638 5IO4 Otra en id., arrendada á’Jiían Otra, calle de Almaraz, arren­ Xime…</t>
  </si>
  <si>
    <t>Magdalena-Araola, María</t>
  </si>
  <si>
    <t>María Magdalena-Araola</t>
  </si>
  <si>
    <t>Josef Julián Diaz........................ 245 D.* Pedro Fernandez Tavira....... .......- ^3I~*5l Doña Ana Josefa de Huic!................... 5997-17 Doña María Magdalena-Araola............ 54i-i7 D. Pedro Beotas..................................... 35°° D. Dámaso Hermoso.................... ......... 12454..X7 D. Basilio Ramó…</t>
  </si>
  <si>
    <t>Magdonell, María</t>
  </si>
  <si>
    <t>María Magdonell</t>
  </si>
  <si>
    <t>nuel-Moresqui...................... 1440C0 oficinas por.....-..,.-................ ........*. 1.050684 ,31 Doña Antonia Dominga Masip........ . 72000 Doña María Magdonell....... . 4JOQ : . F. D. Josef Sainz de. Raías.......... 26100 Doña Gerónim* .Magdonell.......... . 3000 D. Francisco Rodríguez Puente....... 2700o D. Carlos…</t>
  </si>
  <si>
    <t>Magiscatzin, Juan Faustino</t>
  </si>
  <si>
    <t>Juan Faustino Magiscatzin</t>
  </si>
  <si>
    <t>tado reyno. -- Sala capitular de la muy nob?e, insigne y siempre leal ciudad de Tláscala á 4 de junio de i8io:—José Muñoz.—D. Juan Temas Altamirano.— D. Juan Faustino Magiscatzin.—José Martin de Molina. — D. Mariano Francisco Vázquez. — Tomas Ruiz—Lic. José Dazay Artazo. Die­ go Vicente de Lisa - Manuel María Sánchez y Toraez…</t>
  </si>
  <si>
    <t>Magunos</t>
  </si>
  <si>
    <t>de la divi­ Cadenas Palacios, eo la- vacante de D¿ Antonio sión, no deber marinar sino los ro corsarios y al­ Amar; y para subteniente de la misma á D. Magunos otros baques , sin embargo de qne los que nnel Espinosa de los Monteros , eo ía vacante de destruimos estaban valuados por el mismo enemigo J&gt;- J uao Cadenas Palacios.…</t>
  </si>
  <si>
    <t>Mahí</t>
  </si>
  <si>
    <t>as tropas , se retiró precipitadamente á Benavente. Astorga &gt; tampoco fue embestida , pues Junot con su división está en sus contornos. Parece que el general Mahí une el mando dé las tropas de G?.iicia. al de la quarta división , que estaba á las órdenes del general García., que salió para Badajoz. La divi-</t>
  </si>
  <si>
    <t>Mahi</t>
  </si>
  <si>
    <t>omandante de Astorga á los de León , Labañeza y Benavente , pidiéndoles pronto so­ corro de caballería, y que avisasen al general Kellerman. El mismo general Mahi con fecha del 9 dice á la expresa­ da junta lo siguiente: “Exorno. Señor: en la tarde de hoy he recibido aviso, aunque no de oficio, de que las tropas que destiné á…</t>
  </si>
  <si>
    <t>villa, d &gt;nde se hallaban 400 infantes y 50 ca­ ballos franceses de la división del general Seras. El 16 se in­ corporó con la nuestra, de orden del general Mahi, la partida de Echevarría compuesta de 200 caballos. Sé ha sabido que el mismo dia 16 los enemigos evacuaron á Tabara : que de­ tenidos y aislados por las crecientes…</t>
  </si>
  <si>
    <t>Mahi, Nicolás</t>
  </si>
  <si>
    <t>Nicolás Mahi</t>
  </si>
  <si>
    <t>do á los dos el;as y pasado por las armas k orilla del mismo Aviles. Con fecha de 7 del cojriente-avisa á la junta superior de1 Galicia el Excmo. Sr. D. Nicolás Mahi desde-el quartel ge­ neral de Ponferrada , beber practicado el movimiento de la vanguardia que tenia premeditado ; que el día 4 consternados' los franceses se en…</t>
  </si>
  <si>
    <t>publi car en esta villa un periódico con el título de Correo mili iar y político del principado de As:ínri$$. i Se&gt; ha conferido a! teniente generaí D. Nicolás ‘Mahi la comandancia general del principado: y la misma en segundo al mariscal de campo' D. Francisco Xavier Losada. Los partes de oficio que se han recibido relativos…</t>
  </si>
  <si>
    <t>Mahy, Nicolás</t>
  </si>
  <si>
    <t>Nicolás Mahy</t>
  </si>
  <si>
    <t>guarde á V. E, muchos años. Arrabal de la Puebla á las 2 de la noche del 10 de agosto de 1810. —- Excmo. Sr. — Francisco Tahonda y Gil.—- Excmo, Sr. D. Nicolás Mahy.” El cuerpo del mariscal Mortier se ha retirado hacia Mo­ nasterio, y el quarte! genered del marques de la Romana* está en Zafra. CADIZ 27 DE AGOSTO. Coa fecha de…</t>
  </si>
  <si>
    <t>Mai</t>
  </si>
  <si>
    <t>líricos de Ottochatz y de Lica ocoparon las posiciones formidables de Dobroselo, León 1% de junio. de Nebluc y de Borlchevatz en las inmediaciones El general Mai, que manda un cuerpo de in­ de la fortaleza turca de Vakup: las demas tropas surgentes en Ponferrada y Villatranca , noticioso pasaron adelante , y los regimientos f…</t>
  </si>
  <si>
    <t>l barco tras de su hermano, sado el mismo día el Hope De-Mogador. El capi­ echando al agua un calabrote, logró amarrar otra tán Black dexó la Tama al capitán Mai, y embarcó vez el buque. Los tres peniches , acosados del fue­ á su bordo todos los pasageros y la tripulación de go de nuestra fusilería, tuvieron qué largarse des­…</t>
  </si>
  <si>
    <t>Maiíi, Pedro</t>
  </si>
  <si>
    <t>Pedro Maiíi</t>
  </si>
  <si>
    <t>funcioo. Y.para completar -esta solem­ los pueblos de P íente Don Gonzalo y MirajeaU ai nidad la presidió el señor comisa río regio, aumen­ Biando de D. Pedro Maiíi de cuque, alguacil ma­ tando, con ;u presencia y deypeian el fervor de los yor , ír-s qi’Ies cercaron ia casa, y empezó luego fieles, que se manifestó con repetid…</t>
  </si>
  <si>
    <t>Maíouet</t>
  </si>
  <si>
    <t>nombrados. para cáj5,taoei/, t pfyines Marina á las principales autoridades de esta ciudad. y subtenientes dejas diez.prit¿'et,a5' cóVhps fifís de El conde Maíouet, consecro de Estado, ha los diez batallones dé miiic¡ár cfsícá; cpm dt&amp;so llegado ya aqui, y esperamos á los Reyes de Htr- formarse en ésía capital * los individúa…</t>
  </si>
  <si>
    <t>Maisena</t>
  </si>
  <si>
    <t>octubre. Sus atribuciones tienen por mero dé- ésfe mes se había dado una gran batalla, objeto el responder á las siguientes cuestiones: en la qnal el mariscal Maisena habia .sido hecho i.a ¿Por qué han quedado ¡acuitas las tierra* prisionero 'perdido 27S de su exército. Esta y de las cercanías de Roma? otras poticias disparat…</t>
  </si>
  <si>
    <t>Maitiand</t>
  </si>
  <si>
    <t>ad con su presencia. Las tropas del Reí ha­ ESPAÑA. bían ya salido en número de 1iO- hombres en bus­ Madrid B de febrero. ca de los insurgentes; y el general Maitiand habia también enviado á fines de agosto un fuerte desta­ Antes de Ayer i las dos de la tarde entraron en camento de la isla de Ceilan para reforzar las tro­ est…</t>
  </si>
  <si>
    <t>Malackouski</t>
  </si>
  <si>
    <t>antería, ei 5.0 de infantería gaüitznna del prín­ Estockolmo jo de noviembre de xSoj&gt;. cipe Constantino Czartoriski, ei regimiento de co­ raceros del conde Malackouski, la artillería de á S. M. acaba de conferir la dignidad de gran- pie , el cuerpo de veteranos é inválidos, y un esalmirante del reino, que como duque de Suder—…</t>
  </si>
  <si>
    <t>Malaspina, Alexaodro</t>
  </si>
  <si>
    <t>Alexaodro Malaspina</t>
  </si>
  <si>
    <t>cada día para las ma­ dres y para las hijas, para los buenos y para loa Como de la expedición científica qoe hizo el bri­ malos. gadier de la armada D. Alexaodro Malaspina desde ,,Y veis aqui como en lo mas denso de esta nu­ 1789 á 1794 con las corbetas Descubierta y Atre­ be amenazadora de la guerra triunfó la razón, 6 vida,…</t>
  </si>
  <si>
    <t>Malcolm</t>
  </si>
  <si>
    <t>Gaceta de Madrid n.º 36</t>
  </si>
  <si>
    <t>ara esta capi­ habiendo podido el gobierno dividir en partidas el tal. Desde las cinco estaban sobre las armas y ten­ expresado cuerpo, ha enviado a¡ coronel Malcolm didas desde la puerta de la ciudad hasta el palacio con proposiciones conciliatorias ; pero se ha vuelto real ia guarnición y la guardia nacional. La caballe­ ¿ …</t>
  </si>
  <si>
    <t>Maldonado, Alvaro</t>
  </si>
  <si>
    <t>Alvaro Maldonado</t>
  </si>
  <si>
    <t>.° de infantería de línea , á Don ra Savona. f osef María de la Parra; teniente de caballería de Se están haciendo grandes preparativos en la línea á D. Alvaro Maldonado, y subteniente con iglesia metropolitana de S. Lorenzo para las exS- el sueldo de retiro á D. Manuel de Resa de Haroquias del.duque de Monttbeílo. El señor M…</t>
  </si>
  <si>
    <t>Maldonado, Máximo</t>
  </si>
  <si>
    <t>Máximo Maldonado</t>
  </si>
  <si>
    <t>suplente por idem: D. Andrés Savariego, suplente por idem : D. Salvador S. Martin , suplente por idem : D. Octaviarlo O bre­ gón , suplente por idem: D. Máximo Maldonado, suplente por idem: D. José Maria Gutiérrez de Terán , suplente por idem: D. Pedro Tagíe, suplente por Filipinas: D. José Manuel Couto , suplente per idem: D…</t>
  </si>
  <si>
    <t>Mallada, Josef</t>
  </si>
  <si>
    <t>Josef Mallada</t>
  </si>
  <si>
    <t>...................... 51957 22 D. Luis de Elexaga................................. 3700 81 D. Joaquin Peral................................... 73220 D. Josef Mallada.................................... 1444 D. Juan Teran......... ............................... 200 D. Felipe Prado y Lemas............ . 3249 D. Josef Antonio …</t>
  </si>
  <si>
    <t>Mallen, Pedro</t>
  </si>
  <si>
    <t>Pedro Mallen</t>
  </si>
  <si>
    <t>203324 , 198796 , 199018 , 199321 , 197405 , 193687, 193 697. Y habiéndose extraviado, la persona en cuyo poder se hallen los entregará en Valencia á D. Pedro Mallen, y en Cádiz en casa ce D. Benito Picardo, dei comercio. CADIZ: EN LA IMPRENTA REAL</t>
  </si>
  <si>
    <t>Mallol, Martin</t>
  </si>
  <si>
    <t>Martin Mallol</t>
  </si>
  <si>
    <t>Málaga............. D. Juan Ximeno. Murcia. ..... -Señores Moreda y Ladalid. Oviedo. . ... . Señores D. Manuel Rubiano y Nieto. Palma............... D. Martin Mallol. - Santander. . . . Señores Vidal é hijo. Sta. Cruz de Te-) . , . „ , ’a ■ ‘ nerfe r D. Antonio García Campero. Tarragona. ... D. Ramón de Llordetla é hijo. Vale…</t>
  </si>
  <si>
    <t>Malnéro, Juan</t>
  </si>
  <si>
    <t>Juan Malnéro</t>
  </si>
  <si>
    <t>i.r.6.ú. U 5700 “ D. Manuel:Perez Camino................ 3f 18'. 6 D.- Jorge Similier.-............ ■ 25629 16Í D. Francisco deVárgas.,,....'3753"20! D. Juan Malnéro;.;...-..........: ••■57061 i D. Domingo de-Vengoa jao98.'24T D. Edmundo Bourke............'..s.f;.;i¡Ui; • 97333 25Í D. Joaquín Calvo..........n.i. ..... .46217)…</t>
  </si>
  <si>
    <t>Malouet</t>
  </si>
  <si>
    <t>ia: el 20 en Paris Mr. Fleurieu, ministro que fué de la marina, á quien es deu­ dora de muchos adelantos la geografía: el 23 &amp; los 80 años de edad el doctor Malouet, uno de los médicos mas antiguos y acreditados de Paris; y finalmente Esteban Luis de Geoffroy, decano de la facultad de medicina, autor de varias obras muy estim…</t>
  </si>
  <si>
    <t>Malsburgo</t>
  </si>
  <si>
    <t>Vez retMittfei aí rededor de mí ' •1 «onde Bnsche, ministro plenipotenciario en Ru­ El Empeíador, mi augusto hermano, que se sia ; e! conde Malsburgo, caballerizo honorario; el interesa partipuljirniente por el-bien de-.xste reino principe de I-Iesse Philipstal, caballerizo del Rei; fundado por :íl ¡nismo, ha hecho ahora nuev…</t>
  </si>
  <si>
    <t>Malvasía, Juan Elidió</t>
  </si>
  <si>
    <t>Juan Elidió Malvasía</t>
  </si>
  <si>
    <t>guerra , 52 : herraduras, 2500 : arrobas de clavos, 8. Resumen general, 206.612 piezas. D. Juan Cini, de Mahon , remitió en 21 de diciembre de 1808 á D. Juan Elidió Malvasía , segundo oficial de contaduría en Cartage­ na de Levante , un vale de 300 pesos , de mayo,. número 428338 ; y no habiendo llegado á su destino , se supl…</t>
  </si>
  <si>
    <t>MamuTRifa</t>
  </si>
  <si>
    <t>ESPAÑA. ; Cartdores á caballo á D MamuTRifa*, D. Joa­ quín Vázquez y D. Francisco Bermedó-subtenicn: . Madrid 13 de julio. tes. En el! i.f-de cazadores á caballo á I). Floren­ l~' Pb’r varió* decictos de ió del corriente se ha tino Le</t>
  </si>
  <si>
    <t>Man</t>
  </si>
  <si>
    <t>. Di&gt;:r.t;iu ' de UrrcnsyecFcM............ 1 -34 8x D F•'ancisco Navarro y Belluga........ 4873 17 D.*ña Pascuala de 1 r-uij.ta.............. 101 0 8 D. Man-,I de. Oimo...... ....................... 1985 17 Sres. viuda .te Tronaga é hijos........ 3 s 017 Doña Manuela Barrera............................ 270 2jf D -uta Mana Fe-…</t>
  </si>
  <si>
    <t>Man, Carlos Rodríguez</t>
  </si>
  <si>
    <t>Carlos Rodríguez Man</t>
  </si>
  <si>
    <t>a corrida de toros en la plaza des­ pTomocion de D. Meichor Gorman al de Villa- tinada para estas funciones. Los espectadores, cnmu riel de Campos, á D. Carlos Rodríguez Man- ro número ha sido grandísimo, h,n manifestado jon. tonsurado. Íos mismos sentimientos de alegría y contento que Para el de Villelga, vacante por promoci…</t>
  </si>
  <si>
    <t>Mañana</t>
  </si>
  <si>
    <t>m. El domingo 24 de junio por S. A. S. el prín­ cipe de Bencvento , vice-gran-elector, Mr. el conde TEATROS. de Víllemanci, senador, y Mr. Legooidel, fiscal Mañana en el del Príncipe, á las ocho de la noche, eneral imperial eo el tribunal de apelación de •e executará la tragedia en cinco actos titulada Cclmif Loma. ra. Su aut…</t>
  </si>
  <si>
    <t>Mancha, Francisco</t>
  </si>
  <si>
    <t>Francisco Mancha</t>
  </si>
  <si>
    <t>; tuve en el pueblo la noticia de que estos se me aproximaban, y des­ taqué para reconocerlos una guerrilla al cargo del teniente de mi, re­ gimiento D. Francisco Mancha , quien avistado con «Uos, á cortos instantes Ies fogueó en retirada obligado de la superioridad del nú­ mero hasta la Rivera, que era el punto de mi locació…</t>
  </si>
  <si>
    <t>ron á tiempo por el pronto arrojo de la caballería. Cjníirmado en el buen concepto que ya anteriormente tenia de la intrepidez y pericia del teniente D. Francisco Mancha , no puedo me­ nos de recomendarlo á V. S. muy particularmente , como también á los demas oficiales y tropa que tengo la honra de haber mandado, pues todos h…</t>
  </si>
  <si>
    <t>Mancheño, Francisco</t>
  </si>
  <si>
    <t>Francisco Mancheño</t>
  </si>
  <si>
    <t>ca de Comercio cjue con la real aprobación se halla establecida en la calle del de Xerez. Caballero de Gracia , núm. 9, quarto segundo, baso !a 4.0 A D. Francisco Mancheño, alcalde mayor dirección de D. Miguel Dolz, profesor de matemáti­ de Ecija. cas, se presentaron á eximen público, en el qua! dieron Y á D. Francisco Aranza…</t>
  </si>
  <si>
    <t>Manchtño, Francisco</t>
  </si>
  <si>
    <t>Francisco Manchtño</t>
  </si>
  <si>
    <t>dinario de Malaga , á D. Vi­ cente Antonio de Cárdenas , abogado en AntcqueARTICULO vr. raj y para la alcaldía mayor de Ecija, vacante por ascenso de D. Francisco Manchtño á juez del tri­ Xerez de la Frontera, bunal criminal extraordinario de Xerex de la Fron­ A D. Manuel Beunza, oidor decano de Sevi­ tera, á D. Eufemiano Es …</t>
  </si>
  <si>
    <t>Mandli, Manuel</t>
  </si>
  <si>
    <t>Manuel Mandli</t>
  </si>
  <si>
    <t>a quanto crea conveniente para llenar este Subtenientes. D. Joaquín Sotelo, D. Antonia objeto con arreglo á los establecimientos navales. Mendiberri, D. Manuel Mandli, D. Dionisio Lasart. iii. Nuestro ministro de Marina queda serra , D. Lnis Duran, D. Josef Jáuregui, D. Auun gran chasco el no hacerlo asi. te que su estilo pue…</t>
  </si>
  <si>
    <t>Mañero, Félix Simón</t>
  </si>
  <si>
    <t>Félix Simón Mañero</t>
  </si>
  <si>
    <t>la qual venia dando caza á día de S. Ildefonso, para una canongía de la cita­ un buque mercante cargado de algodón, y á otras da catedral de Burgos: D. Félix Simón Mañero, embarcaciones. Ei fuego de nuestras baterías y los ex-canónigo, para la dignidad de prior de la cole­ preparativos que se habían hecho «n la costa, han gia…</t>
  </si>
  <si>
    <t>Manger, Gabriel</t>
  </si>
  <si>
    <t>Gabriel Manger</t>
  </si>
  <si>
    <t>e Dabaos, y para abande­ rado D. Tomas Molina. i. '............................................................... D. Francisco Barsauti............. D. Gabriel Manger. a *.......... D. Rameo Berreta.......................................................................... D. Josef Paspan Bracho. .............................…</t>
  </si>
  <si>
    <t>Manhés</t>
  </si>
  <si>
    <t>, y á medio día ques también ingleses desde Malta para los puer­ ha entrado en esta ciudad. tos turcos, á fin de dirigirlos desde allí por los ca­ El general Manhés ha quedado encargado del minos regulares de comercio de la Hungría ¿ Vie­ mando de la división napolitana, del de las dos rta y á la Alemania. Entre estas mercanc…</t>
  </si>
  <si>
    <t>Manía</t>
  </si>
  <si>
    <t>de Cádiz para ve­ Para el de S. Andrés de Coin , vacante por re­ nir á Portugal. Con esto se auraeotaráo considera­ nuncia de D. Juan María Arroyo, á D. Manía blemente uuestras fuerzas; pero siempre serán mui "Godoi» presbítero ex-regular. inferiores á las del enemigo, pues si hemos de dar Para el de la de Benamocarra, vacant…</t>
  </si>
  <si>
    <t>Manilla, Proto Alvavez</t>
  </si>
  <si>
    <t>Proto Alvavez Manilla</t>
  </si>
  <si>
    <t>1000. El Sr. D. Eduardo Clough Taylor, por mano del se­ ñor D. Diego Guillermo Glass, 2000. La Sra. Doña Josefa Gamo ríe. da y Lavaggé , 200. El Sr. D. Proto Alvavez Manilla, 1000. El Sr. D. Éstuardo Nesbit Sawers , 1000. El Excmo. Sr. conde de Fernan-Nuñez , 320. El sé- ñor conde de Cumbre-Hermosa , 400. El limo. Sr. obispo …</t>
  </si>
  <si>
    <t>Manqel</t>
  </si>
  <si>
    <t>ban), granadero de nuestra guar­ otros alimentos ; i saber , bneuas carnes , vino , y dia real. el aguardiente. Quando en el desagüe de aguas Rocha ( D. Manqel), sargento de húsares, idem. encharcadas no han faltado á los obreros buenas Rodríguez Fcixoo (D. Sebastian), vecino de la carnes , pan, vino y aguardiente , dicen los…</t>
  </si>
  <si>
    <t>Manr</t>
  </si>
  <si>
    <t>uales hablan empezado ya las hostilidades en­ tre turcos y franceses en las fronteras de Dalmacia. Refieren que los piimeros atacaron el exército del general Manr.ont; que sa­ quearon los pueblos en donde pudieron penetrar , y pasaren á cuchillo a los franceses que encontraron en les hospitales. Pare­ ce , pues , que la Franc…</t>
  </si>
  <si>
    <t>Mansilla, Pedro Josef Diaz</t>
  </si>
  <si>
    <t>Pedro Josef Diaz Mansilla</t>
  </si>
  <si>
    <t>............................ 393-r7 8657 Otra de &lt;5 ceiein. camino del monte, que Otra en dicho sitio, llamada las MajadiJlas de linda á mediodia con D. Pedro Josef Diaz Mansilla , de una fui. y 3 celem., linde á de Yeia......... ............................................... i3 296 norte y mediodía con tierra de D. Pedro Ot…</t>
  </si>
  <si>
    <t>Manso, Vicente</t>
  </si>
  <si>
    <t>Vicente Manso</t>
  </si>
  <si>
    <t>al quarto de la contaduría, 30. D- Bartolomé Cerda, capellán , 20. Id. D. Lorenzo Salas, 20. D. José María Cordero, segundo piloto, 50. Id. tercero j D. Vicente Manso, 15. Id. D. Felipe Losada ,15. (\5&gt; continuará.) CADIZ : EX LA IMPRENTA REAL.</t>
  </si>
  <si>
    <t>Manteufel</t>
  </si>
  <si>
    <t>s, quienes después de una corta resistencia, generales mayores Ilovaiski, Ilamper, Schte­ buscaron su salud en ia fuga , habiendo perdido dos ter, el conde Manteufel, los coroneles Sbieski y barcos que fueron echados á pique, y otros dos Baumgarten, y el mayor de artillería Hoven, y que quedaron en nuestro poder, con ún cañan…</t>
  </si>
  <si>
    <t>Mantilla, Alonso</t>
  </si>
  <si>
    <t>Alonso Mantilla</t>
  </si>
  <si>
    <t>uficientes para manifestar su sincero recono­ da , regidor. cimiento. D. Alonso Pareja, teniente de navio retirado, Sevilla /.* de febrero. regidor. "D. Alonso Mantilla, maestrante de Sevilla , re­ La derrota total que sufrió en Ocaña el exércigidor. ... to de 55® hombres, que reuniendo todos los es— Don Jota es incapaz de ha…</t>
  </si>
  <si>
    <t>Mantilla, Pedro</t>
  </si>
  <si>
    <t>Pedro Mantilla</t>
  </si>
  <si>
    <t>zado Don primeros volúmenes publicados en el tiempo del Amonio Cortés , suprior. coocurso no pasan de esta ¿poca. Exactitud en los Para la de Xerez á D. Pedro Mantilla» ex- hechos; claridad y rapidez en la narración; facili­ agustino calzado» prior y examinador sinodal. dad y corrección en el estilo, y nn caudal de ins­ Para …</t>
  </si>
  <si>
    <t>Manuel</t>
  </si>
  <si>
    <t>Orden Real de España berano á quien conocen por su amabilidad , y por Los Señores los beneficios que experimentan de su acreditado Gómez de Salazar (D. Manuel), obispo de Avila. amor por sus pueblos. S. M. ha recibido cea ternu­ Santander (D. Miguel de ) , obispo de Huesca. ra este testimonio de fidelidad y reconocimiento de …</t>
  </si>
  <si>
    <t>ministerio de Negocios extrangeros. manencia entre V. EE., como igualmente por el Peres de Camino (D. Manuel), ñscal de la junta celo y laborioso cuidado con que ha proporcionado criminal extraordinaria. V. E. las provisiones necesarias para el/destaca­ Peres de la Castellana ( D. Pedro), vice-pre</t>
  </si>
  <si>
    <t>s Cortea y Mala- maestrante de la real de Ronda , y comisario orde­ notte. El tenor Nozzari ha sostenido la reputación nador honorario, y los jurados D. Manuel de la de que disfruta. La sencillez de las decoraciones y Torre , D. Rafael de Entrena, D. Josef de Au-tria, la riqueza de los trages son superiores á todo elo­ D. Jos…</t>
  </si>
  <si>
    <t>s), caporal de granaderos de la guardia todos los ramos del saber, y la instrucción te di­ real, fundirá por todas las clases del estado. Navarrete ( D. Manuel ). „ La educación da á los hombres un nuevo ser Oibaneja ( D. Diego), brigadier de los reales exér« y forma: la que S. M. tiene meditada para que los citos, españoles …</t>
  </si>
  <si>
    <t>del Valle, 1429, l. D. Juan José de Irazava , vecino de Cuerna vaca, 800.'Varios ve­ cinos d í &lt;a jurisdicción &lt;te Hsej'utia, el subde .egado.de ella D. Manuel ú&amp; Guemes y Siena, y ei administrador de tabacos D. i</t>
  </si>
  <si>
    <t>Rafael Ver­ D. Francisco de la Cuerda, obispo de Málaga; y dugo: en el de Córdoba , 7.° de línea, subtenientes para este obispado que dexa vacante á D. Manuel á D. Josef Garda, D. MaDuel de Marios y Don Cayetano Muñoz y Benaveote, auxiliar de la dió­ Josef Gallo: en el de Jaén, 8.° de línea, subte..u-nte cesis de Sevilla: par…</t>
  </si>
  <si>
    <t>o Sánchez.................... . 78540 lado. ■ ■&lt;!_ D. Antonio Rovillar........................... 8014126 En nuestro palacio de Madrid. á a de juufci D. Manuel; Moresqui......................... 263200 de 1810. .r ... Cí 15- Miguel Coronado,......................... 47600 Don Josef Napoleón por la gracia de Diosyprftf Pona Ma…</t>
  </si>
  <si>
    <t>ebastian de Ricos A ltos.............. v 2 r 84 16 D- Josef Maríade Roxas................. 360000 ' ' ' Doña Francisca Antonia Amat4i.r.6.ú. U 5700 “ D. Manuel:Perez Camino................ 3f 18'. 6 D.- Jorge Similier.-............ ■ 25629 16Í D. Francisco deVárgas.,,....'3753"20! D. Juan Malnéro;.;...-..........: ••■57061 i …</t>
  </si>
  <si>
    <t>a .e Roble?.............................. 15148 n) 1). Francisco Viiiaiba y Diaz............. ■421 6 D. Juan Melendez Yaldes................. 321S 24 D. Manuel de las lleras....................... '. 127471 11</t>
  </si>
  <si>
    <t>á* consecuen­ do D. Ezequiel Aaguló'; pUfa" ‘teniente D. Pedro cia* mastft»ri#stasá nuestra.libertad y -á nuestra in- Raíz y Rozo, y para tubtenienfe D. Manuel de depeodeticíatdacíonafU ' :;i v “ Madrid. • • _ ;^Eni este&lt;estado peligroso tos1!infrascritos //- V ' ■ .......■■■’•; ' ; : ' ■ •• ■ berhneH (ciudadanos libres) exhó…</t>
  </si>
  <si>
    <t>s vacantes en di­ Beas at ex-franciscano D. Vicente del Castillo: cha ciudad y pueblos de su arzobispado, hemos para la de Oxíjares al ex-franciscano D. Manuel en aumentar diariamente el- número de las víctimas de Jee y relee la carta que la moribunda le ha escrito, en su seducción. que la informaba de todas las «ircunstancia…</t>
  </si>
  <si>
    <t>ntendente , 72,517 v 5 rs. , v ofrece anualmente 10,145 pesos. D. Manuel del Castillo Negrete , regente que fué de la audiencia de México , y su hijo D. Manuel 1100. El colegio de escribanos de la misma ciudad, 1000. La cofradía de S. Andrés Avdiño , 100. Por conducto del real tribunal del consula­ do de México se entregaron …</t>
  </si>
  <si>
    <t>ante por muerte de , Para el de la iglesia parroquial de S. Cecilio de D. J osef Antonio Martínez, á D. Juan P¡zarro„ la misma, vacante por muerte de D. Manuel de ex regular del órdea de agustinos calzados. Es tan grande la confianza que inspira á las gabelas ría (1). Y.i fe que si esto era asr, nada habrían perdlsu propia in…</t>
  </si>
  <si>
    <t>amigo: «t inquisición de Sevilla, y varios generales collo­ ¿rden á noticias estamos en tinieblas ¡ pBes se ha­ nes &amp;c. &amp;c. Mario el teniente de reí D. Manuel bla con tanta variedad, y se miente tan á bandeClairac, y han dado su vacante á Mendoza» coro* ras'desplegadas, qne no se puede atinar : se ha di­ oel que fue de Alcánt…</t>
  </si>
  <si>
    <t>sultas,M&gt;assena tuvo que dqstá&lt;?^ir ; 4 psgbnientos de dragones^ para jguamécer el cami­ no desde Ciudad-Rodrigo hasta Salamanca. l^i ^te rpi^mo .mes D. Manuel .Pastrftna peleó entre Mi­ guel turra y Almagro con 120 infantes y 80 caballos francesesj les- mfttóc5. hombres ,:hirió:mayor-número, y cogió varios des­ pojos. --- £)…</t>
  </si>
  <si>
    <t>n ), capitán de artillería, idem. Latdeiin (D. Miguel), idem de idem. Desmolands (D. Josef). Lamotte (D. Pedro Claudio), sargento primero Dessailli ( D. Manuel), sargento de granaderos de de granaderos, idem. nuestra guardia real. Lancarte (D Juan), comandante militar del dis­ Diaz Ortega (D. Juan), teniente coronel reti­ tri…</t>
  </si>
  <si>
    <t>(D. Pedro), granadero, idem. Lorieux ( D. Juao Bautista) , cabo de caballería li­ Roujon (D. Pedro), capitán de tiradores, idem. gera , ídem. Rubio ( D. Manuel} » arcediano de .Huesca. Louerte (D. Joan Crisóstomo), teniente de arti­ Ruiz ( Miguel), húsar de nuestra guardia real. llería , ídem. Salazar ( i&gt;. Felipe ), tirador,…</t>
  </si>
  <si>
    <t>ento de habitantes de aquellas remotas regiones. Este vía- Jaén, 8.° de infantería de.línea. ge interesante se ha publicado poco há en leogua Bcitia (D. Manuel), tirador de nuestra guardia alemana con el título de viage d la Noruega y d real. la Laponía , por Mr. Leopoldo de Buch , mienta Bodnar (D. Juan), soldado del regimie…</t>
  </si>
  <si>
    <t>que vive D. Félix de Aguiíar. 660 S28*. Otra, calle de San Francisco, Otra, calle del Salto del caba­ arrendada á las hijas d¿l di­ llo*. arrendada á D. Manuel funto Antonio Ximenez......... 154 1232 de Torres............................. . 5*3 .4224 Otra, calle de Montenegro, en Otra, en la calle Puerta de Pal­ la que vive P…</t>
  </si>
  <si>
    <t>; D. Joaquín Sánchez Cal­ compañía. Para capitán de esta compañía osrá derón teniente, y D. Miguel Palomino -subte­ nombrado D. Juan Josef de Galvez; D. Manuel niente. Diaz para teniente, y D. Tomas, Martínez para art. xvit. Nuestros ministros de lo Interior subteniente. y de la Guerra quedan encargados de Ja ex£cucÍon¿ . art…</t>
  </si>
  <si>
    <t>Manuel, Josef</t>
  </si>
  <si>
    <t>Josef Manuel</t>
  </si>
  <si>
    <t>arlos Aupetit...................... .......... 833111 D. Pedro Segando García Domínguez. 38:60 D. Miguel López............................ 4098 ic(&gt;. D. Josef Manuel de; lzaguirrc.......... 108000 D. Francisco Rodríguez de la Huerta. ,42°8 11 DoñacRnsa de Ja.Peña,,,................ 210000 D. Pedro JosefRecarte»...... 380 D. M…</t>
  </si>
  <si>
    <t>* de D. R. *nv-n de Fortuondo.. 2l66 D. Eusebio Bravo.................................... 243G 2 &gt;4 D o fu M «rit Josefa Olarrima.............. 721 % D. Josef Manuel de izagurre............. 3°10 D. Juan Trsefde Ojanpnren.,........ ... 33,-3 -■s -% •j&gt; D. Santiago Sedaño................................. 992 2j2 D. Di&gt;:r.t;iu …</t>
  </si>
  <si>
    <t>;.'.ÍL...... 58129 20 Deña Micaela Faurdinier............¿'.í.'.'.' ■ 6688 X1 ' Doña'María Angela-de-Azpiroz.12240 D. Simón Medrano............ a,'27 D. Josef Manuel lzaguirrc.................. 10800 D. Francisco Antonio de Rivacoba... 8754 8i Doña María Eugenia Zubiaga , por sí, D. Francisco de Iturríbarria..............-1 1…</t>
  </si>
  <si>
    <t>Manuel, Juan</t>
  </si>
  <si>
    <t>Juan Manuel</t>
  </si>
  <si>
    <t>a, vacante por muerte Para el de Saeiices del Rio , vacante por muer- de D. Aniceto Diez , á D. Pablo Laiz Fernandez, te de D. Cristóbal Paniagua , á D. Juan Manuel tonsurado. Perez, presbítero , cura de Salió. Y para el de Oreonagar vacante por muerte de Para el de Santiago de las Villas, vacante por D. Juan García Miranda,,…</t>
  </si>
  <si>
    <t>D. Luis), granadero de nuestra guardia mensiones , y los parages que deben ocupar. El real. maestro de maniobra» les enseñará en qué consis­ Aidania (D. Juan Manuel de), prebenda do de tan los aparejos de un buque, h firmeza, asiento, Salamanca.</t>
  </si>
  <si>
    <t>Manuel-Moresqui</t>
  </si>
  <si>
    <t>............... 39372 3* articulo i. „ Se declaran acreedo- • .&lt; Doña Bernarda, pjaz,...... 21900 res del Estado al Monte pió de reales —-—B‘. , rV¿, D. Manuel-Moresqui...................... 1440C0 oficinas por.....-..,.-................ ........*. 1.050684 ,31 Doña Antonia Dominga Masip........ . 72000 Doña María Magdonell..…</t>
  </si>
  <si>
    <t>ManuelEligió</t>
  </si>
  <si>
    <t>dvertencia inñciooa D- Joan López Qucvedo, capitán» á ayudan­ ál ninó quando te le vacuna» y le complica ó vi­ te primero-' !" cia la vacunacionr ' ’ D. ManuelEligió -ic eapitan en la Tacante de Se observan mui comunmente esta clase de D- Juaa Lopes.Qacved^i, acontecimientos entre las. parteras que operaron en art. ir.K En ei…</t>
  </si>
  <si>
    <t>Manzanares, Nicasio</t>
  </si>
  <si>
    <t>Nicasio Manzanares</t>
  </si>
  <si>
    <t>lesia de Avila, vacan­ te por fallecimiento de D. Antonio Ruiz Hernán­ quaodo aquella llegó. La escolta mandada por el señor Delgado dez de Larrea: á D. Nicasio Manzanares, presbí­ sostuvo el combate con macho valor 1 ¿ impidió tero y ex-agonizante, para una ración de la cate­ que el enemigo tocase al convoi. Luego que las dr…</t>
  </si>
  <si>
    <t>Manzanares, Tomas</t>
  </si>
  <si>
    <t>Tomas Manzanares</t>
  </si>
  <si>
    <t>re, y D. Francisco Mo­ ren za ; tenencias , á D. Antonio Fernandez, D. Fernando Azevedo , y D. Francisco Venegas; y subtenencias, á D. Patricio Auge, D. Tomas Manzanares, y 1). José María de Otero ; y en el batallón de tiradores de Ciudad-Rodrigo subtenencia , á Don Pablo del Val.</t>
  </si>
  <si>
    <t>Manzanera, Leandro</t>
  </si>
  <si>
    <t>Leandro Manzanera</t>
  </si>
  <si>
    <t>qttiaro. El cura D. Jote Joaquín Escarzaga, 25. D. Francisco Ve11ot, 50. D. Pedro Barraza, 13. D. Julián y D. Juan Torrijas, 22. Don Rafael Peña, 10. D. Leandro Manzanera , zoo Varios individuos, 71 y 4 rs. {Se continuará.) CADIZ: EN LA IMPRENTA REAL.</t>
  </si>
  <si>
    <t>Manzanilla, Josef</t>
  </si>
  <si>
    <t>Josef Manzanilla</t>
  </si>
  <si>
    <t>o de Mora y Lomas. su bordo. Una embarcación inglesa de comercio, D. Nicolás de la Iglesia Le roía. que llevaba quatro cañones con el objeto solamen­ D. Josef Manzanilla. te de hacer el saludo y salvas, se presentó pocos D. Francisco Rodríguez Ledesma. dias há enfrente de los castillos, y quiso pasar el D. Francisco Bernabeu.…</t>
  </si>
  <si>
    <t>Manzano, Francisco</t>
  </si>
  <si>
    <t>Francisco Manzano</t>
  </si>
  <si>
    <t>scobar, 100. D. José Miguel de Musques, 20. Doña María Gertrudis y Doña María Francisca Musques y Lariz, 12 pesos , y otra tanta cantidad anualmente. D. Francisco Manzano, 50. La provincia de Guanaxuato en dos remesas , incluso el intendente , 72,517 v 5 rs. , v ofrece anualmente 10,145 pesos. D. Manuel del Castillo Negrete ,…</t>
  </si>
  <si>
    <t>Manzano, Francisco de Paula</t>
  </si>
  <si>
    <t>Francisco de Paula Manzano</t>
  </si>
  <si>
    <t>. An­ do D. picolas Vázquez. drés de la Bermeja. Para lá segunda de la misma iglesia al ex-do- art. ii. Si de la liquidación ‘dél valor de di­ minicb D. Francisco de Paula Manzano. chas sacristías résulta qüe el de algunas asciende 6 Para la de Álbuñol al ex-franciscano descalzo pasa de 5© rs. anuales^ «a dividirán en dos, co…</t>
  </si>
  <si>
    <t>Manzano, Pedro Miguel</t>
  </si>
  <si>
    <t>Pedro Miguel Manzano</t>
  </si>
  <si>
    <t>an­ D. Juan Rafael Panlagua, de S. Miguel ; Don cisco Melchor de Prbgo, D. Juan Miguel Eche­ Francisco Morales, del Sagrario de la catedral; verría y D. Pedro Miguel Manzano. -D. Miguel Cañnelo, de Santa Marina; D'. Joan Ademas S. M. se informó mui por menor de del Pozo y Onievá , de S. Pedro; Dr. D. Rafael estos sugetos de t…</t>
  </si>
  <si>
    <t>Maorique, Antonio Guarnan</t>
  </si>
  <si>
    <t>Antonio Guarnan Maorique</t>
  </si>
  <si>
    <t>z^j. r Capitán ., .üi G;/ óiíi mo Pie*LX.ata(nilIo. - ¿- ¿ Cap.itjnr,xD.' ij nsefi&amp;ío»£scafrtch^p^iu &gt;3 Teniente, l). A-»¿ei Gatpía. ' , .. Teniente, D. Antonio Guarnan Maorique, '!5¿Jbteni9n?e, Di M¿nuét' Dí-izDomíngiietf.' Siibteniehte, D. JuVn^tfe Btiega. ■ * ' v" ‘ J .irv.t.T otl-.t-í -G ;!*J..O Dos compuñírir; en.Chincho…</t>
  </si>
  <si>
    <t>Mar</t>
  </si>
  <si>
    <t>ara te­ -r. 'Pará el'sd^uuddviurato de ia^de Sra: María de nientes i D. Juan Fernandez Caballejo y -D. Fe­ la «illa de JBaepa ¿-vacante por muerte de D. Mar­ lipe Carrillo, y para subtenientes i D. Pedro Al­ tin hAdprfeste, f ai 'presbítero D. JoseF Gutiérrez vares y D. Joaquín Laguna. Igualmente ha deter­ Rabé. -rx-v-i ■'! '…</t>
  </si>
  <si>
    <t>predicar á sus feligreses la palabra de Dios , y •1. desenlace;sea natural. Este es el defecto esencial retido de conducirse en este ministerio, por, D. Mar nuél Josef Palomares. Se hallará á 4 rs. en las librerías ¡de djeha pieza; Por ,1o que hace al estilo es mui de la Viuda de'Qiirbga, calle de las Carretas, y de-correcto,…</t>
  </si>
  <si>
    <t>ha acred taño de nuevo la fama que tiene de ser uno de 1 s &lt; fieiale»s mas dist’nguh os del exérciio, Eos capitales D. Joaquín de Arespaoo»-ha^a , y D Mar</t>
  </si>
  <si>
    <t>poso si pemianeeia en Guadalaxara. El resultado fué que José, sin pasar &amp; Sigiienza, se volvió á Ma­ drid el dia SO. En el momento, la caballería del coronel Mar­ tin , mandada por D. Saturnino Albuir y D. Jo. é Mondecleu y la partida de D. Raymundo Hernando, se dirigieroná la reta­ guardia de la escolta, y con efecto pelearo…</t>
  </si>
  <si>
    <t>200. D. Jo­ sé Ramón Recaño.., 100. Guivcrt y Tulsó , 100. D. Valentín . Revilla, 200. Viuda de Torre y compañía , 100. D. Valentín de Huerta , 100. D. Mar­ tin Oiazagasti, .100. D. .Lian Francisco de Abarca , 100. D. Melchor de Aja­ ría, 100. B. Juan José de Iraeta , 100. D. Antonio Zúñiga, 100. D. Mar­ tin Sánchez Serrano, …</t>
  </si>
  <si>
    <t>Mar, Angel Barluce</t>
  </si>
  <si>
    <t>Angel Barluce Mar</t>
  </si>
  <si>
    <t>dor, pues me pien­ tes de infantería de línea á D. Mariano Cabrero, so pasar á la plaza» y retirarme del servicio, pues subteniente dé infantería , á D. Angel Barluce Mar- . ya no sufro mas injusticia i han puesto aqui ai bri­ fil de Croixj subteniente del regimiento de ¡rifad- ' gadier González , para que de acuerdo dirijamo…</t>
  </si>
  <si>
    <t>Mar, Antero</t>
  </si>
  <si>
    <t>Antero Mar</t>
  </si>
  <si>
    <t>rugía París ap de junté. en la artillería, tren y equipages de la misma guar­ S. A. I. y R. el gran duque de Wurtzburgo dia real ¿ D. Manuel Giraud y D. Antero Mar­ •ale mañana de esta corte para sus estados. tínez. , Eii la propia forma se ha servido S. M. nom­ ESPAÑA. brar segundo teniente del cuerpo de artillería, con dest…</t>
  </si>
  <si>
    <t>Mar, Gregorio S</t>
  </si>
  <si>
    <t>Gregorio S Mar</t>
  </si>
  <si>
    <t>, 79. D Hermenegildo Perez, 25. Va:ios vecinos, 60.--S. Dimas- D. Franc'sco -Al ian Génzalez^; 105V Varios individuos, ..yo. — Parral. El subdelegado D Gregorio S Mar­ tin, 10. Alcalde de primer voto^D - -.Gabriel Apodaca; 4o. Id. de 'sé-: gundo D. Gerónimo. Rey noso, io. D. JacpbpsBeLo^ "&gt;idov P. * Juan. Jg-nació SalazarT, 2…</t>
  </si>
  <si>
    <t>Mar, Josefa</t>
  </si>
  <si>
    <t>Josefa Mar</t>
  </si>
  <si>
    <t>D. Francisco de las Barreras....;........... 6390 D. Andrés de Saucal........... -...... ......... *4079-l7 D.-Mariano Blancas............... 9725 ' Doña Josefa Mar&amp;illa de Teruel........ . 361 Doña Gabriela López....,.....-»,,....... 3 2594..30 ' Doña Gabriela López , viuda. de Don La*marquesa de Branciforte............... .…</t>
  </si>
  <si>
    <t>Mar, Manuel María</t>
  </si>
  <si>
    <t>Manuel María Mar</t>
  </si>
  <si>
    <t>taluña: D. Alonso Maria de la Vera y Pantoja , por la ciudad de Mérida: D. Antonio Capmani, por Cata­ luña : D. Juan María Herrera, por Extremadura : D. Manuel María Mar­ tínez por ídem: D. Alfonso Nuñez de Haró, por la provincia de Cuen­ ca: D. Pedro Antoniode Aguirre, por la junta superior de Cádiz * Don Joaquín Tenreyro Mo…</t>
  </si>
  <si>
    <t>Marañen, Vicente</t>
  </si>
  <si>
    <t>Vicente Marañen</t>
  </si>
  <si>
    <t>677 D. Francisco Nicolás de la Torre. D. Francisco Saez. D. Diego del Rio. D. Francisco Acevedo. D. Luis Bordeta. D. Roque Bunio, hijo. D. Vicente Marañen. D. Agustín de la Canal. D. Domingo Villamil. D. Agustín del Mazo. D. Isidro Gutiérrez. Tenientes. D. Manuel González del Rio. D. Josef Ramón de Aguiar. D. Domingo Prieto. …</t>
  </si>
  <si>
    <t>Marbella, Agustín González</t>
  </si>
  <si>
    <t>Agustín González Marbella</t>
  </si>
  <si>
    <t>capitán enlar y por el papel qae hizo en los alborotos de del regimiento de Málaga , 6.° de infantería de lí­ Granada. 1 nea , al teniente del mismo D. Agustín González Marbella j de julio de 1S10. ,, Mi mas esti­ de Fuentjalida; tenientes en el mismo regimiento k mado amigo: ahora que sondas ocho de la mañana D. Nicolás Gubo…</t>
  </si>
  <si>
    <t>Marcelino</t>
  </si>
  <si>
    <t>que el exército británico no de­ Salas { D. Ramón de ), intendente de Guadalaxara. ba nada á esta provincia; pero si acaso, he manda­ Sánchez Rangel (D. Marcelino ) , canónigo de Sa­ do al comisario general pague quanto se deba, delamanca. xando aquí una persona que cancele qualqutera Tejada ( D. Miguel de ), intendente de Pa…</t>
  </si>
  <si>
    <t>u termómetro subía estando expuesto á Estapo (D. Elias), soldado del regimiento suizo, los rayos del sol á media noche, el terreno estaba Frinhhertz (D. Marcelino), mayor del mismo cqhierro de plantas en una elevación de 210 toe­ cuerpo. sas ■sesee el nivel dci Océano. Entre ios 69 y 7a9 Garro (D. Juan), comandante de batalló…</t>
  </si>
  <si>
    <t>Marcelo</t>
  </si>
  <si>
    <t>ef Napoleón'por la gracia de'Dios y rio secretaría de&gt; Estado. . Tblo*á’(marques de). por la constitución del, estaco , REI id^.L^s' J^spaTríchaertz (D. Marcelo), comandante de batallón.. fias y de las Indias. .. -,t Valióla'(D. Antonio;), comandante interino d* Oído nuestro gran ¡ponsejo, de lá Qr'de? Real, - tiiarina en Bil…</t>
  </si>
  <si>
    <t>Marchal, Pedro Anselmo</t>
  </si>
  <si>
    <t>Pedro Anselmo Marchal</t>
  </si>
  <si>
    <t>722 D. Pedro Anselmo Marchal................ 39242 10 D. Sebastian Esclarmonda................... 536 D. Josef Pelaez....................................... 9876 D. Rafael Diez de Vega.................... . 1127 1 D. j</t>
  </si>
  <si>
    <t>Marchámalo, Francisco</t>
  </si>
  <si>
    <t>Francisco Marchámalo</t>
  </si>
  <si>
    <t>lón del quartel del Barquillo. D. Gaspar B usá. D. Narciso B.*sia. Capitanes. D. Francisco López de Moya. Marques de Canillejas. D. Manuel Barraltes. D. Francisco Marchámalo. D. Rafael de Yarce. D. Rafael Riesco. D. Clemente Meibicl. D. Manuel Palomino Lozano. cuela del hombre sensible, donde se aprenden las ver­ tiene á la v…</t>
  </si>
  <si>
    <t>Marchand</t>
  </si>
  <si>
    <t>s columuas in­ glesas vinieron én orden cerrada, y protegidas por ¿ na nume­ rosa-artillería, cargaron esta división y la obligaron á retirar­ se. El general Marchand que debía sostener este ataque, to­ mó posición para contener al enemigo. Los ingles: s no se atre­ vieron á adelantarse a mas de300 toesas de su línea de bata­…</t>
  </si>
  <si>
    <t>Marco, Baltasar</t>
  </si>
  <si>
    <t>Baltasar Marco</t>
  </si>
  <si>
    <t>diligencias de inventario, D. Saturnino Andrés. nombrando por defensor de dichos herederos ausentes D. Ja fian Vie jo. al procurador de este juzgado D. Baltasar Marco, 3 D. fíónífício Zaldivar. cuya ihstanch» en 13 del corriente por el Sr. D. León ; D. Manuel Eugenio. 1 de Sagasta, caballero de la Orden Real de España, del ar…</t>
  </si>
  <si>
    <t>Marcolini</t>
  </si>
  <si>
    <t>a de S. M. el Empera­ do; pero fneion inútiles todos los socorros que se dor de Rusia. ]e prestaron , pues espiró $. A. al llegar el médico, S. E. el conde Marcolini se ba detenido en í las seis horas de haberse despedido de su herma­ Leipsick con motivo de la indisposición de su esno el duque de AuguAcinburgo, qué llegó á es…</t>
  </si>
  <si>
    <t>Marcos</t>
  </si>
  <si>
    <t>endo prisionero dos sus excesos; corrió con Zarandona la merindad en Santander á mediados del año próximo pasado, de Arratia ; asistió á los robos de D. Marcos de á tiempo que le conducían para Francia, huyó cer­ Gordia, D. Juan Ramón de Aguirre y de D. Ge­ ca de esta villa; se entregó desde luego al desor­ rónimo de Campos, …</t>
  </si>
  <si>
    <t>Fernán Ntm-z, Aguilar, D. Francisco Fmandez del Pino y D. Josef Mier; Puente D. Gonzalo, Jauja, Benamexí, Montctnapjfa 'as do9 resultas ha nombrado á D. Marcos yor. Espejo y Rote, y las ciudades de Montiila ..rtin Ovi d&lt;&gt; y á D. Tomas María Romero. y Lucena. En todas p,rres ha quedado mui satis­ Igualmente ha promovido á fi'c…</t>
  </si>
  <si>
    <t>Marcos, Mariano Antonio</t>
  </si>
  <si>
    <t>Mariano Antonio Marcos</t>
  </si>
  <si>
    <t>Miguel de Corres......... ............. . 140000 articulo i. ,,Se declaran acreedores del Es­ D. Jcwef López de Arcos................. 120000 tado á D. Mariano Antonio Marcos, ex- reli­ Rs. Mr*. gioso francisco................................. 44000 D. Francisco Moreno, ex-religioso Doria María Ignacia de Romate y lego de car…</t>
  </si>
  <si>
    <t>Margolie</t>
  </si>
  <si>
    <t>ha inquietud. Los ingleses han empleado toda su astucia para em­ peñarla á ir al golfo donde ellos tenían varios bu­ Del j. , ques de guerra; pero el capitán Margolie ha sabi­ Se - sabe que el gobierno ha recibido aviso de do frustrar todas sus estratagemas. que la esquadra de Tolon , mui superior en fuer­ zas á la nuestra qu…</t>
  </si>
  <si>
    <t>Margolle</t>
  </si>
  <si>
    <t>uso un cuerpo considerable que Según las noticias de Italia la esquadrüla'ita­ se ha dirigido á las órdenes de Nd hácia el'Sud liana , mandada por el capitán Margolle, se halla por el-lado de Badajoz-, ascienden á unos 60® hom­ actualmente eii Anconi, y" ha logrado intimidar al bres. Los oficiales ingleses han formado mal con…</t>
  </si>
  <si>
    <t>Margolté</t>
  </si>
  <si>
    <t>EL REINO DE ITALIA. REI. = Pof S. M. su ministro secretario de EstaMilán ay de junio. dq=Pirmado—Mariano Luis de Urquijo.” El día 30 por la mañana el capitán Margolté, LIBRO.’ comandante de la división marítima de Aocona» Tablas para la reducción de los pesos y medidas de avistó una fragata y un brick. enemigos que se ha­ Fra…</t>
  </si>
  <si>
    <t>Mari</t>
  </si>
  <si>
    <t>jo. Capitanes. D. Angel Machado. D. Antonio Fuentes. El marques de C &lt;mpo Villar. D. Bernabé Fuentevila. El marques de Cevados. D. Agu stin Chavarri. D. Mari, no Villodas. D. Faustino de Nieva. D. Bernardo Dios dado. D. Mateo Casado. D. Ji-sef Ibaceta. D. Joaquio Palacios. Subtenientes. D. Mariano de San Juan. D. Dámaso Machu…</t>
  </si>
  <si>
    <t>acultativos la utilidad de las obras prácticas de Almeno i. „ Se declaran acreedo- . esta clase, no puede dexar su estudio de ser en tes dei eswÍMo á D. Mari.no Bernardo,r 1 gran manera provechoso á los sabios , que dedica­ n-ritario general de capuchinos por la dos á eximí.iar los hechas jí observación :s de cier­ soma de• p…</t>
  </si>
  <si>
    <t>Mari, Mariano</t>
  </si>
  <si>
    <t>Mariano Mari</t>
  </si>
  <si>
    <t>Subtenientes. D. Juan Francisco Pastor. D. Tomas Mari. D. Policarpo Saez de Tejada Hermoso. D. Felipe Colmenares. EL marques dei Valle de la Paloma. D. Mariano Mari. D. Estéban Corones Alberola. D. Joaquín Manuel de Villalba. Tenientes. D. Juan Manuel Valenzuela. D. Francisco Flores. D. Josef Antonio Rivas. D. Ramón Fernandez…</t>
  </si>
  <si>
    <t>Mari, Tomas</t>
  </si>
  <si>
    <t>Tomas Mari</t>
  </si>
  <si>
    <t>Antonio San Germán. D. Juan Puente. D. Manuel Carranza. D. Jnan Verdes Montenegro. D. Nicolás María Bretnond. Subtenientes. D. Juan Francisco Pastor. D. Tomas Mari. D. Policarpo Saez de Tejada Hermoso. D. Felipe Colmenares. EL marques dei Valle de la Paloma. D. Mariano Mari. D. Estéban Corones Alberola. D. Joaquín Manuel de V…</t>
  </si>
  <si>
    <t>María</t>
  </si>
  <si>
    <t>hasta la una del dia audiencia á to­ viage que ha hecho á S. Polten. dos sus súbditos sin distinción: recibió por sí mis­ Al llegar i Burkersdorf la Emperatriz María mo los memoriales que le presentaron, y todo elf Luisa se despidió de la caballería húngara que la mundo salió de la audiencia lleno de complacencia había escolt…</t>
  </si>
  <si>
    <t>magnificencia en esta capital la fiesta anual de Ja exaltación de S. M. GRAN DUCADO DE FRANCFORT. el Emperador Alexandro al trono de Rusia. S. M. la Emperatriz María saldrá mañana para Twer. , Francfort 11 de abril. Dícese que se publicarán mui pronto varios es­ * I&gt;el ag- tatutos concernientes á la confederación del Rin; Nne…</t>
  </si>
  <si>
    <t>dor Napoleón Los voces que han corrido de que se iba á pro­ con motivo de su matrimonio, • hibir la importación del café en los estados aus­ S. M. la Emperatriz María y la gran duquesa tríacos sin permiso especial del gobierno, ba au­ Ana Pdwiowna han llegado á Tvver por Nowo- mentado repentinamente la concurrencia de com­ go…</t>
  </si>
  <si>
    <t>, &lt;1 D. Dcogtacias Cardenal—..........'^.í.... &gt;yijl Di Simon de TPrres.-..'.v.....v.. , 548 ¿ .'1 D. Pedro Baille y compañía..........;. 79315.J,7; Doña María dcl Cármen Herrau....... 115 50' Doña Anai Josefa Tavira..—. a /»•*!••&lt;*#' ;901^17' D.Ramón y D.? Micaela Merino, y en ! Dpña .María Bracha 8.a rinñññabre D. Gárlos Mi…</t>
  </si>
  <si>
    <t>2895 81 Doña María Ignacia de Recalde......... 10800 Doña Juana de Urquijo, como totora D.a Rita de Vivero y Cabeza, por ma­ y curadora de sus hijas Doña María no de su marido D. Simón Medrano. 14602 17 y Doña Matilde de Soto y Urquijo. 10389 D. Santiago Antonio de Urizar............ 12240 D. Juan Peñalver....................…</t>
  </si>
  <si>
    <t>al mon­ baxa de lo alta de las viñas de los Frailes, te de Valdemoro......................................... 54-*7 1199 y al mediodía con tic ra de Doña María ©tra en eisitio de las Cabezas, de una fan., Ramirez. ..................................................... ,j 23..17 5 *7 linde tierras del concejo de Malpardo y Otra…</t>
  </si>
  <si>
    <t>Maria</t>
  </si>
  <si>
    <t>y Ochenta y cinco marjales de tier- ' * t pago, contigua al mismo ca­ ra de secano, en término Hamino , con $3 marjales de tier­ ledin, arrendados á D. Maria­ ra de riego, olivar y viña, ca­ no Puerta................................ 2COO 34000 sa y bodega.......... . T...... . 1360 16320 Cincuenta y seis marjales de tier­ Qua…</t>
  </si>
  <si>
    <t>s, y *• 1 Win Jsor 4 de noviembre. ' que su vida se prolongará todavía mucho tiempo. ; ,, El Rei rto‘está hoi peor, sin embargo de que La salud de la princesa María se ba alterado tam­ »» S. M. no ha dormido na.la en la’ noche anterior.” bién; pero por fortuna su indisposición es leve"y TI. R. Reinclds, IT. Malford, W. Ileber…</t>
  </si>
  <si>
    <t>María, Alomo</t>
  </si>
  <si>
    <t>Alomo María</t>
  </si>
  <si>
    <t>nceses inspira una grande confianza , y Bochirii ( D. Juau), subteniente de artillería. pondrá al abrigo de los insultos del enemigo núes-- Carrillo (D. Alomo María), regidor de Jaén. tras costas y nuestras aguas. La pequeña isla de Ctstejon (D. A’onso), intendente de Segovia, Lissa, cerca de las costas de la Dalmacia, es ti …</t>
  </si>
  <si>
    <t>María, Francisco</t>
  </si>
  <si>
    <t>Francisco María</t>
  </si>
  <si>
    <t>dos en la historia de la de Valladolid, para la dignidad de maestres­ de las naciones, y en el arte de preservarlas de cuela en esta misma iglesia: á D. Francisco María sus males ; y que abusando de los nombres de li­ de Barcena , beneficiado de la parroquia de S. Pe­ bertad , de patriotismo , y aun de religión , exáldro após…</t>
  </si>
  <si>
    <t>María, Joan</t>
  </si>
  <si>
    <t>Joan María</t>
  </si>
  <si>
    <t>n de), magistral de la catedral de otra parte, los amantes de Ja humanidad se com­ Jaén. r placerán sin duda al ver que en Inglaterra bai to­ Torre ( D. Joan María de la ) , corregidor de Baeza. davía ciudadanos ilustrados y hombres generosos Vago ( ü. Juan Bautista) , comandante de la guar­ que se atreven á hablar á su gobie…</t>
  </si>
  <si>
    <t>María, Joaquín</t>
  </si>
  <si>
    <t>Joaquín María</t>
  </si>
  <si>
    <t>imponderable júbilo de re­ Hemos decretado y decretamos lo siguiente : cibir en esta villa al REI nuesrro Señor, que Dio» articulo x. ,, Nombramos á D. Joaquín María guarde. Los habitantes, libres ya del terror con Sotelo, nuestro consejero de Estado, por nuestro que los enemigos de la patria tenia i oprimidos su* comisario r…</t>
  </si>
  <si>
    <t>María, José</t>
  </si>
  <si>
    <t>José María</t>
  </si>
  <si>
    <t>pbpsBeLo^ "&gt;idov P. * Juan. Jg-nació SalazarT, 20 D. Joan. José Elorriaga , Miguel Valerdr, 70. D. Ignacio. Posadas , 12. D. Basilio Gutiérrez, 'io?* D. José María, Ponce, 10. D. Francisco Cienfuegcs, 30. D. José Crivelli, 35, D. Fernán-, do Maynez , 8. D. Juan Ceballos, 20. D: Francisco Oírnos i SO V. Fran­ cisco Xavier Chav…</t>
  </si>
  <si>
    <t>, 15 D. Manuel Camarero, 25. Don Pedro Barraza, 12. D. Rafael Lara, 5. D Rafael Sánchez A varez, 12. V^ios individuos, 63. — Cuencamé. El subdelegado D. José María Du­ ran., 50. D. José Esparza, 100. D. José Horna, 6. D. Juan Bautista Bonifaq, 5. D. José Joaquín Lugo, 5. D. Julián Rivas, 5. Manuel Frayre, 5. D. Vicente Valdes…</t>
  </si>
  <si>
    <t>María, Josef</t>
  </si>
  <si>
    <t>Josef María</t>
  </si>
  <si>
    <t>te de batallón D- Benito Pardo de Figueroa, teniente general, y del regimiento núm. i.°, brigada irlandesa. nuestro ministro en S. Petersburgo. Lanz (D. Josef María), gefe de división en el mi­ art. it. Nuestro gran canciller de la Orden nisterio de lo Interior. queda eocargado de la execucion del presente de­ Mazon Correa ( …</t>
  </si>
  <si>
    <t>do Mariano Luis de Urquijo.” les , D. Josef Saenz de Ramírez , D. Diego de la Extracto de las minutas de la secretaría de Barrera, D. Diego de Lora , D. Josef María de Estado. . Cnbas , D. Francisco Ladrón, D. Joaqnin Jáco- Real alcázar de Sevilla á 7 de febrero de 1810. me, D. Antonio de los Ríos , D. Josef de la Hi­ Don Jos…</t>
  </si>
  <si>
    <t>embarcaciones. Xas tropas se apoderaron de la mi"' to'nio' Aznar , para teniente á D. Josef María de casi sin resistencia, quedando la guarnición inglesa León , y para subteniente ¿ D. Sebastian Ximenez prisionera de guerra. , • Rubio. J1 Habiendo yo llenado ya los deseos de S..M* Para teniente de la primera c</t>
  </si>
  <si>
    <t>María, Juan</t>
  </si>
  <si>
    <t>Juan María</t>
  </si>
  <si>
    <t>do poruña muger ven­ Para capitán de la tercera compañía á D. Ro­ cido, Sansón, con todas sus decoraciones y ruina del drigo dé León, para teniente á D. Juan María de templo, en la que cantará una aria una niñá de diez León, y par^t subteniente á D. Josef Ortiz. años: se bailará la guaracha, y se finalizará con una to­ Pata c…</t>
  </si>
  <si>
    <t>María, Julián</t>
  </si>
  <si>
    <t>Julián María</t>
  </si>
  <si>
    <t>estro mía D. Domingo TorrecUla...................... 82427 22 nistro de Hacienda, y oido nuestro consejo de M&amp;± D. Pedro, Ferrerp Ku*4 20 . tado, ; i D. Julián María. BUzquez................. 27040 Hemos decretado y decretamos lo siguiente" D. DomingoGarcíá....¿.,..;................ 39372 3* articulo i. „ Se declaran acreedo-…</t>
  </si>
  <si>
    <t>María, Líris</t>
  </si>
  <si>
    <t>Líris María</t>
  </si>
  <si>
    <t>2Ít • dan,' y destruyendo lo demas , «egun su política de la-hidrografía en España, por D. Líris María m con sus aliados.. fisto nos reduce á todos á uto es­ de Salazar, ¡nteodente general (qne fue) de mari­ tado doloroso, pues ya empezamos á sentir los ma­ na! Madrid en la imprenta real año ds 1809: un les q</t>
  </si>
  <si>
    <t>María, Manuel Perez Santa</t>
  </si>
  <si>
    <t>Manuel Perez Santa María</t>
  </si>
  <si>
    <t>ndez, 44. Manueb.de Jesús, ti. Martin Artola, 13. Bergantín, Fernando KIT.—Oficiales de guerra y mayores. D Mi­ guel Quesada, Alférez de fragata, 25. D. Manuel Perez Santa María, segundo piloto, 15. Idem de mar, de sueldo fixó y temporal. Juan Bautista Maestrearena, primer contramaestre, 30. Juan González, segundo guardián , …</t>
  </si>
  <si>
    <t>María, María Gregoria de Aranda y Buenrostro y Doña</t>
  </si>
  <si>
    <t>María Gregoria de Aranda y Buenrostro y Doña María</t>
  </si>
  <si>
    <t>ófi'rr Ejccmo. Sr. D. Francisco Venegas. (Se continuará.) -------- UJtKliü ------Doña Juana Ltfuñez de Villavicencio, Doña Getrudis González de Urra, Doña María Gregoria de Aranda y Buenrostro y Doña María Dominga de los Reyes , naturales de ia Habana , han acudido al Consejo suprema de Regencia de España c Indias solicitando…</t>
  </si>
  <si>
    <t>María, Pedro</t>
  </si>
  <si>
    <t>Pedro María</t>
  </si>
  <si>
    <t>ión respeto y voz.de la loi: la fnerXa sola es capaz de de 1® reales para el herido León Romero, vecino contenerlos. - de Mirajenii; otra de 600 para.D. Pedro María de De consiguiente, todo ciudadano honrado y pa­ Loque, alguacil mayor de Puente Don Gonzalo, cífico está interesado en que se establezca y.con­ que mandaba la ex…</t>
  </si>
  <si>
    <t>. Leopoldo ) , capitán de caballería li­ Gau (D. Julia» de) , eapitao dei* regimiento de gera , idem. Córdoba, núm. 7.% jatáótería de línea.. Bertin (D. Pedro María) , ídem de idem. Garsia (D. Luis), tirador de nuestra guardia real. Biller (D. Josef), cabo de granaderos de nuestra Gauthier (D. Juan) , idem. . guardia real. Ga…</t>
  </si>
  <si>
    <t>María, Pedro López</t>
  </si>
  <si>
    <t>Pedro López María</t>
  </si>
  <si>
    <t>... 72.. 17 fanega y media , que linda á oriente con Otra donde dicen el AlbiUo, de 3 medias, *595 tierra de Josef Barragan, y á poniente y linde con D. Pedro López María y hec mediodia con tierra de Juan López Recio. 13..17 ®97 rederos de Pedro López el mozo............ 5-f*7 1199 Otra en dicho término, en el sitio que lla­ …</t>
  </si>
  <si>
    <t>María, Rafael</t>
  </si>
  <si>
    <t>Rafael María</t>
  </si>
  <si>
    <t>nel 'agregado D. Juan Bautista Doral; y en el regimiento de- infantería de Murcia compañías ¿í D. Francisco VVarleta y D: Jaime Lafons; ayundantías á D. Rafael María de-la Peña y D: Teodoro Vico y Ariza 5 y tenencias á D. Miguel y D. Agustín Amat. Igualmente el Consejo de Regencia se ha servido conferir el re­ gimiento de Cab…</t>
  </si>
  <si>
    <t>MaríaCímb, Manuel</t>
  </si>
  <si>
    <t>Manuel MaríaCímb</t>
  </si>
  <si>
    <t>guirrc.......... 108000 D. Francisco Rodríguez de la Huerta. ,42°8 11 DoñacRnsa de Ja.Peña,,,................ 210000 D. Pedro JosefRecarte»...... 380 D. Manuel MaríaCímb/nnerp,.......... 7000O D. Pedro del Rio..,...,.................... . , 70541 ,'aj D. Mariano Hcrrauz «rp^PS«#»MP*«u««,ii** 44IOO D, Pedro Beotas...... ......…</t>
  </si>
  <si>
    <t>Mariano</t>
  </si>
  <si>
    <t>Queretaro, 100 ; ademas de 25 men­ suales. D. Dmting s Colonia, 100. El oidcr D. Francisco Xavier de M en dieta:,¡:5 o.. D. Juan Bautista Perez, 25. D. Mariano Do­ mínguez , 15. La cofradía del santísimo Sacramento de la parro­ quia do Santo Toma»; 50. D. Baltasar Pombo, 25. Ei administra­ dor de rentas unidas dei Fresnillo D…</t>
  </si>
  <si>
    <t>García Bravo................ 18124 27 D. Fermín Ze'ayeta................................ 15220 La n-a do .-Vbert é hijos...................... 470Ó5 D. Mariano fierran......... ................ . 48',3 D. Ped'o Al áruara Tbañcz................... 2 543 7 D. Miguel Castellanos........................... 1624 37 D. MAriin Anton…</t>
  </si>
  <si>
    <t>uerte de Garden de Lérida acepta la mis­ mero 1.° de la brigada irlandesa comandantes de ma capitulación que se ha concedido hoi 14 de ma­ batallón á D. Mariano De!és y á D. Francisco yo de 1S10 al castillo principal de la misma ciu­ Chamborán; capitanes á D. Hilario Féiix y á Don dad , firmada por el señor general García Con…</t>
  </si>
  <si>
    <t>o público la cantidad que dea, confesor y predicador de su convento: para falta, según el artículo 3." del mismo. la de Isbol y Tablate al ex-gerdmmo D. Mariano art. iv.. Nuestros ministros de N-goc ios ecle­ Ruiz: para la de Restava! y Saícres ai ex-geróni- siásticos y de Hacienda quedan encargado* del mo D. Maíiuel Calderón…</t>
  </si>
  <si>
    <t>Fuengirola; fue una ver­ D. Pedro Burillo, D. Pedro Denovi, D. Miguel güenza qaanto sé execuió; nos volvimos ignominio­ Coronado, D. Ramón Rodríguez, D. Mariano samente, dexaodo mal puesto el honor de las ar­ Layes, sargentos primeros que fueron de los regi­ mas; y lo que he sentido únicamente es que el mientos de Murcia, Amé…</t>
  </si>
  <si>
    <t>y Lomas, qne la guiente: presidirá; D. Estanislao de Lugo y D. Manuel ,,Napoleón 8cc. Queriendo introducir en nues­ Cambronero, consejeros de Estado; D. Mariano tro reino d¿ Italia el uso de las máquinas que Agnstin, director del real hospicio de esta corte; sirven para las fábricas, se pondrán á la/dispo­ D. Francisco Martín…</t>
  </si>
  <si>
    <t>Mariano, Santiago</t>
  </si>
  <si>
    <t>Santiago Mariano</t>
  </si>
  <si>
    <t>613</t>
  </si>
  <si>
    <t>tos generosos de valor, fraternidad y'patriotismo, ha sido premiada leyéndose y cumpliéndose em público la orden siguiente del general: **El teniente D. Santiago Mariano entregará á V. Ja hermosa espa­ da que he mandado fabricar á propósito , en cuya cazoleta se lee la ins­ cripción siguiente : La Patria al valor de Matos. Fu…</t>
  </si>
  <si>
    <t>Marías</t>
  </si>
  <si>
    <t>ándole por último de una pareja de hueves que tenia para .a labranza de su- tierras, la En cumplimiento de lo resuelto por S. M. y Casa de su hermano D. Marías, las de D. francis­ providencias tomadas por el Excmo. Sr. min stro co Paula de Lurribarna, D. Ramón de Acha, de Hacienda conde de Cabarrus ; en este día i su D. Ag í …</t>
  </si>
  <si>
    <t>Marín, Blas</t>
  </si>
  <si>
    <t>Blas Marín</t>
  </si>
  <si>
    <t>Angulo , D. Andrés Martínez y D. Antonio Valderas ; y subte­ nencias , á D. José Perez , D. Jorge Bertolld , D. José Fernandez, D. Miguel Henriquez , D. Blas Marín, D. Antonio Ferrer, D. Agustín Escobar . D. Miguel Federico, D. Francisco Blanco , D. Bartc lomé Blanco D. Joaquin Gómez, D. José Flaquer, D. Lean­ dro Rubira , D.…</t>
  </si>
  <si>
    <t>Marín, Lorenzo Antonio</t>
  </si>
  <si>
    <t>Lorenzo Antonio Marín</t>
  </si>
  <si>
    <t>e. ex-regular de agustinos calzados. Alhendin, vacante por renuncia de D. Cayetano“Para el de la iglesia parroquial de S. Gil de»la Ximenez Romero, á D. Lorenzo Antonio Marín,: misma, vacante por muerte de O. Vicente Eche­ cura económo de Armiliaverría, i D. Miguel Rodrigues Carretero, ex- Para el de la igle&gt;ia parroquial del…</t>
  </si>
  <si>
    <t>Marin, Manuel</t>
  </si>
  <si>
    <t>Manuel Marin</t>
  </si>
  <si>
    <t>ia de S. Bar­ ble , si juzga por el número de muertos que se tolomé de la villa de Baena , vacanre por falleci­ han hallado sobre la playa. miento de D. Manuel Marin, al presbítero ex-r«-» Un oficial de gradaacion, que se encontró con guiar D. Francisco de Paula Criado.' la cabeza separada de su cuerpo cerca de las bate­ Para…</t>
  </si>
  <si>
    <t>Marina, Francisco Martínez</t>
  </si>
  <si>
    <t>Francisco Martínez Marina</t>
  </si>
  <si>
    <t>no tro reino d¿ Italia el uso de las máquinas que Agnstin, director del real hospicio de esta corte; sirven para las fábricas, se pondrán á la/dispo­ D. Francisco Martínez Marina , canónigo de la real sición del ministro de lo Inferior 2«o¡3 francos iglesia de S. Isidro; D. Pedro Fiorcz Qu^vedo, para la compra dé las máquinas…</t>
  </si>
  <si>
    <t>Mariñelarena, Martin</t>
  </si>
  <si>
    <t>Martin Mariñelarena</t>
  </si>
  <si>
    <t>el primer voto D. Francisco del Valle. 12. Id. de segundo D. Pedro Vaíois, 50. Don Fanón de Ochoa, 65. D. Salvador Porras, 50. D. Eugenio Vizoso, 50. D. Martin Mariñelarena, 12. D. Pedro Ignacio Irigoyen , i&lt;&gt;. D. Juan Trillo. 8. D. Gerónimo Maeeira, 50. D. Sabino de la Pedrueza, 33. D. Rafael Zubia , 20. D. Justo Madariaga, …</t>
  </si>
  <si>
    <t>Marino, Nicolás</t>
  </si>
  <si>
    <t>Nicolás Marino</t>
  </si>
  <si>
    <t>Alvarez ; tenen­ cias, á D. José Arechaga , D. Francisco Galan , D. Bernardo Cobian , y D. Francisco San Pedro ; subtenencias á D. Víctor Restrebada, D. Nicolás Marino, D. Miguel Souto, D. Francisco Urdapilleta, D. Hilario Naveyra , y D. Ramón Vasadre : en el se­ gundo de la Princesa , subtenencia k D. Joaquín Roca y Soriano …</t>
  </si>
  <si>
    <t>Mario, Josef</t>
  </si>
  <si>
    <t>Josef Mario</t>
  </si>
  <si>
    <t>D. Josef Medina y Andino. crificios para establecer la tranquilidad, pues ella D. Francisco Bcrruezo. es el único remedio 'para tantos males como han D. Josef Mario. causado una lucha desigual, y la inmoralidad de D. J i'.ef Prieto Moreno. los que aun la fomentan. D. Diego Diez. D. Mariano Cordon y Robles. Madrid 4 de noviemb…</t>
  </si>
  <si>
    <t>Mario, Manuel</t>
  </si>
  <si>
    <t>Manuel Mario</t>
  </si>
  <si>
    <t>comandante de este rusa en Paris, ha pasado ayer por aquí en posta con batallón al coronel conde del Donadío, y para ayu­ dirección á Paris. dante á D. Manuel Mario. También ha pasado hoi otro correo ruso con art. 111. Asimismo nombramos para capitanes pliegos de Pctersburgo para Paris. y oficiales de las conjpañías de este b…</t>
  </si>
  <si>
    <t>Marizi</t>
  </si>
  <si>
    <t>l*s voces que habían corrido de que estos ba­ la Parra con la división y la brigada de dragones ques venían cargados de algodones, para cuya in­ del general Marizi para dirigirse á Xerez de los de los cometas; estos tienen masas mui pequeñas, bitas al'rededor del sol; pero el de rotación íbs muda y por consiguiente débil infl…</t>
  </si>
  <si>
    <t>nuestro ministro paso del Ardilla; «abandonado por la caballería es­ de lo Interior ¿ interino de Hicienda, hemos de­ pañola formó el quadro; pero el general Marizi, cretado y decretamos lo siguiente: que iba á so alcance con 100 dragones de su bri­ articulo. I. El marques de Almenara podrá gada, le acometió inmediatamente, r…</t>
  </si>
  <si>
    <t>Markow</t>
  </si>
  <si>
    <t>A ÑA. dirigido contra el ata derecha, que duró quatro horas: el 8 el teniente general Uwao w con su Londres 14 de agosto. cuerpo, con el del teniente general Markow, y El 8 de este mes S. M. tuvo consejo en e! pa­ con una pequeña porcio.i del del general conde Ka- lacio de la Reina, en él qoal consejo mandó S. M. menvki i, so…</t>
  </si>
  <si>
    <t>Marm, Juan Antonio</t>
  </si>
  <si>
    <t>Juan Antonio Marm</t>
  </si>
  <si>
    <t>ros. Estos fueron remitidos 4 la ciudad de Valencia donde entra­ ron el l.° de octubre. La partida de Cartagena, compuesta de 400 hombres al mando de D. Juan Antonio Marm¿á9 se presentó por la tarde del 12 de setiembre en Tu cena, cuyos habitantes lo recibie­ ron con cordialidad y júbilo , victoreando at nombre de FER­ NANDO …</t>
  </si>
  <si>
    <t>Marmol, Juan Antonio</t>
  </si>
  <si>
    <t>Juan Antonio Marmol</t>
  </si>
  <si>
    <t>éeptérháce 4 meses, fréferia qué ésfá partida había sido des­ truida en Guadarrama, y que habiá muerto en la refriega sU comandante. El 19 del mismo D. Juan Antonio Marmol, comandante déla partida de guerrilla de Cartagena, con 18 hombres der­ rotó á 5.5 franceses en las inmediaciones dé Castril, en el reylio de Grabada, matá…</t>
  </si>
  <si>
    <t>Marmolejo, Josef</t>
  </si>
  <si>
    <t>Josef Marmolejo</t>
  </si>
  <si>
    <t>e esquadron constará de dos com­ Miguel de Zafra , D. Juan María Saavedra,, Don pañías, y cada compañía tendrá un capitán , un te­ Clemente Tolesano, D. Josef Marmolejo, D. Juan niente , on subteniente, dos sargentos , quatro ca-. Carguet» D. Josef Rivero, D. Antonio Aguirre, bos y 40 soldados. D. Juan de Dios Morquecho , D. …</t>
  </si>
  <si>
    <t>Marmont</t>
  </si>
  <si>
    <t>dadano vuestro , que se lia tomado en todos tiempos el mas sensible y Trieste j$ cíe enero. mas ardiente ínteres en vuestra situación ; que se en­ El general Marmont, duque de Ragnsa, co­ ternece al considerar los males que ya padtecis, y mandante en gefe del exército de Dalmacia , ha es­ desea libertaros de los que os amenaz…</t>
  </si>
  <si>
    <t>Bosnia. mentos y depósitos de géaeros procedentes de tal origen. Honstambeck á su amigo ti comandante de la for­ taleza. de Czettin. POMERANIA. ,,£l mariscal Marmont se ha presentado en ba­ Stralsund tf de junio. talla , y me ha batido. Su exército era tan innu­ S. E. el conde de Esseu, gobernador general merable como las hoj…</t>
  </si>
  <si>
    <t>Marqaez, CajulÍD</t>
  </si>
  <si>
    <t>CajulÍD Marqaez</t>
  </si>
  <si>
    <t>iture k'*k ikV|»fc ••i** PIOOSOO ‘ DbfiaFelipa Marta Magdonell.....'..«.. 3240 Tonu^ de ** 44^®^ Doña María Andrea Sit.......j............ ' 1080 , | Doña CajulÍD2 Marqaez.......ti.^.^ioífcqV Ef conde de Moniarco...................... 4050 ito D. Gabriel Gómez.................;..... ... 2520 El real colegio de cirogíadc&amp;Gárlo…</t>
  </si>
  <si>
    <t>Marqucü, Francisco</t>
  </si>
  <si>
    <t>Francisco Marqucü</t>
  </si>
  <si>
    <t>1 mon............ ...........................“■*&gt;..... . M2?2 O. Francisco Zalvide-....-.».- ,- 312006 T D. Josef Rodríguez.*.. ..... ........ 9°2S - D. Francisco Marqucü . y: «i' muger D, Benito García •■»*&lt; »#»Mf*A**.**v i 3799 »7&gt;- Doña Josefa. Ramírez sfí*» , * .58665 36 D. Ramón Monroy.............. 27°7’17 D. J*an Vicen…</t>
  </si>
  <si>
    <t>Marques, Juan</t>
  </si>
  <si>
    <t>Juan Marques</t>
  </si>
  <si>
    <t>ica D. Manuel Raquejo. rena , D. Francisco Xavier Guillen, D. Josef Ma­ art. 11. Nuestro ministro de la Guerra queda ría Pardo , D. Joaquín Moralez , D. Juan Marques encargado de la execucion del presente.decreto.s: Barroso, D. Candido González, D. Ramón de Ar­ Firmadi.= YO EL REl. = Por S. ,M. su ministro ce, D. Antonio Rniz…</t>
  </si>
  <si>
    <t>en número de 80 á 90 quedaron prisioneros, inclusos el comandante y 2 capitanes. Nuestra pér­ dida fué de saos 20 muertos, entre ellos el subteniente D. Juan Marques, oficial recomendable por su valor y conocimientos. Está nombrado capitán general del exército y reyno de Ara­ gón él teniente general marques del Palacio. En la…</t>
  </si>
  <si>
    <t>ds. Cogiéronse 20 carros y 50 acémi­ las cargadas de efectos y víveres. Nuestra pérdida fue de 1 3. muertos y 24 heridos , entre ellos el subteniente D. Juan Marques. Se había concluido la función, y el cansancio extremado apenas permitía aun á nuestros soldados victorear ei nombre del deseádo Fernando, quando el brigadier Vi…</t>
  </si>
  <si>
    <t>Marquesta, Andrés</t>
  </si>
  <si>
    <t>Andrés Marquesta</t>
  </si>
  <si>
    <t>general de la división cántabra , remite á esta junta superior con ofi­ cio del 20 desde Ruron un certificado de sentencia de muerterpronunciada por D. Andrés Marquesta, mayor general de /la misiqa división contra D. Vicente Ruiz Calderón, alcalde dél valle de Cabuérniga, por espía convicto y otros delitos de alta traicioii c…</t>
  </si>
  <si>
    <t>Márquez, Bernardo</t>
  </si>
  <si>
    <t>Bernardo Márquez</t>
  </si>
  <si>
    <t>artel general del excrcito del centró, que tiene sus guerrillas y caballería en Lorca, les Velez, Chiribel y Cúliar. Ha­ ce tres dias que el teniente D. Bernardo Márquez , ccmardante de una de las guerrillas que están á las órdenes de D. José Villalobos , hallándose en. Albcx, pueblo situado á la izquierda del camino real, su…</t>
  </si>
  <si>
    <t>Puente , de caballería de Ciudad-Rodrigo , D. Juan de Arjona , dei de infantería de Toledo, D. Benito Peili, del batallón de voluntarios catalanes , D. Bernardo Márquez, dei escuadrón de ja cruzada de Aiburquerque y D. Ermenegildo Bielsa , comandante de las 'partidas de guerrillas del reyno de Jaén; grados de capitán á los te…</t>
  </si>
  <si>
    <t>Márquez, Manuel</t>
  </si>
  <si>
    <t>Manuel Márquez</t>
  </si>
  <si>
    <t>Consejo de Regencia el empleo de coronel al coronel, graduado D. Tomas de RiítortiRo■Ténh-'nte coronel dei de Mur­ cia ; y en esta cuerpo compañías á D. Manuel Márquez , D. JoSé Pinto , D. Antonio Guto , IV Antonio Áivarez , y D. Juan Cosulh-ela ; t ív.-ncias á. D. l^edro Carmena , D. Luis Carceller, D. Nicolás de Robles , D.…</t>
  </si>
  <si>
    <t>Marquida, Fermín</t>
  </si>
  <si>
    <t>Fermín Marquida</t>
  </si>
  <si>
    <t>in Azcué. Extracto de las minutas de la secretaría de D. Andrés Cabello , hijo. Estado. D. Estéban Urquijo. En nuestro palacio de Madrid á 6 de junio D. Fermín Marquida. de ib 10. Batallón del quartel de la Plaza. Don Josef Napoleón por la gracia de Dios y por la constitución del estado, REI de las Espa- Capitanes. ñas y de l…</t>
  </si>
  <si>
    <t>Marquina, Joaquín</t>
  </si>
  <si>
    <t>Joaquín Marquina</t>
  </si>
  <si>
    <t>iones, reconocimien­ go, como son el capitán de navio D. Miguel Za- tos y experiencias necesarias, dieron la vela para piain , los tenientes de navio D. Joaquín Marquina, el Callao de Lima, donde entraron el 23 de julio D. Marcelo Ayensa y D. Domingo Navarro, el de de 1793. Van unidos á esta memoria por via de fragata D, Juan…</t>
  </si>
  <si>
    <t>Marsan, José</t>
  </si>
  <si>
    <t>José Marsan</t>
  </si>
  <si>
    <t>0. Señores Matorell , Pía y compañía. 100. D. Jorge la Cenia, ICO. D. Bruno Barnoya, 100. D. José Lagarda, 100. D. Antonio Celestino Navar­ ro , 100. D. José Marsan , 100. D. Joséjlgnació Pabon , 100. D. Nicolás Campe­ ro , 100. D. Manuel de Villa y Gibaja, 200. D» Felipe Vivanco, 50. D. Francis­ co García Puertas., 100. El E…</t>
  </si>
  <si>
    <t>Marsscalcbi</t>
  </si>
  <si>
    <t>Las dos Ríinis han envndo ua gentilhombre para Mañana se verificará la función que da S. E. el cumplimentar á esta LiniÜa an^es de embarcarse. señor conde Marsscalcbi, miniitro- de Relaciones Los estados lian concedido una pensión anual de exteriore* del reino de Italia. 200 rixdaltrs al Rei Gustvvo, lo mismo á íu es­ Ha lleg…</t>
  </si>
  <si>
    <t>Marta</t>
  </si>
  <si>
    <t>o la orden de partir. cYero siguiente dado el 20 déésté mes. La repara­ ción y restablecimiento de la Alambra, y la con­ El dia en que llegue aquí la Emperatriz Marta clusión def palacio empezado de orden del EmpeLuisa habrá banquetes militares, y a cada soidadd radbr Carlos v, son objetos del mayor ínteres para se le dará un…</t>
  </si>
  <si>
    <t>Martel, Eugenio Carlos</t>
  </si>
  <si>
    <t>Eugenio Carlos Martel</t>
  </si>
  <si>
    <t>Montes; y subte­ general. nientes en el mismo regimiento á D. Claudio la Tres solos cree dignos de ser mencionados: Rosa, que lo fue del de Jaén, y á D. Eugenio Carlos Martel, o la Francia libertada de los Astruc: en el 4..“ de cazadores á caballo teniente sarracenos, por el señor de San-Marcel; Orestes, á D. Ventura Blanco ,…</t>
  </si>
  <si>
    <t>Marti</t>
  </si>
  <si>
    <t>en para completar dichos semejante al qoe se le atribuye, debe saber, coa armamentos, dan á entender que debe salir de aquel grao pesar soy o, que el capitán Marti ha sido gra­ rio alguna expedición considerable. Ea la actuali­ vemente herido por un picaro en el obrador de dad está rennida en la rada de Flesinga una esquaMr. …</t>
  </si>
  <si>
    <t>Marti, Josef Joaquín</t>
  </si>
  <si>
    <t>Josef Joaquín Marti</t>
  </si>
  <si>
    <t>D. Joaquín Solís y al conde de Cartr jal, y ha para subteniente á D. Francisco de Paula Gon­ promovido á teniente general al mariscal de campo zález. D. Josef Joaquín Marti. art. ni. Nuestros ministros de lo Interior y de la Guerra quedan encargados de la execuciofi Reflexiones folíticms. de este decreto.refirmados:.YO El- Rh…</t>
  </si>
  <si>
    <t>Martí, Josef Quintín</t>
  </si>
  <si>
    <t>Josef Quintín Martí</t>
  </si>
  <si>
    <t>a ciudad hablan quedado en el D. Juan Bautista Alberola , D. Antonio Xa­ mas deplorable abandono los militares españoles en­ vier de Lora y Cerillo , D. Josef Quintín Martí­ fermos por la fuga precipitada de los facultativos y nez de Azagra, D. D:ego de Torres Espinosa, empleados en su administración, dio las órdenes D. Benit…</t>
  </si>
  <si>
    <t>Martí, Rutino</t>
  </si>
  <si>
    <t>Rutino Martí</t>
  </si>
  <si>
    <t>s, que lo fue­ poeta no ha creado una máquina verdaderamente ron de los regimientos de Murcia y la Corona res­ .épica. pectivamente, y subtenientes á D. Rutino Martí­ . Voltaire dixo qae no hai epopeya sin lo que</t>
  </si>
  <si>
    <t>Martin</t>
  </si>
  <si>
    <t>Gregorio ( D. Carlos de), teniente general de nues­ Marques de Montehermoso , nuestro primer gentil* tros Reales exércitos. hombre de cámara. Huici (D. Martin), director de la compañía dé D. Amado Lucotte, teniente general, y nuestro Filipinas. ^ primer mayordomo. Hussei (D. Eduardo), comandante de batallón D- Benito Pardo de…</t>
  </si>
  <si>
    <t>exploración de las tierras, islas y mares de la náutica; y es notable que entre los libros del las Indias, y adquirir un cabal conocimiento de su Reí D. Martin, que murió en 1410, había uno geografía é hidrografía, y las demás cosas que pu­ sobre la carta de navegar, otro de las naves, y otvo diesen completar Ta ilustración d…</t>
  </si>
  <si>
    <t>D. Ventura de ArqueJlada..^... '• » ^607 ' 19I D. Benito CantalinóV............... «./ 6470 :2*.3; D. MiglMfde Land.í..,,,,.,...... . .. ' ^s^xSo ; 1 D. Martin 5 2oqxi Doña Auíonia QuadradP........... 12 25 - ^ 1 I3i Antonio Barra................................ , xxo^ Doña. María jaciuta La^Casa.... -G. 2200 .t D. Ramón t xo…</t>
  </si>
  <si>
    <t>s á Guadalaxara para'obligar a sus respectivos pueblos á que acudiesen puntualmente con las contribuciones'qüe les habían impues­ to. Elogia mucho el comandante Martin al destacamento de infantería dé Cuenca, mandado por él teniente coronelD: Francisco Mercado, así por el valor con que 'atacó»á los enemigos , como-por Ja cons…</t>
  </si>
  <si>
    <t>541</t>
  </si>
  <si>
    <t>cuchillado y perseguido hasta Villarejo de Salvanés. Los fu­ gitivos reducidos á 80, se hicieron fuertes en el palacio-castillo de dicho pueblo; y el comandante Martin, habiéndoles hecho algun&gt; fuego tuyo por oportuno el retirarse^ Murieron en la ac­ ción 152 ;franceses, y despues 8 en Villarejo de resultas de sus heridas: se…</t>
  </si>
  <si>
    <t>s arriba, ha añadido el regalo de un magnífico sable para uso de.aquel caudillo. — Se hallan ya hechos 400 uniformes completos para la caballería deí brigadier Martin: doíman azul turquíchaleco , vueltas, collarín y ojal azul celeste, calzones y boton biauco. Ha tenido dé costo cada unifor­ me 168 rs-. y 12 mrs. — Tota!, 6734…</t>
  </si>
  <si>
    <t>go remitía desde Bri buega á Mr. Maurin, coman­ dante en Sigiienza, para que tuviese todo prevenido para el «recibimiento d« José. Sabedor de ello el coronel Martin, se si­ tuó inmediatamente con su división en Cogolludo, con el do­ ble objeto de cortarla retirada si José llevaba adelante el víage, y de turbar su reposo si pe…</t>
  </si>
  <si>
    <t>Martin, Alfonsa</t>
  </si>
  <si>
    <t>Alfonsa Martin</t>
  </si>
  <si>
    <t>etras Otra de 4 celem. camino de Santa Juana, que del convento, que linda con herederos de linda á oriente con tierra del Subsidio........ I3..I7 197 Doña Alfonsa Martin................................... 90..17 *99* Otra de 2-J fan. en Palomero, que linda á po­ Otra al camlniüo de Parla, con el que linda, niente con el camin…</t>
  </si>
  <si>
    <t>Martín, Antonio</t>
  </si>
  <si>
    <t>Antonio Martín</t>
  </si>
  <si>
    <t>gnado S. M. promoverle al empleo de mariscal de campo de sus exércitos. Enterado el propio Supremo Consejo de la distinguida y loable acción que hizo D. Antonio Martín , cabo 1.* del batallón de in­ fantería de voluntarios de Sevilla núm. l.« en la batalla de Ocafia , recogiendo la bandera del propio cuerpo ai ver herido al s…</t>
  </si>
  <si>
    <t>Martin, Antonio</t>
  </si>
  <si>
    <t>Antonio Martin</t>
  </si>
  <si>
    <t>de 3^ fanegas en las Salinas........... 47-*7 *045 Otra al Cercado, junto á oirá de here­ Otra de 2 fanegas al propio sitio........... 7 *54 deros de D. Antonio Martin, de una Otra'de 3 fanegas y 4 celemines junto quarlilla................................................ 6.17 *43 a! soto del Parral...................... .....…</t>
  </si>
  <si>
    <t>Martin, Bartolomé</t>
  </si>
  <si>
    <t>Bartolomé Martin</t>
  </si>
  <si>
    <t>n las particularidades si­ Grazalema , vacante por ascenso de so último po­ guientes; sacadas de los partes de oficio , y de seedor al de Ubrique , á D. Bartolomé Martin, otras cartas mui auténticas. presbítero, beneficiado de MarbeiJa. EL exército ingles de Portugal se compone de Para el de Casabermeja , vacante por muerte d…</t>
  </si>
  <si>
    <t>Martin, Catalina</t>
  </si>
  <si>
    <t>Catalina Martin</t>
  </si>
  <si>
    <t>suya consistió en un hombre y un caballo. Recomienda ai cabo Miguel Puyol y al soldado Francisco Muñoz que.se señalaron por su valor. La subteniente Doña Catalina Martin,,sobrina del capitán, per­ seguida por dos enemigos , recibió una cuchillada en “una ma­ no y una estocada ert el morrión. -— No es esta la única de su sexo …</t>
  </si>
  <si>
    <t>Martin, Cavive Francisco</t>
  </si>
  <si>
    <t>Cavive Francisco Martin</t>
  </si>
  <si>
    <t>........ 473 3784 Guerrero..................... . ■ ' 264-" - 2112 Otra en el Altillo de los HerOtra/calle de la: Vitoriarj -que t reros, arrendada á Doña Cavive Francisco Martin.;;:';.;.;.. • 968 : 7744; , ratina Cruzado............... . 6oy 4840 Otra, calle de Arroyo, hirren- Otra, calle de Bugenas, arren­ dada á Gerónimo S…</t>
  </si>
  <si>
    <t>Martin, D Juan</t>
  </si>
  <si>
    <t>D Juan Martin</t>
  </si>
  <si>
    <t>ismas puerta^ de donde se traxo una mochila. ' En los días 5 y 6 nuestras avanzadas continuaron moles­ tando al enemigo á la entrada de la ciudad. El coronel D¿ Juan Martin se hallaba en las inmediaciones, procurando atrae? luera á la guarnición por todos los medios imaginables. Una descubierta silya que eñ la madrugada del 7…</t>
  </si>
  <si>
    <t>Martin, Diego</t>
  </si>
  <si>
    <t>Diego Martin</t>
  </si>
  <si>
    <t>de Castro. " S. M. ha expedido el decreto siguiente: Para la de Isnalloz al ex- franciscano observan­ Extracto de las minutas de la secretaría de te D. Diego Martin. • Estado. Para la de Cañar y Barji al ex-franciscano En nnestro palacio de Madrid á y de setiem­ descalzo D. Francisco Romero. . bre de i8io.- Para Ir de Torvisc…</t>
  </si>
  <si>
    <t>Martin, Félix</t>
  </si>
  <si>
    <t>Félix Martin</t>
  </si>
  <si>
    <t>.... .......... . 9 198 Otra mas acá de Valdemoro» y vereda Otra que linda con el sendero de las que llaman de las Monjas, jpnto'* Monjas y tierra de D. Félix Martin, *otra de la capellanía de Antufiano» de media fanega................................ . 18 39* de 76 estadales.................................... *3 506 Otraen …</t>
  </si>
  <si>
    <t>Martin, Francisco Xavier</t>
  </si>
  <si>
    <t>Francisco Xavier Martin</t>
  </si>
  <si>
    <t>os, que comprehende todas las cau­ Venido en nombrar para ana canpngía &lt;je ja cate­ sas y todos los efectos en un mismo órden , órden dral de Avila á D. Francisco Xavier Martin,.pro­ mui superior á nuestro alcalice, y en el que por eso visor de lá misma diócesis. , nos parece hallar'desórdenes é irregularidades. Así se verifi…</t>
  </si>
  <si>
    <t>Martin, Ignacio</t>
  </si>
  <si>
    <t>Ignacio Martin</t>
  </si>
  <si>
    <t>uxos , acaso menos ex­ Concluida esta operación , y remados con otros presivos , eran mucho mas acabados que los de Bar armados, pasaron á ¡a casa de D. Ignacio Martin yeu; y en los que le encargó el Rei, ó le ocupó de Bulucua: entraron en eila á viva fuerza hacien­ la academia , sobresale una corrección y delicadeza, do de g…</t>
  </si>
  <si>
    <t>1199 mines, que linda a mediodia con el m¿smo. 1100 5° Otra de 6 tan., en la Coxa, que linda i Otra camino de Pinto á la izquierda, de,3 oriente con D. Ignacio Martin.................... 177 3*f94 tán., linde á mediodia con Juliana Bravo.. i6eo 15 Otra que llaman la Terrona, de 3 fan., que Otra en Valparaíso, de 2 fan. y 9 ce…</t>
  </si>
  <si>
    <t>Martin, Jaan</t>
  </si>
  <si>
    <t>Jaan Martin</t>
  </si>
  <si>
    <t>142</t>
  </si>
  <si>
    <t>. La'guarnición que salió de Soria con doce familias de aquella ciudad, ha sido derrotada por el cura Tapia en las inme­ diaciones del Burgo de Osma. D. Jaan Martin con su partida se halla en Brihuega y sus in­ mediaciones. Ant-?s de entrar en dicha villa , los centinelas apos­ tadas por dicho Martin en el camino prendieron á…</t>
  </si>
  <si>
    <t>Martin, Joaquín</t>
  </si>
  <si>
    <t>Joaquín Martin</t>
  </si>
  <si>
    <t>la Torre , y subtenen­ cias al graduado D. Clemente Bueno y D Nicolás la Madrid, sargen­ to primero y cadete del mismo : tenencia en el dé Canarias á D. Joaquín Martin, subteniente del propio,, y subtenencia de bandera al cadete D. Jo­ sé Bptino y Rtiséll:/ agregación de sárgemd' mayor etr él eXcrcito dé Ga­ licia al capitán …</t>
  </si>
  <si>
    <t>Martin, Juan</t>
  </si>
  <si>
    <t>Juan Martin</t>
  </si>
  <si>
    <t>do yo que el pueblo de Manzarulleque io ocupaban con 150 caballos, traté de que por un movimiento de medio galope los sorprehendieran 200 caballos de D. Juan Martin (el empecinado) : efectivamente conseguí la indi­ cada sorpresa con la muerte de la mitad de ellos, muchos prisio­ neros, y la adquisición de buenos caballos y ye…</t>
  </si>
  <si>
    <t>ene el tirano que los manda, para hacer vana nuestra natural y noble resis­ tencia. Murcia 8 de marzo. Los últimos partes de S. Clemente anuncian que D. Juan Martin ( el empecinado) y D. Ventura Ximenez , han apresado una conducta de millón y medio de reales que los franceses condu­ elan á Madrid, matando y aprehendiendo á su…</t>
  </si>
  <si>
    <t>....... . 44®®^ ' Doña Francisca Xaviera de Ochoa.r.J- • 2'oéó : D. Josef Salcedo, de id. id.* ........... 44000'' Dóña-María Cecilia de;Arrieta^...¿ D Juan Martin .de Urda, id......’.;.;.... '4496*0 Doña Leonor de Torres y Arrieta..... i9tg ,íJrí D. Juan Martin León de Urda , id.... '44°00: ' D. Ildefonso Simón , ex-bcnedict…</t>
  </si>
  <si>
    <t>litas que habia robado ; quando un cuerpo nuestro, compues­ to de vari s cuerpos de infantería mandados por dignos oficia les, y de la raba 1?.ría de D. Juan Martin , todo á las Órdenes del coronel D. Rafael de Cuellar , alcanzó el 16 pór la mañanará la retaguardia francesa en la villa de Trillo/ Desde allí pérsiguie-ron ios …</t>
  </si>
  <si>
    <t>dos á cubrir los desfiladeros, y el total constaba de 1 COOin­ fantes y 400 cr bailo?. La vanguardia compuesta de las tres comj añlas de á caballo de D. Juan Martin caminaba en el silencio de la noche por el valle de Torija, quando descubrió ai enemigo, ene ignorante de nuestro movimiento habia salido de Guadalaxara ron 700 i…</t>
  </si>
  <si>
    <t>e viene en conocimiento de que el principal objeto que el general Bílliard se habia propuesto en esta expedición , era la destruc­ ción del cuerpo de D. Juan Martin. Este hombre extraordinario que ha inventado para las partidas sueltas un nuevo género de guerra que dexa inútiles las reglas conocidas del arte, y que tan­ to da…</t>
  </si>
  <si>
    <t>o la» guerrillas, y en breve se eu peñó una acción que duró &amp;'horas sknqiie los nuestros á pesar de su inferioridad perdiesen mu pie de terreno: pero D. Juan Martin haciénc!oseeaygu de qtie lío es esta guer­ ra de ganar terreno, sino de matar 6 cogeramémigOs diCe él mismo en su relación, dispuso la retirada á Medinaceli</t>
  </si>
  <si>
    <t>do bastante daño con su fuego. Al mismo tiempo una partida de 8 hombres de á caballo mandados por el cabo Antonio ; Llano, había pasado de or­ den de D. Juan Martin á interceptar los víveres á los enemi­ gos acantonados en Brihuega. Mientras los 6 soldados rom­ piendo un vivo fuego alarmaron á los 150 enemigos obligán­ dolos …</t>
  </si>
  <si>
    <t>se devolverá á cada uno el poder presentado con la nota correspondiente, acudiendo á recogerlos del referido secretario. Retrato del célebre patriota D. Juan Martin ( el Empecinado ) se ha­ lla én Cádiz en el despacho de la real imprenta, y en la Isla en la li­ brería de D. Miguel Segovia, á 4 rs. negro y 8 iluminado. La gaze…</t>
  </si>
  <si>
    <t>asta repasar el pue li­ te del Tajo é incorporarse con el grueso de los nuestros. EL enemigo continuó avanzando con toda su fuerza, y el coman^ dante D. Juan Martin los dexó aproximarse hasta tiró de pis^ tola, k cuya sazón mandó romper el fuego que duró sin in­ termisión las tres horas que duraron las municiones. Entonces de…</t>
  </si>
  <si>
    <t>738</t>
  </si>
  <si>
    <t>738 &lt;nel D. Juan Martin dé que los franceses de Sigüenza habian sal i 4o hacia Medinaceli con el designio de robar y asolar los ^pueblos comarcanos, marchó en su busca el 19 de, agosto: pero al llegar á Algora, supo que ya estaban de vuelta en Si­ güenza con el botín, y que al dia siguiente salían</t>
  </si>
  <si>
    <t>aza, un par de zapatos, una camisa y un par de medias. D. Juan García y Palénciá , una pieza de pa­ ño 18o. pardo , con 374 varas. — El apasionado de D. Juan Martin que ha dado por medie del lord Macduff los icoo rs. expresados arriba, ha añadido el regalo de un magnífico sable para uso de.aquel caudillo. — Se hallan ya hecho…</t>
  </si>
  <si>
    <t>precipuaeion , que ha­ biendo entrado en seguida nuestros defensores , hallarm con­ siderable porción de galleta y bastantes cartu hos. El coro­ nel D. Juan Martin mandó destruir las obras de fortificación construidas por el enemigo : ytr rrknpliiiíla Psfo iinoraniAn rl'Q— puso una expedición contra la guarnición de Brihuega,…</t>
  </si>
  <si>
    <t>Martin, Juap</t>
  </si>
  <si>
    <t>Juap Martin</t>
  </si>
  <si>
    <t>ónimo Martínez, 300. D. Pedro Antonio Eguía, 520. F. B., 100. J. S. , ico. Buch, hermanes y compañía, ¿co. Marques de Belgida , 3C0. Un apasionado de D Juap Martin por medio del lord Macduff, icoo. D Domingo Antonio de Vivanco, rísco. D. Juan Águilar, icoo. D. Miguel Mendízabal,. 400. D Salvador de Oria , 50. Duque de Medinac…</t>
  </si>
  <si>
    <t>Martin, Nicolás Antonio</t>
  </si>
  <si>
    <t>Nicolás Antonio Martin</t>
  </si>
  <si>
    <t>rían de la propagación general de esta nueva ino­ oposición á ellos en público concurso; á saber: culación. S. M. ha visto que la conservación y eL A D. Nicolás Antonio Martin para el de Daacrecentamiento de la población de su vasto impe­ ganzo de. arriba. rio se interesan sobremanera en la adopción de A D. Faustino Fernandez…</t>
  </si>
  <si>
    <t>Martin, Nicolás Blazquez</t>
  </si>
  <si>
    <t>Nicolás Blazquez Martin</t>
  </si>
  <si>
    <t>sugetos signienres: francos se pondrá para el efecto á disposición de Para el de la villa de Collado de Contreras á nuestro ministro de lo Interior. D. Nicolás Blazquez Martin, cura párroco de "Do­ art. ni. Nuestro presente decreto será tradu­ lí ¡erro: para el de Mombelrran á D Manue* Gar­ cido á todas las lenguas, y remitid…</t>
  </si>
  <si>
    <t>Martindell</t>
  </si>
  <si>
    <t>Bundelonnd* ion capitanes tan hábiles como de­ J jVJ/ líon del rajah de NannarnV, uno de los princi­ nodados. El coronel Martindell marcha contra pales cemindares de las poiesiones del visir. Mar­ Ameer, y entre tanto el capitán Wiison con los charon contra él seis compañías del regimiento 16.0 regimientos l.° y 7.0 y con el …</t>
  </si>
  <si>
    <t>Martínez'García, Alexandro</t>
  </si>
  <si>
    <t>Alexandro Martínez'García</t>
  </si>
  <si>
    <t>calzado.................... . . ■44060'”-' ’ ’ descalzos......... ...................4.. ~ *44®®® ■, * D. Pedro Carrera y Lauchareij: id.,;-.1 44-^60 D. Alexandro Martínez'García , ’de *j : i .— D. Francisco Sánchez.......... . ..;;;.í£..v ’' 44660 [ agustinos recoleros.u...¿iJw..v.i»;c;...., .44006 • D. Julián Martínez Gatal…</t>
  </si>
  <si>
    <t>Martínez, Andrés</t>
  </si>
  <si>
    <t>Andrés Martínez</t>
  </si>
  <si>
    <t>del Rosario Reinoso....... 23687 D. Bernardo Elexaga............................. 1453° 8f D. Cristóbal Olmedo.............................. 90068 17 D. Andrés Martínez............................... 1994 5 8| D. A ntonio López.................................. *5 3f D.. Antonio Soldevilla........................... 902 *7 D.…</t>
  </si>
  <si>
    <t>Mártinez, Bernardo</t>
  </si>
  <si>
    <t>Bernardo Mártinez</t>
  </si>
  <si>
    <t>re, por la junta superior de Cádiz * Don Joaquín Tenreyro Montenegro, por la provincia de Santiago: D. Be­ nito Maria Mosquera, por la ciudad de Tuy: D. Bernardo Mártinez, por la provincia de Orense: D. Pedro Cortinas por idern: O. Diego Muñoz Torrero, por ía de Extremadura: D. Manuel Laxan por idem: D. Antonio Darán de Castr…</t>
  </si>
  <si>
    <t>Martínez, Bernardo</t>
  </si>
  <si>
    <t>Bernardo Martínez</t>
  </si>
  <si>
    <t>5 pesos cada mes. El sargento José Velarde durante el mismo tiempo, 6 pesos cada mes. El soldado Aniceto Estrada por igual tiempo , 2 pesos cada mes. D. Bernardo Martínez ofre­ ce entregar en caxas reales el costo que tenga un soldado én España des­ de ei dia en que se declaró la guerra hasta su conclusión. D. José Es­ parza …</t>
  </si>
  <si>
    <t>Martínez, Bias</t>
  </si>
  <si>
    <t>Bias Martínez</t>
  </si>
  <si>
    <t>uricio........................... 361 D. Hipólito Serrano.......................... 4- * 1). Va'eotin Romero............................. 2373 c 2j-| D. Bias Martínez.................................... 13 - 3 2 D. Iis:é'*an l.a Oías................................ y-oi. 17 D. \Linuel Marta de Cereced........... . -s t J Dofv…</t>
  </si>
  <si>
    <t>Martínez, Blas</t>
  </si>
  <si>
    <t>Blas Martínez</t>
  </si>
  <si>
    <t>................................ 6784 5 O D. Beinardo Rodríguez....................... 207200 D. Mariano Alonso................................. 21 M D. Blas Martínez.................................... 44095 30 D. Fermín de Zelayeta......................... 1689 *4‘ El monte pió de reales oficinas............ 909518 13 Doña …</t>
  </si>
  <si>
    <t>l—«............ 4463-20 u D. Pedro Schropp-.................................. 30000 -.. •' = D. Francisco Antonio.de Briagas......... - -- 246-10 ' ‘ D. Blas Martínez..................................... 7S°° Hlmiimo................. ............... ' .18477 2 D. Nicolás Martínez de Tejada............. 44^4—*3 D. Gabriel de L…</t>
  </si>
  <si>
    <t>Martínez, Gabriel</t>
  </si>
  <si>
    <t>Gabriel Martínez</t>
  </si>
  <si>
    <t>do D. Pedro Gil: para la de Ventacenario descalzo D. Joan Perez de Luque: para la rique ai ex-carmclita calzado D. Juan Goinez: pa­ de Pinos Puente á D. Gabriel Martínez, ex-guar­ ra la de Alboludui y .Nacimiento al ex carmelita dián de franciscos de Illora : para iá de Cogoltos calzado D. Juan Martínez. al ex - franciscano D…</t>
  </si>
  <si>
    <t>Martínez, Gerónimo</t>
  </si>
  <si>
    <t>Gerónimo Martínez</t>
  </si>
  <si>
    <t>onde de Talara, 6co Dones y Canadell, icoo. D. Manuel Jesús Fernandez , 300. D. Francisco Díaz , 2CQ. D. Benito de la Plaza, 160. D. Mateo Lobo, 320. D Gerónimo Martínez, 300. D. Pedro Antonio Eguía, 520. F. B., 100. J. S. , ico. Buch, hermanes y compañía, ¿co. Marques de Belgida , 3C0. Un apasionado de D Juap Martin por medi…</t>
  </si>
  <si>
    <t>Martínez, IgnacioTabernery</t>
  </si>
  <si>
    <t>IgnacioTabernery Martínez</t>
  </si>
  <si>
    <t>ervicios que be tenido la gran felicidad de D. Ma riauo Lázaro de la Cuerda para el de haceros. Romeral. &amp; „Sin embargo, no debo disimular que siento D. IgnacioTabernery Martínez pira el de Sao Dn vivo dolor al alejarme de Vos,pues que pierdo Bartolomé de las Abiertas. á un tiempo la satisfacción y tas luces que cada dia . D.…</t>
  </si>
  <si>
    <t>Martínez, Joeef</t>
  </si>
  <si>
    <t>Joeef Martínez</t>
  </si>
  <si>
    <t>í f:1 •• * -’w Queda nombrado presidente de tu lanía D,. Pa­ ; 3.0 ; Di Josef María Gírate. blo Ayala y Colon, oidor de lachauciUeiía de Va* _: 4v! ,.D. Joeef Martínez. lladotid. , 4&gt;•, «D. Baltasar Vallés, fiscal. . ‘ Jueces. artículo vr. ' v 1.® D. Francisco Naranjo. •: a.® D.Esiéban La-Madcid.., -i " : :; .; Patencia. i. i…</t>
  </si>
  <si>
    <t>Martínez, José</t>
  </si>
  <si>
    <t>José Martínez</t>
  </si>
  <si>
    <t>por la junta su­ perior de Sevilla i para vice-presidente el Sr. D. V cante Morales Juá­ rez, diputado suplente por el Perú; y para secretario el Sr. D. José Martínez, diputado por el reyno de Valencia. Conformándose el Consejo de Regencia con lo que han propuesto los ministros encargados del arreglo del ramo de consolidación…</t>
  </si>
  <si>
    <t>Martínez, Josef</t>
  </si>
  <si>
    <t>Josef Martínez</t>
  </si>
  <si>
    <t>ga: la tormenta que la había separado de la Vénus y teniente en el regimiento de Toledo , 2de línea, del Windham. La fragata de S. M. la Beiona, su á D. Josef Martínez: subteniente del regimiento capitán Duperre, que había salido de Francia qua- de Madrid, i.° de línea, á D. Juan Vázquez: tro meses hacia, pertenecía á esta di…</t>
  </si>
  <si>
    <t>eclesiásticos queda encargado de la execucion de subtenientes á D. Manuel Sánchez, D. Bernardo este decreto. = Firmado = YO EL REI. = Por Valdivia , D. Josef Martínez , D. Gregorio Corral, S. M. su ministro secretario de Estado=Firmadc= D. Juan Escovar, D. Antonio Aguiiar y D. An­ Mariano Luis de Urquijo.” tonio Guzman. En el…</t>
  </si>
  <si>
    <t>Martínez, Juan</t>
  </si>
  <si>
    <t>Juan Martínez</t>
  </si>
  <si>
    <t>os Puente á D. Gabriel Martínez, ex-guar­ ra la de Alboludui y .Nacimiento al ex carmelita dián de franciscos de Illora : para iá de Cogoltos calzado D. Juan Martínez. al ex - franciscano D. Antonio Palacios , predicador art. ni. Si por la liquidación qoe ha de prac­ y confesor de su convento: para la de Guejar Sier­ ticarse …</t>
  </si>
  <si>
    <t>Martínez, Manuel</t>
  </si>
  <si>
    <t>Manuel Martínez</t>
  </si>
  <si>
    <t>­ Estado. rido de Doña Gervasia García de En nuestro palacio de Madrid i 25 de junio Montenegro....... ............................... 70000 de 1810. D. Manuel Martínez........................... 68740 Don Josef Napoleón por la gracia de Dios y D. Felipe de Satostegui...................... 88938..28 por la constitución del es…</t>
  </si>
  <si>
    <t>Martinez, Mtnuel</t>
  </si>
  <si>
    <t>Mtnuel Martinez</t>
  </si>
  <si>
    <t>a, D. Bautista Vila, D. Casimiro Brodet, D. Guillelmo Claramunt, D. Bernardo Cobian y D. Francisco Juárez ; y subtenencias, á D. Juaii de la Fuente , D. Mtnuel Martinez , D. Pió Moron , D. Francisco Alonso , D. Bernab S María de Faez , D. Angel Salazar y Aldao, D. José Pereyra, D. Blas Peinador, D. Antonio Rubín, D. Ra­ món M…</t>
  </si>
  <si>
    <t>Martínez, Roque</t>
  </si>
  <si>
    <t>Roque Martínez</t>
  </si>
  <si>
    <t>­ co García Puertas., 100. El Escribano D. Manuel Vidal , 100. D. Rafael de Ibarra , 100. D. Francisco Ascorve , 50. D. Juan Lucas Oíavarricta , 400. D. Roque Martínez, 50. D. José Antonio de Cevallos , 100. D..Juan Francis­ co de Senties, 100. D. Joaquin Pérez de Arce, 100. D. Julián de Cortabuena, 100. D. José Alvarez, 100.…</t>
  </si>
  <si>
    <t>Martínez, Santiago</t>
  </si>
  <si>
    <t>Santiago Martínez</t>
  </si>
  <si>
    <t>mero él balón de Horit , para segundo D. Agostía Tavira, y para abanderad* D. Juan López Sarceada. i“.......... .... D. Rafael de las Doblas......... D. Santiago Martínez. 3.*.............. ................................................. D. Felipe la Torre. D. Felipe Colmenares. .............................................…</t>
  </si>
  <si>
    <t>Martínez, Toríbio Hernández</t>
  </si>
  <si>
    <t>Toríbio Hernández Martínez</t>
  </si>
  <si>
    <t>ner constante en todas es­ agradables. taciones; y la del resto de las tierras, acercándose A efecto pues de proporcionar este beneficio al pú­ blico D. Toríbio Hernández Martínez, profesor de di­ ya á la una, ya á la otra, variable según ellas. chas ciencias, que en el año anterior abrió academia so­ Asi la presencia del sol…</t>
  </si>
  <si>
    <t>Martini, Nicolás</t>
  </si>
  <si>
    <t>Nicolás Martini</t>
  </si>
  <si>
    <t>a y Don por la constitución del estado, REI de las Espa­ Baltasar de Vlllalba; teniente á D. Fernando Gui­ rtas y de las Indias. llen; subtenientes á D. Nicolás Martini y á Don . ,,Queriendo .erigir, un monumento en honor de Juan Alcázar: comandante de inválidos de Madrid los fundadores de la escena nacional: visto el in­ á D…</t>
  </si>
  <si>
    <t>Martreorena, ÑicoIasa</t>
  </si>
  <si>
    <t>ÑicoIasa Martreorena</t>
  </si>
  <si>
    <t>ros de D; Francisco San- , D, Fatfiao^dc la,Hoz....... ........ • ':h tibañez..... .28093, í&gt;. jqanirinnreit.w^.^.^.i.túy¿at.uf.t MwtdtSti. t.»«* ••í Doña ÑicoIasa Martreorena............ .. 128868 16 , D. Juatvjgnacio.Joven..............»t»5 D. Sátnrnitio Ñrer;.v.v..v;.,.;v;;..i.«.i' 1200 ,r P, Jqaa.Malnerp.------ —.........…</t>
  </si>
  <si>
    <t>Mas</t>
  </si>
  <si>
    <t>stras familias después de haber nes con el norte de aquel reino. hecho mas de lo que se os podia pedir: habéis sos­ En el mismo día la vanguardia del general Mas- tenido con un valor superior á todo elogio mas de sena se hallaba en las orillas del Cris, y su exérci­ 50 combates contra fuerzas triplicadas , y los bue­ to estab…</t>
  </si>
  <si>
    <t>Masart, NicoUs Josef</t>
  </si>
  <si>
    <t>NicoUs Josef Masart</t>
  </si>
  <si>
    <t>...470 &gt; ñí:i, y Wcreruise hermanos......... .'. 645107 [ D. Mtgoebde la Palenque ¡ 263 5 ’ ló1 D. Dámaso de la Torre....»................ 3°594 25"l D. NicoUs Josef Masart..,.........«...i.; 40863 D. Juan Josef,de Gamboa............. . 31392 *7- D. Joaquín Lerga... 16000 *' D. Antonio Barra,....*........ *.............. 1642…</t>
  </si>
  <si>
    <t>Mascaré, Manuel</t>
  </si>
  <si>
    <t>Manuel Mascaré</t>
  </si>
  <si>
    <t>ties, 100. D. Joaquin Pérez de Arce, 100. D. Julián de Cortabuena, 100. D. José Alvarez, 100. D. Pedro Miguel de Echevarría ,.200. El Sr. Bri­ gadier D. Manuel Mascaré , 100. D: Juan Su are z , 25. D. Manuel de Luna, 25. 1). Ramón de Echavarría, 50. Compañía de Julia y mustien Mustich , ¿x 50. Tornamira, Aygameyra y Goseus , …</t>
  </si>
  <si>
    <t>Mascarell, Miguel</t>
  </si>
  <si>
    <t>Miguel Mascarell</t>
  </si>
  <si>
    <t>ragoza. Este fraile fanático ¿ consejero dé Falafox, • Para esta resolta át ex-ftanclscauo descalzo que se decia gefe de la cruzada dé España , habia D. Miguel Mascarell. V , sido hecho prisionero en un ataque dado por la ca­ &gt;■ Para la de Otura al ex-franciscano descalzo ballería cerca de Sigüeoza por D..... mariscal de D. M…</t>
  </si>
  <si>
    <t>Masdetr, Pedro</t>
  </si>
  <si>
    <t>Pedro Masdetr</t>
  </si>
  <si>
    <t>Francisco Melendez de la Pola, D. Andrés Hernán­ dez Sta. Cruz, D. Francisco Zarracina , D. Miguel González, D. Juan Mendez Vigo , D. Manuel Moreno , D. Pedro Masdetr, D. Joaquin Goñi, D. Juan Vial y D. Celestino Gastón. Conociendo S. M. el rey de las Dos-Sicilias la falta de fusiles que se experimenta en España , y hallándos…</t>
  </si>
  <si>
    <t>Masip, Antonia Dominga</t>
  </si>
  <si>
    <t>Antonia Dominga Masip</t>
  </si>
  <si>
    <t>al Monte pió de reales —-—B‘. , rV¿, D. Manuel-Moresqui...................... 1440C0 oficinas por.....-..,.-................ ........*. 1.050684 ,31 Doña Antonia Dominga Masip........ . 72000 Doña María Magdonell....... . 4JOQ : . F. D. Josef Sainz de. Raías.......... 26100 Doña Gerónim* .Magdonell.......... . 3000 D. Francis…</t>
  </si>
  <si>
    <t>Masmitjá, Esteban</t>
  </si>
  <si>
    <t>Esteban Masmitjá</t>
  </si>
  <si>
    <t>153</t>
  </si>
  <si>
    <t>153 gos á los que se han puesto á tiro. Un casco cc* bcirba ha herido he y al teniente D. Esteban Masmitjá , y á un scldado ¿ei ugur do tercio de Gerona , y ayer á des soldados. Quando las circunstancias i os suministren proporción de referir puntualmente los acontecimientos ocurridos en esta épo</t>
  </si>
  <si>
    <t>Mass-ena</t>
  </si>
  <si>
    <t>lla próxima. Se ha creí­ S. M. visitar algunos de los círculos septentriona­ do largo tiempo que el único obstáculo que dete­ les de su reino. nía al mariscal Mass-ena era la plaza dé CiudadEl conde de Metternich, ministro de Nego­ Rodrigo, que se rindió el to de julio: el 30 del cios extrangeros de Austria, ha tenido al pasa…</t>
  </si>
  <si>
    <t>Masse</t>
  </si>
  <si>
    <t>ó por fin hacer qne Se sabe que el general Wellington ha criedo los ingleses se volviesen á embarcar precipitada­ conveniente el retirarse, porque el mariscal Masse­ mente. La fragata protegió sn retirada con un ca­ na le iba estrechando demasiado. Dicen que este ñoneo mui sostenido; pero sus balas no han hecho mariscal y sus…</t>
  </si>
  <si>
    <t>Massená</t>
  </si>
  <si>
    <t>AÑA. Tolon 20 de enero. Londres %% de enero. "tí! —* T-T »nrinn« T-T.:N-,n ~ - — . , rAmafl.-lontí» -.........—..... - —* Segnn cartas de.Hamburgo el mariscal Massená corsario el General Mmerian, ha apresado y con­ ha de tener ehTel exército frinceí de España un ducido á Túnez en 24 de diciembre dos buques. mando mui importan…</t>
  </si>
  <si>
    <t>Massena</t>
  </si>
  <si>
    <t>ilidad presente, y Ja esperanza de no porve­ . El estado mayor del cuerpo de exército que nir mas dichoso. Conozco vuestro carácter y sen­ mandaba el mariscal Massena, principe de Esnng, timientos , y confio en vuestra lealtad. Los testi­ que fue disuelto , llegó ayer á esta ciudad, y hoi monios sinceros de estimación que os …</t>
  </si>
  <si>
    <t>ale para Bayona el general de división quaudo la familia real se asomó al balcón de pa­ Montbrun, que va á mandar la caballería del exérlacio. to del mariscal Massena. PROVINCIAS ILTRICAS. Trieste 11 de abril. ESPAÑA. Esta mañana ha sido anunciada con salvas da Puerto de Sta. María jo de abril. artillería la salida de S. E. e…</t>
  </si>
  <si>
    <t>939</t>
  </si>
  <si>
    <t>mirna y de Sa­ cese solamente que sí lord VVellington ha rehúsa— lónica. Et transporte por tierra es por necesidad tado la batalla que le presentó el mariscal Massena, mui dispendioso j pero los rusos lo hacen á poca y que se ha dado la órden de evacuar el Portugal. 'costa. Ei cultivo del algodón ha hecho grandes Los preparat…</t>
  </si>
  <si>
    <t>rá formar alguna idea de las esperanzas y situa­ Temeswar. ción de nuestros exércitos, y del plan que se ha ' SAXONIA. propuesto seguir al parecer el mariscal Massena. Lisboa i£ de junio. Después de mi última Dresde so de julio. carta'no hemos recibido noticias interesantes del - Ayer llegó desde Pilnitz á esta capital, á las…</t>
  </si>
  <si>
    <t>, diencia á S. M. I. y R., coa repetidas aclamacio­ nes de viva el Emperador, en manos del general Madrid 3 de setiembre. y., barón Borde-Soult. . El mariscal Massena, príncipe de Esling , ha En la comida que han dado hoi al general Bor- entrado en Almeida, cuya plaza ha capitulado el de-Sault ios oficiales del primer batalló…</t>
  </si>
  <si>
    <t>y aniquilar nuestras poblaciones ción entre el exército ingles y portugués y el con nuestras mismas manos» 2.0 Que el gobierno nuestro contra el del general Massena. Dios quiera insurreccional de la Isla es tan inepto y ridículo salgamos bien; pero no debemos esperar grandes para las cosas de la guerra como fue el de Sevilla;…</t>
  </si>
  <si>
    <t>la publicación de este importante acontecimiento,. tan glorioso para nuestros aliados, tan funesto para el tirano Napoleón, y tan humillante para su general Massena 5 y en consecuencia he resuel­ to se cante un solemne Te-Deam en reconocimiento de la protección que merece al Dios de los ejércitos la jastk causa que defendemos…</t>
  </si>
  <si>
    <t>mentos la división del general Carrera , y ya hace algunos dias que entró en Lisboa la del general O-Donell. Así se reúnen para la entera derrota del mariscal Massena los valientes lusitanos que pelean por su libertad é independencia; los generosos y esforzados hijos de Albion, y el español constante á quién ningún reves es c…</t>
  </si>
  <si>
    <t>or de las confiscaciones y muirás. El go­ provisiones en el exército francés, seria imposible bierno encarga y manda á todos los empleados pú­ que el mariscal Massena se mantuviese en Porroblicos, de qualquier clase que sean, y particular­ gal. A estas esperanzas lisonjeras se5 jnnió también mente á los prefectos de los círcu…</t>
  </si>
  <si>
    <t>está tan ciega que se Como quiera, en Londres no se hablaba de dexa arrastrar de qualq úer noticia favorable , por otra cosa sino de la retirada del mariscal Massena, poco fundamento que tenga, nos parece que no es­ y de la ruina toral del exército francés por la ham­ tá por demás la relación drcunstanñada y verídi­ bre y las…</t>
  </si>
  <si>
    <t>Gaceta de Madrid n.º 324</t>
  </si>
  <si>
    <t>guas de mosísimo, y está completo. distancia uno de otro. Lord Wellington tiene 200 El X2 de este mes se botó al agua en Lorient hombres menos qne el mariscal Massena. Ademas, el hermoso navio llamado el Marengo. ¿de qué gent£se compone la mitad del exército que está á las órdenes del lord Wellington ? ¿ Es por ventura de tro…</t>
  </si>
  <si>
    <t>dos los demas todas las demas provincias del reino de Baviera. pueblos han quedado abandonados por los habitan­ tes. Se ha interceptado una carta del mariscal Massena, en la qnal pinta las dificultades qne encuen­ GRAN DUCADO DE FRANCFORT. tra en su marcha por el mal estado de los caminos, Francfort i(? de octubre. y por la n…</t>
  </si>
  <si>
    <t>yer, día aniversario de la coronación de entender, y parece que está decidido á esperar en SS. MM. ÍI.„» se han llevado publicamente .eo pro­ ella al mariscal Massena. Los dos flancos de esta cesión todos los trofeos alcanzados sobre Jos tur­ posición están bastante defendidos: las lanchas ca­ cos, que consistían en 240 bande…</t>
  </si>
  <si>
    <t>a infantería, que imitó su arrojo y valor. tel general ingles , de fecha del 16, y que se creía Este pequeño ataque es glorioso , y merece los que el mariscal Massena daría el ataque general el mayores elogios. 19 ó el 20. Hace tiempo que (os pueblos de Ladrada y Pie­ El lord Henríque Perci, del 14.0 de dragones, dra Laves, s…</t>
  </si>
  <si>
    <t>nuestro exército; y el lord Wellington tam­ mado=El mariscal principe de Essling.” poco había tenido por conveniente el atacar á los franceses. Si el mariscal Massena se resuelve á aracar nuestras líneas, que están defendidas por 500 Hoi ha llegado á París el general de brgada cañones, el exército tiene esperanza de un buco F…</t>
  </si>
  <si>
    <t>onducidas á nuestros puertos, burga. Los franceses tratan de echar oo puente y las demas fueron destruidas ó quemadas. El car­ junto á Ramalhal, y el mariscal Massena está rer* gamento de estos buques se regulaba en 20 millo­ suelto, al parecer, á hacer quálquíer sacrificio por nes de pesetas. verificar este.paso. Sin embargo…</t>
  </si>
  <si>
    <t>Masseoa</t>
  </si>
  <si>
    <t>axador de Francia Mr. Otto ha sido re­ visión Legrand, que manda el 4.0 cuerpo por au­ cibido al entrar en territorio austríaco y en todos sencia del mariscal Masseoa , y el general Fririon, los pueblos de su tránsito hasta Viena con todos gefe del estado mayor, llegaron ayer á esta ciu­ los honores debidos á su dignidad. Nue…</t>
  </si>
  <si>
    <t>Masservicio, Miguel</t>
  </si>
  <si>
    <t>Miguel Masservicio</t>
  </si>
  <si>
    <t>n nueetro de* ex-franciscano descalzo D. Josef Díaz de la Higue­ creto de i.° de mayo anterior sobre la provisión y ra: para la de la Mala y anexos á D. Miguel Masservicio de las sacri tLs de las iglesias de nuestro carell.ex franciscano descalzo: para la de Pinos ds real patronato; y vista la consulta que nos hace Genil y Ce…</t>
  </si>
  <si>
    <t>Mastroganopolo</t>
  </si>
  <si>
    <t>uso el ataque [ ara apoderarse de una Una embarcación turca llamada Sattspiridiarte, torre quadrada, eo la que li.bia dos cañones de y mandada por el capitán Mastroganopolo, ha sido i ta. El batallón segundo del regimiento i.° del coqñscada en Fióme, por haberse dexadó visitar Vístula, i pesar de los enormes peñascos que lan­…</t>
  </si>
  <si>
    <t>Mata, Miguel García</t>
  </si>
  <si>
    <t>Miguel García Mata</t>
  </si>
  <si>
    <t>nte timientos de Baeza. Dígnese V. .VI. admitirlos con de la real de Granada , diputado por la nobleza: la benignidad que le da el renombre de amable D. Miguel García Mata, jurado; y D. Juan E\té- por todo el ámbito de la península.'* hatt de Madrid y Tauste , escribano mayor de ca­ bildo , en diputación del estado general ; …</t>
  </si>
  <si>
    <t>Matali, Mariano</t>
  </si>
  <si>
    <t>Mariano Matali</t>
  </si>
  <si>
    <t>de Urrutia , 1000. D. Antonio Eseaño , ioco. D. Jayme Mendiberri, So. Marques de Salas, 5C0. D. Francisco Parlado , toco. D. Pedro Benito Michel, 40. D. Mariano Matali, Soo. TJr.á bisabuela , zoco. Doña María Josefa Ge i cochea y Melendez, 120. Marques de Astorga, 1500. Micheo, padre c hijo, 15CO. Doña Vicenta Velásco de Hue,…</t>
  </si>
  <si>
    <t>Maten, Miguel</t>
  </si>
  <si>
    <t>Miguel Maten</t>
  </si>
  <si>
    <t>nzo Rodrí­ guez Sánchez, 1000. Costello, hermanos, iooo. D. Manuel Ortiz de Muga y su muger 60. D. Pasqual Moreno de Mora, 600. D. Miguel Riva, 500.. D. Miguel Maten é hijos, 400. D. Francisco Berrio, 500. D. Manuel Ros, 1000. D. Tomas Isturiz, 4000. D. Ildefonso Ruiz del Rio, 4000. Duque del Infantado, 4000. D. Blas del Hier…</t>
  </si>
  <si>
    <t>Mateo, Ramón</t>
  </si>
  <si>
    <t>Ramón Mateo</t>
  </si>
  <si>
    <t>ntes D. An­ drés Rodríguez, D. Félix de Toda, D. Juan Pablo Sebastian, y D. Francisco Huarte; á tenientes , los subtenientes D. Francis­ co Ramírez , D. Ramón Mateo, D. Valentín Ampudia , D. José Ampudia, D. Tomas de Benavides , D. Manuel Albo, D. Miguel ligarte , y D. Antonio Montenegro. CADIZ : EN LA IMPRENTA REAL.</t>
  </si>
  <si>
    <t>Mateo, Silvestre</t>
  </si>
  <si>
    <t>Silvestre Mateo</t>
  </si>
  <si>
    <t>rtistas de la ópera, ba- ra otra ración de la misma sanra iglesia de Toledo, xo la dirección del célebre Gardel; concluida la vacante por renuncia de D. Silvestre Mateo: á Don qual permitió S. M. que se formasen las qnadrillas Gregorio Aragón, presbítero, y ex-franciicano, de contradanzas particulares. para otra ración de la …</t>
  </si>
  <si>
    <t>MateoGonza</t>
  </si>
  <si>
    <t>(;J corriente, gozarán del sueldo asignado á ¡os reaentes 4.® D. Antonio Castro’ ’ . "J, ^ .. de las audiencias, y los jueces.del que disfrutan los: D. MateoGonza!ez^Ari^Sfisfal. , oidores, y con ios mismos honores y prerogativas. ARTÍCULO V.ART. ir. Nuestros ministros de la Justicia y de Hacieuda quedan encargados de la exec…</t>
  </si>
  <si>
    <t>Mateos, Joan</t>
  </si>
  <si>
    <t>Joan Mateos</t>
  </si>
  <si>
    <t>rro compañías á D. Antonio León, para ayudante á D. Josef María León, En el de la Cruz, á las quatro y media de la tarde, menor ; y para abanderado á D. Joan Mateos. se executará la comedia en cinco actos titulada el Abate Asimismo quedan nombrados para capitán de L’Epee, se bailará el bolero, y se finalizará con un la segund…</t>
  </si>
  <si>
    <t>Mateos, Ramón López</t>
  </si>
  <si>
    <t>Ramón López Mateos</t>
  </si>
  <si>
    <t>. el príncipe virei, de de las ciencias físicas, ó sea sobre la filosofía de la le­ su corte ,y de un inmenso gentío, tanto de la ciu­ gislación, por D. Ramón López Mateos, médico del dad como de los pueblos comarcanos. -real colegio de esta corte, académico de número, y pri­ mer secretario de gobierno de su real academia de …</t>
  </si>
  <si>
    <t>Matia</t>
  </si>
  <si>
    <t>ga Argüe!!'?............... -j* ■ A 1 4 a D. Fr,:.¡cisco An--.ro&gt;- .............................. 4“3° 29 Dona Mana A moni • S.nz Merino..... loCC-OO D. Matia .e Roble?.............................. 15148 n) 1). Francisco Viiiaiba y Diaz............. ■421 6 D. Juan Melendez Yaldes................. 321S 24 D. Manuel de las lle…</t>
  </si>
  <si>
    <t>Matía, Francisco</t>
  </si>
  <si>
    <t>Francisco Matía</t>
  </si>
  <si>
    <t>, que resulta vacante poí1 Restaval y su -an ^xo Saleres , vacante por muerte pr m »cicin de D. A itonio Z-rriUa y FoXar al de de D. Manuel Corona, á D Francisco Matía,Gó­ ' G ixar , á D. Josef Sánchez Guíllen, cura ecóno­ mez , cura económo de Lab} &lt;ron. • , - ' mo -íe Cazvijar. Para el de la iglesia parroquial del lugar de …</t>
  </si>
  <si>
    <t>Matías</t>
  </si>
  <si>
    <t>de infantería de gastadores de Aragón, la comandancia al teniente coronel D. Juan Sánchez Cisneros; la sargentía ma­ yor D. Juan Muñoz ; compañías, á D. Matías, D. Francisco,</t>
  </si>
  <si>
    <t>iIaa Gbasee'Ibañíi. i .. SubíenientevIX Aügel Rodriguen.. . _ ~i Cdmptima ^e^íp^ejtkpt^e 4 CoifflQñíij^cpipvjífcarnet#, dfi d^Jt,iqo plaza*. Capitán, D. Matías..Pgrefc .v-,.,^.^ Cipitan, D. Isidro Totrar. _ Tertléfltey-D. Diego Lope? Aguado*' ’ Téhiéute y Di Manuel Lopéz'GotilIá. - ■* * a. Subteniente, D. Antonio de Frtííos/'…</t>
  </si>
  <si>
    <t>Matos, José</t>
  </si>
  <si>
    <t>José Matos</t>
  </si>
  <si>
    <t>r Juan Bautista Ugarte, 150. El mi­ nistro contador D. Pedro Pió, 2$. El tesorero interino D. Rafael Ahumada, 20. El Conde del Valle del Súchil 100a. D. José Matos, 75. D* Joáquin A fnezaga, 50, D, José &gt; Castro y» Ortega, 50. D Felipe Lopez&gt; Negrece; y^suhijo, * 500. D. Pedro del. Campo y Montes, 50. D. Juan! José Zimbrana,5…</t>
  </si>
  <si>
    <t>Matos, José Calapis</t>
  </si>
  <si>
    <t>José Calapis Matos</t>
  </si>
  <si>
    <t>derrotado completamente. ESPAÑA. CADIZ 8 DE OCTUBRE. El Consejo de Regencia ha recibido el acta siguiente de reconocimiento de la ciudad de México: ,,D. José Calapis Matos, secretario mayor del cabildo, justi­ cia y regimiento de esta noble ciudad y demas ramos.— Cer­ tifico y doy fe que en el cabildo celebrado por el excelen…</t>
  </si>
  <si>
    <t>Mattali, Ramón</t>
  </si>
  <si>
    <t>Ramón Mattali</t>
  </si>
  <si>
    <t>ge Drígets comandante superior. subteniente del regimiento de Castilla, i.° de in­ La puerta principal del fuerte se entregará in­ fantería ligera, á D. Ramón Mattali: subtenien­ mediatamente á las tropas francesas. te de cazadores á caballo núm. 4,0 á D. Anice­ Hecho en Garden á 14 de mayo de 181 ®.= Fir­ to Casagna : tenien…</t>
  </si>
  <si>
    <t>Maturana, Ma-ía Luisa</t>
  </si>
  <si>
    <t>Ma-ía Luisa Maturana</t>
  </si>
  <si>
    <t>.tesqui.....-........................ io8co D N-colas B1 rs¿1 ■. ti ............................... j ^ 66 8f D. Luis--Gómez................. &lt;1300 • Doña Ma-ía Luisa Maturana................ 44-64 D. ña Ramona -Montalv.»....................... 20013 23 D fcdmu. ao iíourke ............................ — ** T D.’FraruFrn Anton…</t>
  </si>
  <si>
    <t>Maturana, María Luisa</t>
  </si>
  <si>
    <t>María Luisa Maturana</t>
  </si>
  <si>
    <t>.............................. 44095 30 D. Fermín de Zelayeta......................... 1689 *4‘ El monte pió de reales oficinas............ 909518 13 Doña María Luisa Maturana.............. 56985 20 D. Rafael Fernandez.............................. 9064 II D. Miguel Azpiroz,..,........................... 17500 D. Santiago Man…</t>
  </si>
  <si>
    <t>Maüen, Pedro</t>
  </si>
  <si>
    <t>Pedro Maüen</t>
  </si>
  <si>
    <t>e se trata de la pérdi­ da de 34 vales reales renovados á nombre de Dona Vicenta Bretón, se padeció equivocación, pues han sido renovados á nombre de D. Pedro Maüen, y endosados por este á favor de dicha señora en Valencia, LIBROS, Elementos de la geografía astronómica natural y política de España y Portugal, por D, Isidoro d…</t>
  </si>
  <si>
    <t>Mauleon, Luis</t>
  </si>
  <si>
    <t>Luis Mauleon</t>
  </si>
  <si>
    <t>a ios siglos de hierro que Se ha nombrado por real decreto de 8 del cor­ sucedieron se estudiaron los antiguos, los moder­ riente, dado en Toledo , á D. Luis Mauleon , capi­ nos no pudieron producir cosa que mereciese la tán del regimiento de infantería Real Extrangero, atención hasta la felicísima de la restauración de mayor…</t>
  </si>
  <si>
    <t>Maurelle, Francisco</t>
  </si>
  <si>
    <t>Francisco Maurelle</t>
  </si>
  <si>
    <t>voluntarios de Valen­ cia , Campomayor y provincial de Ciudad-Real. Escolta­ ba el convoy una división sutil española al mando del ca­ pitán de navio D. Francisco Maurelle , y otra inglesa al del capitán D. Jorge Cockburn. El dia siguiente 23 á las 8 de la noche abordó la expedición al punto de la costa que llaman de Moría, d…</t>
  </si>
  <si>
    <t>Máuri</t>
  </si>
  <si>
    <t>á su patria ¿ disfrutar de dro de Roma y los de S. Joan de Letran. Entre sus posesiones y haciendas. los de-S. Pedro de Roma se halla on sobrino del cardenal Máuri. G&amp;AN DUCADO DE BADEN. Hace unos días que !as gentes van por curio­ sidad á las orillas del Tiber, con motivo de ha­ Carlsruhe 4 de junio. ber traido un viento de …</t>
  </si>
  <si>
    <t>Mauri</t>
  </si>
  <si>
    <t>ombrado por decreto de 14 de en cinco actos, traducida del francés, titulada el Hi­ pócrita, del célebre Molior, y la opereta el Secreto. este mes al cardenal Mauri arzobispo de París por Actores en la comedia-: Señoras María García, Rosa­ muerte del cardenal Belloi, rio García, Virg y Torres. Señores Maiquez, Poncc, El día 2…</t>
  </si>
  <si>
    <t>Mauri-coo</t>
  </si>
  <si>
    <t>” lió el dia 28 de setiembre al medio dia para yelez, acompañado de en destacamento de dragones Extracto de las minutas de la secretaría de Es­ y del coronel Mauri-coo 100 hombres de la guar­ tado. dia cívica , sacados de. la primera de granaderos» En nuestro palacio de Granada á 18 de marzo de. la .primera de volteadores» y …</t>
  </si>
  <si>
    <t>Mauricio, Francisco</t>
  </si>
  <si>
    <t>Francisco Mauricio</t>
  </si>
  <si>
    <t>..... 5l44 Doña María Uribe S lazar.................... -7797 D. M neo de O-bregon............................ 2346 17 D. Jacinto Gómez, apoderado de D. Francisco Mauricio........................... 361 D. Hipólito Serrano.......................... 4- * 1). Va'eotin Romero............................. 2373 c 2j-| D. Bias Mart…</t>
  </si>
  <si>
    <t>Mauvheño, Josef</t>
  </si>
  <si>
    <t>Josef Mauvheño</t>
  </si>
  <si>
    <t>Anque continúen las operaciones contra la Holanda, drade, subteniente D. Loicuzo Castañoa, otro, ¡asiste en que seexecute el primer plan, esto es, en D. Josef Mauvheño.</t>
  </si>
  <si>
    <t>Maya, Cristóbal</t>
  </si>
  <si>
    <t>Cristóbal Maya</t>
  </si>
  <si>
    <t>Celorico 2 1 de agosto. ,, El cuerpo principal del Para el de la de Olvera , vacante por muerte exércitq ingles se halla actualmente en esta. Goza de D. Cristóbal Maya, á D. Juan Antonio Rase­ de completa salud, y está lleno de ardimiento. ro , presbítero , teniente cara de Alhaurin. Massena concentra sus*fuerzas , y según pa…</t>
  </si>
  <si>
    <t>Mayer</t>
  </si>
  <si>
    <t>l conde de Fourcroi , consejero de Estado, RoznkAi y al príncipe Luboutski , y por la ha fallecido repentinamente el día 13 por la ma­ del Austria al general Mayer y al conde d* ñana de un accidente apoplético. W urinser. El &gt;3 de este r íes tomó posesión una parte de Continúa la exposición de la situación del imperio nuestra…</t>
  </si>
  <si>
    <t>á la primera división de Viena 18 de diciembre. ellos, y van á España. Esperamos en lo que falta del mes el 8.° cuerpo de exército mandado por e! El general Mayer acaba de marchar á Teschen duque de Abranles. con los poderes necesarios para señalar de acaer- Del 20. Esta .mañana han llegado aquí mas de do con el plenipotencia…</t>
  </si>
  <si>
    <t>Maynez, Alberto</t>
  </si>
  <si>
    <t>Alberto Maynez</t>
  </si>
  <si>
    <t>, 46. Alférez D. José Medina, 20. Id. D. Pasqual Montano, 30. Capellán Fr. Juan Perez, 5*. Sargentos, cabos y sol­ dados, 1575. — Carrizal. Capitati1 D. Alberto Maynez, 40. Teniente D..Valentín Moreno, 40. Alférez D. Gregorio Fernandez, 10. Id. D. Alexandro Escageda , y. Capellán Fr. José Sastre, 20. Sargentos, cabos y soldad…</t>
  </si>
  <si>
    <t>Maynez, Joaquín</t>
  </si>
  <si>
    <t>Joaquín Maynez</t>
  </si>
  <si>
    <t>Doña María y Doña Juana Urquidi, 50. D. Juan Ignacio Oliden, 40. D. José Ignacio Cordero, 20. D. Manuel EstaviLlo, 10. D. Francisco Díaz Velarde, 40. D. Joaquín Maynez , 10. Don Agustín Soto, 20. D. José Ramón Luxan, 10. Fr. Juan Cnacon , 25. D. Eugenio Perez, 30. D. Marcos Vagues, 130. Varios individuos, ^4 y 4 rs. --- Gnuvi…</t>
  </si>
  <si>
    <t>Mayo, Juan</t>
  </si>
  <si>
    <t>Juan Mayo</t>
  </si>
  <si>
    <t>€ c! tiempo hi« • Laiglesia , pre-idente; Drjoaquin Gdero, D. Juan cíese lo que no se atrevió á emprender con las ar­ de Astorga, D. Pedro Berrocoso, D. Juan Mayo- mas en la mano. ricos manjares; á un avaro el descubrimiento de algún ahora, decía: ;cómo es posible que Fulano sueñe si hdtesoro, ó el hallazgo de un bolsillo lle…</t>
  </si>
  <si>
    <t>Mayol, Jaime</t>
  </si>
  <si>
    <t>Jaime Mayol</t>
  </si>
  <si>
    <t>, D. Andrés Or­ á nuestro consejero de Estado y teniente general tega, D. Juan Montemayor. de marina D. Pedro Obregon para entender en ios Tenientes. D. Jaime Mayol, D. Jorge Ostman, ramos de marina del tramo de costa de este tercio D. Juan de León, D. Salvador Ximeuez , D. Ra­ naval, y proveer en él lo conveniente para los a…</t>
  </si>
  <si>
    <t>Mayora, Pedro Josef</t>
  </si>
  <si>
    <t>Pedro Josef Mayora</t>
  </si>
  <si>
    <t>sales. D. Josef Vargas. D. Julián Castañou. D. Diego Giraldo. D. Juan Crespo. D. Andrés Almarza. D. Antonio Reyelo. D. JnrefTubó. D. Joaquín Pacheco. D. Pedro Josef Mayora. D. Esteban Bains. D. Modesto faLcios. Tenientes. D. Juan Paredes. D. Agustín Ugarte. D............................... D. Antonio Arias. D. Vicente Ferrer.…</t>
  </si>
  <si>
    <t>Mazariegos, Romualdo</t>
  </si>
  <si>
    <t>Romualdo Mazariegos</t>
  </si>
  <si>
    <t>D. Salvador Vidal, alcalde mayor de María de Moscoso, abogado en Sevilla: para la al­ Antequera. caldía mayor segunda de Granada, vacante por as­ Y á D. Romualdo Mazariegos, alcalde mayor censo de D. Romualdo Mazariegos á fiscal del tri­ segundo de Granada, fiscal. ' bunal criminal extraordinario de Malaga , á D. Vi­ cente An…</t>
  </si>
  <si>
    <t>Máznelo, Dionisio</t>
  </si>
  <si>
    <t>Dionisio Máznelo</t>
  </si>
  <si>
    <t>lón al capitán D. Juan de Urbina, promoviéndole al propio tiempo á brigadier, con­ forme á reglamento; compañía de fusileros al primer ayudante mayor D. Dionisio Máznelo; y empleos de primeros ayudantes mayores al pri­ mer teniente D. Nicolás Melgarejo, y ai segundo ayudante D. Antonio Vi lia franca. Semanario patrió ico núm.…</t>
  </si>
  <si>
    <t>Máznelo, JosefJoaquín</t>
  </si>
  <si>
    <t>JosefJoaquín Máznelo</t>
  </si>
  <si>
    <t>ezó el fuego, que duró 10 horas se­ ción entera de la misma iglesia , vacante por talleguidas , sin que el enemigo consíguie'e marinar ni cimiento de D. JosefJoaquín Máznelo: á D. Fran­ siquiera una embarcación i pesar de su grande su­ cisco del Castillo y Camacho, presbíteio y ex-serónimo, para la media-ración que dexa Garri…</t>
  </si>
  <si>
    <t>Mazo, Fernando Ruiz</t>
  </si>
  <si>
    <t>Fernando Ruiz Mazo</t>
  </si>
  <si>
    <t>Duro. D. Manuel Andrés. D. Francisco Lefebre Daraur. D. Juan de S. Juan. D. Josef Aleson. D. Matías López de Para. Batallón del quartel de Afligidos. D. Fernando Ruiz Mazo. Capitanes. D. Isidro de Mata y Serna. D. Joaquín Onis. D. Josef Fernandez Zúñiga. D. Josef María Monserrat. D. Ramón Echaetea. D. Gaspar Soiiveres. Subten…</t>
  </si>
  <si>
    <t>Mazon, José</t>
  </si>
  <si>
    <t>José Mazon</t>
  </si>
  <si>
    <t>Joaquín Daureia, y D. José Tirso Carvajal; y subtenencias , á D. Juan Miguel Balanza , D. Antonio Diaz Pintado , D. Tomas Leal, D. Francisco Ortiz , D. José Mazon, D. Andrés Serrano,D. José Gutiérrez Genico, D.Pablo Carcía Bermejo, I&gt;. Juan Bautista Padilla, D. Antonio López, D. Pió Sotolongo, D. Fc-lix de Anaya , y D. Franci…</t>
  </si>
  <si>
    <t>Mazon, Juan Antonio del Campo</t>
  </si>
  <si>
    <t>Juan Antonio del Campo Mazon</t>
  </si>
  <si>
    <t>Concha , subprefecto de Córdoba. bufa en dos actos titulada las Cantoras aldeanas, inter­ D. Juan María Sarraille, de Lucena. mediada con el bolero. D. Juan Antonio del Campo Mazon , de Ecija. En el de la Cruz, á Es cinco de la tarde, se exccutará la comedia antigua de Lópe de Vega, y nueva en En la prefectura de Granada. ' e…</t>
  </si>
  <si>
    <t>Mazon, Rafael Antonio</t>
  </si>
  <si>
    <t>Rafael Antonio Mazon</t>
  </si>
  <si>
    <t>co Rodríguez Ledesma. dias há enfrente de los castillos, y quiso pasar el D. Francisco Bernabeu. canal sin detenerse ni hacer caso de las señales que D. Rafael Antonio Mazon. Se le hacia; pero los castillos le hicieron foego,y la D. Manuel Navarro. obligaron á parar. Tenientes. IMPERIO FRANCES. D. Manuei Gómez. D. Josef Diez …</t>
  </si>
  <si>
    <t>Mazuchelli</t>
  </si>
  <si>
    <t>rindieron las armas, y se les tomaron inútiles; y por las baenas disposiciones que habla dos banderas. Nuestra caballería llegó hasta Tona tomado el general Mazuchelli, comandante interipersiguiendo al enemigo , y haciendo en él una car­ 00 de la división Pino, fueron dispersados los in­ nicería horrible. La derrota de los es…</t>
  </si>
  <si>
    <t>Mazzuencargada</t>
  </si>
  <si>
    <t>cer Basilea t% de mayo. # nuestros puestos avanzados del bloqueo. El gene­ Nuestro gobierno ha nombrado una comisíqn ral' Palombini por un lado, y el general Mazzuencargada de formar un nuevo sistema monetario, chelli por otro lograron con sus. acertadas disposi­ con el qual habrán de conformarse todos los can­ ciones desconc…</t>
  </si>
  <si>
    <t>Mdore</t>
  </si>
  <si>
    <t>GAZETA DE MADRIB DEL VIERNES 9 DE MARZO DE* 181©; J RUSIA. „ Quaudo el gobierno mandó al general Mdore que penetrase en la península , se pensó que encon­ Petersburgoog de enero. traría allí exércitos . prontos á obrar de acuerdo coa Ha sido admitida la dimisión hecha por el señor el suya,ó 4 lo mcoos.se esperaba que la n</t>
  </si>
  <si>
    <t>Me, Isidro</t>
  </si>
  <si>
    <t>Isidro Me</t>
  </si>
  <si>
    <t>a de María Gamez. Otra en la misma calle, que linda 242 2904 i Otra en la Calle-ventaja, que lin­ con otra de las monjas de S. Ni­ da con corrales de D. Isidro Me­ colás................................................ 220 2640 dinilla.................. ............................ Otra en la calle de Fuente Risas, 264 3168 Ot…</t>
  </si>
  <si>
    <t>Me, Salvador</t>
  </si>
  <si>
    <t>Salvador Me</t>
  </si>
  <si>
    <t>erra en los tiempos pasados: el cíelo bará que Plata hasta puerto Deseado y golfo de S. Jorge: do se desnuden de ella , y que en medio de unos las de D. Salvador Me!endez,que con el bergantín sucesos tan asombrosos como tos que hemos visto, Activo exploró la que media desde Acapulco á Sonlogre el puebla escogido la deseada tr…</t>
  </si>
  <si>
    <t>Meade</t>
  </si>
  <si>
    <t>que fué atacada con la mayor bizarría por el regimien­ to 88, mandado por el teniente coronel Wallace, por el regi­ miento nüm. 4&lt;5 , mandado por el teniente coronel Meade y el regimiento portugués nüm. 8 , mandado por el teniente coronel Douglas, todos á las órdenes del mayor general Picton. Es­ tos tres regimientos embistie…</t>
  </si>
  <si>
    <t>Meade, Ricardo</t>
  </si>
  <si>
    <t>Ricardo Meade</t>
  </si>
  <si>
    <t>Ri­ cardo Meade, 2000. D. Tadeo Sánchez Escandon, 60. Marques de las Hormazas, 3000. D. José Alvareda é hijos, 300. D. José Fernandez de Oiarte, 120. D. Ricardo Meade en nombre de varios americanos, 1240. D. Vicente Alcalá Galiana, 640. D. Jacinto Nicolás Alonso, 200. De­ ña Isabel Simón de Palacios, 100. Duque de Veragua, 10…</t>
  </si>
  <si>
    <t>MeAguado, Francisco</t>
  </si>
  <si>
    <t>Francisco MeAguado</t>
  </si>
  <si>
    <t>linda á oriente con dicha liuf!«a y Otra en los Escobares, de j-S- fünepts, mas 44® ¿ poniehte con tierra de J • acf Martin .allá de la Puerta, linde D. Francisco MeAguado................................................... 56.17 U43 tales, y vínculo de Francisco Prieto y</t>
  </si>
  <si>
    <t>Mecdez, Casimiro</t>
  </si>
  <si>
    <t>Casimiro Mecdez</t>
  </si>
  <si>
    <t>coche. El baile continúo hasta las dos, que se de la catedral de Burgos, vacante por privación abrieron las puertas de la sala del banquete. Este de D. Casimiro Mecdez: á D. Joaquín Conde y estaba dispuesto por mesas de á iz cubiertos, de Velasco, presbítero y ex benedictino, para otra modo que 1500 personal podían ser cérvid…</t>
  </si>
  <si>
    <t>Medfano, Pedro</t>
  </si>
  <si>
    <t>Pedro Medfano</t>
  </si>
  <si>
    <t>o y dinero que padece el cuerpo enemigo del general G rard. Ayamonte 2 de diciembre. La vanguardia de la caballe­ ría del general Copons, mandada por D. Pedro Medfano, ha penetrado hasta S. Juan del Puerto, de donde ha sacado SO cargas de trigo, y en seguida ha retrocedido á Cartaya.—Los enemigos continúan en Moguer, la Luz y…</t>
  </si>
  <si>
    <t>Mediador</t>
  </si>
  <si>
    <t>FRANCES. Imperador de los franceses Rei de Italia Foix 2 de marzo. "Protector de la confederación del RJit - El general de división Pille, inspector general Mediador de la confederación Suiza. de infantería, llegó ayer á nuestra ciudad , y pasó revista al primer batallón de los cazadores de mon­ y,Este monumento se colocará e…</t>
  </si>
  <si>
    <t>Mediano, Antonio</t>
  </si>
  <si>
    <t>Antonio Mediano</t>
  </si>
  <si>
    <t>sea qual fuere, manos, lanceta ó utensilio D. Juan Dot, á D. Julián Viejo, á D. Gregorio que haya tocado persona ó parte infestada, á cuya García , á D. Antonio Mediano y á D. Juan de maniobra seguirán unas quantas lavaciones cou agua Dios Oñate. . Calienteart. ni. Nuestro ministro de lo Interior queda He aquí reducidas á una…</t>
  </si>
  <si>
    <t>Mediante, Juan</t>
  </si>
  <si>
    <t>Juan Mediante</t>
  </si>
  <si>
    <t>con sus armas y las entregará en el glacis de la plaza. Ante el señor juez de primera instancia D. Juan Bautista Guitart, y escribanía del número de D. Juan Mediante qúe las tropas de milicias son en cor­ Antonio de Urraza, se siguen los autos de testamenta­ to número, se restituirán á sus hogares después de ría de D. Josef R…</t>
  </si>
  <si>
    <t>Medina, Juan Antonio</t>
  </si>
  <si>
    <t>Juan Antonio Medina</t>
  </si>
  <si>
    <t>Antonio Uribarri D. Tomas Arenillas..;... D.' Josef Manuel López baña­ bas. D. Ramón Ríbes........... D. Antonio Tomas Dicgues. D. Francisco B mi^;„. D. Juan Antonio Medina. lo.• a • «••••» D. Diego Josef de Vi.la D. Mauricio Palla. Décimo batallón. Para ayudante primero D. Francisco de Paula Toledano, para segundo D. Juan Vi…</t>
  </si>
  <si>
    <t>Medina, Nicolás</t>
  </si>
  <si>
    <t>Nicolás Medina</t>
  </si>
  <si>
    <t>086 * de Granada, mandada por el teniente D. Nicolás Medina, que contribuyeron con sus tercerolas haciendo un terrible fuego. El combate se emprende de nuevo por toda la línea, y yo ya cubierto por mi derecha, izquierda y centro, y con los dos batal</t>
  </si>
  <si>
    <t>Medina, Pedro</t>
  </si>
  <si>
    <t>Pedro Medina</t>
  </si>
  <si>
    <t>que reguladas es­ á la parte de umbría , que lia­ ta*, prudencialmente, salva su da con tierras de Josef Cam­ rectificación, en 960 reales, pos , de D. Pedro Medina y de componen ambas samas la to­ Bartolomé Chacón, y cotn- tal de....................................... 33^2 ' 4035*4 prehende 150o matas, 160 de Nueve fanegas y…</t>
  </si>
  <si>
    <t>Medrano, Simón</t>
  </si>
  <si>
    <t>Simón Medrano</t>
  </si>
  <si>
    <t>. 16714 Lüs señoreéDutari hermanos.;.'.ÍL...... 58129 20 Deña Micaela Faurdinier............¿'.í.'.'.' ■ 6688 X1 ' Doña'María Angela-de-Azpiroz.12240 D. Simón Medrano............ a,'27 D. Josef Manuel lzaguirrc.................. 10800 D. Francisco Antonio de Rivacoba... 8754 8i Doña María Eugenia Zubiaga , por sí, D. Francisc…</t>
  </si>
  <si>
    <t>Meerwelt</t>
  </si>
  <si>
    <t>­ cía” ( The Times.) verán á esta capital hasta fines del mes próximo. El remente general barón de Vincent ha pedi­ HOLANDA. do obtener su retiro. El conde Meerwelt ha sido nombrado inspec­ Amsterdan g de junio. tor general de la caballería del exército de la Ga- Siendo la intención del Emperador impedir por llitzia. todos io…</t>
  </si>
  <si>
    <t>Meibicl, Clemente</t>
  </si>
  <si>
    <t>Clemente Meibicl</t>
  </si>
  <si>
    <t>ia. Capitanes. D. Francisco López de Moya. Marques de Canillejas. D. Manuel Barraltes. D. Francisco Marchámalo. D. Rafael de Yarce. D. Rafael Riesco. D. Clemente Meibicl. D. Manuel Palomino Lozano. cuela del hombre sensible, donde se aprenden las ver­ tiene á la verdad defectos mui reparables; pero á pesar dades morales dorad…</t>
  </si>
  <si>
    <t>Mel, Facundo</t>
  </si>
  <si>
    <t>Facundo Mel</t>
  </si>
  <si>
    <t>. Esteban Sánchez, 12. Cape­ llán D. Tomas del Pino 25. Sargentos, cabos y soldados ,757..— Nor­ te. Capitán D. Juan Francisco Granados, 10. Teniente D. Facundo Mel­ gares, 100. Alférez D. José Arzate, 39. Id, D. Xavier Uranga, 30. Ca­ pellán Fr. Francisco Buenavida, 50. Sargentos, cabos y soldados,405. — Príncipe. Capitán D.…</t>
  </si>
  <si>
    <t>Melchor</t>
  </si>
  <si>
    <t>sigan este camino; Juncar: ayuda te de la misma a D- Juan Brosei: mientras no den algún paso para obtener la paz, coronel díl &lt;uerp:&gt; de ingenieros a D. Melchor de y mientras no nos declaren abiertamente qual es el Gerona, conservándole i- graduación de Brigadier: verdadero objeto de esta guerra, podemos sospe­ teniente de in…</t>
  </si>
  <si>
    <t>Melendez, Josef</t>
  </si>
  <si>
    <t>Josef Melendez</t>
  </si>
  <si>
    <t>, y del vivo interes con qus trata de cimentar vador; Dr. D. Juan de Dios Cano, de la Magda­ nuestra felicidad sobre Las mas sólidas basas. lena; Dr. D. Josef Melendez , de S. Nicolás de la Villa; licenciado D. Antonio Josef Muñoz, de Córdoba o 6 de enero. S. Lorenzo.: - &gt; Ajemas la diputación del ayuntamiento de esta El REI …</t>
  </si>
  <si>
    <t>Melendez, Juan de la Peña</t>
  </si>
  <si>
    <t>Juan de la Peña Melendez</t>
  </si>
  <si>
    <t>osef Navarro. Tenientes. D. Josef Ortiz Herboso. D. Andrés Saez. D. Gabriel de Alearáz. D. Santiago Sedaño. D. Juan de Adanero. D. Francisco Cabañas. D. Juan de la Peña Melendez. D. Pedro Sedaño. D. Joaquín Sojo. D. Antonio de Uribarri. Nuestros ministros de lo Interior y de la Guer­ D. Josef Binuesa. ra quedan encargados de …</t>
  </si>
  <si>
    <t>Melendro, Mariano</t>
  </si>
  <si>
    <t>Mariano Melendro</t>
  </si>
  <si>
    <t>su nombre su marido D. Simón glo á nuestro decreto de 14 de octubre del año an­ Mediano............................................... 64800 terior. D. Mariano Melendro.......................... 42000 art. ni. Nuestro ministro de Hacienda queda D. Gerónimo de Iglesias..................... 84000 encargado de la exeancion del p…</t>
  </si>
  <si>
    <t>Melgare, Antonio</t>
  </si>
  <si>
    <t>Antonio Melgare</t>
  </si>
  <si>
    <t>Vida y Herrera , algua­ ,D. Beitran Lasserre, por el comercio; D. Juan de cil mayor; D= Rafael Zamorano y Jurado, dipu­ Aguilar, por la agricultura; D. Antonio Melgare­ tado del común , y D. Josef de Castro y Jurado, jo , por la nobleza; D. Antonio Aznar, adminis­ diputado por el pueb o. trador de rentas. Diputados por la Ram…</t>
  </si>
  <si>
    <t>Melgarejo, Nicolás</t>
  </si>
  <si>
    <t>Nicolás Melgarejo</t>
  </si>
  <si>
    <t>forme á reglamento; compañía de fusileros al primer ayudante mayor D. Dionisio Máznelo; y empleos de primeros ayudantes mayores al pri­ mer teniente D. Nicolás Melgarejo, y ai segundo ayudante D. Antonio Vi lia franca. Semanario patrió ico núm. 33, con el qua! se continúa esta obra, sus­ pendida en Sevilla por las restriccion…</t>
  </si>
  <si>
    <t>Melgarejo, Ramón</t>
  </si>
  <si>
    <t>Ramón Melgarejo</t>
  </si>
  <si>
    <t>a escuela de dibuxo y de matemáticas puras ra subtenientes á D. Joaquín Perez, D. Dionisio Lo* en el real colegio de ia Asunción de esta ciudad, pez, D. Ramón Melgarejo, D. Vicente Montema- para que , ínterin se establece el liceo, que con ar­ yor, D. Rafael Montalvo, D. Manuel Díaz Pi­ reglo a) real decreto de S. M. de 26 de…</t>
  </si>
  <si>
    <t>Melléis, Gabriel</t>
  </si>
  <si>
    <t>Gabriel Melléis</t>
  </si>
  <si>
    <t>el genera! ec gefe hizo maniobrar las tro­ D. Joan de Rozas..................................... 722 pas en Teruel , quedando mui satisfecho, como lo D. Gabriel Melléis......................... 1S0 17 había estado durante el camino, de su gallardía y D. Gregorio Petit....................................... *444 disciplina. D.…</t>
  </si>
  <si>
    <t>Mellishj</t>
  </si>
  <si>
    <t>Gaceta de Madrid n.º 162</t>
  </si>
  <si>
    <t>recho para castigar; y aun sin frirmalirLid rmr hos vocales gritaron Ring. Ring sola; no aae­ alguna de proceso; cuyo poder, si por acaso fuera remos d Mellishj pero Mr. (Jíiffjrd dixo que nomcapaz de existir, seria superior al del Rei&gt; que braseu también á este último, para ver si se atrevía es como ella otro de los brazós d…</t>
  </si>
  <si>
    <t>Meló, Joaquín</t>
  </si>
  <si>
    <t>Joaquín Meló</t>
  </si>
  <si>
    <t>cárcel de Sasa­ La de Morm, que se componía de mon , desde donde serán trasladados a esta ciudad. Se les ha cogido ademas quatro caballerías, dos ca­ D. Joaquín Meló, cura mas antiguo de dicha rabinas, pistolas, dos sables y una espada. villa. Ei patriotismo , valor y actividad que han mos­ El marques de Ariño, alcalde del es…</t>
  </si>
  <si>
    <t>Melokoziewitz</t>
  </si>
  <si>
    <t>Madrid € de noviembre. siste en siete hombres muertos y 17 heridos, y tres caballos también muertos. En la mañana del dia 14 del pasado se presen­ El capitán Melokoziewitz, comandante del tó delante del castillo de Fuengirola, simado en­ estillo, ios tenientes Plachseki y Cbelmiski, el tre Málaga y Marbella, una esquadra ingl…</t>
  </si>
  <si>
    <t>Melón, Juao Aótonio</t>
  </si>
  <si>
    <t>Juao Aótonio Melón</t>
  </si>
  <si>
    <t>rio Petir.'.-.v.:.v..;.v....v....;...;. '959 Lt D.Aptonio González Yebra.¿.¿...... *J 81 D. Pafírtcio Samr.-...-.........................., *074,. rf D. Juao Aótonio Melón............. ..i... El conde dé Montaren.............. ”34:4^ Doña María IgnaciadeAptaia. «f B. Miguel de Gorr.es.;;.;;v..vf:v.;;;'..', 2 t eco , &lt;1 D. Dco…</t>
  </si>
  <si>
    <t>Men, Juan</t>
  </si>
  <si>
    <t>Juan Men</t>
  </si>
  <si>
    <t>solo á aque­ cHos convencidos de haber pertenecido á las qua- llos habitantes, sino también á todos los pueb’os drillas de bandidos capitaneadas por D. Juan Men- de estos contornos, pues en caso de haberse de dieta (el capuchino) y por Isidro Astorga, carni­ usar de la fuerza para someterlos, ademas de la cero del lugar de Po…</t>
  </si>
  <si>
    <t>Mena, Simón Bcnitez</t>
  </si>
  <si>
    <t>Simón Bcnitez Mena</t>
  </si>
  <si>
    <t>de vecinos armados, tan empeña­ dos en marchar contra el enemigo, que le costó trabajo al co­ mandante Villalobos el hacerlos retroceder á sus casas. D. Simón Bcnitez Mena, comandante de las partidas del río Ahnanzora , avisa de Huercal-Overa con fecha de 31 de mayo, que un destacamento francés de 300 infantes y 53 ca­ ballos…</t>
  </si>
  <si>
    <t>Meñaca, Nicolás</t>
  </si>
  <si>
    <t>Nicolás Meñaca</t>
  </si>
  <si>
    <t>ro, 500 pesos fuertes. El capitán de fragata D. Joaquín Ruiz Huidobro, 100. El teniente de navio D. Miguel Iriarte, no. El sub­ inspector del arsenal D. Nicolás Meñaca, 110. El teniente de fragata D. Pedro Hurtado de Corcuera, 160. El teniente de navio D. Domingo Allende, 50. El teniente de fragata D. José Roldan, 80. Id. D. …</t>
  </si>
  <si>
    <t>Mencia</t>
  </si>
  <si>
    <t>................ ..1....... . 77® 9H° radero, Mezquita, Marrbañez, Una haza de tierra caima ¿ térmi- Higuera, Arroyo de las-huer­ • no de la villa de Doña Mencia, tas y Atoviejo, renta todo.... 98000 1.176000 de 2 fanegas............... ,tí'....v.„ '-400 • 4860 Una dehesa llamada Urgollon, - .► de pasto, en el término de Una …</t>
  </si>
  <si>
    <t>Menciizabal</t>
  </si>
  <si>
    <t>10'—Serrano Valdenebro ” Fuente de Cantos 16 de diciembre. La división del general Ballesteros ocupa á Monasterio, la Calera y Puebla del Con­ de: el general Menciizabal está en esta villa, y los franceses en IJerena. El 29 del pasado la guerrilla de Soto, compuesta de poco mas de 40 caballos, fué atacada por 150 enemigos de …</t>
  </si>
  <si>
    <t>Méndez, Antonio</t>
  </si>
  <si>
    <t>Antonio Méndez</t>
  </si>
  <si>
    <t>•&lt;cho al fin despertar del letargo, en que ha .estado García* de lá misma órden. abismada por espacio de jo años. El pueblo de Ir­ Para la de Lucai á D. Antonio Méndez , exlanda, leal y seloso de su .independencia , vencerá domÍQÍCO. -í'J ?: ; 'todos los obstáculos, y llenará de confusión.á sus Para la de Bácares á D. Antonio…</t>
  </si>
  <si>
    <t>Mendez, Isidro</t>
  </si>
  <si>
    <t>Isidro Mendez</t>
  </si>
  <si>
    <t>son D. José de las Llamosas, D. Martin Tovar Ponte, D. Feliciano Palácip; D. Nicolás de Castro, D. Juan Pablo Ayala, D. José Cortés; D. Hilario Mora, D. Isidro Mendez, D. Francisco Rivas; D. Rafael González, D. Valentín Rivas, D. José Félix Sosa; D. José María Blanco, D. Dionisio Palacios, D. Juan Ger­ mán Rossio, D[ Juan Asc…</t>
  </si>
  <si>
    <t>Mendez, Juan</t>
  </si>
  <si>
    <t>Juan Mendez</t>
  </si>
  <si>
    <t>. D Julián Romero, 25 D. Antonio Vázquez , 1$. D. José María Noriega, 25. D. Vicente Moreno , 10. Don Bernarda GiStellum, 10. D. Damian Segrega, 1 o. D. Juan Mendez, 13* D Manuel Cermeño, 10. Doña María Teresa Vázquez, ió. Doña Fran­ cisca Vázquez, 7. Varios individuos, 154 y 6 rs. ■—Aíulatos. D. Do­ mingo Goyenecnea, 200. Fr…</t>
  </si>
  <si>
    <t>Mendiberri, Jayme</t>
  </si>
  <si>
    <t>Jayme Mendiberri</t>
  </si>
  <si>
    <t>0. Duque de Veragua, 1000. D. An­ tonio Seoane, 100. B. L. , 100. Marques de Castelar, ioco., D. To­ mas de Urrutia , 1000. D. Antonio Eseaño , ioco. D. Jayme Mendiberri, So. Marques de Salas, 5C0. D. Francisco Parlado , toco. D. Pedro Benito Michel, 40. D. Mariano Matali, Soo. TJr.á bisabuela , zoco. Doña María Josefa Ge i c…</t>
  </si>
  <si>
    <t>Mendizaba</t>
  </si>
  <si>
    <t>§m vumente á Baearrota, Salvaleon y Salvatierra, donde se ha­ llaban las divisiones de los generales Ballesteros y Lacarrera á las órdenes del general Mendizaba!. El dia 9 supo en Sal­ vatierra que el anterior habían evacuado los enemigos á Za­ fra , dirigiéndose á Llerena; y pasando inmediatamente á la primera, dispuso que l…</t>
  </si>
  <si>
    <t>Mendizabal</t>
  </si>
  <si>
    <t>200 noticias que tuvieron del movimiento del general Mendizabal, que se halla en Campo Mayor, se retiraron al Montijo y Puebla. Poco satisfechos, sin duda, de aquella jornada, en que tuvie­ ren gran moitandad por el acertado fuego de los cazadores y la</t>
  </si>
  <si>
    <t>omo las francesas están-en movimiento. El 2 de este mes se hallaba el general Ballesteros en Calera, pue­ blo entre Fuente de Cantos y Monesterio. El general Mendizabal está hácia Aíburquerque. Los enemigos devastan á Márida y .^us contornos; una división de ellos compuesta de 4c) infante s y 800 caballos estaba acampada á pr…</t>
  </si>
  <si>
    <t>dia 4, los patriotas cogieron parte délos equipages del duque dé Aremberg. — El lo estaba en Fregenal la división del ge­ neral Ballesteros ; la del general Mendizabal en. Xerez y Burguillos; y los franceses en Zafra, Salvatierra y La parra. -—El 15 pasó Balles­ teros á Aracena, de donde huyeron 400 franceses que habían entra…</t>
  </si>
  <si>
    <t>dida de 6 muertos y 3 heridos, siendo la de los ene­ migos , según se aseguraba , de 50 muertos y otros tantos heridos. El oficial comisionado por el general Mendizabal para proteger la extracción de granos de La villa de Zafra, despuec de haber tomado las medidas mas oportunas para verificarlo, logró que se sacasen el 18 mas…</t>
  </si>
  <si>
    <t>ele Ti partida deD. Celedonio Duran. Un soldado de la misma libertó á un dragón de Lusitania á quien llevaban prisionero tres franceses. Idem 26. El general Mendizabal desde Zafra con fecha de 23 , da parte at general en xefe de la acción que el dia anterior tuvieron con el enemigo el coronel D. Ignacio Irigoyeny el teniente …</t>
  </si>
  <si>
    <t>886</t>
  </si>
  <si>
    <t>886 Ai/amonte 3 de noviembre. Ei 27'del pasado, aguardaban en Zafra al general Mendizabal: la división del general Ba­ llesteros salió de Aracena el 28 y su quartel general de CastiHej os el 1.® del corriente con dirección á Fuentes de León. Un oficial francés y 2 juramentados q</t>
  </si>
  <si>
    <t>ayor que llegaron ayer tarde, están saliendo con dirección á Zafra, para donde salió ayer un tren de 14 piezas de artillería volante y de batalla. El general Mendizabal se va también k poner en marcha. Se discurre que este movimien­ to es contra el cimrpo francés que ocupa á Llerenay ascien­ de á 5000 hombres. Del 22. Se han …</t>
  </si>
  <si>
    <t>Mendízabal, Miguel</t>
  </si>
  <si>
    <t>Miguel Mendízabal</t>
  </si>
  <si>
    <t>arques de Belgida , 3C0. Un apasionado de D Juap Martin por medio del lord Macduff, icoo. D Domingo Antonio de Vivanco, rísco. D. Juan Águilar, icoo. D. Miguel Mendízabal,. 400. D Salvador de Oria , 50. Duque de Medinaceli, ioco. D. José Manuel Abalia , ibo D. R. A.A., 40. D. Ignacio Casal, 5000. D. Juan José Oferral, 6co. Tr…</t>
  </si>
  <si>
    <t>Mendo</t>
  </si>
  <si>
    <t>endidez de su conducta, lla­ Domingo 9 de setiembre de 1810. ma la atención del Reí, y de consiguiente la de sus cor­ tesanas. Entre estos hai un tal D. Mendo á quien e' Mo­ TEATROS- narca condecora con su propia banda, al mismo tiempo En el del Príncipe, á Jas siete y media de la no­ que se dispone á ir al retiro del labrado…</t>
  </si>
  <si>
    <t>1120</t>
  </si>
  <si>
    <t>en su casa por una ventana. por García y su muger, de quien se enamora ciega­ ¡Quál es su sorpresa quando en vez del objeto de sus mente el cortesano D. Mendo, que á los ojos de los la­ amores so encuentra con quien menos quisiera! No tie­ bradores pasa por ser el Reí hasta el momento mismo ne la menor posibilidad de desmenti…</t>
  </si>
  <si>
    <t>Mendoza, Josef</t>
  </si>
  <si>
    <t>Josef Mendoza</t>
  </si>
  <si>
    <t>Anice­ Hecho en Garden á 14 de mayo de 181 ®.= Fir­ to Casagna : teniente de caballería de línea i mado rr Francisco Nuñez , comandante de! fuerte.se D. Josef Mendoza: teniente en el i.° de cazado­ El coronel de ingenieros comisionado por el gene­ res á caballo á D. Francisco Xavier Zaldarri ga: ral en gefe Haxo. teniente de …</t>
  </si>
  <si>
    <t>á í). Agustín Man­ ta compañía. zano. art. xiv. En el batallón de milicia cívica de Para capitán de la tercera compañía á D. An­ Xerez de la Frontera D. Josef Mendoza, abande­ tonio Caballero; .para teniente á D. Manuel Saa- rado, queda nombrado ayudante segundo del mis­ vedra, y para subteniente á D. Josef María Ca­ mo batal…</t>
  </si>
  <si>
    <t>Mendoza, Mariano</t>
  </si>
  <si>
    <t>Mariano Mendoza</t>
  </si>
  <si>
    <t>han prestado á S. M. el juramento de fidelidad y D. Ramón Montoya, idem 3. obediencia. D. Manuel López, idem 4. D. Estanislao del Castillo , idem f. D. Mariano Mendoza, idem $. D. Alfonso Díaz , portero. LIBROS. D. Miguel García de Tienda, fiel colector de La Mogigata, comedia en tres actos en verso, reatas provinciales. por …</t>
  </si>
  <si>
    <t>Menendez, Antonio</t>
  </si>
  <si>
    <t>Antonio Menendez</t>
  </si>
  <si>
    <t>to de vD. Juan dé Roxas, á por promocioo^de- D. Guillermo Moreno- 4 ..otro D. Cristóbal de Arias*, presbítero, teniente de’ de la propia parroquia, í D. Antonio Menendez, cara de Ja misma. presbítero, ex-regular., , : - : Para .el dé la villa de Monda , vacante por fa­ Para el beneficio de lai parroquia de S. Juan de llecimie…</t>
  </si>
  <si>
    <t>Meneodez, Ignacio</t>
  </si>
  <si>
    <t>Ignacio Meneodez</t>
  </si>
  <si>
    <t>. m. Nuestro ministro de Hacienda queda D. Joaquín Calvo.................................... 18886b encargado de la execucion del presente dccreto.es D. Ignacio Meneodez............... 14760 FlrmadoseYO EL. REI. = Por S. M. su ministro D. Joaquín de laja..... ....................... 144000 secretario de Estados:Firmados:Maria…</t>
  </si>
  <si>
    <t>Meneses</t>
  </si>
  <si>
    <t>sus puestos.— No puedo dexar de elogiar la precisión con que han llenado mis ideas los gefes de esta operación el ge­ neral Taboada en la derecha, el brigadier Meneses en el cen­ tro, y el coronel Hevia en ia izquierda.” Ei 12. de este mes por la tarde entró aquí la fragata Ifigc-</t>
  </si>
  <si>
    <t>Meneses, Antonio</t>
  </si>
  <si>
    <t>Antonio Meneses</t>
  </si>
  <si>
    <t>la execucion del presente.decreto.s: Barroso, D. Candido González, D. Ramón de Ar­ Firmadi.= YO EL REl. = Por S. ,M. su ministro ce, D. Antonio Rniz, D. Antonio Meneses, Don secretario de Estado Mariano Luis de Urquijo.” Jotef Cepeda, D. Cayetano de Várgas, D. Josef Extracto de las minutas de la secretaría de Estado. Vrquiaga…</t>
  </si>
  <si>
    <t>Meneses, José</t>
  </si>
  <si>
    <t>José Meneses</t>
  </si>
  <si>
    <t>s muros de León, so­ bre cuyo punto obraba la izquierda para proteger el ata.me de Aslorga; que llegaron’ basta;esta ciudad las tropas manda­ das por D. José Meneses , que intimó’ la rendición á los ene­ migos ; y que siguieron vari;isescaramuzas,en que los franllevaron la peor parte por el denuedo, con que pelearon</t>
  </si>
  <si>
    <t>Mennizabal</t>
  </si>
  <si>
    <t>están en Guadal can al y Caza-lia. Del 28. El general Cirard habia hecho movimiento el dia 20 y llegado basta Bienvenida y Usagre. A consecuencia el general Mennizabal habla mandado hacer algunos movimien­ tos &amp; nuestro exército: pero la noche siguiente se retiró el enemigo á su primera posición de Llerena. Las cartas de Lisb…</t>
  </si>
  <si>
    <t>Menor, Luis Rentero</t>
  </si>
  <si>
    <t>Luis Rentero Menor</t>
  </si>
  <si>
    <t>r al­ nado * asegurándoles qué todos * sin excepción al­ calde , para la plaza de alcalde mayor. guna * serán respetados; advirtiéndoles que las jus­ D. Luis Rentero Menor* que era segundo-al­ ticias , ayuntamientos y administradores públicos calde , para la de alcalde ordinario. deben adelantarse á recibir las tropas para tr…</t>
  </si>
  <si>
    <t>Menou</t>
  </si>
  <si>
    <t>ingenieros franceses que dirigen las obras, añaden otras nuevas á las antiguas. Han muerto en poco tiempo varios personages conocidos de Francia. El general Menou que mandó el exército francés de Egipto después de la fuga de Bonaparte y muerte de Kleber, falleció el 13 de agosto en Venecia. El 15 murió en Rúan de 82 años de e…</t>
  </si>
  <si>
    <t>Mera</t>
  </si>
  <si>
    <t>igo.— El 3 pasaron el rio junto á di­ cho convento 3 colunas de caballería enemiga,, encaminándo­ se á Val de Espino, donde les salió al encuentro el teniente coronel Mera, comandante de las guerrillas de la división de la Carrera. Durante la refriega Hegó un de ta: amento ingles, cuyo comandante mandó tocar á degüello; y los…</t>
  </si>
  <si>
    <t>Mercaderes</t>
  </si>
  <si>
    <t>cámara^ ó secretarios de tribunales superiores. Ferrerías y empresarios de minas. Mercaderes de ferretería ó de otros metales. Mercaderes de joyeríl. d Mercaderes de sola ejpecería. 1000 8o» éoo.. .400 2CO Mercaderes de géneroi ultramarinos. Mercaderes de pura cjuincalla. Mercaderes de vinos generosos. Relatores. T .o' r . - …</t>
  </si>
  <si>
    <t>Mercado, Josef y Lorenzo</t>
  </si>
  <si>
    <t>Josef y Lorenzo Mercado</t>
  </si>
  <si>
    <t>9*794 9 9 sí, y como tutora y curadora de su D. Francisco de la Canal...................... 18036 20 hijo D Pedro Marta de Zubiaga.... w ei 0 0 0 0 0 D. Josef y Lorenzo Mercado............... 13507 D. Nicolás Alomo de Tejada............... D. Pedro «tibio........................................ 29166 iS D. Te ¡pe Alba Ruiz...…</t>
  </si>
  <si>
    <t>Merchánté, Eugenio</t>
  </si>
  <si>
    <t>Eugenio Merchánté</t>
  </si>
  <si>
    <t>de Almoñacid de d loo' pinzas. Subteniemc*jü-JEstAsaa, dft. tiquéíáiy Don Miguel M.rtin.-r^1' *«- Capitan-j D. Juan Antonio Lopez Soidjdo.; Teniente, D. Eugenio Merchánté. *,Vt í,x JLK.V 'yV‘í&gt; Á¿ x.\vi¿. v.u-'j SnAlfiWWté» D._ Antonio ViHalóm .r-„ ' j Compañía dt^t£esfna.de a IOOplazas. ART. 11. Para k tormacion de estas qqm…</t>
  </si>
  <si>
    <t>Mercia</t>
  </si>
  <si>
    <t>ivisión' de .Iridias. . ? : El dia 3 del pasado falleció en esta ciudad á la edad de 53 anca el Sr. D. Vicente Alcalá Galiano, natural de la villa de Doña Mercia en el reyno de Córdoba, caballero pensionado de la orden de Carlos IIí, decano dél consejo supremo de fíacienda y tesorero general del reyno. En el año'de empezó á s…</t>
  </si>
  <si>
    <t>Merino</t>
  </si>
  <si>
    <t>aza y Sepíilvecla se habian reunido muchas partidas. El 9 del mismo mes atacaron á. Almazan 1500 franceses de la guarnición, de Soria. La partida del cura Merino soste­ nida por el Q.° batallón de numanfcinos compuesto, de 400 re­ clutas resistió, un combate de % horas;, pero la; superiori­ dad del»enemigo obligó á la retinad…</t>
  </si>
  <si>
    <t>Merino, Gerónimo</t>
  </si>
  <si>
    <t>Gerónimo Merino</t>
  </si>
  <si>
    <t>idado y vigilancia ; pero k penar de -o Vi a una partida de pa­ triotas les mató á fines de abril 5 hombres , y Jes-quitó 1.5 caballos. La partida de D. Gerónimo Merino , compuesta de 250 caba­ llos y 50 infantes derrotó en dias pasados a 200 franceses en.las inmediaciones de Espeja, cogiéndoles 45;prisioneros, íjf'OO fjsiJes…</t>
  </si>
  <si>
    <t>Merlano, José María</t>
  </si>
  <si>
    <t>José María Merlano</t>
  </si>
  <si>
    <t>entes D. Antonio Fominaya y D. Antonio Fernandez Rebustillo j tenencia de granaderos al de fusileros D. José López, y de fusileros á los subtenientes D. José María Merlano, D. Juan de Dios del Gordo, D. Isidoro de la Torre y D. Manuel Soriano, los dos primeros de granaderos; subtenencias de granaderos á los de fusileros D. Ma…</t>
  </si>
  <si>
    <t>Merle</t>
  </si>
  <si>
    <t>de adjudicarse en indemnización á los tería ligera , los quales, habiendo llegado.mui cer­ dueños ^Je casas derribadas. ca del enemigo, obligaron al general Merle á ace­ art. iii. Nuestros ministros de lo Interior y lerar su ataque general. Este oficial mandó to­ de Hacienda quedan encargados de la execncion car á paso de ata…</t>
  </si>
  <si>
    <t>Merlo, Gragoyio</t>
  </si>
  <si>
    <t>Gragoyio Merlo</t>
  </si>
  <si>
    <t>. Diego de Ugal- por ia constitución dei estado, REI de las Españas de; D. Miguel Gar la de Pisa , lectora! ; D. Ma­ y de las Indias. nuel de Espejo; D. Gragoyio Merlo, magistral; Españoles: D- Manuel Arj na, penitenciario ; D. Diego de Ha llegado el momento en que debeis oir la • Gorma, doctoral ; D. Francisco Armenia , emó-…</t>
  </si>
  <si>
    <t>Merlo, Josef</t>
  </si>
  <si>
    <t>Josef Merlo</t>
  </si>
  <si>
    <t>e la villa de Bel- D. Josef Recuero; para teniente á D. Pedro Josef mez , con precisa residencia en la aldea de Peñar- Solance, y para, subteniente á D. Josef Merlo. ípya r. vacante por promoción de. D. Mariano Pa­ Por otro decreto de la misma fecha, dado también riente , al presbítero, ex-iregular D. Josef Madrid; en Madride…</t>
  </si>
  <si>
    <t>Merlo, Pablo</t>
  </si>
  <si>
    <t>Pablo Merlo</t>
  </si>
  <si>
    <t>; de con oirá de las Ordenes y vereda que Ot a en Viana, de tLn. v- media, linde a orien­ llevan los de Valdeolmos á Daganzo....... 54-»7 1199 te con D. Pablo Merlo, y i mediodía con Otra en dicho término, que llaman Carro- tieira que labra Juan Antonio Ortiz....... -13.. 17 *97 molino , de 2§ fan., que linda con tierras Otra…</t>
  </si>
  <si>
    <t>Mermet</t>
  </si>
  <si>
    <t>no , ni tenía­ mos otro idioma para tratar con ellos que á balazo?. ,, En consecuencia de esta respuesta se ret-i-ó el oficial del es­ tado mayor del general Mermet, que erar el conductor del pliego; y yo ha dado 6rúen para que en adelante no vuelva b permitirse la llegada é nuestros puestos avanzados de ningún parlamentario,…</t>
  </si>
  <si>
    <t>Merpués</t>
  </si>
  <si>
    <t>aciones, y ca­ neral Loisson, qne ha tenido mucha parte en to­ da descarga derribaba algnn trozo de ellas. Des­ das las operaciones del sitio; la del general Merpués de 36 horas de un fuego mui violento, se vió tnet, que ha formado el cerco de la plaza en unos que podia montarse la brecha en ambos muros en momentos los mas cr…</t>
  </si>
  <si>
    <t>Merternich</t>
  </si>
  <si>
    <t>eñores Kesslerm y Cortum , con­ dinero , en términos que cada soldado que p?rdió sejeros áulicos. en aquella batalla algún miembro ha recibido 300 El conde Merternich, pa ire de S. E. el minis­ florines, y los demas 20 florines. A lo« pobres ha­ tro de Negocios extranjeros, ha sido nombrado bitantes de aquellas dos poblacione…</t>
  </si>
  <si>
    <t>Mes</t>
  </si>
  <si>
    <t>Minerva man­ los contornos de Batnberg y de Baireuth, y en el dada por el teniente coronel Osewardc; ia fragata paíatinado superior. la Frise por el teniente coronel Mes; la Linx por</t>
  </si>
  <si>
    <t>Mesa</t>
  </si>
  <si>
    <t>sieron en fuga; pero perseguidos y acosados hubieron de rendirse prisioneros, á excepción de dos que fueron muer­ tos por no querer entregarse, y del capitán Mesa, á quien valió para escapar la ligereza de su caballo. Mientras esto pasaba con la caballería, la infantería fran­ cesa , atacada de fírme por la nuestra, no tuvo o…</t>
  </si>
  <si>
    <t>Mesa, Anadeto</t>
  </si>
  <si>
    <t>Anadeto Mesa</t>
  </si>
  <si>
    <t>e Urquijo.” ART. II. Nombramos para caoita-.de esta com­ pañía á D(. Ramón M;s.i, y para subteniente á * - Don Josef Napoleón por Ja gracia de Dios y D. Anadeto Mesa. por la constitución del estado, REI de las Espa­ art. 111. Nuestro minist'o He la Guerra queda das y dé las Indias. encargado de la exi-cLcGn d'* ecte decreto. …</t>
  </si>
  <si>
    <t>Mesa, Domingo</t>
  </si>
  <si>
    <t>Domingo Mesa</t>
  </si>
  <si>
    <t>n Posadas , 100. Id. D. José Laguna , 100. Id. D/Fernando de Soria Santacruz, 110. D. Diego Ponce de León, teniente de navio, 20.—Alféreces de navio. D. Domingo Mesa , 30. D. Manuel Vi lia vicencío, 120. D. Félix Gastartlbide, 60. Id. de fragata, D. Martin Temoson , 50. — Cuerpo de pilotos. D. Joaquín Cundin , 70. D. José de …</t>
  </si>
  <si>
    <t>Mesbiele, Clemente</t>
  </si>
  <si>
    <t>Clemente Mesbiele</t>
  </si>
  <si>
    <t>Estéban Moreno..... ......... I&gt;. Manuel López. D. Güilísimo González.......... D. Clemente Villalba. D. Francisco Lopes Moya.... D. Joan Colmenero. D. Clemente Mesbiele...........- D. Pedro M*ría Brost, D. Josef María SorroialD. Mariano Triviño,.., D, Alberto Gteúudelt. Quar/o batallón. Para ayudante primero t&gt;. Bernardo de …</t>
  </si>
  <si>
    <t>Metieraich</t>
  </si>
  <si>
    <t>493</t>
  </si>
  <si>
    <t>rtir de Grate A continuación de este a^rticulo pone nuestra á la Croada , ha diferido su viage asi que supo que (¿zeta las reflexiones siguientes: el conde Metieraich había salido de París para vol»</t>
  </si>
  <si>
    <t>Metiernich, Josef</t>
  </si>
  <si>
    <t>Josef Metiernich</t>
  </si>
  <si>
    <t>Salones y dos entrada»; una por el lado de hombres conde Eugenio Haugwírz; coñac Domjn- nuestra ciudad, y la otra por el de-Altheim. En go-de Wlrbnaj conde Josef Metiernich, Laadgra- el salón del medio , destinado para hacer la eatreve de Furstemberg; conde Ernesto de Hoyos;con- ga , se colocó un dosel, boxo del qual había un…</t>
  </si>
  <si>
    <t>Metterfiichy</t>
  </si>
  <si>
    <t>justificados por Us declaraciones y reconocimientos príncipe Borghese, déla princesa de Haden*y el de los. robados, por, la confesión del Tomas de la conde Metterfiichy de la princesa Aldobrandint y Cruz (alias Matalobos), y por otros convencimien­ Mr. de Montaran , y de M.lle Blaque de Belair y tos que resultan de la causa q…</t>
  </si>
  <si>
    <t>Metternicb</t>
  </si>
  <si>
    <t>muchos instrumen­ Wurtemberg , comandante de esta capital , se ca­ tos de agricultura que se habían traído de Ingla­ sará con la hermana de S. E. el conde Metternicb, terra á mucho coste. S. M. I. , por informe que le nuestro ministro de Negocios extrangeros. ha presentado el minisíto de lo Interior, ha juz­ gado que estas ma…</t>
  </si>
  <si>
    <t>Metternich</t>
  </si>
  <si>
    <t>abril, y que SUECIA. se dirigía á Petersburgo por Buda y Brodi. todos k&gt;s días llegan aquí correos despa­ Estockolmo 13 de abril. chados por el señor conde Metternich, el qual pa­ Los grandes depósitos de géneros coloniales rece que contiuuará aun eo^ Paris todo el mes pró­ que hai en Gotteoburgo serán trasladados á Sch- ximo…</t>
  </si>
  <si>
    <t>s incidente de corta consideración quando se atraviesan intereses tan encontrados de potencias tan ambiciosas y for­ midables, telena 29 de abril% El conde Metternich ha ido á Francia , y aunque al pronto se; dixo que el objeto de su viage había sido proponer una mediación en­ tre dicha potencia y ia Inglaterra, después se cr…</t>
  </si>
  <si>
    <t>nes Augsburgo y de octubre. de su comitiva: fas tropas del campamento, reuni­ das á las de la guardia y á las de la guarnición, Ayer pasó por aquí el conde Metternich , y es­ executaron las grandes evoluciones en la llanura de ta mañana llegó á Munich. Dícese que nuestro So­ •Forst, en la orilla derecha del Fulda , cuyo »io b…</t>
  </si>
  <si>
    <t>esultas de un bombardeo de 18 horas. También rumbo ai Sud. se habla de una paz próxima entre los rusos y los turcos. Slerwick iS de octubre. El señor conde Metternich luego que llegó - El Príncipe Real de Saecia acaba de llegar á aqui despachó un correo para el Emperador. Créese esta ciudad : S. A. comerá con ei landgravc Car…</t>
  </si>
  <si>
    <t>rte de mercancías. y en seguida ha marchado á Munich , donde pien­ sa pasar algunos dias. Sus hijos han quedado en Pa­ BA VIERA. rís , y su esposa la condesa Metternich ha conti­ nuado su viage á Viena sin detenerse. Ratisbona a de noviembre. Anteayer llegó á esta ciudad un destacamento PRINCIPADO DE NEUFCHATEL. de artillería…</t>
  </si>
  <si>
    <t>sitio siguiente carta de su propio puño al príncipe de de Nissa. Metternich quando le nombró ministro de Estado ALEMANIA. y de Conferencias. ,, Amado príncipe Metternich: queriendo daros Deimold i.° de noviembre. en ei momento del regreso ce vuestro hijo , y al SS. AA. los príncipes soberanos de Lippe-Dettiempo mismo que le b…</t>
  </si>
  <si>
    <t>Metternich-Wínneburgo</t>
  </si>
  <si>
    <t>á fin de sithr áOrsowa. Parts 7 de octubre. El cuerpo principal de los servios se ha man­ tenido hasta ahora en su excelente campo atrinche­ S. E. el conde Metternich-Wínneburgo, mi­ rado delante de A'exintza , donde se halla el gene­ nistro de Estado y de Negocio* extrangeros de ral en gefe Czerni Jorge. También va á estable…</t>
  </si>
  <si>
    <t>Mexia, José</t>
  </si>
  <si>
    <t>José Mexia</t>
  </si>
  <si>
    <t>ues de S. Felipe y Santiago , suplente por la ida de Cuba: D. Joaquín Santa Cruz, suplente por idem: Marques de Puñoenrostro , suplente por Santa Fe: D. José Mexia, suplente por idem: D. Dionisio Inca Yupangui, suplente por el vireynato del Perú: D. Vicente Morales, suplente por idem: D. Ramón Feliu, suplente por idem: D. Ant…</t>
  </si>
  <si>
    <t>Mexía, Josef Rodríguez</t>
  </si>
  <si>
    <t>Josef Rodríguez Mexía</t>
  </si>
  <si>
    <t>M., el ministro secretario de Estados Firma­ duos siguientes: dos Mariano Luis de Urquijo.” Capitanes. D. Gregorio García. D. Vicente Verdura. Aviso. D. Josef Rodríguez Mexía. En 18 de febrero de 1809 falleció en esta corte Don D. Manuel Casado. Estéban Casabona, vecino y del comercio de Ja misma, natural de la villa de Olot-…</t>
  </si>
  <si>
    <t>Mexia, Juan Antonio</t>
  </si>
  <si>
    <t>Juan Antonio Mexia</t>
  </si>
  <si>
    <t>nando Dávila. — Juan José de Llobes. — Vicente Piz2rro. —Ma­ nuel Hcrnr.1. — Doctor Francisco Marcos SantaelJa. — Doctor Joa­ quín de Torres Duran. — Licenciado Juan Antonio Mexia. — Vicen­ te Becerra. — José María Dávila. — Francisco Sauri.” En el real cuerpo de guardias de Corps ha promovido S. M. á exénto k D. Francisco Fe…</t>
  </si>
  <si>
    <t>Mexías, Josef</t>
  </si>
  <si>
    <t>Josef Mexías</t>
  </si>
  <si>
    <t>rimentado por sí mismo, y visto Para h segunda de la misma iglesia al ex fran- prácticamente en sus discípulos la absoluta necesi­ ciscano observante D. Josef Mexías. dad de la formación de nuevos elementos de mate-* Para la de la ciudad de Almuñecar á D. Juafl máticas, qné los admirables y numerosos descu­ Pedro Vidal , ex-f…</t>
  </si>
  <si>
    <t>Mi, Juan</t>
  </si>
  <si>
    <t>Juan Mi</t>
  </si>
  <si>
    <t>ga: ral en gefe Haxo. teniente de infantería de línea á D. Josef SaíanoAprobado por nos, comandante en gefe del ▼a: teniente de infantería de línea á D. Juan Mi­ tercer cuerpo del exército imperial en España, go­ guel Espronceda: subteniente en el regimiento.de bernador general de Aragón = conde Sucket. Jaén, 8.° de infanterí…</t>
  </si>
  <si>
    <t>Micas, Francisco de Paula</t>
  </si>
  <si>
    <t>Francisco de Paula Micas</t>
  </si>
  <si>
    <t>ada, notables de las montañas de la Bukowina, aunque D. Josef Soria, D. Francisco de Paula Veluti, mui escabrosos. S. A. 1. ha visitado las fronteras D. Francisco de Paula Micas, D. Carlos fimo, de la Moldavia, y ba vuelto á Skolc, Stnolna, cadete, D. Pedro Gerona, cadete , D.. Agostía Drohobieiz y Sambor por las ferrerías y …</t>
  </si>
  <si>
    <t>Micbel, Pedro Sao</t>
  </si>
  <si>
    <t>Pedro Sao Micbel</t>
  </si>
  <si>
    <t>D. Juan Valenchana.............. D. Jaime Rostan. •#•-»••«•* ••*•••••»«••■»•« D. Josef Paniagua. D. fíustaqnio Villaseftor....... D. Manuel Gamarra. D. Pedro Sao Micbel............. D. Juliao Gajlcedo. D. Pedro Díaz López............ D. Antonio Gamarra. D. Juan Ezterripa D. Atexandro Leal Ib-trra.... D. Isidoro Pugeo. D. Manu…</t>
  </si>
  <si>
    <t>Micdon</t>
  </si>
  <si>
    <t>rsión dos desembarazará por algún tiempo. Por lo demas Zaragoza Ja ¡ de agosto. nos vemos en disposición de obrar próximamente, porque la llegada del mariscal Micdon.ild ya no es Copia de una carta del Excm&gt;. ir. general en un problema, y mantenemos plena comunicación gefe e nde Suches á S E. el barón de Mus— con é . Mientras…</t>
  </si>
  <si>
    <t>Michai</t>
  </si>
  <si>
    <t>leyes del pais, El barón de Armfelt, general sueco, ba llega­ emprender ninguna instancia judicial; pero ha pro­ do aquí de la Finlandia. El senador conde Michai- puesto á S. M. qae exhorte á todos sus vasallos á low-Romanzow se dispone para viajar fuera del que denuncien á ia justicia lo que sepan, si sa­ imperio con permiso…</t>
  </si>
  <si>
    <t>Michel, Pedro Benito</t>
  </si>
  <si>
    <t>Pedro Benito Michel</t>
  </si>
  <si>
    <t>Castelar, ioco., D. To­ mas de Urrutia , 1000. D. Antonio Eseaño , ioco. D. Jayme Mendiberri, So. Marques de Salas, 5C0. D. Francisco Parlado , toco. D. Pedro Benito Michel, 40. D. Mariano Matali, Soo. TJr.á bisabuela , zoco. Doña María Josefa Ge i cochea y Melendez, 120. Marques de Astorga, 1500. Micheo, padre c hijo, 15CO. …</t>
  </si>
  <si>
    <t>Michelis</t>
  </si>
  <si>
    <t>res* del mismo valor. ..... tituir todos Jos buques dinamarqueses y noruegos, Marburgo ib de marzo. como también las demas p'opieJades dinamarque­ El profesor Michelis acaba de hacer un descu­ sas secuestradas en Gotenburgo desde el principio brimiento mui interesante1 para la humanidad, y de la guerra. consiste en curar los …</t>
  </si>
  <si>
    <t>Micon, Joaquin</t>
  </si>
  <si>
    <t>Joaquin Micon</t>
  </si>
  <si>
    <t>a, £0. I). José de la Lanza , 100. Señores Llano y Regato, 100. D. Pedro García la Lausa , 200. D. Domingo Madariaga, 25. D. Juan Manuel Muñoz , 200. D. Joaquin Micon , 100. D. Jo­ sé Domingo Couto , 100. D. Mariano Pasquel, 100. D. Manuel Elguero , 100. D. Juan Antonio Leunes , 100. D. Francisco Magarola , 50. D. Francisco G…</t>
  </si>
  <si>
    <t>MiD, Juan</t>
  </si>
  <si>
    <t>Juan MiD</t>
  </si>
  <si>
    <t>..................... . 1826.. 8! D. Nicolás Barsanti, como- apoderado D.íjosef Hermosa..................... ............ 1083 de D. Félix, D; Luis y D. Juan MiD. Diego Ortega—*............................... 1083 r quelozzi...................................... 4680 D. Pedro Baille y .compañía...;............. 14977- 8! D. R…</t>
  </si>
  <si>
    <t>Mier, Antonio</t>
  </si>
  <si>
    <t>Antonio Mier</t>
  </si>
  <si>
    <t>s un suelo mo­ saico de un trabajo exquisito y de mucho gusto. D. Pedro Novoa, subprefecto de Málaga. Un año há que en el mismo parage se encontraron D. Antonio Mier, de Antequera. Otras antiguallas, y entre ellas un discóbulo y una D. Diego Tauco, de Osuna. piedra hermosísima grabada, ¡a qual se vendió in­ En la prefectura d…</t>
  </si>
  <si>
    <t>Mier, Félix</t>
  </si>
  <si>
    <t>Félix Mier</t>
  </si>
  <si>
    <t>ciertas ciases de propietarios, tro plenipotenciario'.*'igualmente , el Emperador hi sereparcirát» con igualdad entre la masa general de ,nombrado al conde Félix Mier, gentilhombre de los ciudadano». 5. M., para la erqbaxada de Ñipóles, de donde Los bienes raíces pagarán la contrihñdton .terri­ viene-á nuestra corte con el ca…</t>
  </si>
  <si>
    <t>Mier, Manuel</t>
  </si>
  <si>
    <t>Manuel Mier</t>
  </si>
  <si>
    <t>de ia Orden quedan encargados de la execucion de la misma; al contador de rentas intendente in­ del presente decreto. = Firmado ^YO EL REI.es terino D. Manuel Mier; al teniente primero de Por S. M., como encargado de la gran cancillería asistente D. Joaquín Solis; á D. Simón Reunía» en ausencia del señor duque del Campo de Al…</t>
  </si>
  <si>
    <t>ntados y sin armas.—El sábado últi­ mo vinieron los españoles* al cortijo de Ctsaluenga, que fue ele los Cartujos, y se llevaron mas de 30 yeguas ele D. Manuel Mier, y algunos potros de Soult. Habian cogido también al­ gún otro ganado, que abandonaron perno peder pasar con él el rio.—Corre la voz de que Soult vuelve á los Pue…</t>
  </si>
  <si>
    <t>MígMelpz, Josef Fermi</t>
  </si>
  <si>
    <t>Josef Fermi MígMelpz</t>
  </si>
  <si>
    <t>,',ex-aguyinp , ... _ ^.,.1 Cf D. J?jme Dot.,....,. ...j 17592 4: 'calzado.;...... .................. . .4499»/. /I DMajianp Sanchq. „.. ............ D. Josef Fermi^MígMelpz^éx-yr^n-, ; v . ri1 • 1 La^_casade Albert é h¡jos,j:a.d.. 28144. * * ’ CÍSCD{10. ¡;44^®PI D. iP^J^o, Laplana. 2925 DÍ Fermín BravoV éx-escolapio...lztnu …</t>
  </si>
  <si>
    <t>Migue</t>
  </si>
  <si>
    <t>ia sitrado en un pequeño b.oíque en donde se remun las dos. cordilleras de Cpll de Sachs y Serra del Bach al mando del sargento mayor de la 's.ecciqn D. Migue-) Córdoba y del coróne 1 D. Juan C'arós , no se con­ tenta h ya con sostener , .sino que inflamadas á un mismo tiem­ po y por un mismo espí ritu , atacan. por -te dos l…</t>
  </si>
  <si>
    <t>Miguel</t>
  </si>
  <si>
    <t>ficios que experimentan de su acreditado Gómez de Salazar (D. Manuel), obispo de Avila. amor por sus pueblos. S. M. ha recibido cea ternu­ Santander (D. Miguel de ) , obispo de Huesca. ra este testimonio de fidelidad y reconocimiento de art. 11. Nuestros gran canciller y gran tesore­ sus fieles vasallos, cuyo entusiasmo ha cr…</t>
  </si>
  <si>
    <t>gel (D. Marcelino ) , canónigo de Sa­ do al comisario general pague quanto se deba, delamanca. xando aquí una persona que cancele qualqutera Tejada ( D. Miguel de ), intendente de Palencia. cuenta que hubiese pendiente , y particularmente Tovar (D. Alonso) , gefe de división en el minis­ las relativas á provisiones suplidas q…</t>
  </si>
  <si>
    <t>sperarán á S. M, Jo de Santa María, la Emperatriz María Luisa. Cogheeri (D. Juan Bernardo). S. M. la Reina de España marchó el 7 á Stras- Cretvinker (D. Miguel), deán de la Catedral de burgo, y continuará so vuge hasta firauoau con Granada, un numeroso acompañamiento, Dávila (D. Luis), comandante de la guardia no­ ble de Gran…</t>
  </si>
  <si>
    <t>tenientes , los subtenientes D. Francis­ co Ramírez , D. Ramón Mateo, D. Valentín Ampudia , D. José Ampudia, D. Tomas de Benavides , D. Manuel Albo, D. Miguel ligarte , y D. Antonio Montenegro. CADIZ : EN LA IMPRENTA REAL.</t>
  </si>
  <si>
    <t>para que te le enterrase con to­ D. Joief Garavaca ; y para el quarto curato de lá ’ dos los honores militares. misma iglesia, vacante por muerte de D. Miguel-' El navio español S. Francisco de Paula, que López Caballero, á D. Diego Padilla. ■’ ha hecho un gran ruido mientras hau durado todos Para el segundo enrato de la igle…</t>
  </si>
  <si>
    <t>o, y par* presbítero D. Miguel Rico-Lglesia¿ abanderado á.D. Francisco Morales; para-capitanes h, ePara elváe lCardanchosí:, vacanteí por fallecí-; á D. Miguel deResa y D; Pedro,Alcántara Osorio} miento deD. Juan Gábrérá, al presbítero ex-regu- para tenientes' á D. Antonio Ruis de Alarcon y lar.Dd'FraaCisco.Ximeoez.-i .......…</t>
  </si>
  <si>
    <t>a 20398, 5. Varios individuos de Puebla, y de otros lugares pertenecientes á su intendencia, 3 9231. D. Juan Gonzá­ lez del Cabo-Franco, y su hermano D. Miguel, 100. D. Fran­ cisco Villalva 9 vecino de Tepey aguaico , 100. D. Peiro Ascoifi, y D. Juan Gránela , de S. Juan de los Llanos, 100. Por el subde­ legado de Ciiautla de…</t>
  </si>
  <si>
    <t>Don Cayetano Muñoz y Benaveote, auxiliar de la dió­ Josef Gallo: en el de Jaén, 8.° de línea, subte..u-nte cesis de Sevilla: para este arzobispado á D. Miguel á D. Julián López: en el de Infantes, io.“de linea de Santander, obispo de Huesca; y para la mitra subtenientes á D. Ramón Lauda y D. Crótooal que dexa vacante á D. Man…</t>
  </si>
  <si>
    <t>ndo: subte­ nientes de infantería de línea á D.JFrancisco L pez, Cbntta el castillo de la Fuengirola; fue una ver­ D. Pedro Burillo, D. Pedro Denovi, D. Miguel güenza qaanto sé execuió; nos volvimos ignominio­ Coronado, D. Ramón Rodríguez, D. Mariano samente, dexaodo mal puesto el honor de las ar­ Layes, sargentos primeros qu…</t>
  </si>
  <si>
    <t>últimas noticias de oficio son del 19 del Para el de la de Benadalid, vacante por pro­ mes pasado. A esta época los franceses babian prin­ moción de D. Miguel del Real, á D. Juan Cerezo, cipiado ya el sitio de Almeida. Lord Weilington clérigo diácono. concentraba entre tanto sas fuerzas para obligar por Para el de la de Compe…</t>
  </si>
  <si>
    <t>che (D. Gabriel), teniente de tiradores de ingenieros de nuestra guardia real. idem. Danís (D. Juan), sargento de caballería ligera, idem. Labrousse (D. Miguel), sargento de caballería li­ Delabit (D. Josef), soldado idem de idem. gera , idem. Desert ( D. Juan ), capitán de artillería, idem. Latdeiin (D. Miguel), idem de idem…</t>
  </si>
  <si>
    <t>la Ocdcn, la guardia cí ica de'Madrid. duque del Campo de Alange.” Peraldel (D. Claudio), sargento de tiradores de nuestra guardia rea). Pettetier ( D. Miguel ) , sargento de idem , idem. v VARIEDADES. Pintado ( D. Juab Francisco) , teniente de navio retirado. Continúa ti artículo de ayer» Plaza (D Juan de la) , cónsul eo Bay…</t>
  </si>
  <si>
    <t>za á una elevación de 1© toesas, excede toda­ miento de Castilla, i.° Je infantería ligera. vía eo 660 a los 62o de latitud boreal. A ios 68° Escala (D. Miguel) , capitán dei regimiento de In­ de iarirud, y en un parage en que el señor Buch fantes , io.° de infantería de línea. notó que su termómetro subía estando expuesto á …</t>
  </si>
  <si>
    <t>puesta de 395 marjales Juan Fernandez.............. . 1400 16800 y.95-estadales, coji divos, que Quarenta marjales de tierra de se halli arrendada á D. Miguel riego, en términojdel lugar.de Moreno, vecino de Granaba, en 10289 123468" Altacar, arrendados á Pedro Una huerta contigua al convento López y Gregorio Fernandes de Mer…</t>
  </si>
  <si>
    <t>Miguel'Adap</t>
  </si>
  <si>
    <t>. / Teniente., rD^Antnnfb ’Mantmefe*;,V ¡v* r - v"¡ • i Compañía de AtgandadeÁioo plazas. Subteniente, D. Miguel'Adap. Xí , ,u. Capitán, D. Jotef Palomino,: .&lt;? .M0“p '.' i-i '1 LC) /HlíJ Cl &lt; i’ Teniente , D¿-Justa Salcedo*. G , . Subrejweriis,íDi'AlfonsaiJeirezP* .■ SkI» .*^*.¡¡*0 Tcntettft, D. Andrés Av</t>
  </si>
  <si>
    <t>Miguel, Juan</t>
  </si>
  <si>
    <t>Juan Miguel</t>
  </si>
  <si>
    <t>barderos de chatei y de su comitiva entraron en esta ciudad. la mil cia cívica de Granad?. Por ios dos lados del camino había tropas formadas Colzas (D. Juan Miguel) , síndico personpro de en batalla,y por todas partes se oían repetidas sal­ Granada. vas de arii, ería. El príncipe de Neufchatei, á Doto n’gnez (D. Josef), coma…</t>
  </si>
  <si>
    <t>é los que se imaginaron sacudir por sí, y reino se inserta lo siguiente: aun con.auxi ios de exércitos, la nueva constitución ,,Habiendo tenido aviso D. Juan Miguel del del reino. ¿Habrá familia de las que han sobrevivido Campo, primer alcalde de los Villares, que una á su desgracia que no llore eu todo el resto de sus .parti…</t>
  </si>
  <si>
    <t>los ranchos de Gerocoa y Cockibampo, 57 y 4 rs. D. Juan de Dios Hurtado, 10. D. José Escalona, 10. Varios individuos, 15 y ¿ rs. Don Víctor Soto, 14. D. Juan Miguel deAyala, 13. Quatro individuos, 28.— CADIZ : EN LA IMPRENTA REAL.</t>
  </si>
  <si>
    <t>Miguel, Pedro San</t>
  </si>
  <si>
    <t>Pedro San Miguel</t>
  </si>
  <si>
    <t>el Sánchez del Valle. D. Manuel Ramos Zafra. D. Manuel Celestino Carrasco. D. Francisco Zuñiga. D. Mariano Trevíño. Tenientes:, D. Pedro M-ría Brost. D. Pedro San Miguel. I&gt;. Josef Perez Azofra. Batallón del quartel de Avapies. D. Pedro Rubio, hijo. Capitanes. D. Angel Machado. D. Antonio Fuentes. El marques de C &lt;mpo Villar.…</t>
  </si>
  <si>
    <t>Mijares, Feíix</t>
  </si>
  <si>
    <t>Feíix Mijares</t>
  </si>
  <si>
    <t>D. Ramón de Zuloaga ; y de cazadores , á D. José Ma­ ría Casasoia. En el reg' miento de infante'.--! i de Aragón se ha servido con­ ceder compañías á D. Feíix Mijares, y D. José Montero ; ayundamía , á D. Martin Sierra ; tenencias, á D. Eduardo Velase»; D. Vicente Cabañas , D. Manuel Laget, D. Miguel Navarro, D. Antonio Aznar…</t>
  </si>
  <si>
    <t>Mikitsch</t>
  </si>
  <si>
    <t>s á las nuevas posesiones que ha ad­ acción en-el Drina y el Morawa, llegó el dia 29 quirido, las quales consisten en h; ciudades y baiá Belgrado. El coronel Mikitsch recibió una he­ liages de Miltembergy.de Amorbach, el bailiage do rida de consideración en el hombro izquierdo. Henbach , 'muchos pueblos situados en la orilla …</t>
  </si>
  <si>
    <t>Milhaud</t>
  </si>
  <si>
    <t>rse, y se les hubie­ ra cogido-y desarmado, si por un acontecimiento fortuito no hubiese detenido al exército francés ia Extracto del parte del señor general Milhaud con inundación del Danubio. El núrnen de la guerra fecha del Provenáo á 5 de enero de t8ro.: y los esfuerzos del arte vencieron estos obstáculos imprevistos. Es.…</t>
  </si>
  <si>
    <t>. Manuel S xto Espinosa............... 6750 partido de Atadrid baxo las órdenes dei general Doña Xaviera de Osma............................ 45025 10 conde Milhaud , marchó hácia su extremo derecho Doña Ignacia de Castro........................... 22770 ara entrar en comunicación con ci. El general Mil- Doña Francisca Rodrígu…</t>
  </si>
  <si>
    <t>ada ó des­ subteniente ayudante de plaza, y al gobernador de truida por un solo ataque de caballería á las órde­ la sala D. Teotima Escudete. nes del general Milhaud. Los Refes de la insurrec­ art. n. Nuestro gran canciller y gran tesore­ ción han sido arrestados en Velez-Málaga por los ro de la Orden quedan encargados de la …</t>
  </si>
  <si>
    <t>Milla, Francisco</t>
  </si>
  <si>
    <t>Francisco Milla</t>
  </si>
  <si>
    <t>a, mamentos que se juzguen necesarios á su seguridad, D. Fernando Barrientos, D. Juan de Lara, D. Lo­ defensa y protección del comercio. renzo Pomar, D. Francisco Milla, D. Juan En­ art. 11. Nos propondrá por nuestro minittr® tero. de Marina quanto crea conveniente para llenar este Subtenientes. D. Joaquín Sotelo, D. Antonia …</t>
  </si>
  <si>
    <t>Millaud</t>
  </si>
  <si>
    <t>icto para que se entregasen las armas en el término de veinte y quatro horas, baxo graves penas. A las 11 y media de la noche llegó Sebastiani con el general Millaud y 200 caballos de escolta, y se alojó en casa del vizconde de Huerta, que estando gravemente enfermo , no había podido ausentarse. Al instante mandó Sebastiani s…</t>
  </si>
  <si>
    <t>Mille, Angel</t>
  </si>
  <si>
    <t>Angel Mille</t>
  </si>
  <si>
    <t>alias S. Nicolás. D. Gerardo Bordas, capitán, primer piloto, 35. Id. segundo, D José Moreno, 50. D Benito Estevez, segundo - ciruj&amp;no habilitadoy 30. D. Angel Mille , encargado de víveres, iz. - - Oficiales de mar de sueldo Jixo y tentporaf. Francisco C&amp;rdenss'i segundo guardián con cargo , 44. Andrés Motónos ,-segundo id :, …</t>
  </si>
  <si>
    <t>Miller</t>
  </si>
  <si>
    <t>dos y prisioneros: nosotros perdi­ mos de 30 á 40. Escriben del qu artel general de Ajuda con fecha del 15: „ Acaban de lleggr de Coimbra pliegos del general Miller. El coronel Trant y apoyado por dicho general, y por el coronel Wilson, tomo posesión de ;aquel^ ,ciudad el*8 deb corriente:; el depósito de enfermos y heridos, y…</t>
  </si>
  <si>
    <t>ente tuve la honra de participaros que tenia intención de dirigirme á Mialhada en el discurso de aquel dia, con el fin de reunirnje á los cuerpos del general Miller y del coronel Wilson , y com­ binar un ataque contra esta ciudad: pero quando llegué aílí, supe que dichos cuerpos se habían detenido por falta de socor­ ros en l…</t>
  </si>
  <si>
    <t>Milne, Gárlos</t>
  </si>
  <si>
    <t>Gárlos Milne</t>
  </si>
  <si>
    <t>ármen Herrau....... 115 50' Doña Anai Josefa Tavira..—. a /»•*!••&lt;*#' ;901^17' D.Ramón y D.? Micaela Merino, y en ! Dpña .María Bracha 8.a rinñññabre D. Gárlos Milne , ttitór.. 200 , j D. Jóséf Rives.v.v..v;.;.............J.i..;..., 13446 19Í, j ]^« J[o^F Apffli^»*»»»»i*»**ji»»*l«»**»&lt;iií**iMi» -pw Lbi herederos de D; Francis…</t>
  </si>
  <si>
    <t>Milorádowitsch</t>
  </si>
  <si>
    <t>as qné nuestros políticos se ocupan «oda solemnidad. El mismo dia salió de allí'para err hacer reflcxtqoés sobre las felices consecuencias Mohilow el general Milorádowitsch, el qua! to­ dé esté suceso ¿ que asegura la paz del continente. mará el mando de un cuerpo considerable dclextér- Muchas particulares y aun familias ente…</t>
  </si>
  <si>
    <t>Mín</t>
  </si>
  <si>
    <t>cciones so­ destinado para otra comandancia superior; .y el Reí bre varios objetos importantes relativos al es rae O ha nombrado para la del Tirol aU general Mín^cc?» actual'de la India; que se supiese,.por ere tupio, que ha estado encargado hasta ahora de U ael cír-n sí es ó no probable quéjb^brá guerra con Jos reara­ culo d…</t>
  </si>
  <si>
    <t>Min, Ramón</t>
  </si>
  <si>
    <t>Ramón Min</t>
  </si>
  <si>
    <t>nar , y D. Laureano Sauz; y subtenencias, ? X). Bruno Soaso, D. Antonio Llamas, D. Lorenzo Adelantado D. Juan Sotelo , D. Gregorio Aívarez Carbalio , D. Ramón Min guillen , y D. José Piñeyro. Asimismo ha concedido grado de capitan de infantería , á. D. Manuel de Oromí , teniente del bata­ llón de tiradores voluntarios de Cádi…</t>
  </si>
  <si>
    <t>Minchel, Alfonsa</t>
  </si>
  <si>
    <t>Alfonsa Minchel</t>
  </si>
  <si>
    <t>l numero de 259 ios vales perdidos. r ° mes. ascienDoña Josefa Villamandos. N.° 440797 493605.. 2 de 300 pesos de mayo, 180381 x de 150 de setiembre. Doña Alfonsa Minchel. 307903 1 de ídem ídem. D. Juan de Frutos. 174822 1 de ídem idem. D. Antonio Pablo de Udaeta. 159302 162634 162635 162687 ..................................…</t>
  </si>
  <si>
    <t>Mingura, Plácida</t>
  </si>
  <si>
    <t>Plácida Mingura</t>
  </si>
  <si>
    <t>J íuregui por 3a casa de D. Francisco Eíguea , 30. D. Juan Eíguezabal, 50. £). José Perez Ruiz, 22. D. Lepe de Vega, 20. D. Miguel de la Huerta, 20. Doña Plácida Mingura, 12. D. Juan José Atenas, 50. D. Santiago Abren, 30. D. Juan Capistrano Zubia ,8. D. José María Porras ,8. D. Ber­ nardo Martínez 200. D. Francisco Jíuregui,…</t>
  </si>
  <si>
    <t>Minjarez, Francisco</t>
  </si>
  <si>
    <t>Francisco Minjarez</t>
  </si>
  <si>
    <t>tos, cabos y soldados, 1194. — Tercera Volante. jCapitan D. Antonio Vargas, 60. Teniente D. José Antonio de Arce, 15% Alférez D. Pablo Rongel, 8. Id. D. Francisco Minjarez, 15. Capellán Fr. Manuel’ Acevedo, 10. Sargentos, cabos y soldados 373 y6'rs. (Se continuara'.') CADIZ : EN LA IMPRENTA REAL.</t>
  </si>
  <si>
    <t>Minucci</t>
  </si>
  <si>
    <t>pará á Mecklembur- ocupada definitivamente el i.° de marzo por nues­ go y la costa del -Báltico hasta las fiontcras de la tras tropas mandadas por el general Minucci. El Pumerania sueca. Aunque los franceses han eva­ ayudante-comandante Henin de Cuviller , coman­ cuado'la Pomerauia&gt; £Í«i embargo las costas de es­ dante de arm…</t>
  </si>
  <si>
    <t>Mínucci</t>
  </si>
  <si>
    <t>anza, llegó el 13 por la noche á darán en el Tiroh tres-brigadas tí las órdenes del Scliafusa,y al dia siguiente fue á ver la catarata general mayor .conde Mínucci. .La primera, man­ del Rin; y eu segoida continuó su vñge para el dada por el generaltmayor Riechberg, se compone país de Furstemberg', atravesando por D mesebin— …</t>
  </si>
  <si>
    <t>sfechos del buen de Guerra residente en Viena. recibimiento que se leS ha hrcho en eSta ciudad. Aunque las compañías de los regimientos hún­ El señor conde Minucci, comandante'de nues­ garos se^componen, seguo el nuevo arreglo, de tras tropas en el Tirolha distribuido con toda 120 plazas cada una; sin embargo, se ha dispuesto…</t>
  </si>
  <si>
    <t>Mió, Isidoro</t>
  </si>
  <si>
    <t>Isidoro Mió</t>
  </si>
  <si>
    <t>0 á á Montijo, trayéndose 600 bueyes, 130caballos y 8oq hombres , mandados por el brigadier español porros 3' &gt;0 muías. Los bue3*es se han dado á las D. Isidoro Mió, atacó á las 4 de la mañana dei 25 tropas de ia división; las muías se han entregada de este mes á los íorrageros del destacamento de para la conducción de artill…</t>
  </si>
  <si>
    <t>Miollis</t>
  </si>
  <si>
    <t>España loda, vean'a! R Rí J y os informen de un hecho, que es la , , ’ Jtpma 7 de febrero., basa '4ér ñneitraí deflexiones; Estas personas que eliEl conde Miollis, gobernador'general,-acom­ giéreis1 serán religiosamente respetadas /y nosotfW pañado del barón-Degerandoj miembro de la cón- inismós quedaremos en rehenes hasta él…</t>
  </si>
  <si>
    <t>co. , tantinoplaá que paguen nna multa de 100© piastras-. 1 Hipáramos de un dia á otro en esta capital al Por las últimas noticias que han llegado de general Miollis,qus viene en calidad de embazado* Ruzchiuz parece que los. rusos, d&amp;lpues -de la to­ de Francia cerca de nuestra corte. ma de Ismaílow , se limitan á fortificars…</t>
  </si>
  <si>
    <t>. La dieta ha aprobado ia propuesta de S. E. el S. M. por decreto de 29 de junio ha confirma­ general de Watteville; pero esta no se ha admiti­ do al conde Miollis en sus funciones de gobernador do sino ad instruendum para el año que viene, general de Roma y de los departamentos que com­ porque los diputados no tieaeo en esta…</t>
  </si>
  <si>
    <t>Miquclini, Gaspar</t>
  </si>
  <si>
    <t>Gaspar Miquclini</t>
  </si>
  <si>
    <t>nistro de Hacienda queda encar­ D. Ramón Ruiz...................................... 368*1..31 ■ gado de Ja-execucion del presente decreto.~ Firmados: D. Gaspar Miquclini, por sí y como • YO EL-REI.nc.Por S. M. su ministro secretario de Hi­ apoderado de sus hcananos D. Joscfj tado = Firmado = Mariano Luis de Urquijo.”...... EN…</t>
  </si>
  <si>
    <t>Mir, Francisco</t>
  </si>
  <si>
    <t>Francisco Mir</t>
  </si>
  <si>
    <t>acante á D. Manuel María Truxilio y Izquierdo: enei regimiento, i.°de infantería ligera, Jurado, obispo y abad mayor de Alcalá la Real: subteniente á D. Francisco Mir. lugar de presentar al público las contiendas é infortu­ plearse en las composiciones de esta especie. nios de los Reyes y personages heroicos, cuenta las des­ …</t>
  </si>
  <si>
    <t>Mir, Isidoro</t>
  </si>
  <si>
    <t>Isidoro Mir</t>
  </si>
  <si>
    <t>o burlarse de él, derrotó doa ¥¿ces su caballería, y se retiró en buen órden sin otra pérdida que la de 2 heridos.,. : ii =-; : Hacia el mismo tiempo D. Isidoro Mir había tenido tana re* friega con los franceses junto á Mi aja das entre -Logroiza y Gua­ dalupe.; én que les mató 150 soldados , y cogió 5 prisioneros con ▼arios …</t>
  </si>
  <si>
    <t>Miranda</t>
  </si>
  <si>
    <t>des considerables de provisiones para el mismo efecto. Es digna de referirse la acción de 11 soldados convale­ cientes que escoltaban el equipage del general Miranda el 11 de este mes junto á Sobral. Habiéndose avistado 17 dragones franceses , el sargento que mandaba la escolta, hizo parar los carros , y á los soldados escond…</t>
  </si>
  <si>
    <t>Miranda, Cayetano</t>
  </si>
  <si>
    <t>Cayetano Miranda</t>
  </si>
  <si>
    <t>or empleo de capitán primevo á D.Cristóbal Orboñez ; primera ayudantía á D. Francisco Fernandez; empleos de capitanes segundos á D. Juan Quintanilla, D. Cayetano Miranda, D. Francisco de Paula Miranda, D. Francisco Sacue, D. Juan Ma­ tos, y D. Claudio González ; segunda ayudantía, á D. Jacinto Inozal ; tenencias, á D. Eustaqu…</t>
  </si>
  <si>
    <t>Miranda, Fernando</t>
  </si>
  <si>
    <t>Fernando Miranda</t>
  </si>
  <si>
    <t>a se reduxo á 6 levemente heridos. El 22 se presentaron al general Losada 3 desertores fran­ ceses ele los que estaban en Grado con armas y caballos. D. Fernando Miranda, comandante de los tiradores de As­ turias, acometió con 100 hombres en la tarde de 25 de noviem­ bre los puestos avanzados de los enemigos en la villa de Gr…</t>
  </si>
  <si>
    <t>Miranda, Francisco de Paula</t>
  </si>
  <si>
    <t>Francisco de Paula Miranda</t>
  </si>
  <si>
    <t>primevo á D.Cristóbal Orboñez ; primera ayudantía á D. Francisco Fernandez; empleos de capitanes segundos á D. Juan Quintanilla, D. Cayetano Miranda, D. Francisco de Paula Miranda, D. Francisco Sacue, D. Juan Ma­ tos, y D. Claudio González ; segunda ayudantía, á D. Jacinto Inozal ; tenencias, á D. Eustaquio Cevaílos , D. José…</t>
  </si>
  <si>
    <t>Miranda, Juan García</t>
  </si>
  <si>
    <t>Juan García Miranda</t>
  </si>
  <si>
    <t>Juan Manuel tonsurado. Perez, presbítero , cura de Salió. Y para el de Oreonagar vacante por muerte de Para el de Santiago de las Villas, vacante por D. Juan García Miranda,, á D. Froilan Cancela promoción de D. Bruno Montes al de Grulleros, González , tonsurado. á D. Juan Rodríguez , cura de Pembes. Nuestro ministro interino…</t>
  </si>
  <si>
    <t>Mires, Berharcío</t>
  </si>
  <si>
    <t>Berharcío Mires</t>
  </si>
  <si>
    <t>rácho , 10. Ramón; Gár&amp;y^lio. D. Freií-; ci$co Antonio Saenz, 25*. D. Bernardo Fernandez ,-2-5". DrPedro Colfófftes, 10. D. Juan Miguel Lavayen, 25. .D. Berharcío «Mires, 3a D. José Hilario Rodríguez, 10. D. Andrés de írazabal, 30-. D. Francisco Iturbe, 25.</t>
  </si>
  <si>
    <t>Mitchell, Roberto</t>
  </si>
  <si>
    <t>Roberto Mitchell</t>
  </si>
  <si>
    <t>Luisa de Albear, 500. El lord Mac-Duff, 5®. La señora Do­ ña Isabel Grellet, 500. El señor D Guillermo Svveetland, vecino de Gibraltar, 2®. El señor D. Roberto Mitchell, 1®. El señor D, Patricio Mo* llisoti, 1®. El señor conde de Villamar, 300. La señora Doña Joaquim Camicho, 320. El Excmo señor duque de Hijar, 320. El Excmo …</t>
  </si>
  <si>
    <t>Miüer</t>
  </si>
  <si>
    <t>que el sol (TAf Sun) derrama llegada y reunión de nuevos refuerzos.. Aseguran sobre los últimos sucesos acaecidos en Lisboa , per-r que el cuerpo del general Miüer ha ocupado á sistimos auu en creer que el horizoote político está Tomar, y que hace avanzar su izquierda hasta síetjipre.mui obscuro en esta parre del'gíobo; Nues­…</t>
  </si>
  <si>
    <t>Miuot</t>
  </si>
  <si>
    <t>ón en las maniobras. Ve­ pañero suyo, que montado en su caballo , prote­ nia después el regimiento délos albaneses, man­ gía su atentado. dado por el coronel Miuot, y al pasar entonó el Sin el socorro de algunos vecinos del pueblo se cántico de guerra, é hizo una descarga general de hubiera fugado este malhechor, como lo hizo…</t>
  </si>
  <si>
    <t>Ml'aliiás, D Pablo</t>
  </si>
  <si>
    <t>D Pablo Ml'aliiás</t>
  </si>
  <si>
    <t>&amp;i¿2' y ia d¿ caballería por el brigadier D Pablo Ml'aliiás^ y msrcho ^ápídvt*mente por'el camino real con los regimientos de Valencia-y Daroca de infantería, dragones de Numancia y un destacamento deOlivenza, hasta las inmediaciones de Sanz. El teniente coronel D. José Maaso con sus tiradores, el batallón de Anteque</t>
  </si>
  <si>
    <t>Mn, Pedro</t>
  </si>
  <si>
    <t>Pedro Mn</t>
  </si>
  <si>
    <t>as de. unos mis­ y Aranda, E&gt;. Pedro Cárdenal ,,D. IgnaeIo' Baena'. mos sentimientos dirigían sos súplicas af Dios de 'Subtenientes: D. Joan Cava) ,* D. Pedro Mn- lol Ejércitos por la éalud dé;'nuestro ^Soberano , y radas; D. Cristóbal, Lorenzo» D'Iñigo Fonseca, * por la paz y pronto.sosiego dé todo el reído: J ‘ I&gt;. Fernando…</t>
  </si>
  <si>
    <t>Mnñoz, Antonio Cano</t>
  </si>
  <si>
    <t>Antonio Cano Mnñoz</t>
  </si>
  <si>
    <t>ez. Gitadalaxara. 3.® D. Josef González Varela. * D. Roqne Moyna y Mazarredo, oidor de la 4.0 D. Fermín Cosío.; -c audiencia de Navarra, presiente.&gt;, D. Antonio Cano Mnñoz, fiscal. . ART. Vil. Nuestro ministro do larjusticía queda Jueces. ' ' encargado de la execucion de presente decreto. =s x.° tí. Roque Novella. Firmado = Y…</t>
  </si>
  <si>
    <t>Mnriiio, Antonio</t>
  </si>
  <si>
    <t>Antonio Mnriiio</t>
  </si>
  <si>
    <t>£ Nava. Xa división de caballería ligera y «a pi¡-' Ro mana y para la juuta de Badajoz, escritas por mera de infantería fueron bacía; Monujo., desee D. Antonio Mnriiio, miembro de esta junta,*con fe­ doude la caballería ligera continuó su marcha por cha del 23 (i). Dice en el|a* que ya tenia reunido* al camino que va desde Vi…</t>
  </si>
  <si>
    <t>Mo, Francisco</t>
  </si>
  <si>
    <t>Francisco Mo</t>
  </si>
  <si>
    <t>á D. Manuel del Mazo; el de sargento mayor, á Don Manuel de Bayona ; compañías , á D. Ramón Díaz, y D. Pedro Payo; ayudantías á D. Alberto Nazarre, y D. Francisco Mo­ ren za ; tenencias , á D. Antonio Fernandez, D. Fernando Azevedo , y D. Francisco Venegas; y subtenencias, á D. Patricio Auge, D. Tomas Manzanares, y 1). José M…</t>
  </si>
  <si>
    <t>Mo, Josef</t>
  </si>
  <si>
    <t>Josef Mo</t>
  </si>
  <si>
    <t>sos de tropas ex­ corregidor de Sevilla; á D. Luis María Guerrera trangeras. Demasiadas cargas están sufriendo con oidor del tribunal de Granada, y á D. Josef Mo­ harto sentimiento de S. M. por causa de la teme­ rales oidor del de VaLladolid. raria é insensata obstinación de Cádiz y de la Isla; y la compasión de nuestro Sober…</t>
  </si>
  <si>
    <t>de honor de Gragún hecho -roas bien probado ni roas cierto en el aada. üii, que el que establece la propiedad y virtud El REI ha venido en nombrar á D. Josef Mo­ esencialmente anti-variólicas de la vacuna. rales, presbítero, para una ración de la catedral de S. M- el Emperador y Rei, á quien han .sido Granada : á D. Ignacio d…</t>
  </si>
  <si>
    <t>y napo­ nuel López Tinoco , par? teniente á D. Josef Ru­ litanos ; que 2 j franceses , entre ellos cinco artille­ bio Barbero t:y para subteniente ¿ D. Josef Mo­ ros , que estabao prisioneros , han recobrado sn li­ ran. bertad , y que 'hemos cogido a! enemigo too hom­ P ra capitán de la tercera compañía á D. Anto­ bres prisio…</t>
  </si>
  <si>
    <t>Moa, Francisco Saochcs</t>
  </si>
  <si>
    <t>Francisco Saochcs Moa</t>
  </si>
  <si>
    <t>te-*»»»***» ••♦••••................ D. M.riano Calderón. 8.' D* Joan Palas........... D. Ventara Arqoellada......... D. Manuel Canuco.............. . D. Francisco Saochcs Moa9/. dragon. D. Antonio Laredó. 10. Segundo batallón. Pata ayudante primero D. Francisco Dufoo» para ugundo D. Manuel Alevio» y para abande­ rado D. Carlo…</t>
  </si>
  <si>
    <t>Moaré</t>
  </si>
  <si>
    <t>s, el qual se hada como un particular en ya se sabe quantas dificultades tuvo que vencer el. Berlín, después de haber servido por espacio do valiente general Moaré; y es por cierto uni cosa: muchos años en la carrera diplomática, horrible, que en premio de sus noble*esfuerzos se. haya intentado calumniar aquí la memoria de ta…</t>
  </si>
  <si>
    <t>Moatbrun</t>
  </si>
  <si>
    <t>e de Elchiogen ha hecho mandados por el general Gardanue. La caballería completar y perfecciooar el dia a $ la circunvala­ toda iba á las órdenes del general Moatbrun. ción de Almeida, y qne nuestras tropas se apode­ „La división de infantería del general Loison rasen de Valverde, y arrojasen á los ingleses de formaba dos cot…</t>
  </si>
  <si>
    <t>Modesto</t>
  </si>
  <si>
    <t>u. D. Diego Giraldo. D. Juan Crespo. D. Andrés Almarza. D. Antonio Reyelo. D. JnrefTubó. D. Joaquín Pacheco. D. Pedro Josef Mayora. D. Esteban Bains. D. Modesto faLcios. Tenientes. D. Juan Paredes. D. Agustín Ugarte. D............................... D. Antonio Arias. D. Vicente Ferrer. D. F rancisco Sagasta. D. Mariano de la …</t>
  </si>
  <si>
    <t>Moerner</t>
  </si>
  <si>
    <t>pues es un homeaage libre y vo­ , en el campo delante de Rudschnck el 2 7 de luntario de la nación sueca. . julio ( 8 de agosto de 181o). El corooel conde Moerner» que fue hecho pri­ sionero el año 1807 con sn regimiento cerca de El general en geíé del exército imperial habien­ Lubeck, ha salido hoi en posta para Paris. do de…</t>
  </si>
  <si>
    <t>Europa para que se perfeccionasen allí su vida en hacer feliz á toda una nación. en las ciencias. El edificio de la universidad ame­ ,, Luego que el conde Moerner puso en mis ma­ nazaba ruina , y este generoso prelado ha hecho re­ nos la carta de V. M., me apresaré’ 3 presentarla edificarle a sus expensas ; ha dado á este est…</t>
  </si>
  <si>
    <t>Mogena, Manuel</t>
  </si>
  <si>
    <t>Manuel Mogena</t>
  </si>
  <si>
    <t>D. Fer­ nando Butrón que se hallaba en Fuente de Cantos con sus guerrillas, compuestas de las partidas del capitán D. Manuel de Soto , y el teniente D. Manuel Mogena, rechazó en 22 del mes pasado en Llerena una coluna móvil enemiga que cons­ taba de 800 infantes y 200 caballos , matándole 8 hombres, entre ellos un oficial, y …</t>
  </si>
  <si>
    <t>Moiitor</t>
  </si>
  <si>
    <t>mpone ceso': tan contrarios á la humanidad como á las actualmente de tropas francesas m ¡ndadas por el huecas costumbres, y no se le ha podido apaci­ general Moiitor ; y coasta de un regimiento de ca­ guar con las medidas de^ulzura ni de rigor, por zadores, dedos batallones del regí niento 1° de lo que el waiwoda de Servia ha…</t>
  </si>
  <si>
    <t>Moira</t>
  </si>
  <si>
    <t>a que propone mi noble ami­ en su favor ninguna diversión ventajosa. ¿Pero go el lord Grenville.” dónde están esos 100© hombres de que se dice que El conde Moira dixo que era inútil esperar in­ hemos podido disponer ? Por otra parte el noble formes mas extensos acerca de la conducta de los lord no ha considerado quán inmensos…</t>
  </si>
  <si>
    <t>Molaguero, Bernardino</t>
  </si>
  <si>
    <t>Bernardino Molaguero</t>
  </si>
  <si>
    <t>n las funciones aDteriorts; y á pesar de ^iaber D. Antonio Rodríguez Hermoso al de las Grane- habido una concurrencia tan .numerosa de perso­ ras , 1 D. Bernardino Molaguero, presbítero bene­ nas de todas clases, se ha observado ea tedas par­ ficiado del mismo pueblo. tes el mayor orden y tranquilidad. cíon del Reí, á excepci…</t>
  </si>
  <si>
    <t>Mole, Pedro</t>
  </si>
  <si>
    <t>Pedro Mole</t>
  </si>
  <si>
    <t>unos buques la astucia, la adulación, y todo Para la de O ías. y Totalan al ex-mercenario género de embrollos. ¿ V qué es esto si no confesar calzado D. Pedro Mole. los ministros con sus accioaes ei miedo que niegan Para la de Cartama al ex-franciscaoo observan*en sus discursos ? te D. Toma* Pérez., Para la de Rio Gordo al ex…</t>
  </si>
  <si>
    <t>Molina, Domingo</t>
  </si>
  <si>
    <t>Domingo Molina</t>
  </si>
  <si>
    <t>-ncias á. D. l^edro Carmena , D. Luis Carceller, D. Nicolás de Robles , D. Vicente Castaño , IV José .Zurbanó, D. José Lorite , D. Mamó 1 de la Vega, D. Domingo Molina, D. Cícmentí Lemüs, D. Tornas Gatída . *D. 'Santiago Blanco , y D. A«nt©nio Morí troya ■; y Whireneircias á D. Litis Ramos , D. Ma­ nuel Saez , ID. Francisco H…</t>
  </si>
  <si>
    <t>Molina, Francisco</t>
  </si>
  <si>
    <t>Francisco Molina</t>
  </si>
  <si>
    <t>e Casso, abogado fiscal. D. Agustín Martínez de Alcalá, idem 3. D. Sebastian de Vargas , agente de renta*. D. Casimiro de la Paz Acosta, agregado coa D. Francisco Molina, escribano de millones. sueldo. D. Francisco de Cárdenas, idem de alcabala*. D. Josef María Moñiz, ídem. D. Alexo de Navas , ídem. Tesorería principal. D. Fr…</t>
  </si>
  <si>
    <t>Molina, Pedro</t>
  </si>
  <si>
    <t>Pedro Molina</t>
  </si>
  <si>
    <t>r ofreció, según costumbre antigua, el niente de la compañía de caballería creada en di­ vino de la ciudad 4 SS. MM. 1L y RR., el Em­ cha ciudad; y á D. Pedro Molina subteniente. perador se dignó contestar de esta manera al dis­ curso del corregidor: Acepto vuestros dones: apre­ cio mucho d los habitantes de este pais porque …</t>
  </si>
  <si>
    <t>Molina, Tomas</t>
  </si>
  <si>
    <t>Tomas Molina</t>
  </si>
  <si>
    <t>lo.*. D. Josef Joaquio Várela. Séptimo batallón. Para avadante primero D, Pedro Ferrar, para segundo D. Fraocisco Lcftbre Dabaos, y para abande­ rado D. Tomas Molina. i. '............................................................... D. Francisco Barsauti............. D. Gabriel Manger. a *.......... D. Rameo Berreta........…</t>
  </si>
  <si>
    <t>rará al-mismo ayodaüte ge­ Séptimo batallón. neral , Ínterin permanezca eñ este encango, la grati­ ficación mensual de i® rs« de vn. de los fondos de D. Tomas Molina (.abanderado, á teniente de ía misma milicia; la segunda compañía^ art. iii. Nuestro ministro de la Gaeirra que­ Noveno batallón. da encargado de la execncion de…</t>
  </si>
  <si>
    <t>Molinos, Josef</t>
  </si>
  <si>
    <t>Josef Molinos</t>
  </si>
  <si>
    <t>gore , D. Mariano Gambeta, D. Juan Martínez Ttrroba, D. Juan de Lemberg 19 de agosto. la Calle, guardia de honor, D Josef Villa, Don Cayetano Janear, D. Josef Molinos, subteniente, El archidoqne Ranerio, llorado de sn gasto D. Carlos Beramendi, D. Luis Cañete, D. Juan por la historia natural&gt; ha corrido, los parages mas Galbs…</t>
  </si>
  <si>
    <t>Molitor</t>
  </si>
  <si>
    <t>d« JÍVésifalia desde Erabden, ó el embocadero del Augsburgo j 1 de ‘marzo. Emsv basta-d-de Weser, y la del general Molitor La división de coraceros franceses mandada por se extiende desde este intimo punto hasta el embo­ el general Arrighi, duque de Padua, llegará aqui cadero del'Tro ve, inclusas las ciudades anseáticas. mui …</t>
  </si>
  <si>
    <t>potenciario para pedir en nombre de su Sobe­ das aclamaciones de todos los oficiales y marinos. rano la mano de nuestra princesa Teresa para S. A. El general Molitor está ocupado actualmente el príncipe real de Baviera. S. E. vina acompañado en tomar el juramento á las tropas ex-ho’andesaz del caballerizo y barón de Hornsteio…</t>
  </si>
  <si>
    <t>rte de dicho exército.—-El 17 del pasado un cuerpo de 2000 franceses, ocupó la ciudad dé Rostoek, una dé las. antiguas anseáticas. — I^a división del general Molitor se halla en Ho&gt; Janda á las órdenes del duque de Reggio (Gudinoti. ) o / ■ . ‘ . - • - * s" r-, r-.:.' '&gt;j_ ; FRANCIA. - ■ ' í ' &gt; ^^ * 'r . ; París 31 de agvsJo…</t>
  </si>
  <si>
    <t>Mollier</t>
  </si>
  <si>
    <t>anzído viciwiis corno txs'del'fórd WeTHog- de Hacíenda^duque dé Gaetaj ai ministro dei Te­ ton, ya tú tiempo que la Francia hubiera sido soro público conde Mollier; al general de división dueña' déLmondé, y qoe lalngiatérta hubiera des- lacombe-Saint-Míchel; al conde Otto, embaxador aparecida'cjecéEcpa todos sos; laureles. Nu…</t>
  </si>
  <si>
    <t>Moltke</t>
  </si>
  <si>
    <t>ar por este gentilhombre y ayudante general, que debe acom­ medio á todas las producciones de las cercanías del pañar á S. A. en el paso del Belt; el conde Moltke, lago Baiaton uoa salida fácil hasta Balta ea el Da- ; gentilhombre ; el señor Qualen, ayudante de divi­ nubio. sión , y el señor Moltke, gentilhombre de cámara. AU…</t>
  </si>
  <si>
    <t>Mon, Irádro</t>
  </si>
  <si>
    <t>Irádro Mon</t>
  </si>
  <si>
    <t>oisin; primeras tenencias ¿ Don Antonia óispert’y D. -Francisco Beccard; segunda ayudantía mayor á LX Domingo.Omlin; segunda tenencia de granaderos á D. Irádro Mon­ tero y Idem 'de cazadores; a D. José de Reart, ídem de fusileros á Don l uis Viladomar , D. Pedro Rocabruna y Ardena, D. Cárlos González Eíanos, D. Diego Guillen …</t>
  </si>
  <si>
    <t>Mon, Luis Fernando</t>
  </si>
  <si>
    <t>Luis Fernando Mon</t>
  </si>
  <si>
    <t>egunda tenencia de granaderos, á D. Manuel'Francisco C avalery; y segunda tenencia de Cazadores , á D. Antonio de Agüera; segunda ayundantía mayor, á D. Luis Fernando Mon ; segundas tenencias de fusileros, á. D. José de Lemus, D. José Vaádés y Casasola, D. Tadeo Miranda y Mon, D Miguel Lacy, D. Ven­ tura Escario, D. Juan Nepo…</t>
  </si>
  <si>
    <t>Monchoiby, Josef</t>
  </si>
  <si>
    <t>Josef Monchoiby</t>
  </si>
  <si>
    <t>a Or­ el estado en que va á entrar naestra nación, y den Real de España á los capitanes de mi guardia veamos qué es lo que podemos prometernos en or­ D. Josef Monchoiby, D. Francisco Landry, Don den á la perfección de la literatura. Luis Aubineau, D. Víctor Labouille y D, Pedro La España, según la sabía organización de su Mat…</t>
  </si>
  <si>
    <t>Mondedeu, José</t>
  </si>
  <si>
    <t>José Mondedeu</t>
  </si>
  <si>
    <t>­ tamente algunas avanzadas, y dispuse que las tres compa­ ñías^ de caballería, al mando del capitán D. Vicente Sardina, de D. Saturnino Albuic, y de D. José Mondedeu , se situasen en los llanos de la Soledad; el batallón de tiradores, al mando de D. Nicojas de Isidro,en las alturas del Castillo; y el de vo­ luntarios á las ó…</t>
  </si>
  <si>
    <t>1017</t>
  </si>
  <si>
    <t>ito de no admitir jamas el odioso yugo que quieren impo­ nerle. — Mientras esto pasaba en lo interior de la provincia, la com­ pañía de caballería de D. José Mondedeu, que se hallaba en comisión fuera de ella, trató de sorprehender en las inmedia­ ciones de Segoviá la grande escolta que los enemigos tienen destinada para acom…</t>
  </si>
  <si>
    <t>Mondedeu, Saturnino Albuiry Don José</t>
  </si>
  <si>
    <t>Saturnino Albuiry Don José Mondedeu</t>
  </si>
  <si>
    <t>712</t>
  </si>
  <si>
    <t>arte á tierra de Caracena á cobrar las contribuciones. Sin ¿perder momento, di orden á las 3 compañías de caballería al mando de D. Vicente Sardina , D. Saturnino Albuiry Don José Mondedeu y á los tiradores de Sigüenza que comanda D. Nicolás de Isidro, acantonados en e-ta villa , que al amane­ cer de hoy estuviesen sobre Mied…</t>
  </si>
  <si>
    <t>Mondragon, Francisco</t>
  </si>
  <si>
    <t>Francisco Mondragon</t>
  </si>
  <si>
    <t>pertenece , ofreciendo quanto po­ see si fuere necesario á la felicidad nacionaL Llevado de los mis­ mos sentimientos su segundo el xefe de esquadra D. Francisco Mondragon ha hecho igual cesión por carecer de alhajas. S. M. se ha dignado admitir este rasgo de patriotismo, y ha dispuesto se les den las gracias en su real nombr…</t>
  </si>
  <si>
    <t>Monfgelaj</t>
  </si>
  <si>
    <t>H43 En nnestro palacio de Madrid á 12 de setiem­ adquisiciones.-Se asegara qne el conde Monfgelaj, ministro de E&gt;tadof na concluido ya el proyecto bre de 181 o. de estas variaciones, y se ha presentado á la apro­ Dotí Josef Napoleón por la gracia de Dios y bación de S. M. por la constit</t>
  </si>
  <si>
    <t>Mongé, Alberto</t>
  </si>
  <si>
    <t>Alberto Mongé</t>
  </si>
  <si>
    <t>zo de lá Torre, Y'~ Capitán, D. Be¿itbi'YIiadiera.' / ! ' ~ 'Teniente, D, Domingo A átomo de Escqza. Tefiiente,' D. Jósef Loa isa.1, : ’ Subteniente, D. Alberto Mongé. Subteniente, Di Ezeqúi¿YC»adtí.n : * Compañía dé lá villa de Torré* de d 50plazas. Compañía de Valdentorillo de d:j¡ 0 plazas. ■ j- ’ • ■” ■ ■ ; ‘ Capitqn, D. …</t>
  </si>
  <si>
    <t>Monge, Antonio</t>
  </si>
  <si>
    <t>Antonio Monge</t>
  </si>
  <si>
    <t>municiones y otros efectos. Nuestra pérdida consistió en 8 muer­ dos ysJ^h^idQs;, 2 de ellos jp-syemente.:.,f^tre los primeras se cuenta el valiente soldado Antonio Monge que, después de reci­ bir el golpe mortal f qdító la vida W su agresor; y otro soldado</t>
  </si>
  <si>
    <t>Monge, Tomas Fernandez</t>
  </si>
  <si>
    <t>Tomas Fernandez Monge</t>
  </si>
  <si>
    <t>ices de Sabero. González del Palacio, habilitado. Para el de Faentes de los Oteros , vacante por Para el de Llanabes, vacante por promoción muerte de D. Tomas Fernandez Monge , á D. Pa ­ de D. Josef del Palacio al de S Pedro de los Ote­ blo Rodríguez Cármenes, presbítero, cura de V¡- ros, á D. Fó ix Ramírez, tonsurado. llacal…</t>
  </si>
  <si>
    <t>Mongo, Ignacio</t>
  </si>
  <si>
    <t>Ignacio Mongo</t>
  </si>
  <si>
    <t>de Murguía, calle de S. Fran­ cisco. ConUnúan los donativos de la provincia de Sonora. Trinidad. D. Severino Legarreta, SO.* D. Salvador Mongo , 40. D. Ignacio Mongo, 10. Varios individuos, 104. El cura de Arivechi, 1.5. D. Ramón Vilíaseñor, 10. D. Pasqual Murrieta, l£L Varios individuos , 56 y 6 rs. El cura de Zaguánpa, ltb …</t>
  </si>
  <si>
    <t>Mongo, Salvador</t>
  </si>
  <si>
    <t>Salvador Mongo</t>
  </si>
  <si>
    <t>en Cádiz en la librería de Murguía, calle de S. Fran­ cisco. ConUnúan los donativos de la provincia de Sonora. Trinidad. D. Severino Legarreta, SO.* D. Salvador Mongo , 40. D. Ignacio Mongo, 10. Varios individuos, 104. El cura de Arivechi, 1.5. D. Ramón Vilíaseñor, 10. D. Pasqual Murrieta, l£L Varios individuos , 56 y 6 rs. E…</t>
  </si>
  <si>
    <t>Moni</t>
  </si>
  <si>
    <t>tió. Por algno tiempo nos disputó el enemigo la por una parte de la división Musoier; y el 25 el superioridad, y desmontó ó inutilizó tres piezas de general Moni maree se presentó en la orilla dere­ la batería nú®. 3; pero la gran pericia de nuestros cha del Ebro, coa la que qoedó enteramente ro­ oficiales de artillería; la d…</t>
  </si>
  <si>
    <t>Monico, Antonio</t>
  </si>
  <si>
    <t>Antonio Monico</t>
  </si>
  <si>
    <t>a. ,, Tengo el honor de ser con el mas profundo Queda nombrado para subteniente de la de respeto — Serenísimo Señor s= De V. A. I. mui hu­ Lantejuela D. Antonio Monico, y para el mismo milde y obediente servidor er Dobourdieu.ssAn­ empleo de la del Rubio D. Francisco Guerra, cosa 2b de octubre de 1810.” menor. art. vi.- En la…</t>
  </si>
  <si>
    <t>Moñiz, Josef María</t>
  </si>
  <si>
    <t>Josef María Moñiz</t>
  </si>
  <si>
    <t>e renta*. D. Casimiro de la Paz Acosta, agregado coa D. Francisco Molina, escribano de millones. sueldo. D. Francisco de Cárdenas, idem de alcabala*. D. Josef María Moñiz, ídem. D. Alexo de Navas , ídem. Tesorería principal. D. Francisco Domínguez, ídem. D. Josef Bfitran . ídem. D. Pedro Díaz de Casso, tesorero principal. D. …</t>
  </si>
  <si>
    <t>Monroy, Ramón</t>
  </si>
  <si>
    <t>Ramón Monroy</t>
  </si>
  <si>
    <t>. ..... ........ 9°2S - D. Francisco Marqucü . y: «i' muger D, Benito García •■»*&lt; »#»Mf*A**.**v i 3799 »7&gt;- Doña Josefa. Ramírez sfí*» , * .58665 36 D. Ramón Monroy.............. 27°7’17 D. J*an Vicente .Pete*..—,29199 14 D. Manuel Rodríguez.......... . 8121 Sf D. Francisco Vázquez , ex-regular dp D. B as López Castrillo....…</t>
  </si>
  <si>
    <t>Mons, Roberto</t>
  </si>
  <si>
    <t>Roberto Mons</t>
  </si>
  <si>
    <t>uperior de Galicia el brigadier D. Juan Díaz Porlier lo que sigue: “Excmo. Sr. — Luego que salí de Ribadeo en las 5 fraga­ tas al mando del coamodoro D. Roberto Mons, estuve en ob­ servación de si podría hacer un desembarco según el plan que indiqué á V. E. por mí ayudante general D. Angel Vallejo; mas como las circunstancias…</t>
  </si>
  <si>
    <t>Monserrat, Josef María</t>
  </si>
  <si>
    <t>Josef María Monserrat</t>
  </si>
  <si>
    <t>de Para. Batallón del quartel de Afligidos. D. Fernando Ruiz Mazo. Capitanes. D. Isidro de Mata y Serna. D. Joaquín Onis. D. Josef Fernandez Zúñiga. D. Josef María Monserrat. D. Ramón Echaetea. D. Gaspar Soiiveres. Subtenientes. D. Juan Ncpomuceno Rosales. D. Josef Vargas. D. Julián Castañou. D. Diego Giraldo. D. Juan Crespo.…</t>
  </si>
  <si>
    <t>Monta, Francisco</t>
  </si>
  <si>
    <t>Francisco Monta</t>
  </si>
  <si>
    <t>dro Simón Puerta. D. Antonio F.beirac. D. Camilo Gonsalex. $•"* El conde de Isla............. ....... D.,Manuel Gomes......... D. Marcos Pedrero, 6*. D. Francisco Monta leo y Ta­ 1- D. Antonio Salasar. ba res........................ .......... . •••«••••hete-*»»»***» ••♦••••................ D. M.riano Calderón. 8.' D* Joan Pa…</t>
  </si>
  <si>
    <t>Monta, Juan</t>
  </si>
  <si>
    <t>Juan Monta</t>
  </si>
  <si>
    <t>en zelo y ardor para demostrar la sa­ OLog'.hui; tenientes á D. Juan Rain , D. Fran-. tisfacción y vivos deseos de ver y disfrutar de la cisco R-che, D. Juan Monta ni cr , D, Ventura amable presencia de sus augustos Soberanos. Jáuregui, D. Luis Guillen , D. Lorenzo Oy ,rdo y D. Antonio Djran; subtenientes 3 D. Ma ¡ano París 1…</t>
  </si>
  <si>
    <t>Montalvo, Rafael</t>
  </si>
  <si>
    <t>Rafael Montalvo</t>
  </si>
  <si>
    <t>l real colegio de ia Asunción de esta ciudad, pez, D. Ramón Melgarejo, D. Vicente Montema- para que , ínterin se establece el liceo, que con ar­ yor, D. Rafael Montalvo, D. Manuel Díaz Pi­ reglo a) real decreto de S. M. de 26 de octubre del mienta, D. Bartolomé Perez, D. Josef Fernandez, año próximo pasado, debe haber en cada…</t>
  </si>
  <si>
    <t>Montaña, Amonio</t>
  </si>
  <si>
    <t>Amonio Montaña</t>
  </si>
  <si>
    <t>de Boecillo, y en su non\brc Doña Margarita y Doña Ana........... 460 2 7.. 13 síi apoderado D. Amonio Montaña. 15515)..ai D. Ranton de Landa............................... 36821.-31 El real Hospicio de esta corte, y en su D. Martin de Terrazas........ ............... . 69623 nombre su tesorero D. J</t>
  </si>
  <si>
    <t>Montano, Pasqual</t>
  </si>
  <si>
    <t>Pasqual Montano</t>
  </si>
  <si>
    <t>. Buenaventura. Capi­ tán D. José Ronquillo, 100. Teniente D. José García Cano, 6. Idem D. Francisco Quintanilia, 46. Alférez D. José Medina, 20. Id. D. Pasqual Montano, 30. Capellán Fr. Juan Perez, 5*. Sargentos, cabos y sol­ dados, 1575. — Carrizal. Capitati1 D. Alberto Maynez, 40. Teniente D..Valentín Moreno, 40. Alférez D…</t>
  </si>
  <si>
    <t>Montbrun</t>
  </si>
  <si>
    <t>mientos pertenecían á la división de príncipe de Wagram. caballería ligera que ha estado á las órdenes del Mañana llegarán varios destacamentos de la general Montbrun. guardia imperial que vienen en posta •• también viemera vez, por lo qual seria inútil el que yo emprendie­ ideas bastante felices, golpes bien dados, y la dicc…</t>
  </si>
  <si>
    <t>donde fue desalojado el enemigo; actualmente está en Redinlia. Mi ca­ ballería se apoderó de todos los caminos que conducen ai real de Lisboa ; y el general Montbrun marcha sobre Figueira.— Lord Wellington se retira hacia Lisboa con el exército alia­ do : dice que su intención es disputarnos todas las posicio­ nes. — Yo march…</t>
  </si>
  <si>
    <t>Monteagudo, Jacinto</t>
  </si>
  <si>
    <t>Jacinto Monteagudo</t>
  </si>
  <si>
    <t>amón Queralt, ex basilió........... 4400a entendimiento humano en las ciencias físicas y D. Juan Alhor.iga, ex-capuchinn..,..-,... 44000 naturales. , D. Jacinto Monteagudo,ex-clérigo me- - Asi es qoe lá dirección hidrográfica ha reunido ñor....:............. ........... 44000 «n esta obra quantas c bservaciones y noticias la …</t>
  </si>
  <si>
    <t>Montebello, He</t>
  </si>
  <si>
    <t>He Montebello</t>
  </si>
  <si>
    <t>án mayor al y disfruten en ellas el sosiego y seguridad, que señor arzobispo Fernando de Rohim; dami de ho­ 50a fruto dei buen orden. nor á ia señora duquesa He Montebello; azafata á ,,S¡ tojos los pueblos hubieran podido presen­ la señora condesa de Luqai; caballero de honor al ciar los actos de piedad y beneficencia con que…</t>
  </si>
  <si>
    <t>Montema, Vicente</t>
  </si>
  <si>
    <t>Vicente Montema</t>
  </si>
  <si>
    <t>y de matemáticas puras ra subtenientes á D. Joaquín Perez, D. Dionisio Lo* en el real colegio de ia Asunción de esta ciudad, pez, D. Ramón Melgarejo, D. Vicente Montema- para que , ínterin se establece el liceo, que con ar­ yor, D. Rafael Montalvo, D. Manuel Díaz Pi­ reglo a) real decreto de S. M. de 26 de octubre del mienta,…</t>
  </si>
  <si>
    <t>Montemayor, Juan</t>
  </si>
  <si>
    <t>Juan Montemayor</t>
  </si>
  <si>
    <t>Fran­ articulo i. ,,Hemos nombrado y nombramos cisco Vargas, D. Jcsef Echavarri, D. Andrés Or­ á nuestro consejero de Estado y teniente general tega, D. Juan Montemayor. de marina D. Pedro Obregon para entender en ios Tenientes. D. Jaime Mayol, D. Jorge Ostman, ramos de marina del tramo de costa de este tercio D. Juan de León…</t>
  </si>
  <si>
    <t>Montenegro, Antonio</t>
  </si>
  <si>
    <t>Antonio Montenegro</t>
  </si>
  <si>
    <t>nientes D. Francis­ co Ramírez , D. Ramón Mateo, D. Valentín Ampudia , D. José Ampudia, D. Tomas de Benavides , D. Manuel Albo, D. Miguel ligarte , y D. Antonio Montenegro. CADIZ : EN LA IMPRENTA REAL.</t>
  </si>
  <si>
    <t>Montenegro, Jnan Verdes</t>
  </si>
  <si>
    <t>Jnan Verdes Montenegro</t>
  </si>
  <si>
    <t>Rafael Fleuriot. D. Francisco Xavier Berindoaga. D. Benito Angulo. D. Juan Oden y Meneses. D. Antonio San Germán. D. Juan Puente. D. Manuel Carranza. D. Jnan Verdes Montenegro. D. Nicolás María Bretnond. Subtenientes. D. Juan Francisco Pastor. D. Tomas Mari. D. Policarpo Saez de Tejada Hermoso. D. Felipe Colmenares. EL marque…</t>
  </si>
  <si>
    <t>Montenegro, Manuel García</t>
  </si>
  <si>
    <t>Manuel García Montenegro</t>
  </si>
  <si>
    <t>cha. 1719131 D. Domingo Antonio García...,........ ;28800 D K-réban de la Torre...-...•...V.i.;..i.. 94228 8 Doña Manuela Ferrero y Velasco.... 90000 D. Manuel García Montenegro......... yóocb' D. Mateo Gil de Sola...... .......... ......... 44100 D. Francisco Viaña...... ............Tójsó D. Domingo Torrecilla...............…</t>
  </si>
  <si>
    <t>Montero, José</t>
  </si>
  <si>
    <t>José Montero</t>
  </si>
  <si>
    <t>; y de cazadores , á D. José Ma­ ría Casasoia. En el reg' miento de infante'.--! i de Aragón se ha servido con­ ceder compañías á D. Feíix Mijares, y D. José Montero ; ayundamía , á D. Martin Sierra ; tenencias, á D. Eduardo Velase»; D. Vicente Cabañas , D. Manuel Laget, D. Miguel Navarro, D. Antonio Aznar , y D. Laureano Sau…</t>
  </si>
  <si>
    <t>el Rio, D. Eugenio lraurgu;, D Jcsé ■ Iglesias Bárantes y D Manuel Morete: á capitanes, á D.' Miguel Ruano, E).-JNicolás. Sedaño, D Francisco Corres, D José Montero, D. Fei;x Arb’izu y Alava 3 D José GEaido , D. Pedro. Hermosilla y D Diego To-"losa. Igualmente se. ha servido promover-en el propio real cuerpo a sar-</t>
  </si>
  <si>
    <t>Montero, Josef</t>
  </si>
  <si>
    <t>Josef Montero</t>
  </si>
  <si>
    <t>de La Cabolería francesa esperaba á S. M. á una S. Martin , táñente D. M nuel Calvo , subtenien­ legua de Córdoba la infantería estaba ten.¡ida en te D. Josef Montero , otro , D J«&gt;set M ría López. toda la carrera. E&gt; Excmo. Sr gobernador general, Quarta ídem. Capitán D. Juan Hernández, te acompañado de todo el estado may r, …</t>
  </si>
  <si>
    <t>Montero, Juan Antonio</t>
  </si>
  <si>
    <t>Juan Antonio Montero</t>
  </si>
  <si>
    <t>astigar con todo el rigor de las leyes milita­ El gobernador de Ocaña D. Vicente de Busca- res á los autores de los excesos que se cometieren. mame y D. Juan Antonio Montero, alcalde ma­ De este modo se restablecerá bien pronto la con­ yor de la misma villa , h.b'an sido presos por unos fianza con los habitantes; se asegurará…</t>
  </si>
  <si>
    <t>Montero, Juan Manuel</t>
  </si>
  <si>
    <t>Juan Manuel Montero</t>
  </si>
  <si>
    <t>D. Antonio Herrera. Subtenientes. D. Joaquín de b Paliza. D. Juan Manuel Montero. D. Fausto Foronda. D. Estéban Moreno. D. Fermín María Uria y Nafarrondo. D. Jacinto Perez de la Torre. D. Josef de las Barcenas., D. Gnillelmo González Saez. D. Claüdio Larrañaga. D. Santi</t>
  </si>
  <si>
    <t>Monteros, Julián Mo</t>
  </si>
  <si>
    <t>Julián Mo Monteros</t>
  </si>
  <si>
    <t>pomuceno Bligni, Tomas de Coza, alguacil mayor; et bachiller Don alcaide del castillo, y D, Josef Espinosa de ios Blas de Avila, prior, cura párroco; D. Julián Mo­ Monteros, teniente de corregidor. reno Rubio, escribano de ayuntamiento, y Don La diputación de Pedro Abad se componía de Mateo Ruiz, por el gremio de labradores. …</t>
  </si>
  <si>
    <t>Montes, Juan Antonio</t>
  </si>
  <si>
    <t>Juan Antonio Montes</t>
  </si>
  <si>
    <t>ublicados de diez años á esta par­ fue del regimiento de infantería de voluntarios de te , llevan consigo la recomendación de la opinión Madrid , y á D. Juan Antonio Montes; y subte­ general. nientes en el mismo regimiento á D. Claudio la Tres solos cree dignos de ser mencionados: Rosa, que lo fue del de Jaén, y á D. Eugenio …</t>
  </si>
  <si>
    <t>Montesqoiou</t>
  </si>
  <si>
    <t>línea. en la librería deQuiroga, calle de las Carretas, casada El barón Buyos, coronel de! S2.° de'cazado­ la fonda de i Angel. res de á caballo. El barón Montesqoiou , coronel del 13.°, idem. El domingo 24 de junio por S. A. S. el prín­ cipe de Bencvento , vice-gran-elector, Mr. el conde TEATROS. de Víllemanci, senador, y Mr…</t>
  </si>
  <si>
    <t>Montesquicu</t>
  </si>
  <si>
    <t>que Palatino Josef ha llega­ S. A. I. nuestro gran duque ha nombrado gran do el 19 a Hoffm en compañía de su ayudante ernz de la órden de S. Josef al conde Montesquicu» general el conde Beckers. gentilhombre de S. M. el Emperador de los fran­ Dicese que se ha hecho aqui una prueba, y que ceses, y al conde Segur, maestre de ce…</t>
  </si>
  <si>
    <t>Montgefas</t>
  </si>
  <si>
    <t>l Reí Augsburgo \ ° de julio. te veria obligado á pagar para su conservación su­ mas mui considerables, lo que de ningún modo le Desde el regreso del conde Montgefas á Mu­ permite el estado presente de nuestras rentas. nich se ha determinado definitivamente todo lo re­ Se han publicado aqni recientemente muchas lativo al próx…</t>
  </si>
  <si>
    <t>Montgelas</t>
  </si>
  <si>
    <t>l S. A. la murgrave. seguido por el partido vencedor. Anteayer estaba Manheim 7 de junio. enteramente cubierto e! rio de estos insectos, que S. E. el conde Montgelas, ministro de Estado son negros. Valmont de Boma re habla de este fe­ de S. M. el Rei de Baviera, llegó aquí ayer no­ nómeno en el artículo Langostas. che de Pári…</t>
  </si>
  <si>
    <t>Montmarie</t>
  </si>
  <si>
    <t>de Aragón y de Valencia en Es­ almacenados. paña se sabe que después de la acción de Mordía, art. ni. Conforme á lo dispuesto en nuestro en la que el general Montmarie con 2Í3 hombres decreto arriba citado el museo de pintura reunirá ,batid un cuerpo de 8® valencianos, se dirigió el todos los quadros de los conventos suprimid…</t>
  </si>
  <si>
    <t>endo los valencianos oponerse á los sitios de Tortosa y de Tarragona, se han presentado últimamente delante de Morella en número de 16000 hombres. Fd general Montmarie ocupaba aquella villa con 2000 hombres. A pesar de la supe­ rioridad de fuerzas del enemigo, lo ataca, Jo rompe y lo der­ rota completamente, haciéndole perder…</t>
  </si>
  <si>
    <t>o solamente por van á ser establecidas aqui, adonde todavía no «eran -200 hombres» estaba bloqueado 14 dias habia por conocidas. 1500 valencianos. El general Montmarie fue envia­ S. M. ha visto las tropas de la guarnición, y do el dia 19 con 600 hombres para abastecerle de ha manifestado al general Hago, gobernador de la «vív…</t>
  </si>
  <si>
    <t>á vista de Vinaroz. Los enemigos alarmados presentaron todas sus fuerzas, oompuestas de 700 infantes, 270 caballos, 2 cañones y un obús, al mando del general Montmarie. Visto esto, que era el objeto del reconocimiento, se retiraron los nuestros en buen orden. Nuestra pérdida fué de 2 heridos: la del enemigo de 2 muertos, 14 h…</t>
  </si>
  <si>
    <t>medio quarto de hora de Pern­ earlo que los contrarios se habían reforzado con 1500 infantes, 430 caballos y 2 piezas de artillería, alas órdenes del general Montmarie, se retiró á Calix. Las tropas de Franco y Falcon se acercaron á Benicarló , y quando trataban de asaltar la vi­ lla y el campamento, los enemigos se retiraron…</t>
  </si>
  <si>
    <t>Montoro, Ramón María</t>
  </si>
  <si>
    <t>Ramón María Montoro</t>
  </si>
  <si>
    <t>Antonio Eizaurdi. Cuenca. .... Señores viuda de Escolar , No riega é hijo. Granada. .... D. Francisco- Unzaga, ó el que le represente. Jaén.. ... . . D. Ramón María Montoro. Mahon........... .. Doña Catalina Germán y Hagalde. Málaga............. D. Juan Ximeno. Murcia. ..... -Señores Moreda y Ladalid. Oviedo. . ... . Señores …</t>
  </si>
  <si>
    <t>Montoya, Agustín</t>
  </si>
  <si>
    <t>Agustín Montoya</t>
  </si>
  <si>
    <t>a­ mente prrpituo y excítlsivo patrimonio, del acaso Batallón del quartel de la Piases. dé una ilustre cuna. D. Bartolomé jurado se había Comandante, D. Agustín Montoya. distinguido por su denuedo en la función de Val- Ayudante, D. Joan Pacheco. sequi lo contra &gt;os bandoleros de las quadtillas de Abanderado , D. Vicente Abanc…</t>
  </si>
  <si>
    <t>Montoya, Femando</t>
  </si>
  <si>
    <t>Femando Montoya</t>
  </si>
  <si>
    <t>416</t>
  </si>
  <si>
    <t>.tropas, mandando dar gracias en la orden del dia al brigadier D. Pedro Villacampa, comandante de la di­ visión aragonesa, al de la divinen de Cuenca D. Femando Montoya, ~al coronel D. Matias de Torres , mayor general de ambas, al coronel de artillería D. Salvador Ozta, á los gefes, oficialidad y soldados de los cuerpos que l…</t>
  </si>
  <si>
    <t>Montoya, Miguel</t>
  </si>
  <si>
    <t>Miguel Montoya</t>
  </si>
  <si>
    <t>les de la álgebra y D. Pedro González. de la geometría. . Para la primera de Dalias y Celin al ex-cartuxo La utilidad, y aun podré decir la necesidad D. Miguel Montoya. de la traducción de semejante obra en España , eí Para la segunda de la misma iglesia al eX- innegable * en donde por desgracia las ciencias ma­ carmelita des…</t>
  </si>
  <si>
    <t>Montoya, Ramón</t>
  </si>
  <si>
    <t>Ramón Montoya</t>
  </si>
  <si>
    <t>io Olarte, oficial primero. quales en nombre de su ayuntamiento y vecinos D. Manuel Imafia , idem 2. han prestado á S. M. el juramento de fidelidad y D. Ramón Montoya, idem 3. obediencia. D. Manuel López, idem 4. D. Estanislao del Castillo , idem f. D. Mariano Mendoza, idem $. D. Alfonso Díaz , portero. LIBROS. D. Miguel Garc…</t>
  </si>
  <si>
    <t>Montoyíy, Gabriel</t>
  </si>
  <si>
    <t>Gabriel Montoyíy</t>
  </si>
  <si>
    <t>marras ; que linda í orien­ y 17 estad., que linda á orienté cón' tier­ te con tierra del mayorazgo que* posee ra de D./Andies balcedo, y á mediodía D. Gabriel Montoyíy y -ál norte’con el con heredefos:de D. Francisco lierranz.... 39-*7 869 'cámino de lastímelas,-,..—,..»;—............... S6', **3* Otra inmediata á 4a anterio…</t>
  </si>
  <si>
    <t>Montroso</t>
  </si>
  <si>
    <t>Gaceta de Madrid n.º 31</t>
  </si>
  <si>
    <t>representación de Semíramis: nunciado su presidencia del consejo, y debía ser á sn llegada resonaron en el teacro repetidos vivas reemplazado por ei duque Montroso, y á este le y sinceras aclamaciones : S. M. permaneció hasta sucederá el marques de Hertford. que se concluyó la tragedia. Siguen las agiraciones que por nuestra …</t>
  </si>
  <si>
    <t>Montufar, Joaquín</t>
  </si>
  <si>
    <t>Joaquín Montufar</t>
  </si>
  <si>
    <t>reces de cazadores á D. Manuel Momi y D. Ramón Parada, todos individuos del expresado real cuerpo ; y empleos de alféreces de fusileros en el mismo á D. Joaquín Montufar, ayudante del regimiento provincial de Xerez, y D. José de Eceta, teniente del de infantería de Málaga. . En atención á las circunstancias de D. Joaquín Bayo…</t>
  </si>
  <si>
    <t>Monzon, Juan</t>
  </si>
  <si>
    <t>Juan Monzon</t>
  </si>
  <si>
    <t>la Huerta. I). José Tomas de Zuza, 200. D Rafael Lumbier, 100. El cura D. Diego García Celis, 100. D. Carlos La­ vandera , 120. B. Felipe López, 20. D. Juan Monzon , 20. Varios individuos, 87 y 2 rs. — S. Francisco Xavier. D. José Manuel Calles, J00. B. Domin­ go Santa Coloma , 100. D. Joaquín Piñeyra, 100. B. Lorenzo Flores …</t>
  </si>
  <si>
    <t>Mónzoro, Magdalena</t>
  </si>
  <si>
    <t>Magdalena Mónzoro</t>
  </si>
  <si>
    <t>0 Que i una sumí Importaircincp'millones doscien­ Doña Claudia Antuñano..................... 26400 tos cchenta y^mmil trescientos cincuenta y un rea­ Doña Magdalena Mónzoro.................. 64t6 18 les y'diez y siete y medio maravedís de vellón. . D. Antonio Fernandez......................... 2666 20 art. ir. Sceutregarán á …</t>
  </si>
  <si>
    <t>Moore</t>
  </si>
  <si>
    <t>1C» AUSTRIA. por Castaños y Palafox, y que dieron malas espe­ Hermanstadt 20 de noviembre, ranzas al general Moore, tanto peores quanto veía que la junta se ocupaba mas en engañar á sus alia­ S. A. I. el archiduque Maximiliano llegó aquí dos que en rechazar al enemigo. A pesar de las ins­ el dia 16 por</t>
  </si>
  <si>
    <t>, tampoco merecía este honor, exército, loa quales son acreedores á los mayores aunque yo la daría la preferencia sobre la de Tala- elogios.”vera. Ei general Moore se vio precisado á.pelear en - Esconde Gret-tomó en-seguida la palabra, y-dtAPBXD1CX A IA «AZBTA DB WADRtO. Continúa la noticia de las operaciones txrentadas en £s…</t>
  </si>
  <si>
    <t>rores de la primera campaña debieran haberles hecho evitar los de la segunda. El convenio de Cintra, la batalla de la Coruña, la pérdida del valeroso general Moore, y el conoci­ miento del estado de España, debieron manifestarles quan ab* surdo era aventurar otro exércifco ingles sin tomar de antema­ no las medidas proporcion…</t>
  </si>
  <si>
    <t>egó á España no descubrió la menor la campaña del exército ingles en la península ba- señal de aquel ardor tan ponderado; encontró al xo el mando del general Moore , y publicada por pueblo ignorante del poder de la Francia, é insensi­ el hermano de este hábil oficial: la hemos leido, ble á su propia suerte. Los 24 vocales de …</t>
  </si>
  <si>
    <t>1483</t>
  </si>
  <si>
    <t>iones de Ra«&lt;&gt;pa. Bazo el La falsedad, de la conducta de la funta era tal, -gobierno legítimo del Piíncipo de-la Püz , de Cárque .quando ¡empeñaba al general Moore a que pe­ clo!s-rv y de-la Reina, era la corre de'España el si­ netrase hasta el centro de. la España, lie ocultaba nónimo de te infamia^ y la nación-se hizo despr…</t>
  </si>
  <si>
    <t>Gaceta de Madrid n.º 353</t>
  </si>
  <si>
    <t>e se español de Galicia , que fueron hechos prisioneros por le habia concedido para recorrer lá provincia á distan­ cubrir y asegurar ia retirada del general Moore, no de­ cia de 8 ó 10 leguas; mantenia diferentes correspon­ berán ser cangeados por los franceses cogidos en las dencias; pretendía tener derechos sobre la1 polic…</t>
  </si>
  <si>
    <t>Moore'que</t>
  </si>
  <si>
    <t>- 1483 á España. Quando recibid Ja orden de reunirse á los ,,Se habla de ks$i3fúntóf de España de nn moingleses, manifestó, a’ general Moore'que se en- rd&lt;í'que prueba que los-mí ¡istros de S. M. están de­ - con traba sin armas, sin vireTes y sin municiones; cididos a persistir en su locura , es d eir , eo la qae sus tropas e…</t>
  </si>
  <si>
    <t>Mor-and</t>
  </si>
  <si>
    <t>va á ser bían dexado de buscaren los asientos el nombre de traasport..do á Francia. este, minero 1 quando he aquí que repentinamente I.a divióin del general Mor-and, quando salió *e acerca al cadáver una muger decrépita , apoya­ de Ratisbona , no ha hecho su viage, como se de­ da sobre unas muletas, ¿ ¡muediat miente reconoce…</t>
  </si>
  <si>
    <t>Mora</t>
  </si>
  <si>
    <t>a, de que José no puede continuar en España, y que se restituirá á París, va adquiriendo,mas crédito cada diaau» •ntre sus partidarios y afectos.. El intendente Mora j Lomas fea impuesto á los pueblos</t>
  </si>
  <si>
    <t>Mora, Hilario</t>
  </si>
  <si>
    <t>Hilario Mora</t>
  </si>
  <si>
    <t>duos de la junta son D. José de las Llamosas, D. Martin Tovar Ponte, D. Feliciano Palácip; D. Nicolás de Castro, D. Juan Pablo Ayala, D. José Cortés; D. Hilario Mora, D. Isidro Mendez, D. Francisco Rivas; D. Rafael González, D. Valentín Rivas, D. José Félix Sosa; D. José María Blanco, D. Dionisio Palacios, D. Juan Ger­ mán Ro…</t>
  </si>
  <si>
    <t>Moraga, Josef</t>
  </si>
  <si>
    <t>Josef Moraga</t>
  </si>
  <si>
    <t>mismos efectos que la leí de Servio Tnlio, qoe da­ ciscano D. Antonio Moreno: para Ja. de Sta. Ana á ba á los ciudadanos más ricos de Roma un ascen­ D. Josef Moraga , ex-guardián del convento de diente decidido, en las asambleas por centurias ; pe­ franciscos de Uxíjar: para ia de S. Cecilio al ex­ ro en Inglaterra no se comp…</t>
  </si>
  <si>
    <t>Morales, Antonio</t>
  </si>
  <si>
    <t>Antonio Morales</t>
  </si>
  <si>
    <t>ef Benavente......................... 350 gooo Otra en la calle de los Hornos, que linda i Otra en la calle de los Bodegones, que oriente con casa de D. Antonio Morales. 500 6000 linda á oriente con corral de Antonio Otra, calle de la Encomienda, que linda de la Puerta.......................................... *95--*7 354$ á …</t>
  </si>
  <si>
    <t>Morales, Francisco</t>
  </si>
  <si>
    <t>Francisco Morales</t>
  </si>
  <si>
    <t>ifj^-Para el de la.parrpqilia .de Fuente la Lancha al ria; para ayudante á D. Eugenio Gallego, y par* presbítero D. Miguel Rico-Lglesia¿ abanderado á.D. Francisco Morales; para-capitanes h, ePara elváe lCardanchosí:, vacanteí por fallecí-; á D. Miguel deResa y D; Pedro,Alcántara Osorio} miento deD. Juan Gábrérá, al presbítero…</t>
  </si>
  <si>
    <t>Morales, Ignacio</t>
  </si>
  <si>
    <t>Ignacio Morales</t>
  </si>
  <si>
    <t>mpañía de cazadores á D. Pasqual Liñan id. de fusileros á D. Pedro Eseovedo, I). Rafael Meneos y D. Vicente Diez Sánchez ; primera ayundantía mayoF á D. Ignacio Morales; primeras tenencias de granaderos al marques de Casatreviño y ai coronel L&gt;. Fernando Salamanca; id. de caradores á D. Francisco de Paula Cásasela ; id. de fu…</t>
  </si>
  <si>
    <t>Morales, José</t>
  </si>
  <si>
    <t>José Morales</t>
  </si>
  <si>
    <t>conta­ dor, 25. El segundo cirujano D. Juan Gutiérrez Moreno, 30. El cape­ llán D. Gabriel Liobregat, 20. Id. D. Manuel Fontcla, 20. El tercer piloto D. José Morales, 15. Oficiales de mar , de sueldo fixo y temporal. Primer contramaestre, D- Pedro Villar López, 45. Segundo id. Pedro Ramos, 34. Primer guardián, Andrés Gerrus, …</t>
  </si>
  <si>
    <t>Morales, Josef</t>
  </si>
  <si>
    <t>Josef Morales</t>
  </si>
  <si>
    <t>l, á Don Josef de Checa y Gijon. Juan de Erada» dignidad de tesorero , D. Nicolás art. H. Nuestros gran canciller y gran tesore­ Maestre» lectoral, y D. Josef Morales» canónigos ra de ia Orden quedan encargados de la execucion de la misma; al contador de rentas intendente in­ del presente decreto. = Firmado ^YO EL REI.es teri…</t>
  </si>
  <si>
    <t>n de haber ocasionado gran­ ra comandante de las quatro compañías ; D. Josef des'daños, y acaso machos naufragios en estos Bonfanti para ayudante , y D. Josef Morales par* mares. abanderado. ESPAÑA. art. ix. Nuesrros .ministros de lo Interior y de la Guerra quedan encargados de la ex- cu&lt; »on Madrid 16 de diciembre. de este d…</t>
  </si>
  <si>
    <t>Morales, Juan</t>
  </si>
  <si>
    <t>Juan Morales</t>
  </si>
  <si>
    <t>an Ma­ tos, y D. Claudio González ; segunda ayudantía, á D. Jacinto Inozal ; tenencias, á D. Eustaquio Cevaílos , D. José Ramírez, D. Joaquín Moreno, D. Juan Morales, D. José Benitez, D, José Va­ ra del Rey, D. José Joaquín Daureia, y D. José Tirso Carvajal; y subtenencias , á D. Juan Miguel Balanza , D. Antonio Diaz Pintado …</t>
  </si>
  <si>
    <t>Morales, Juan Bautista</t>
  </si>
  <si>
    <t>Juan Bautista Morales</t>
  </si>
  <si>
    <t>o anterior establecen , á fin de que la deu­ Francisco Xavier Cienfuegos /avellanos, canónigo; da pública sea satisfecha con la brevedad y religio­ i D. Juan Bautista Morales, canónigo; á D. Fran­ sa puntualidad qué conviene. cisco Patricio de Berguizas, canónigo; á D. Fran­ art. 11. Quedan autorizados los mismos pre­ cisco d…</t>
  </si>
  <si>
    <t>r; ai Excmo. Sr„ D. Pedro Gravina , arcediano de C armón a ( actual nuncio de S. S. en estos reynoi) ; á D. Francisco Xavier Cienfuegos Javellanes; á D. Juan Bautista Morales; &amp; D. Francisco Patricio de Berguiza*; á D. Francisco de Bahamonde ; á D. José García de Prado; y i</t>
  </si>
  <si>
    <t>Morales, Juan Miguel Eche Francisco</t>
  </si>
  <si>
    <t>Juan Miguel Eche Francisco Morales</t>
  </si>
  <si>
    <t>ef curas párrocos siguientes : López Saiazar, D. Joaquín Laines y Lora , D. Fran­ D. Juan Rafael Panlagua, de S. Miguel ; Don cisco Melchor de Prbgo, D. Juan Miguel Eche­ Francisco Morales, del Sagrario de la catedral; verría y D. Pedro Miguel Manzano. -D. Miguel Cañnelo, de Santa Marina; D'. Joan Ademas S. M. se informó mui …</t>
  </si>
  <si>
    <t>Morales, Lázaro</t>
  </si>
  <si>
    <t>Lázaro Morales</t>
  </si>
  <si>
    <t>oldados, 158. D. Urbano Sánchez, 23. D. Antonio Ure11a, 9 y 4 rs.—Ciudad de Crispe. El tesorero interina .D. Ignacio B ;s.rmante, 100. El interventor D. Lázaro Morales , 45. El subdelegado D. Te­ rnas Escalante, 100. D. Francisco López, 25. D. Rafael Morales, 150. D* Martin Zuviria, ico. D. Miguel Morales, 50. D. Gabriel Padi…</t>
  </si>
  <si>
    <t>Morales, Manuel</t>
  </si>
  <si>
    <t>Manuel Morales</t>
  </si>
  <si>
    <t>gil y Quiñones , á D. Isidro Arreo, prima. cura de Retleqdas. Asimismo nombramos á D. Vicente Menchéro Para el de S. Pedro de Talavera, vacante por y D. Manuel Morales, curas que fueron de las par­ muerte de D. Manuel Josef Sánchez, ¿ D. Loren­ roquias de S. Vicente y de ia Magdalena de la ciu­ zo Josef Gomes, cora del Casar.…</t>
  </si>
  <si>
    <t>Morales, Miguel</t>
  </si>
  <si>
    <t>Miguel Morales</t>
  </si>
  <si>
    <t>nterventor D. Lázaro Morales , 45. El subdelegado D. Te­ rnas Escalante, 100. D. Francisco López, 25. D. Rafael Morales, 150. D* Martin Zuviria, ico. D. Miguel Morales, 50. D. Gabriel Padilla, 20. D&gt; Ignacio Serrano, 45 Doña Gertrudis Bravo, 15 D. Rafael Elias, 25. D Ignacio Perez, 20. Varios individuos, 29 y 3 rs—Real de Ala…</t>
  </si>
  <si>
    <t>Morales, Rafael</t>
  </si>
  <si>
    <t>Rafael Morales</t>
  </si>
  <si>
    <t>ones mas vivas de regocijo por sus habí fael de Tena , regidores: D Josef Entrene, D. Jo— tantes. Se han presentado á S. M. diputaciones de set Ruiz, D. Rafael Morales, jurados; D. Josef los dos cabildos eclesiásticos: e] de la catedral ¡'tesen- Muñoz, por tiro. tó á S. M. una acta de cabildo pleno, celebrado el En (os discur…</t>
  </si>
  <si>
    <t>rero interina .D. Ignacio B ;s.rmante, 100. El interventor D. Lázaro Morales , 45. El subdelegado D. Te­ rnas Escalante, 100. D. Francisco López, 25. D. Rafael Morales, 150. D* Martin Zuviria, ico. D. Miguel Morales, 50. D. Gabriel Padilla, 20. D&gt; Ignacio Serrano, 45 Doña Gertrudis Bravo, 15 D. Rafael Elias, 25. D Ignacio Per…</t>
  </si>
  <si>
    <t>Morales, Vicente</t>
  </si>
  <si>
    <t>Vicente Morales</t>
  </si>
  <si>
    <t>em: Marques de Puñoenrostro , suplente por Santa Fe: D. José Mexia, suplente por idem: D. Dionisio Inca Yupangui, suplente por el vireynato del Perú: D. Vicente Morales, suplente por idem: D. Ramón Feliu, suplente por idem: D. Antonio Suazo, su­ plente por idem: D. Joaquín Leyba, suplente por Chile: D. Miguel Riesco, suplente…</t>
  </si>
  <si>
    <t>Moralez, Joaquín</t>
  </si>
  <si>
    <t>Joaquín Moralez</t>
  </si>
  <si>
    <t>tallón de milicia cívica D. Manuel Raquejo. rena , D. Francisco Xavier Guillen, D. Josef Ma­ art. 11. Nuestro ministro de la Guerra queda ría Pardo , D. Joaquín Moralez , D. Juan Marques encargado de la execucion del presente.decreto.s: Barroso, D. Candido González, D. Ramón de Ar­ Firmadi.= YO EL REl. = Por S. ,M. su ministr…</t>
  </si>
  <si>
    <t>Morán, Alonso Gómese</t>
  </si>
  <si>
    <t>Alonso Gómese Morán</t>
  </si>
  <si>
    <t>ne han sido quemados 61 buques» 43 de ellos.caf— Nombramos para comandante de las tres com­ gados; que han sido conducidos aquí 10 corsarios pañías á D. Alonso Gómese Morán, para ayudan­ que montan too cañones, con una gran cantidad te á D. Agustín Várela,y para abanderado á Don de armas de toda especie; que han sido restitui…</t>
  </si>
  <si>
    <t>Morand</t>
  </si>
  <si>
    <t>francés permanecerá mania septentrional, donde van á acantonarse. Las allí hasta el 2i de este mes , y que luego saldrá de trapas de la división del general Morand se han aquella ciudad para aproximarse al Mein inferior. extendido mas en el pais de Baireuth, pues hasta El viage del Rei de Saxonia á Varsovia y Cra­ ahora no ha…</t>
  </si>
  <si>
    <t>rí°7 ver &amp; Maedetmrgo: la del general Morand ocopa mercancías confiscadas en el gran ducado en bene­ las ciudades anseáticas; y la división de coraceros ficio de ios establecimientos de beneficencia ó de del general Labruyere está en lo qae antes era país utilidad común, las provisiones qoe 'resultasen dé de Hann</t>
  </si>
  <si>
    <t>Móraquez, Miguel</t>
  </si>
  <si>
    <t>Miguel Móraquez</t>
  </si>
  <si>
    <t>... dalaxara. Este mismo mariscal de logis, que ha si­ Para esta resulta ál ex-franciscano observante do nombrado caballero de la Orden Real de Espa­ D. Miguel Móraquez. ña , hizo prisionero en aquel mismo dia á un comi­ Para la de Sorbilan y Polopos al ex-dominico sario de guerra enemigo. D. Francisco V'elazquez. El general …</t>
  </si>
  <si>
    <t>Morari, Juan</t>
  </si>
  <si>
    <t>Juan Morari</t>
  </si>
  <si>
    <t>rrio, ex-inercenario des­ D, Marcos Ponce................................... 4084 calzo....................................................... 2 2000 D. Juan Morari....................................... 10260 D. Fulgencio de la Riva Agüero........ 37963 3 D. josef Lidon........................................ 6364 32 D. Segu…</t>
  </si>
  <si>
    <t>Moratt, Andrés</t>
  </si>
  <si>
    <t>Andrés Moratt</t>
  </si>
  <si>
    <t>espíritu, y deseoso de venir á 1827, 2 i ó 2 , 1163 y 2496, las quales remitió por el las manos con el enemigo. correo del 27 de julio próximo pasado D. Andrés Moratt, vecino de esta corte, y á cuyo favor estaban en­ IMPERIO FRANCES. dosadas, á D. Josef Antonio de Avila, vecino dr- Ja ciudad de Granada, se da este aviso á fin…</t>
  </si>
  <si>
    <t>Morawitizki</t>
  </si>
  <si>
    <t>mente la compañía en cadanuevo emprés­ S. M., al tiempo d« salir para Badén.., lia con­ tito,.que: es esperar, el ñn de la sesión,-y eludir ferido al conde Morawitizki. por lo que respecta entonces toda discusión sobre el verdadero estado al'ministerio de la Justicia que desempeña, los de sus uegpcioj con el pretexto de 00 ha…</t>
  </si>
  <si>
    <t>Mordí, Roque</t>
  </si>
  <si>
    <t>Roque Mordí</t>
  </si>
  <si>
    <t>uede dudar de lo que hubie­ mui poca gente, y nuestras tropas íé van al alcan­ ra hecho si se hubiese perdido alguna batalla im­ ce baxo el mando del capitán Roque Mordí. Ha portante. Demasiado ha Jeclaradu la corte de Ro­ dexado eu nuestro poder todos sus heridos, y too ma sus ideas secretas: no ha podido desconocer los fusi…</t>
  </si>
  <si>
    <t>More, Manuel</t>
  </si>
  <si>
    <t>Manuel More</t>
  </si>
  <si>
    <t>a’y Soto.;.........../ ‘ 16312 i 3 ¡ D. Jqc¡ef &gt;Trilio».~. 11363 * El conde de Guzmaij.v.;...10450 23 ' D. Pedro fie Mora y Lomas............. 36jifa D. Manuel More^j4S.;:;;;;;....„d.....'('..V, 314906^2^1' D. Juaa Antonio del Valle..;*..'....... -• 35280; D. Mateo Gbregon.v.:.v:;...:..^..:..';.!;rí 6626 6ó3f ¡ Dpña Mapuela d…</t>
  </si>
  <si>
    <t>Moré, Santiago</t>
  </si>
  <si>
    <t>Santiago Moré</t>
  </si>
  <si>
    <t>El archidoqne Ranerio, llorado de sn gasto D. Carlos Beramendi, D. Luis Cañete, D. Juan por la historia natural&gt; ha corrido, los parages mas Galbsi, D. Santiago Moré, Don Joan Porcada, notables de las montañas de la Bukowina, aunque D. Josef Soria, D. Francisco de Paula Veluti, mui escabrosos. S. A. 1. ha visitado las fronter…</t>
  </si>
  <si>
    <t>Morea, Diego</t>
  </si>
  <si>
    <t>Diego Morea</t>
  </si>
  <si>
    <t>Camilo, 10. D. Andrés Parez Soto, ve­ cino del Real de los Catorce, 10. La archicofradía del dulce nom­ bre de Jesús del convento de Agustinos , i 9. D. Diego Morea-</t>
  </si>
  <si>
    <t>Moreau, Joaquín</t>
  </si>
  <si>
    <t>Joaquín Moreau</t>
  </si>
  <si>
    <t>ntó que entre los segn-udos lo está de gravedad el mismo Aremberg; Por nuestra parte, hubo 9 muertos y 33 heridos, entre estos el sargento*; ma-, yor D. Joaquín Moreau. El valor y constancia con que nuestra división después de haber pasado 3 noches k. bor­ do sin comodidad ni descanso, emprendió y executó eñ 10 horas una marc…</t>
  </si>
  <si>
    <t>Morell, Roque</t>
  </si>
  <si>
    <t>Roque Morell</t>
  </si>
  <si>
    <t>rcio quando ceden en utilidad de las artes, y Cataluña, madrigera y arsenal de estos fingidos. sirven para alimentar la clase industriosa. ¿ Quién El capitán Roque Morell ha manifestado en es­ puede disfrutar mejor de los placeres de la opulen­ tas diversas acciones una valentía é inteligencia dig­ cia, que el que ha contribu…</t>
  </si>
  <si>
    <t>Morelo, Agustín</t>
  </si>
  <si>
    <t>Agustín Morelo</t>
  </si>
  <si>
    <t>a que vengativa y JEl valiente justiciero y el rico hombre lie Alcalá. _Co- rencorosa, después de haber andado poco cauta para media en tres actos de D. Agustín Morelo. guardar su honor, no se descuida en pedírsele á quien con su pleno consentimiento se lo h¿bía quitado. La Esta comedia tiene en su íondo moral , y’en.su in­ a…</t>
  </si>
  <si>
    <t>Moren</t>
  </si>
  <si>
    <t>su gobierno: pero se supo la traición á tiempo , y quedaron cor­ tados sus progresos. Están presos sus autores, y también el espitan del puerto y el general Moren©.” La publicación de este artículo es tanto mas reprehensible, cuanto que siendo el suplemento una reimpresión di la ga­ zeta extraordinaria de la Reg'encia de Espa…</t>
  </si>
  <si>
    <t>Moreno, Agustín</t>
  </si>
  <si>
    <t>Agustín Moreno</t>
  </si>
  <si>
    <t>el mismo acompaña­ miento á su real palacio. Diputación de la ciudad y clero de Motril para cumplimentar á S. M. Madrid 28 de marzo. Por la ciudad : D. Agustín Moreno, regidor AVISO. mas antiguo, sargento mayor retirado; D. Josef El gefe de la tercera división del ministerio de Ignacio RuizCampai, regidor perpetuo, maestran­ …</t>
  </si>
  <si>
    <t>Moreno, Antonio</t>
  </si>
  <si>
    <t>Antonio Moreno</t>
  </si>
  <si>
    <t>ear: ¡a misantropía d arrepen­ bles , sabias y respondonas, que nada hay» que envidiar timiento, de qué me acordaré teda mi vida, porque llo­ i la de D. Antonio Moreno, ni ¿ ninguna! = J. EN LA IMPRENTA REAL.</t>
  </si>
  <si>
    <t>neral surtiría en Inglaterra casi los siguientes: para la de S. Justo y Pastor al ex-fran­ mismos efectos que la leí de Servio Tnlio, qoe da­ ciscano D. Antonio Moreno: para Ja. de Sta. Ana á ba á los ciudadanos más ricos de Roma un ascen­ D. Josef Moraga , ex-guardián del convento de diente decidido, en las asambleas por cen…</t>
  </si>
  <si>
    <t>en la Alverca, y que nuestras avanza­ Marbella , vacante por muerte de D. Josef Gonzá­ das llegaban hasta ocho o diez millas de Pinel. lez de Lima, á D. Antonio Moreno, presbítero Pero otra carta fecha del mismo dia, y que copia­ ex-regular. remos ahora, da á entender que el quartel general Para otro de la misma parroquial, v…</t>
  </si>
  <si>
    <t>Moreno, Cristóbal Benitez</t>
  </si>
  <si>
    <t>Cristóbal Benitez Moreno</t>
  </si>
  <si>
    <t>as. nuestro dictamen. Quando se trata de decidir en Para subteniente efe la segunda compañía á ana materia tan dificit corrí'' la de explicar el ori­ D. Cristóbal Benitez Moreno en la vacante de Don gen'y la formación del universo, ¿qué se podia Jpsef Gómez. decir á favor de este hombre sino que emprendió art. 111. En el bata…</t>
  </si>
  <si>
    <t>Moreno, Estéban</t>
  </si>
  <si>
    <t>Estéban Moreno</t>
  </si>
  <si>
    <t>D. Antonio Herrera. Subtenientes. D. Joaquín de b Paliza. D. Juan Manuel Montero. D. Fausto Foronda. D. Estéban Moreno. D. Fermín María Uria y Nafarrondo. D. Jacinto Perez de la Torre. D. Josef de las Barcenas., D. Gnillelmo González Saez. D. Claüdio Larrañaga. D. Santiago Larramendi. D. Manuel Sánchez del</t>
  </si>
  <si>
    <t>o Wolls. D. Tomas Campillo, D. Mariano Fernandez del Canto; D. Narciso Batía..... D. Matías de Mor y Ríos.... D. Josef Villanas; D. Rafael Yarce..... D. Estéban Moreno..... ......... I&gt;. Manuel López. D. Güilísimo González.......... D. Clemente Villalba. D. Francisco Lopes Moya.... D. Joan Colmenero. D. Clemente Mesbiele.....…</t>
  </si>
  <si>
    <t>Moreno, Francisco</t>
  </si>
  <si>
    <t>Francisco Moreno</t>
  </si>
  <si>
    <t>ef López de Arcos................. 120000 tado á D. Mariano Antonio Marcos, ex- reli­ Rs. Mr*. gioso francisco................................. 44000 D. Francisco Moreno, ex-religioso Doria María Ignacia de Romate y lego de carmelitas descalzos...... . 22000 Villegas por............................. ........ 76500 Doña María …</t>
  </si>
  <si>
    <t>Moreno, Gerónimo</t>
  </si>
  <si>
    <t>Gerónimo Moreno</t>
  </si>
  <si>
    <t>olen, . D Francisco E»quivel. reunidas al departamento de los dos N.-thes por el — Marques de I car. are. ni del acta de las constituciones del 24 de D Gerónimo Moreno. abril de 18,10, formarán un depa&gt;t*mento parti­ ' D Jos-Y de Checa. cular con la denominación de departamento de las Merques de la Grar-ja. bocas del Escalda.…</t>
  </si>
  <si>
    <t>rtidas de guerrillas del reyno de Jaén , da parte de varias acciones y movimientos de ios patriotas en el territorio de su mando. A mediados de julio D. Gerónimo Moreno con su partida y la del alférez D. Pedro Alcalde, compuestas ambas de QIQ hombres de infantería y caballería , intentó de orden de Bielsa extraer 60 potros qu…</t>
  </si>
  <si>
    <t>Moreno, Guillermo</t>
  </si>
  <si>
    <t>Guillermo Moreno</t>
  </si>
  <si>
    <t>parroquia de Casarabonelá, va-; - . Para jel ínedio beneftcio de la misma , .vacante cantepof fallecimiento de vD. Juan dé Roxas, á por promocioo^de- D. Guillermo Moreno- 4 ..otro D. Cristóbal de Arias*, presbítero, teniente de’ de la propia parroquia, í D. Antonio Menendez, cara de Ja misma. presbítero, ex-regular., , : - : …</t>
  </si>
  <si>
    <t>Moreno, Joaquín</t>
  </si>
  <si>
    <t>Joaquín Moreno</t>
  </si>
  <si>
    <t>ncisco Sacue, D. Juan Ma­ tos, y D. Claudio González ; segunda ayudantía, á D. Jacinto Inozal ; tenencias, á D. Eustaquio Cevaílos , D. José Ramírez, D. Joaquín Moreno, D. Juan Morales, D. José Benitez, D, José Va­ ra del Rey, D. José Joaquín Daureia, y D. José Tirso Carvajal; y subtenencias , á D. Juan Miguel Balanza , D. An…</t>
  </si>
  <si>
    <t>Moreno, José</t>
  </si>
  <si>
    <t>José Moreno</t>
  </si>
  <si>
    <t>individuos de! apos­ tadero de 'marina de Aíontevideo. Bergantín Belen, alias S. Nicolás. D. Gerardo Bordas, capitán, primer piloto, 35. Id. segundo, D José Moreno, 50. D Benito Estevez, segundo - ciruj&amp;no habilitadoy 30. D. Angel Mille , encargado de víveres, iz. - - Oficiales de mar de sueldo Jixo y tentporaf. Francisco C&amp;r…</t>
  </si>
  <si>
    <t>Moreno, José María</t>
  </si>
  <si>
    <t>José María Moreno</t>
  </si>
  <si>
    <t>a, 25. D. Ignacio Serrano, 10. D. Tomas Valencia, 10. D. José López, 10. D. Agustín Pesqueyra, ió. D. Juan Antonio Bernal, 10. D. Ignacio Noriega, 8. D. José María Moreno, 10. Varios indivi­ duos, 71 y 1 real. — Fuerte. D. Gaspar Zañudo, 200. D. Estéban de la Vega, 50. D. Joaquín Velarde, 25. D. Joaquín de la Huerta y Don Fra…</t>
  </si>
  <si>
    <t>Moreno, Josef</t>
  </si>
  <si>
    <t>Josef Moreno</t>
  </si>
  <si>
    <t>ef Se asegura que la Baviera cederá al reino de Canillo, D. Agustín de Torres, D. Pedro Carri­ Italia el Tirol meridional, y al reino de Wurtem- llo, D. Josef Moreno, D, Henrique Salido. b¿rg una población de 170© almas en Suabia. Subtenientes. D. Manuel de Robles, D. Vi­ Ademas pagará á la Francia una cierta cantidad de cent…</t>
  </si>
  <si>
    <t>Moreno, Josef SeguqJo</t>
  </si>
  <si>
    <t>Josef SeguqJo Moreno</t>
  </si>
  <si>
    <t>, racionero mas antiguo de vinciales. la catedral de Jaén , para ana canongía de esta san­ art. 11. Se compondrán éstas jnntas de cinco ta iglesia: á D. Josef SeguqJo Moreno, provisor jaeces togados, y del fiscal del crimen, nombrados del obispado de Jaén , y canónigo de su catedral, por Nos. para la dignidad de arcediano de …</t>
  </si>
  <si>
    <t>Moreno, Josefa</t>
  </si>
  <si>
    <t>Josefa Moreno</t>
  </si>
  <si>
    <t>............... 400 3200' *43 *144 Otra i. calle Empedrada, en la. Otraj calle de Juan Blazquez, que vive José» Sánchez........ 12Ó..17 1012 que vive Doña Josefa Moreno. 25.3 2024 Otra,- calie de la Alcubilla, ar­ Otra en id., arrendada á Doña rendada á Manuel de Sanu María de Toro.'........................ 297 2376 -María...…</t>
  </si>
  <si>
    <t>Moreno, Juan Gutiérrez</t>
  </si>
  <si>
    <t>Juan Gutiérrez Moreno</t>
  </si>
  <si>
    <t>. Id. D. Lorenzo Sotomayor, 2$. Id. D. Eugenio Loño, 25^ Oficiales mayores. D. Fulgencio de Exea, oficial quinto, conta­ dor, 25. El segundo cirujano D. Juan Gutiérrez Moreno, 30. El cape­ llán D. Gabriel Liobregat, 20. Id. D. Manuel Fontcla, 20. El tercer piloto D. José Morales, 15. Oficiales de mar , de sueldo fixo y tempor…</t>
  </si>
  <si>
    <t>Moreno, Julián Diaz</t>
  </si>
  <si>
    <t>Julián Diaz Moreno</t>
  </si>
  <si>
    <t>os señores D- Pedro Baille y compañía. 42 59 D. Pantaleón Zavala.............................. 1088 D. Rafael Martínez de Ariza............ 18014.,16 D. Julián Diaz Moreno...................... ~ 180.. 17 D. Josef Julián Diaz........................ 245 D.* Pedro Fernandez Tavira....... .......- ^3I~*5l Doña Ana Josefa de Hui…</t>
  </si>
  <si>
    <t>Moreno, Luis</t>
  </si>
  <si>
    <t>Luis Moreno</t>
  </si>
  <si>
    <t>ima acción D. Vicente Ma­ ría de Haro , teniente dél regimiento provincial de Alcázar de S. Juan , que antes de ella se incorporó con 4 soldados , el sargento Luis Moreno, el cabe l.° Luis Dupon,y los soldados Pedro González, y Peseta. Siguióse despees la mar­ cha con felicidad hasta Segura de la Sierra, donde se hallaban tro…</t>
  </si>
  <si>
    <t>Moreno, Manuel</t>
  </si>
  <si>
    <t>Manuel Moreno</t>
  </si>
  <si>
    <t>propio cuerpo á D* Francisco Melendez de la Pola, D. Andrés Hernán­ dez Sta. Cruz, D. Francisco Zarracina , D. Miguel González, D. Juan Mendez Vigo , D. Manuel Moreno , D. Pedro Masdetr, D. Joaquin Goñi, D. Juan Vial y D. Celestino Gastón. Conociendo S. M. el rey de las Dos-Sicilias la falta de fusiles que se experimenta en E…</t>
  </si>
  <si>
    <t>Moreno, María Andrea</t>
  </si>
  <si>
    <t>María Andrea Moreno</t>
  </si>
  <si>
    <t>Piedra M!liéra,f.i.¡.r.':......... 31Í625 D. NLolas Barsanti............................ 1825 D. Mariano Iiundain..'..... ..ÍV...1.......... 1983 28 Doña María Andrea Moreno..;.......... 3573 26, D. Melchor Cadenas.;........ 768 D. Juan Retz........................................ - 3000• Doña Angela Célva.;.'..;...... 480 Do…</t>
  </si>
  <si>
    <t>Moreno, Mariano</t>
  </si>
  <si>
    <t>Mariano Moreno</t>
  </si>
  <si>
    <t>aAires , y acompañada de una proclama del gober­ teu¿ Jua'n Larrea,‘Di Juan Josef Pasto, secreta­ nador dé Cádiz á la junta establecida en dicha rio, D. Mariano Moreno, secretario. =zA la real ciudad de América , pura que se preste el juramen­ audiencia*’! . / ....... to de obediencia al nuevo consejo ó gobierno su- Segunda n…</t>
  </si>
  <si>
    <t>Moreno, Miguel Josef</t>
  </si>
  <si>
    <t>Miguel Josef Moreno</t>
  </si>
  <si>
    <t>rmarán en los puéblós Capitanes. que á continuación se expresan las compañías de D. Tomas Gniral y Salazar. milicia cívica que á Cada uno se detalla. D. Miguel Josef Moreno. art. 11. ;En lá villa de Olvera , de la provincia D. Rafael Martel y Arcos. de Sevilla, se fórniárá'tjna segunda compañía. D. Joaquín Dandtya y Balleras.</t>
  </si>
  <si>
    <t>Moreno, Vicente</t>
  </si>
  <si>
    <t>Vicente Moreno</t>
  </si>
  <si>
    <t>Pedro de la Sema, 25. D. Francisco Rodrí­ guez, 100. D. Jacinto del Pino, 20. D Julián Romero, 25 D. Antonio Vázquez , 1$. D. José María Noriega, 25. D. Vicente Moreno , 10. Don Bernarda GiStellum, 10. D. Damian Segrega, 1 o. D. Juan Mendez, 13* D Manuel Cermeño, 10. Doña María Teresa Vázquez, ió. Doña Fran­ cisca Vázquez, 7.…</t>
  </si>
  <si>
    <t>Moreno, Vicente Gregorio</t>
  </si>
  <si>
    <t>Vicente Gregorio Moreno</t>
  </si>
  <si>
    <t>D. Fernan­ art. vr. Nuestro ministro de Guerra queda do Pío Arenzana, D. Manuel Romero y Rei­ encargado de la execucion del presente decr.to. es na , D. Vicente Gregorio Moreno, D. Pedro An­ Firmado= YO EL REI. = Por S. M. su ministro dino , D. Ramón de Cáceres, D. Mannel de Si­ secretario de Estado Mariano Luis de Urquijo.” …</t>
  </si>
  <si>
    <t>Moreno, Víctor</t>
  </si>
  <si>
    <t>Víctor Moreno</t>
  </si>
  <si>
    <t>ateo Casado. D. Ji-sef Ibaceta. D. Joaquio Palacios. Subtenientes. D. Mariano de San Juan. D. Dámaso Machuca. D. Mariano Lfanderal. D. Pascual Carsi. D. Víctor Moreno. D J uan de ios Heros. D Vicente Per^ti. Tenientes. D. Gregorio Simón de Diego. D. Ramón Vartureu. D Macuel Alevio. D. Diego Castro. D. Juan Lecanda. • D. Josef…</t>
  </si>
  <si>
    <t>Moresqui, Manuel</t>
  </si>
  <si>
    <t>Manuel Moresqui</t>
  </si>
  <si>
    <t>rutos Alvaro Benito.................... 24912 17 D. Tomo Gaicia l’rieto.............. ......... 45 12 *7 D. M .mud Celestino Carrusel-........ . 6390 D. Manuel Moresqui.............................. 1I37l 17 D. Juan Ramón ele Etulain................... 22o;o Di.ña María Maed*!•.*«»'* López Ca­ D. Antonio Mriui i-o..... ......…</t>
  </si>
  <si>
    <t>isa deVelo D. JorefMcasa, id., y D. Eugenio y Arce.................................................. 1125 de Castro , ex- mercenario di scalzo. 88000 D. Manuel Moresqui........................... 25200 D. Antonio Serrano, ex-trinitario D. Josef Ignacio Joven......................... 73c 8 descalzo.............................…</t>
  </si>
  <si>
    <t>............... ............... ' .18477 2 D. Nicolás Martínez de Tejada............. 44^4—*3 D. Gabriel de Louquat.................... l8 I 1- 6 ' ■ D. Manuel Moresqui............ .................. .5593° EFmismo-J.................................................. . . ■i93d7» 3‘ D. Nicolás-de los Fieros.....................…</t>
  </si>
  <si>
    <t>.................... .......... . D.‘Buenaventura, MofeúO. Noveno Batallón. . "V ' Para ayudante primero D. Feliciano Gaizaburuagá, y‘para abanderado D. Manuel Moresqui; D. JoseF Palafói...'.................. D.‘ Bernardo Espioalt y Co­ llado. D. Eugínio Roldan, D. Francisco Verdejo Paez.... D. Gabriel Leoneli. D. Josef Gonzá…</t>
  </si>
  <si>
    <t>Morete, Jcsé Iglesias Bárantes y D Manuel</t>
  </si>
  <si>
    <t>Jcsé Iglesias Bárantes y D Manuel Morete</t>
  </si>
  <si>
    <t>eí real cuerpode: Ingenieros, á teniente coronel á D Manuel Orermin : :í sargentos mayo­ res de brigada , á D. Mariano del Rio, D. Eugenio lraurgu;, D Jcsé ■ Iglesias Bárantes y D Manuel Morete: á capitanes, á D.' Miguel Ruano, E).-JNicolás. Sedaño, D Francisco Corres, D José Montero, D. Fei;x Arb’izu y Alava 3 D José GEaido …</t>
  </si>
  <si>
    <t>Moreto, Agustin</t>
  </si>
  <si>
    <t>Agustin Moreto</t>
  </si>
  <si>
    <t>bservancia de las reglas del El Parecido en ¡a corte es una de las graciosas pro­ arte podrá haberse adelantado, pero no en otras muchas ducciones de D. Agustin Moreto. El diálogo es her­ y preciosas qualidades que ellos poseian, y que, soste­ mosísimo y fluido, y está lleno de gracias. A vuelta da nidas por ese mismo buen gu…</t>
  </si>
  <si>
    <t>Moreto, Agustín</t>
  </si>
  <si>
    <t>Agustín Moreto</t>
  </si>
  <si>
    <t>roscenio del tea­ gado últimamente ¿ este puerto han sido secues­ tro de la Cruz se colocarán igualmente los bostos tradas. de Guillen de Castro y de D. Agustín Moreto. art. 111. El producto de las representaciones IMPERIO FRANCES. de ambos teatros ¿o el día de la instalación de los bustos, y el de Jas que se hagan todos los …</t>
  </si>
  <si>
    <t>Morfcier</t>
  </si>
  <si>
    <t>3 de setiembre. El exército francés, compuesto de 8000 infantes y 900 caballas, ocupa los pueblos de Zafra, los Santos y la Fuente: en el l.° está el mariscal Morfcier, y en el 2.° el general Girard. El exército del marques.'de la Jlomana está en Méridá y sus contornos : sus descubiertas lle­ gan á Ahnendralejo, en cuyas inme…</t>
  </si>
  <si>
    <t>Mori, Isidro</t>
  </si>
  <si>
    <t>Isidro Mori</t>
  </si>
  <si>
    <t>apetaban en las alturas ele Monroyo , le dió orden para que atacase y destruyese aquel de&gt;tacámenlo, pasando después á reunirse con la subdivisión de D. Isidro Mori­ rá bal , que le aguardar i a en el ruas de Moliues ul otro lado de Morella. El mismo dia 23 marcharon las tropas hacia la he rauta de Vallibana. Por la mañana de…</t>
  </si>
  <si>
    <t>Morillo, Antonio</t>
  </si>
  <si>
    <t>Antonio Morillo</t>
  </si>
  <si>
    <t>ues de lo contrario me voi saliendo á esa. mana. • Copia de una carta escrita al marques de la Ro­ ,,No debiendo consentirse qne tropa extranmana por D. Antonio Morillo, miembro de la gera contamine el territorio libre de España , or­ junta de Badajoz. deno á todos los pueblos se armen y corran contra los que hallen en qualqu…</t>
  </si>
  <si>
    <t>Morillo, Juan José</t>
  </si>
  <si>
    <t>Juan José Morillo</t>
  </si>
  <si>
    <t>autista Garaycochea , 100. D. Tomas Barbadillo , 200. D. Mateo Batidlo , vecino de Xalapa, 200.. D. Domingo Escando» , 200». .IX Pablo Fray le , 200. D. Juan José Morillo , 200. D. Imancisco Luis SeptitímA-200. D. Pedro Pandero , asesesor de la Intendencia, 200. D. Francisco Barrero, promotor fiscal , 100. I&gt;. Pedro Gómez , E…</t>
  </si>
  <si>
    <t>Morillo, Pablo</t>
  </si>
  <si>
    <t>Pablo Morillo</t>
  </si>
  <si>
    <t>eñalan, se puede verificar el cisma espiritual á- que- no aspiran los enemigos de España con menos ansia que al cisma político. Badajoz 3 de julio. — D. Pablo Morillo rechazó el 2S del</t>
  </si>
  <si>
    <t>444</t>
  </si>
  <si>
    <t>Caballeros (que fué el 5 y no el 7 como se dixo equivoca­ damente) manifiesta ei distinguido mérito que contraxeron en aquella jornada los coroneles D. Pablo Morillo, D. Félix Prats, D. Estanislao Sánchez Salvador y D. Manuel Mirabas: hace particular memoria del soldado de caballería de Borbon Juan José León, que libertó al c…</t>
  </si>
  <si>
    <t>Morio</t>
  </si>
  <si>
    <t>echo. El mayor es pues primer lord del al­ mirantazgo , y el segundo simplemente lord del Del 14. mismo almirantazgo. Ene ú.tirno es bien conocido El general Morio pasó ayer por aqni de vuelta por uDa observación que ha hecho en pleno pará Cas sel desde Maguncia ; también pasó ayer por lamer.to, y fue decir á Mr. VVcitbread q…</t>
  </si>
  <si>
    <t>s. Nuestro Soberano ha hecho donación de varias S. M- mandó el exercicio en persona, y el co­ haciendas á los generales Deroi, Wrede , Minucci, ronel-general Morio repetía las voces del mando. Bekers, Isemburgo y otros oficiales superiores bá- Después de las evoluciones S. E. el conde Fursvaros en recompensa de sus buenos ser…</t>
  </si>
  <si>
    <t>Moron, Bartolomé</t>
  </si>
  <si>
    <t>Bartolomé Moron</t>
  </si>
  <si>
    <t>en. completa á nuestros ojos los síntomas de vuestros Para la de Benaque y su.anexo al ex capuchi­ temores. ¡A qné viene manifestar á todo el mun­ no D. Bartolomé Moron. do vuestra cobardía ! Si yo me viera m iris tro, ó Para la de Bc*ge á D. Ramón Pérez del Rio, me pondría á cubierto de una invasión haciendo la de Ja misma &lt;…</t>
  </si>
  <si>
    <t>Moron, Pió</t>
  </si>
  <si>
    <t>Pió Moron</t>
  </si>
  <si>
    <t>D. Casimiro Brodet, D. Guillelmo Claramunt, D. Bernardo Cobian y D. Francisco Juárez ; y subtenencias, á D. Juaii de la Fuente , D. Mtnuel Martinez , D. Pió Moron , D. Francisco Alonso , D. Bernab S María de Faez , D. Angel Salazar y Aldao, D. José Pereyra, D. Blas Peinador, D. Antonio Rubín, D. Ra­ món Momeo , D. José Benito…</t>
  </si>
  <si>
    <t>Moroso, José Díaz</t>
  </si>
  <si>
    <t>José Díaz Moroso</t>
  </si>
  <si>
    <t>79......... O..... 17 Total......... . O 1...... 4..... 91...... 3........ 17 rLos tres oficiales heridos de Campo Mayor son , los capitanes primeros D. José Díaz Moroso, y D. José Framis, y el tenien­ te D. Claudio González; y los dos contusos, el capitán primero Don Joaquín Aleonada, y el subteniente Don José Benitez : el o…</t>
  </si>
  <si>
    <t>Morrola, Próspero</t>
  </si>
  <si>
    <t>Próspero Morrola</t>
  </si>
  <si>
    <t>iaga» 7 para abanderado D. Severo Guercta. TcDlefltts. Subtenicatsa. Compañías. espiraos». ______ —ro————■ »'■ D. Vicente Morelli D. Fermín Marquioa, D. Próspero Morrola. x *...... «a*« D. Benigno Brian..... D. Gregorio Gamboa, i........ D. M.rtin Azcué...... D. Pedro Simón Puerta. D. Antonio F.beirac. D. Camilo Gonsalex. $•"…</t>
  </si>
  <si>
    <t>Morros, Francisco</t>
  </si>
  <si>
    <t>Francisco Morros</t>
  </si>
  <si>
    <t>ibera y Pardo, por la de Betanzos : D. Luis Rodríguez del Monte por idem: Don Antonio Vázquez de Parga, por la de Lugo: D. Manuel Valcárcel por idem: D. Francisco Morros, por Cataluña: D. José Vega y Sentmerrat,por la ciudad de Cerveia:_D. Félix Aytés, por Cataluña : Don Pvamon Urges por idem: D. Salvador Viñaís por idem: D. …</t>
  </si>
  <si>
    <t>Mortier</t>
  </si>
  <si>
    <t>el pueblo , la falta de colgaduras , y aun ei mal humor del mismo José , quien después de haber hecho baxar de Extre­ madura parte de la división del mariscal Mortier para aumentar su escolta, volvió a salir el 2 de este mes, precedido y seguido de mas de 7$ soldados. En la arenga que al despedirse dirigió á las autoridades, …</t>
  </si>
  <si>
    <t>el. Por el puente de Trian'a se vieron entrar en varias veces considerable numero de dispersos , v muchos carros de heridos. Entre estos se cuenta el mariscal Mortier , que suponen lo está gravemente. Sin embargo en el cartel que fija­ ran el 30 sóbrelos sucesos de aquella batalla, dixeron que ios franceses habían perdido sol…</t>
  </si>
  <si>
    <t>ara procur rselo: han obligado á la maestranza á que habilite su plaza de toros , y han llamado por edictos postores para arrendar 8 corridas. . _ El mariscal Mortier está con tercianas malignas: se ha mandado no.toquen la caxa que trae su guardia y las campanas de la parro­ quia de S. Bartolomé , que está inmediata á su-essa…</t>
  </si>
  <si>
    <t>abal de la Puebla á las 2 de la noche del 10 de agosto de 1810. —- Excmo. Sr. — Francisco Tahonda y Gil.—- Excmo, Sr. D. Nicolás Mahy.” El cuerpo del mariscal Mortier se ha retirado hacia Mo­ nasterio, y el quarte! genered del marques de la Romana* está en Zafra. CADIZ 27 DE AGOSTO. Coa fecha de 10 del corriente desde Algecir…</t>
  </si>
  <si>
    <t>n, y extiende sus ce rrerías ba ta el mismo Bayona., Entre las cartas, que se han cogido en esta ocasión, son, flotables las tres siguientes. I. I)el mariscal Mortier al-.mariscal Soalt., Cuartel general de Sevilla 13 de julio..—- El general Regnier ha operado con todo.su cuerpoy ha obtenido ventajas: esto es consiguiente. De…</t>
  </si>
  <si>
    <t>el padre, todo corrido y confuso, se retiró á su casa á desahogar su cólera contra el reo y contra sus criados. Badajea 13 de octubre. Las tropas del mariscal Mortier han evacuado á .Zafra y Fuente de Cantos, y parece que se retiran decididamente hácia Sevilla. Después de la gloriosa acción de Busaco del 27 del pasado entre l…</t>
  </si>
  <si>
    <t>realice la contribución de la capital, y ase­ guran que estará cobrada en toda lasemana. En la orden del dia 27' se participó á la guarnición, que el mariscal Mortier había derrotado á Ballesteros; y Copons, y asimismo al marques de la Romana: que este había perdido 2000 muertos,. 4CT0 prisioneros y parte de la artilléría; qu…</t>
  </si>
  <si>
    <t>cu­ diesen á cortar el incendio, han hecho cargo á los campa­ neros porque no tocaron á fuego. La noche del 30 del mes pasado pidió repentinamente el mariscal Mortier 24000 raciones en pie para conducirlas con parte de sus tropas, cuyo destino ignoran hasta sus mismos oficiales. A las doce y media de la misma noche marcharon …</t>
  </si>
  <si>
    <t>Luz y Niebla, y tienen bastantes enfermos. La división del general Copons parece que se reunía en los Castillejos. Según noticias de Extremadura, el mariscal Mortier, que habia avanzado dias pasados con un cuerpo de 5 á 6000 hom­ bres, probablemente con designio de atacar la división del ge­ neral Ballesteros , ha desistido s…</t>
  </si>
  <si>
    <t>en el mismo codo, y con,varias contusiones en la ca­ beza y demás del cuerpo. Iba ya ;á ser víctima del furor de aquellos foragidos, quando llegó el mariscal Mortier y man­ dó fuese conducido á dicha villa. Algo restablecido., el 4 de marzo determinó y executó su fuga para unirse á nuestras tropas; y á la distancia de un tiro…</t>
  </si>
  <si>
    <t>fe privt-n d-e his-rne— Algunas cartas que he recibido de la Extrema­ dios de subsistencia. En vetdad que rs un', hecho dura dicen que el cuerpo del mariscal Mortier constante el que esté oficial Sabe mui bien lo qúe permanece en Sevilla , y que tiene muchos enfer­ se ¿ace y lo que trae entre mano?. Ya muchas ve- mos (i).=Wel…</t>
  </si>
  <si>
    <t>Moruna, Antonio</t>
  </si>
  <si>
    <t>Antonio Moruna</t>
  </si>
  <si>
    <t>San^ Para otro.de la roi*ipa.,,vacanterjx&gt;r falleci­ «rago de-aqúelia ciudad , ¡ vacante* por muerte' de; miento de D.‘Pedro Domínguez Troyano, á Don D. Antonio Moruna, á D. Antonio Fernandez,¿ Ffancitctode la Rosa^presbítero. - ^ : 1 "7 presbítero, éx-reghlar. . 5 bí&gt; o:v._ --'.r ' rBitavl medio beneficio de laparroqnia de A…</t>
  </si>
  <si>
    <t>Motand</t>
  </si>
  <si>
    <t>gran ventaja para* lá' Francia, en aquella ciudad el mismo día la primera coluna y nosotros no podíamos competir con ella-en este de la división del general Motand. pun^o. Asi es que á nuestra nación se le ha llama­ do una nación de tenderos; pero por fin hemos en­ GRAN BRETAÑA. contrado el secreto-Je combinar las operacipngs…</t>
  </si>
  <si>
    <t>Motero, Pedro</t>
  </si>
  <si>
    <t>Pedro Motero</t>
  </si>
  <si>
    <t>s de aquel punto: esta determinación oca si Cayetano Calatrava, ayudante D. Tomas Leal, naiia una pérdida inútil de tiempo, coya duración, abanderado D. Pedro Motero, cirujano D. Pedro estando ya tan adelantada la estación, no seria fá­ Moron. cil determinar, y Napoleón no dexaria de aprove­ Compañía de granaderos. Capitán D.…</t>
  </si>
  <si>
    <t>Motezuma</t>
  </si>
  <si>
    <t>critu­ nera de escribir, que se llama arte de los g¡'ro¿iif:.os. ra. Este arte se reduce á una elección de señales, taci- Los mexicanos avisaron a su Emperador Motezuma dd ies de, ser llevada» hasta las mayores distancias, y á pro­ la llegada de los españoles con lienzos, en que este y pósito para la comunicación de las ideas…</t>
  </si>
  <si>
    <t>. M. ha confirmado al corregidor y demas iufanteria. S. M. ha admitido esta oferta. empleados en sos destinos, y conferido ia Orden Real de España al brigadier Motezuma , que cuen­ Segovia 4 de marzo. ta mas de 6o años de servicio, cerca de 8o de. edad , y que ha continuado aqutf&amp;js en las actua­ Entre las muchas pruebas de p…</t>
  </si>
  <si>
    <t>Motilla</t>
  </si>
  <si>
    <t>se­ creía que la unión de todos los estados españoles cretario del gobierno en Curazao, al teniente sería el único medio de preservar la monarquía de coronel Motilla, fecha en Curazao d a de junio la tempestad que la amenazaba; y para conservar de 18x0. esta unión, que nos parecia tan importante, he­ mos sacrificado nuestros …</t>
  </si>
  <si>
    <t>Mottier</t>
  </si>
  <si>
    <t>s Silveira ocupa á l e- ti* También es falso que estuviese en Sevilla el Ipi 1, n v (iiMni.i , sio’iln jm que ex ’ a s dos piabas e vi a - cuerpo del mariscal Mottier, duque de Treviso. y „V«han ocupadas en piincipios de noviembre por la divi- nittr. y</t>
  </si>
  <si>
    <t>Moulin</t>
  </si>
  <si>
    <t>o para'Viena, adonde se V. M., aprendan á hacerse dignos del hómbre que propone llegar dentro de quatro días. se les transmitirá! fia llegado aquí el general Moulin , que fue gO« ,,¡Qué reconocidos le estarán los franceses! bernador de Augsburgo. Sitos la antardn , porque os aman d Vos: la amaEl qaartel general de S. A. el pr…</t>
  </si>
  <si>
    <t>MoUrellé</t>
  </si>
  <si>
    <t>lñ siñ moverse de su$ situaciones, á pesar del fuego viví sintió qué liacian enemigos désde todos los plintos de la costa sobrenque se hallaban, y el comandante MoUrellé recomienda á la consideración de S, A. la sereni­ dad y alegría qué advirtió &gt;ltldistintaméfíte en todos los individliaS de dás-íué^zfas1 qñé bpeÉa^óh a^sü^'…</t>
  </si>
  <si>
    <t>Moütor</t>
  </si>
  <si>
    <t>de las renras que antes gozaban. Los regimientos t6.°y 2° de línea , que hacen art. ti. Estas pensiones se pagarán é hipote­ parte de la división del general Moütor, pasaran caran sobre ios dominios y bienes de la orden su­ por aqui para Hamburgo, donde se quedarán de primida, y con especialidad sobre ios de la anti­ guarnici…</t>
  </si>
  <si>
    <t>las fuerzas y el vigor de criptos tiroleses, que se portan perfectamente. Dia* wsn edad juvenil.” pasados hubo una gran función en Lindau con mo­ El general Moütor, comandante de las tropas tivo de la ceremonia de la entrega de un premio francesas de las ciudades anseáticas, llegó ayer no­ extraordinario concedido á un artill…</t>
  </si>
  <si>
    <t>Moya, Francisco Lopes</t>
  </si>
  <si>
    <t>Francisco Lopes Moya</t>
  </si>
  <si>
    <t>.... D. Josef Villanas; D. Rafael Yarce..... D. Estéban Moreno..... ......... I&gt;. Manuel López. D. Güilísimo González.......... D. Clemente Villalba. D. Francisco Lopes Moya.... D. Joan Colmenero. D. Clemente Mesbiele...........- D. Pedro M*ría Brost, D. Josef María SorroialD. Mariano Triviño,.., D, Alberto Gteúudelt. Quar/o …</t>
  </si>
  <si>
    <t>Moya, Francisco López</t>
  </si>
  <si>
    <t>Francisco López Moya</t>
  </si>
  <si>
    <t>576 20 deberán igualmente presentarla si no hubiesen hecho D. Pedro Giroud de Villet........ 670® Uto de ella % ó en este caso harán manifestación de D. Francisco López Moya............... 49**5 *4 la aplicación que Ja hubieren dado. Madrid 10 de Los reales estudios de S. Isidro...... 1.1 j 16 ;o 12 febrero de 1810. = El cons…</t>
  </si>
  <si>
    <t>Moya, Juan Mahuel</t>
  </si>
  <si>
    <t>Juan Mahuel Moya</t>
  </si>
  <si>
    <t>■ . 7 ■. Visto el informe de nuestro ministro de la Batallón del quartel de S. Isidro. Gueira, hemos decretado y decretamos lo que sigile : Capitán, D. Juan Mahuel Moya. articulo 1. ,,Ei regimiento nú.ti. i.° de in- Teniente, D. Eugenid Roldan. fanictí.i iig- r;i tendrá la denominación de regimien­ Subteniente, D. Josef Palaf…</t>
  </si>
  <si>
    <t>Moyo, Antonio</t>
  </si>
  <si>
    <t>Antonio Moyo</t>
  </si>
  <si>
    <t>ya que eñ la madrugada del 7 se habia aproxí-r inado á Sigüenza, embistió á los centinelas franceses , con quienes entraron revueltos érfel pueblo el sargento Antonio Moyo, el cabo Francisco Oonzalez y el soldado Florentino Gamarillo ; y después de haber alarmado á. Los enemigos, se retiraron dexando muertos y heridos áalguno…</t>
  </si>
  <si>
    <t>Moziño, Brito</t>
  </si>
  <si>
    <t>Brito Moziño</t>
  </si>
  <si>
    <t>á conocer, podiendo este ser llamado un dia glorioso para el nombre portugués. Merecen particular men­ ción y elogio el brigadier Lemos , el ayudante general Brito Moziño, los coroneles Durban , Champalimaud , Palmeirin y José Cardoso de Meneres Sotoraayor ; los teñí ente-coroneles Hcuglas, Sutton , José María de Araujo Bacel…</t>
  </si>
  <si>
    <t>Mriui, Antonio</t>
  </si>
  <si>
    <t>Antonio Mriui</t>
  </si>
  <si>
    <t>6390 D. Manuel Moresqui.............................. 1I37l 17 D. Juan Ramón ele Etulain................... 22o;o Di.ña María Maed*!•.*«»'* López Ca­ D. Antonio Mriui i-o..... ....................... 37100 bré!. s, mu :er de D. Ramón de Po­ D. Cipriano Layat..... ............................ 37424 sada y Soto;................…</t>
  </si>
  <si>
    <t>Mtd, ModestoPerez</t>
  </si>
  <si>
    <t>ModestoPerez Mtd</t>
  </si>
  <si>
    <t>Francisco Sánchez.......... . ..;;;.í£..v ’' 44660 [ agustinos recoleros.u...¿iJw..v.i»;c;...., .44006 • D. Julián Martínez Gatalan.... -1 -44660^ ‘ D. ModestoPerez Mtd»a«9V dé agus-" -¡-i’- i * D.'Júan Estiban Chico, «x-regular1” .G tinos calzados#... 44»bo Jde S. Francisco de ‘Paula.44000T .CI D. Bcrnardino Gonzalez+'dé S. …</t>
  </si>
  <si>
    <t>Mu, Juan</t>
  </si>
  <si>
    <t>Juan Mu</t>
  </si>
  <si>
    <t>rey nuestro Señor Don Fer­ nando Vil, se ha servido promover en el real cuerpo de Artillería á coroneles á "ios tenientes coroneles del propio cuerpo D. Juan Mu% narríz , graduado de coronel, al mariscal de campo D. Antonio de la Cruz , á D. José Portillo , graduado de coronel, á D. Juan García de Paredes, idem , y á D. Manue…</t>
  </si>
  <si>
    <t>Mu, Manuel</t>
  </si>
  <si>
    <t>Manuel Mu</t>
  </si>
  <si>
    <t>arte de los contiguos, de caber todo una fan. y mediodia, y á oriente con tierra de lá y celem. , con uña pieza sotechada j jun­ capellanía qué posee D. Manuel Mu­ to al arroyo,.qué por detras de la igle­ ñoz.,...;....;........ .............................. ...... *7~*7 *85 sia' baxa al prado Boyar..... - 3Z3..Í7' 7117 Otra …</t>
  </si>
  <si>
    <t>Mugan, Francisco</t>
  </si>
  <si>
    <t>Francisco Mugan</t>
  </si>
  <si>
    <t>....................... 1624 37 D. MAriin Antonio Huici...................... 19862 17 D. Bernardo Iriarte............................... I7:4 ““-&gt;ia D Francisco Mugan................................ 945 D. Josef Sánchez..................................... '2 49 D. Francesco Criado..... ......................... 2200 El marq…</t>
  </si>
  <si>
    <t>Mugée</t>
  </si>
  <si>
    <t>as costas de Groen­ equipage: lo mismo sucede con el brick que se está landia , limita este favor solamente i los buques armando buxo las órdenes del capitán Mugée. La ex* empleados en hacer el comercio entré estos esta­ pedición de los portugueses nos da algún tiempo de blecimientos y los puertos de Londres y de.Leith; repos…</t>
  </si>
  <si>
    <t>Múhaud</t>
  </si>
  <si>
    <t>berano que asi los protege, y renuevan el homenage de su fidelidad. También la provincia de Cuenca está ya libre ESPAÑA. de todos los empecinados: el general Múhaud ha destruido allí muchas de sus partidas, y mandado Madrid 7 de enero de z8ro. pasar por las arma! á varios de sus caudillos , seña­ ladamente á Verdugo y á Maria…</t>
  </si>
  <si>
    <t>Mui, Josef</t>
  </si>
  <si>
    <t>Josef Mui</t>
  </si>
  <si>
    <t>................................. 160293 4 si miro..................................................... 3745 7 18 D/ María Escnlasúca, D.aMaríaTetesa D. Josef Mui.i Valdivieso.................... 19848 26 v D.11 Melchor? Diest. por medio de La testaineiu.irL de D Blas Je Barreda. 14S86 *9 su tutor y curador D. A gel de Sata. …</t>
  </si>
  <si>
    <t>Muiler</t>
  </si>
  <si>
    <t>La idea que se tenia generalmente de la ener-, S. M. ha concedido por decreto de 2 de este gía del pueblo español era la mas ventajosa, y uno mes al profesor Muiler la facultad de vender y ha­ de los caractéres mas vergonzosos de su revolución cer vender exclusivamente en este reino por el tér­ es que no ha producido aun ni u…</t>
  </si>
  <si>
    <t>Mullen, Fidel</t>
  </si>
  <si>
    <t>Fidel Mullen</t>
  </si>
  <si>
    <t>355</t>
  </si>
  <si>
    <t>fracaso que in­ utilice Tos esfuerzos de aquella valerosa guarnición y las dis­ posiciones que están tomadas para socorrer la fortaleza. —El capitán. D. Fidel Mullen , comandante de la partida de. infantería y caballería de Illueca, avisa, con fecha de 12 de mayo, que acometió de improviso á la guarnición francesa &lt;íe 120 hom…</t>
  </si>
  <si>
    <t>Muller</t>
  </si>
  <si>
    <t>ioo® hombres. La junta El Reí dice en su decreto que accede con tanrú suprema nada ha hecho que sea digno de notarse, mayor gusto á la pretensión del profesor Muller, y el inepto gobierno de Cirios IV nunca fue mas quinto h. ñl. c'e: habar encontrado en esto una débil ni mas despreciable que el suyo. Y teniendo nueva ocasión …</t>
  </si>
  <si>
    <t>Munarriz, Antonio</t>
  </si>
  <si>
    <t>Antonio Munarriz</t>
  </si>
  <si>
    <t>arios J.p de Borbast.ro, cornosíiía á D. Manuel Alvares; empleo de capitán 2.° á D. Antonio Silgado; segunda ayudantía a D. Juao Saravia ; tenencia á D. Antonio Munarriz; y subte­ nencia á D. Francisco Sai j urjo. S. M. se ha servido conferir la sargentía mayor del batallón de voluntónos de Valencia al coronel D. José de Vili…</t>
  </si>
  <si>
    <t>Munarriz, Francisco</t>
  </si>
  <si>
    <t>Francisco Munarriz</t>
  </si>
  <si>
    <t>e Bailen, que Sí presentó á de la s.guoda ; á D. Pedro Baena , capitán de la S. M. en Andújar, constaba de D. Pedro Acucio primera de infantería, y á D. Francisco Munarriz, Choza, aL-j'de mayor; D. Luis Antonio Rentero, comandante de todas ellas: cambien se ha servido alcalde ordinario, y D. Andrés García Sob.nzo , es­ el REI…</t>
  </si>
  <si>
    <t>Muño, Esteban Félix</t>
  </si>
  <si>
    <t>Esteban Félix Muño</t>
  </si>
  <si>
    <t>..17 2 ¿77 tías Losa, de 3 fanegas y 6 celemi­ Otra, que fue viña, de 6 fanegas, y lin­ nes, linde por oriente cea otra da da, al norte con tierra de D. Esteban Félix Muño/.,....,.......... ............. ....... 13 330 Mena............................i................ «8 1496 Otra en el Peralejo, que linda con la Otra 4 Valdo…</t>
  </si>
  <si>
    <t>Muñoz, Andrés</t>
  </si>
  <si>
    <t>Andrés Muñoz</t>
  </si>
  <si>
    <t>neral una suntuosa cena y un es­ frasio de Gamiz, síndico; D. Juau Fernandez Ca- pléndido baile, á que asistieron todas las personas macho, diputado; D. Andrés Muñoz, síndico del principales de Córdoba. S. M. se dignó honrarle común; D. Cristóbal Carrillo, prior; D. Vicente con su presencia, y también fueron convidados los Mo…</t>
  </si>
  <si>
    <t>Muñoz, Antonio</t>
  </si>
  <si>
    <t>Antonio Muñoz</t>
  </si>
  <si>
    <t>ra en las Retuertas , de a fan., linde Otra de 3 fin. en dicho sitio, que linda i jerrano la Gaieana............................. 18 396 á cierzo con D. Antonio Muñoz, Otra al Portillo , de una fan. y g cel., . presbítero.....*............... ........................ 61 *34* que linda á cierzo con senda de CarOtra en la Zarzu…</t>
  </si>
  <si>
    <t>Muñoz, Antonio Fernandez</t>
  </si>
  <si>
    <t>Antonio Fernandez Muñoz</t>
  </si>
  <si>
    <t>Napoleón por la gracia de Dios y por |a D. Pascual Juarros................................. 72a constitución del Estado, REI de las Españas y de lás D. Antonio Fernandez Muñoz.......... 433* Indias. Señores Dovat, hermanos y compañía. . 28529 Vistas las consultas de la comisión, de liquidación de Dopa Vicenta García Bravo....…</t>
  </si>
  <si>
    <t>Muñoz, Francisco</t>
  </si>
  <si>
    <t>Francisco Muñoz</t>
  </si>
  <si>
    <t>rte en dos barcas, y los obli­ gó á retirarse con bastante pérdida. La suya consistió en un hombre y un caballo. Recomienda ai cabo Miguel Puyol y al soldado Francisco Muñoz que.se señalaron por su valor. La subteniente Doña Catalina Martin,,sobrina del capitán, per­ seguida por dos enemigos , recibió una cuchillada en “una m…</t>
  </si>
  <si>
    <t>Muñoz, Francisco de Paula</t>
  </si>
  <si>
    <t>Francisco de Paula Muñoz</t>
  </si>
  <si>
    <t>940</t>
  </si>
  <si>
    <t>ar• ?iate es el puesto de la reunión general de los patriotas que el 22 pasaban ya de 1000 hombres mandados por D. José Segóvia , hacendado del país, D. Francisco de Paula Muñoz, al-, calde de Cafar y otros caudillos; y se esperaba creciese mu­ cho su número. Con fecha de 22 escribió Segavia pidiendo au­ xilios al brigadier D…</t>
  </si>
  <si>
    <t>Muñoz, Gabriel</t>
  </si>
  <si>
    <t>Gabriel Muñoz</t>
  </si>
  <si>
    <t>e linda por deurtija.... ..... •............... ........ ...... oriente con tierra de la capellanía de Otra de una fanega', que también hace 30 ; 4¥&gt; D. Gabriel Muñoz..'......................... 82 1804 pical al sendero de las Postas, ca­ Otra á los Urdíales de i\ fanegas, que mino de Aranjuez, con el que lin linda por orient…</t>
  </si>
  <si>
    <t>Muñoz, Josef</t>
  </si>
  <si>
    <t>Josef Muñoz</t>
  </si>
  <si>
    <t>vidar una expresión que ca­ de la ciudad de Alcalá la Real: á D. Francisco racteriza la estimación qne S. M. I. hace de los ha­ Callaba teniente; y á D. Josef Muñoz subteniente bitantes de sn buena dudad de Rúan. Qoando el de la misma compañía: á D. Antonio Serrano te­ corregidor ofreció, según costumbre antigua, el niente de…</t>
  </si>
  <si>
    <t>en la cuesta del Servo....... 4-i7 99 fin., 3 celem. y 25 estad., que linda áorien­ Qtra de 4 fin., mas allá de S. Lorenzo en la te con herederos de D. Josef Muñoz....... 17..17 385 Retuerta................................................. *..... 63-17 13S&gt;7 Otra en el Muerto ó Hundecaminos, de una Otra de 4! fin., en el send…</t>
  </si>
  <si>
    <t>Muñoz, Juan</t>
  </si>
  <si>
    <t>Juan Muñoz</t>
  </si>
  <si>
    <t>ntonio Fació. En el batallón de infantería de gastadores de Aragón, la comandancia al teniente coronel D. Juan Sánchez Cisneros; la sargentía ma­ yor D. Juan Muñoz ; compañías, á D. Matías, D. Francisco,</t>
  </si>
  <si>
    <t>Muñoz, Juan Manuel</t>
  </si>
  <si>
    <t>Juan Manuel Muñoz</t>
  </si>
  <si>
    <t>, 100. D. Martin Urdapilleta, £0. I). José de la Lanza , 100. Señores Llano y Regato, 100. D. Pedro García la Lausa , 200. D. Domingo Madariaga, 25. D. Juan Manuel Muñoz , 200. D. Joaquin Micon , 100. D. Jo­ sé Domingo Couto , 100. D. Mariano Pasquel, 100. D. Manuel Elguero , 100. D. Juan Antonio Leunes , 100. D. Francisco Ma…</t>
  </si>
  <si>
    <t>Muñoz, Juan María</t>
  </si>
  <si>
    <t>Juan María Muñoz</t>
  </si>
  <si>
    <t>mbién se ha servido S. M. conferir los empleos de Coro­ neles , del regimiento de infantería de Burgos á D. Juan José de .Olazabal; y del de Murcia á D. Juan María Muñoz : el de sar­ gento mayor del de Africa á D. Lorenzo Ascaso ; grado de tenien­ te coronel al.capitán del mismo cuerpo D. Ramón Doménech’; el propio grado al s…</t>
  </si>
  <si>
    <t>Muñoz, Manuel Cayetano</t>
  </si>
  <si>
    <t>Manuel Cayetano Muñoz</t>
  </si>
  <si>
    <t>cria mas á propósito por su aptitud paternal, S. M. se ha dignado conferir la Real Orden de buenas costumbres y conveniencias particulares." España á D. Manuel Cayetano Muñoz, obispo de Licópolis, auxiliar del arzobispado de Sevilla; á Don S. M. se ha servido nombrar gobernador polí­ Bernardo Antonio Poblaciones, abad de Oliv…</t>
  </si>
  <si>
    <t>Muñoz, Nicolás</t>
  </si>
  <si>
    <t>Nicolás Muñoz</t>
  </si>
  <si>
    <t>añías de este regimiento serás Málaga á 7 de marzo de 1810. los que á continuación se expresan: Don Josef Napoleón por la gracia de Dios y Capitanes. D. Nicolás Muñoz, D. Joaquín por la constitución dei estado, REI de las Espa— Cueva, D. Diego 1 opez, el conde de la Quinte­ ñas y de las Indias. ría, el conde de Guadiana, D. M…</t>
  </si>
  <si>
    <t>Muñoz, Pedro</t>
  </si>
  <si>
    <t>Pedro Muñoz</t>
  </si>
  <si>
    <t>stado =£Firmárónimo D. Manuel Galderon, que lo era dé1,la de dos-Mlfililo Luis de Urquijo." , Resraval y Saleras. Para esta resulta .al-e'X-gerónimo' D. Pedro Muñoz. THATB.OS. PaVa la de' Caentar ai ex carmelita descalzo D. Antonio RodriVu&lt;-z. En el del Príncipe, í las siete y media de la no­ che^ se representará por la compa…</t>
  </si>
  <si>
    <t>ito ingles de Portugal se compone de Para el de Casabermeja , vacante por muerte de 28® combatientes. Lord Wellington manda los D. Nicolás Tayaore, á D. Pedro Muñoz, cura 240 , en tos quaies está comprehcndida la división propio de la Viñuela. del general HUI. Los otroá 40 están en Tomar á Para el de la parroquial de Jubrique…</t>
  </si>
  <si>
    <t>Muñoz, Vito Antonio</t>
  </si>
  <si>
    <t>Vito Antonio Muñoz</t>
  </si>
  <si>
    <t>6. .17 *43 tes, de fanega y media:, que linda á Otra de fan. y media al propio sitio, linde cierzo con capellanía de Azuqueca... 10 220 á solano con D. Vito Antonio Muñoz. 13-17 * 97 Otra en el Sobaco , de una fan. y 4 cel., Otra de 6 cel.-camino de Aristón al ba- linde á cierzo con el arroyo que baxa , xar la cuesta, linde s…</t>
  </si>
  <si>
    <t>Mur, Francisco</t>
  </si>
  <si>
    <t>Francisco Mur</t>
  </si>
  <si>
    <t>......................... Otra en la calle de Fuente Risas, 264 3168 Otra en la calle Molinos, que lin­ que linda con otra de la cape­ da con casa de D. Francisco Mur­ llanía de Diego Merino.............. 440 5280 ciano................................................ Otra en la misma calle, que linda 449 5280 Una quarta parte…</t>
  </si>
  <si>
    <t>Murat</t>
  </si>
  <si>
    <t>1034</t>
  </si>
  <si>
    <t>mo la perdida de la división de reserva en 18 de setiembre ? Sin embargo. Grenier. cuenta que alguno déoslos sucesos causó,, sor­ presa y sentimiento d Murat, y la expedición de Sicilia queda diferida. IEI cot js de (a relación del general Stuart con el parte de Grenier y la procla ma de Murat, que se barí reunido, á jo opósi…</t>
  </si>
  <si>
    <t>Murcia, Francisca</t>
  </si>
  <si>
    <t>Francisca Murcia</t>
  </si>
  <si>
    <t>rido comandante á los oficiales D. Vi­ cente Martin Vegue y D. Rafael Serón , como también'á los ter­ ceros pilotos de la armada 0. Lorenzo Sabater y D. Francisca* Murcia, y á los demás individuos de su mando ; y S. M. ha dis­ puesto se publique esta acción en la gazeta del gobierno para sa­ tisfacción de las interesados. Not…</t>
  </si>
  <si>
    <t>Murfi, Mateo Lorenzo</t>
  </si>
  <si>
    <t>Mateo Lorenzo Murfi</t>
  </si>
  <si>
    <t>n , 50. D. Vicente María de la Portilla 50. Don Juan Lagrava, 50. D. Juan de Guisasola, 100. D, Rafael Ixheniquc , 25. D. An­ gel Antonio Villar, 25. D. Mateo Lorenzo Murfi. 200. D. José Ramón de Sa-</t>
  </si>
  <si>
    <t>Murguía, Antonio</t>
  </si>
  <si>
    <t>Antonio Murguía</t>
  </si>
  <si>
    <t>lero cadete del regimiento de Tiuxilio Don Manuel Gutiérrez de la Parra, ha entregado para la biblioteca ico rs. y los Juzgados militares de Colon. — D. Antonio Murguía, librero de Cádiz, otra obra para la misma.Un anónimo 14 volúmenes de bue­ nas obras militares - - D. Juan Domingo de Iturraide, coronel graduado de las milic…</t>
  </si>
  <si>
    <t>Muriel, Bartolcmé</t>
  </si>
  <si>
    <t>Bartolcmé Muriel</t>
  </si>
  <si>
    <t>100. D. Manuel Elguero , 100. D. Juan Antonio Leunes , 100. D. Francisco Magarola , 50. D. Francisco Guer­ ra , 50. D. Francisco Torres y Juyol, 25. D. Bartolcmé Muriel, 25. D. José de las Plazas , 100. D. Manuel Calvo, 50. D. Francisco Puy, 50. D. Domingo Lagoa, 100. Señores Matorell , Pía y compañía. 100. D. Jorge la Cenia,…</t>
  </si>
  <si>
    <t>Murrieta, Pasqual</t>
  </si>
  <si>
    <t>Pasqual Murrieta</t>
  </si>
  <si>
    <t>D. Severino Legarreta, SO.* D. Salvador Mongo , 40. D. Ignacio Mongo, 10. Varios individuos, 104. El cura de Arivechi, 1.5. D. Ramón Vilíaseñor, 10. D. Pasqual Murrieta, l£L Varios individuos , 56 y 6 rs. El cura de Zaguánpa, ltb B. Santos Aguayo , 10. B. Vicente Valenzuola , 10. Varios individuos, OS'y 6 rs. El cura de Rio-c…</t>
  </si>
  <si>
    <t>Musnier</t>
  </si>
  <si>
    <t>102</t>
  </si>
  <si>
    <t>Tormo por el flanco izquierdo, no dexando sa­ lir á los enemigos de los peñascos donde-se hablan guarecido; hasta que, reforzados por la división del general Musnier, intenta­ ron penetrar por mi flanee derecho con una coluna de 800 hom­ bres , atacando al mismo tiempo con 2400 mas al centro y flanco izquierdo con la gritería…</t>
  </si>
  <si>
    <t>Musques, María Gertrudis y Doña María Francisca</t>
  </si>
  <si>
    <t>María Gertrudis y Doña María Francisca Musques</t>
  </si>
  <si>
    <t>Antonio Carbajal , tesorero interino de Veracruz , su esposa , hijos y cria­ dos , 250. D. José Antonio Escobar, 100. D. José Miguel de Musques, 20. Doña María Gertrudis y Doña María Francisca Musques y Lariz, 12 pesos , y otra tanta cantidad anualmente. D. Francisco Manzano, 50. La provincia de Guanaxuato en dos remesas , in…</t>
  </si>
  <si>
    <t>Mutach</t>
  </si>
  <si>
    <t>marcha el coronel Falloi* tado. EL consejero I'iy li^r óe CerUer. , consejero con el segundo batallón deJL. contingente para salir de diputación ; el consejero Mutach , id. al encuentro de los ingleses, quienes po esperaron TJri. .Mulier, lendatnann de este cantón de á nnesrras tropas , y se volvieron inmediatamente Uri, dipu…</t>
  </si>
  <si>
    <t>Mutis, Sinfcroso</t>
  </si>
  <si>
    <t>Sinfcroso Mutis</t>
  </si>
  <si>
    <t>que no tardará en volver á Suecia el ba­ dad d rector del jardín botánico de Madrid. Su so­ rón de Rentekholm , qa 1 Junóte la menor ed «1 del brino D. Sinfcroso Mutis se ha encargado por or­ Reí anterior obtuvo emp’eos de grande importan­ den del gobierno de continuar la Flora de Bogotá cia, y después ha estado siempre en pa…</t>
  </si>
  <si>
    <t>Muzquiz, Ignacio</t>
  </si>
  <si>
    <t>Ignacio Muzquiz</t>
  </si>
  <si>
    <t>tóricos para recreo del espíritu y adorno del entendi­ González Arnao, D. Manuel Sixto Espinosa y miento, sacado de varios autores é idiomas. Véndeso D. Ignacio Muzquiz. en la librería de Gómez, calle de las Carretas: un to­ mo en 8.° de marca, á 9 rs. en rústica y n en pasta. art. 11. Nuestros ministros de lo Interior y de H…</t>
  </si>
  <si>
    <t>Muzuncheili</t>
  </si>
  <si>
    <t>92 Idem 20. No sabíamos conciliar el sistema que hasta aquí ha adoptado el general Muzuncheili en ei bloqueo de este castillo con el que observan generalmente las tropas francesas, haciéndo­ senos increíble lo mismo que estábamos viendo. Treinta y siete dias ha empleado en colocar una batería, y durante este tiempo no ha ofen…</t>
  </si>
  <si>
    <t>MV, Juan</t>
  </si>
  <si>
    <t>Juan MV</t>
  </si>
  <si>
    <t>estra parte, hemos perd do el \ aliente cr-bo dé húsares Francisco Baños at avi sado con 5 bala». An érica lia tenido 4 heridos—-El teniente .corone! D. Juan MV- í s Ht G ir miz por su valor y sen ilidad en el peligro , se n hit za, y ge­ nerosidad en la victoria, ha acred taño de nuevo la fama que tiene de ser uno de 1 s &lt; f…</t>
  </si>
  <si>
    <t>N, Josef</t>
  </si>
  <si>
    <t>Josef N</t>
  </si>
  <si>
    <t>anzas de la na­ brar diversas funciones con el plausible ir.o ¡vo de ción. Los miniaros de S. M., que dirigen á su an­ los dias del REI nuestro Señor D. Josef N,potojo los negocios en el salón que tengo enfrente, león 1. Una iluminación general en toda la ciudad logran siempre eludir el objeto de nuestras infir­ en la noche d…</t>
  </si>
  <si>
    <t>N-jpóleon, Josef</t>
  </si>
  <si>
    <t>Josef N-jpóleon</t>
  </si>
  <si>
    <t>servarán en el archivo de cada iglesia. Duda en fhos solemnemente la autoridad de nuestro REI el Granada á 28 de febrero dé 1810. = Juan -Manuel; Sr. D. Josef N-jpóleon i. Lá sacrosanta fe del ju­ arzobispo de Granada.” ramento , que fue siempré inviolable para todo buen español, y en cuyo religioso pacto nos pre-a cedisteis …</t>
  </si>
  <si>
    <t>Na, Eugenio</t>
  </si>
  <si>
    <t>Eugenio Na</t>
  </si>
  <si>
    <t>ríncipe B '-vi-s--, duque de Guas— per-'r’z. tala; el príncipe Joaquín Napoleón, ÍCei de Ñapó­ 'Detras del Emperador el coronel general de la les; el príncipe Eugenio Na — i ron, vi-.i d Italia; guarnió ; vbgran mariscal del palo-u.; el limosnero e! eran duque heredero de B dm; el 1 ri upe . rmavor del Emperador; cinco ptince…</t>
  </si>
  <si>
    <t>Na, Joaquín</t>
  </si>
  <si>
    <t>Joaquín Na</t>
  </si>
  <si>
    <t>imo S. A. I. y R. responderá: Napoleón, Rei de Westfalia, el príncipe Borghe- ,, DecLro qae recibo en matrimonio á S. M. el se, duque de Guastala, el príncipe Joaquín Na­ m Emperador y Rei Napoleón que está aquí prepoleón . Rei de Ñipóles, el principe Eugenio, vi— »&gt; sente.” rei de Italia, el príncipe archicaucilier, el prínc…</t>
  </si>
  <si>
    <t>Na, Josef</t>
  </si>
  <si>
    <t>Josef Na</t>
  </si>
  <si>
    <t>-iglesia de Luno, y su Ayer se prestó en debida forma el juramento suerte inevitable, para que los buenos descansen de fidelidad al REI nnestro Señor D. Josef Na­ sobre la protección de las leyes, teman el castigo poleón 1 , á la constitución y á las leyes, y hoi los malos, y sirva de exempio á todos. se ha cantado un solemne…</t>
  </si>
  <si>
    <t>pidos soldados han y han prestado con entusiasmo de alegria el jura­ «muerto en los campos de Egipto y de Alemania; mento de fidelidad á S. M. el REI D. Josef Na­ «otro aun mayr sostiene todavía el honor de mis poleón. los malvados que estaban al mando d« «águilas, ó vive cubierto de honrosas cicatrices eo Calbache se han dis…</t>
  </si>
  <si>
    <t>Na, Luis</t>
  </si>
  <si>
    <t>Luis Na</t>
  </si>
  <si>
    <t>»de Austria, declara que recibe en matrimonio á , A ia derecha del Emperador: »&gt; S. M. el Emperador y Rei Napoleón que está Madama madre de S. M., el príncipe Luis Na­ *&gt;aqci presente?" poleón , Rei de Holanda , el príncipe Gerónimo S. A. I. y R. responderá: Napoleón, Rei de Westfalia, el príncipe Borghe- ,, DecLro qae recibo…</t>
  </si>
  <si>
    <t>Na, Martin Fernandez</t>
  </si>
  <si>
    <t>Martin Fernandez Na</t>
  </si>
  <si>
    <t>n el comercio de aquel viciado se remite el autor al discurso que en el año de géuero, era de parecer qne no solamente los pilo­ 1802 imprimió ei Sr. D. Martin Fernandez Na- tos nuestros deberían abstenerse de usar tales cartas varrete. y derroteros, sino que por buena providencia dm Cita sin embargo las famosas cartas y padr…</t>
  </si>
  <si>
    <t>Nad</t>
  </si>
  <si>
    <t>Miguel Lázaro y el soldado Francisco Gra­ cia : también se comportaron con la misma distinción el temente de marina de S. M. británica M. Lawrié , el sargento Nad, el cabo Rayner, y los soldados Fitzgerald , Gerrett, Hill, Mawley , Mizeny Morris, que puestos á la eabeza del ataque se arrojaron al enemigo á la bayoneta. — La b…</t>
  </si>
  <si>
    <t>Nada, Zizirew</t>
  </si>
  <si>
    <t>Zizirew Nada</t>
  </si>
  <si>
    <t>1201</t>
  </si>
  <si>
    <t>a’fértil y mui poblada;,, ocupan ufj línea- de -jifi.-millas de Alemaaia ,d§sde Dscrum las desfiguran de'ánil :nWdos; hasta Varna en el mar Negro. El general Zizirew Nada hai todavía arreglado sobre las reclama­ ciones de los habitantes, austríacos de la Valaquia observa esta plaza importante, que cuenta 26® al-mas. Á 14 milf…</t>
  </si>
  <si>
    <t>Nadales, M-inutl</t>
  </si>
  <si>
    <t>M-inutl Nadales</t>
  </si>
  <si>
    <t>qne España fuese amiga y aliada de la Francia. nardo Cañete, D. Antonio Caballero, D. Josef Una revolución extraordinaria precipitó del tro­ Garrido, D. M-inutl Nadales, D. Felipe Villaes- no la casa que reinaba en aquella nación. La rama cuss, D. Antonio A:taro, D. Manuel Ximenez, de ella reinante en España debió sostenerla,…</t>
  </si>
  <si>
    <t>Nagracias</t>
  </si>
  <si>
    <t>has salvas de perador de los franceses, llegó ayer á esta capital, artillería. Todos los oradores evangélicos dieron y traxo para S. M. una carta del Emperador Nagracias en sus sermones al Todopoderoso por tan poleorfy otra de la Emperatriz María Luisa, fechas dichoso acontecimiento, y se cantó uu Te Deum en Compiegne. solemn…</t>
  </si>
  <si>
    <t>Naíola</t>
  </si>
  <si>
    <t>con­ saportes supuestos. L» severidad que manifiesta siderable de plata. •uestro gobierno en iguales circunstancias prueba Escriben de Erfurt que el Emperador Naíola exlctimd con que observa el sistema continental. X.EOM lia dado á la universidad de esta ciudad una nueva prueba de su beneficencia, regalándole las valaqüía. bi…</t>
  </si>
  <si>
    <t>Náninguna, Pedro</t>
  </si>
  <si>
    <t>Pedro Náninguna</t>
  </si>
  <si>
    <t>'deseos' y modo de de 5 «i rt. ,á D. Ramón: Puyol, ex- dominico, pensar; pero $1 .tiempo, que es ! mas poderoso qne prior qoe fra de su convento, y á D. Pedro Náninguna otra cosa del mundo; la miseria que cada xera , ex- trinitario calzado ¿ ministro del suyo, am­ dia va sieodomayorenlrlanda; la calma ,y la bos de dicha ciuda…</t>
  </si>
  <si>
    <t>NAPART, PABLO ARRIBAS A JOSE B</t>
  </si>
  <si>
    <t>PABLO ARRIBAS A JOSE B NAPART</t>
  </si>
  <si>
    <t>164</t>
  </si>
  <si>
    <t>164 CARTAS INTERCEPTADAS DE D. PABLO ARRIBAS A JOSE B0NAPART1. I. ,,Señor: Ninguna novedad de importancia ha ocurrido en Madrid después de mi última carta. Las mismas conversaciones sobre los mismos objetos, C -idiz y las provincias del Ebro allá. Se</t>
  </si>
  <si>
    <t>Napo</t>
  </si>
  <si>
    <t>s causas de la rendición de Fíesinga , se dió sentencia en 25 de noviembre , declarando que el gene­ ral Monnet no executó como debía las órdenes del emperador Napo­ león , reducidas á que cortase los diques quando apretase el enemi­ go, mas bien que rendir la plaza: que la rindió quando solo había experimentado un bombardeo …</t>
  </si>
  <si>
    <t>&amp;e. y ei pn fació. »y a la f. z de su santa iglesia, que recibís .-hora Acabado este, el limosnero mayor rociará con «por vuistro legturno esposo a1 Emperador Napo- agua bendita al Emperador y á ia Emperatriz , y «ieoii, que t;ta aqui presentí?” continuará ia misa vo viendo SS. MM. a ocupar La Emperatriz responderá: Sus sidas…</t>
  </si>
  <si>
    <t>superiores qu? asegurado, el mariscal Duroc. Los pliegos que ha acaban de ilegar á esta ciudad del exército de Ale­ (raido son dos cartas, la una dei Emperador Napo­ mania, están aguardando las órdenes del ministro león p ira el Reí nuestro Soberano , y la otra del de la Guerra para ir á su ulterior destino. duque de Cadora p…</t>
  </si>
  <si>
    <t>623</t>
  </si>
  <si>
    <t>mento., y por los demas que incduyo á V. E., vendrá en conocimiento de la cesión hecha por el rey de todos sus estados y dominios á favor de S. M. el emperador Napo­ león , el qnal deseoso del esplendor de la monarquía españo­ la, la ha cedido en su total integridad á su hermano mayor el rey de las dos Sicilias. S. M. el empe…</t>
  </si>
  <si>
    <t>Napo, Eugenio</t>
  </si>
  <si>
    <t>Eugenio Napo</t>
  </si>
  <si>
    <t>itario Ñapóles 23 de febrero. en la descendencia directa , natural y legítima de El Reí ha salido esta mañana para Capna , don­ nuestro amado hijo el príncipe Eugenio Napo­ de pasará revista á un cuerpo de artillería napoli­ león , de varón en varón por óxdeu dv; primogetano. nitura, y con perpetua exclusión de las hembras. E…</t>
  </si>
  <si>
    <t>Napoaqüartelados'íeñ</t>
  </si>
  <si>
    <t>e han diz— * cargado'de otras ntercSTreíaS~^ue las que se admi­ tinguido en la guerra de Finlandia , esten sieirprO ten por el decreto de S. Al..-jeI Emperador Napoaqüartelados'íeñ ia: Gbrlandfí y ico'la'Estonia , que ieon sobre el bloqueo continental. No podran in­ son las dos^mejoresiprovinciis del ■imperio voso» troducirse…</t>
  </si>
  <si>
    <t>Napoason</t>
  </si>
  <si>
    <t>Ei secretario del ayuntamiento leyó la requisi­ ra estaba inmediatamente b«Xu Jas órdenes de S. M. ción firmada por Mr. VVaithmann y otros muchos el Emperador Napoason, recibe ahora, desde la para la reunión de la presente asamblea. con.lu.&gt;ion de la paz , las órdenes directas del Rei Mr. Waithmann se levantó, y dixo: tengo l…</t>
  </si>
  <si>
    <t>Napolcon, José</t>
  </si>
  <si>
    <t>José Napolcon</t>
  </si>
  <si>
    <t>n la gazeta estos ilustres sentimientos patrióticos , que aunque generales en nuestros hermanos de América, merecen publicarse para que el imaginario rey José Napolcon vaya conociendo io ridículo de siis esperanzas con res­ pecto á la dominación de aquel nuevo mundo, que se honra de pertene­ cer; legítimamente á’siu adorado F…</t>
  </si>
  <si>
    <t>Ñapóle</t>
  </si>
  <si>
    <t>oncederá por la caxa de! estado á todo el que re­ archiduquesa María Luisa, ha obtenido de S. M. clute un hombre para los regimientos suizos, y le el Emperador Ñapóle.permiso de acompañar presente al depósito de los reclutas, una cantidad hasta París á la futura Emperatriz. de 16 francos de Suiza. 6.° Todos los empleados públ…</t>
  </si>
  <si>
    <t>NapoleoD</t>
  </si>
  <si>
    <t>os caballos encojwma de beneficencia. Esta asociación es parecida á la en ellas. Los bandidos obligan á los habitantes so que ha creado en Francia el Emperador NapoleoD, peaa de muerte á hacer ciertos juramentos, de Jos y de que es protectora S. M. la Emperatriz. El nú­ qaales unos se refieren al precio á que ha de ven­ mero …</t>
  </si>
  <si>
    <t>Napoleok</t>
  </si>
  <si>
    <t>as pata su servi­ Reí uh'á diputación. encargada de felicitar á S. M. da» bre. por los incalculables beneficios que' ha hecho á la Se asegnira que el Emperador Napoleok ha nación por medio dé láá'paces que ha‘ajustado regalado a la Emperatriz una .gran porción de ta­ con la Francia , Rusia y Dinamarca. ,, Gracias á la pices m…</t>
  </si>
  <si>
    <t>Napoleom, Eugenio</t>
  </si>
  <si>
    <t>Eugenio Napoleom</t>
  </si>
  <si>
    <t>su suerte fu­ El horror de la1 bárbara anarquía tura ; y en. consecuencia hemos cedido á nuestro Luchaodo en vano por alzar su frente, amado hijo el príncipe Eugenio Napoleom todos Y si fanatismo ardiente nuestros derechos sobre el gran ducado de Franc­ fort , llamándole á poseer hereditariamente estos (i) Sierra-Morena. Criz…</t>
  </si>
  <si>
    <t>Napoleón</t>
  </si>
  <si>
    <t>ebre escultor para admirar esta obra Aliona jo de noviembre. maestra del arte. La estatua representa á El comercio qne hacían los americanos S. M. el Emperador Napoleón sostenien­ ín Tonninga va á acabarse repentinamente. do con la mano izquierda la toga consular, Antes de ayer se recibió aquí la orden de y llevando en la der…</t>
  </si>
  <si>
    <t>1 DE ENERO DE 1810. NOTICIAS EXTRANGERAS. Extracto de papeles ingleses. Boston 14 de noviembre. (Carta de Filadelfia fecha 10 de no­ viembre. ) — “El emperador Napoleón ha creado á madama Paíterson (1) de Baltimore, duquesa As la casa de Napoleón, con una pensión de 403 coranas, y á su hijo, príncipe del imperio francés. El c…</t>
  </si>
  <si>
    <t>tomó en seguida la palabra , y sometió á la asamblea un proyecto de senado-consul­ to , que contenía la disolución del matrimonio contraido entre el emperador Napoleón y la emperatriz Josefina. Ei orador desenvolvió de la manera que sigue los motivos de este proyecto. — “ Señor..... Senadores : el acto solemne referi­ do por …</t>
  </si>
  <si>
    <t>En la setn-nna ú ti na todo es­ deseo tan honorífico pira nuestras tropas, que ma­ taba ya embarcado , y hablan principiado á demo­ nifiesta S. M. el Emperador Napoleón , de ver ler á Ramtkens y F&gt;esinga. De cada buque de completos los regimientos que ha tomado á su guerra han sacado 30 marineros para que ayuden sueldo.” á lo…</t>
  </si>
  <si>
    <t>RIA. demia de artilleros é iegenierns establecida en esta ciudad ha hecho colocar en su gren syia los retra­ Sentlin 27 de noviembre de i8cs&gt;. tos dd Emperador Napoleón', del Rd nuestro Los batallones de las milicias de Esseck y de gran duque y del general tu gefe príncipe PoniaBatscha se han vuelto á sus casas. towski. £1 pr…</t>
  </si>
  <si>
    <t>interceptado aquella provincia ; la garantía de la integridad del al frente de dos batallones de tropas indias , entre territorio sueco actual por el Emperador Napoleón; Chittledroog y Seringapatan , un resoro considera­ la restitución de todos los baques suecos con sus ble de la compañía , que iba escoltado, y le hacia carga…</t>
  </si>
  <si>
    <t>es extraño, pues que en ella hai gios é inuitiniíDdes particulares, que se determi­ ingleses. El gobierno de esta nación se ha apodera­ narán por el Emperador Napoleón. do de aquellos dos pueblos. Las diputaciones de Sevilla y Granada y demas, viéndose sin acceso TITULO II. ara con.sus hermanos han escrito cartas que han echo…</t>
  </si>
  <si>
    <t>ntre la Ruda y la sub i ne Puerta. Fstas anterior. dos cortes hart acc-otad-. ¡a poderosa neducíon del El coronel polaco conde Félix Potocki ,que po­ Emperador Napoleón. Se dice que luego q*e !a see algunas haciendas en Lituania , ha llegado aquí Puerta ha m •infestado estar dispuesta a h ■. :er la de España. paz, no creyéndo…</t>
  </si>
  <si>
    <t>en Brixcn, y el del conde de Bexers en tro enviado extraordinario en París, ha merecido Brunclcen, en el Fusthertal. E:tos dos generales de S. M. el Emperador Napoleón en su nueva han sido recibidos por los habitantes con las mayo­ misiou una acogida sumamente afectuosa. res demostraciones de afecto. El g¡bínete de Viena ha e…</t>
  </si>
  <si>
    <t>o. El dia 2 hará su entrada solemne S. A. el prín­ cipe de Neufchatel, ministro plenipotenciario del Ayer llegaron aqui , y se aloj ron en el palacio Emperador Napoleón. La comitiva se reunirá imperial, muchos gentileshombres, d.mas de pa­ junto el palacio de Schwartzenberg fuera de la lacio, y otras personas agregadas á la c…</t>
  </si>
  <si>
    <t>a la extensión del Reino-Unido deseos de acelerar el pago del resto son tanto ma­ esta doctrina saludable,esto es, que es preciso que yores quanto el Emperador Napoleón ha mani­ el pueblo conserve la dirección y gobierno de sus festado en este punto una gran conueacendencia. propios negocios, y que si quiere reparar los agra­…</t>
  </si>
  <si>
    <t>binete, estimado generalmente de sus conciudada­ hl o¿i,Gral conde Lanriston, edecán de S. M. nos. Se asegura que S. M. al darle el título de in­ el Emperador Napoleón, llegó á esta capital en U tendente general, le ha conferido la dignidad d« m-m-uM del 2 , y en el mismo día fue presentado á ministra de Estado, y la gracia d…</t>
  </si>
  <si>
    <t>A. II. Los archiduques que s« ca del trono de S. M. pronunció un discurso, y pi­ hallan en Viena , y que viven dentro de palacio, á dió para S. M. el Emperador Napoleón la maco de excepción del archiduque Carlos que habita en su S. A. I. la archiduquesa María Luisa. S. M. el Em­ propio palacio. Los archiduques recibieron d* p…</t>
  </si>
  <si>
    <t>Champagny , duque de Cadore. Idem 28. En la gazeta ministerial se ha publicado la orden siguiei.te , que es una consccuencia .de la determinación del emperador Napoleón.—ffLuis Napoleón , &amp;c. Habiendo aprobado ei Cuerpo Le­ gislativo el proyecto remitido á su examen, hemos decretado y de­ cretamos; que la ley de 20 de abril d…</t>
  </si>
  <si>
    <t>luidas las bendiciones nupciales, se can­ El general conde L^uriston; el conde de Bearn, tó en seguida un Te Deum, acompañado de una gentilhombre del Emperador Napoleón; el conde salva de artillería. Acabada la función, volvió la Otro, embaxador de Francia; el conde de Labor- comitiva á palacio en el mismo orden con que ha­ d…</t>
  </si>
  <si>
    <t>ia se aumentará considerablemente Inglaterra . todavít pos cr&lt;em°* obligados, » exem*. con esta exteosion de territorio, y da lista civil del pío del Emperador Napoleón, á prohibir este Rei se aumentará también con un nuhon de reata coinerti t con m.-yor s vtridad. anual. ,, Desde t.° de abril no será admitido en nues­ SAXONI…</t>
  </si>
  <si>
    <t>orreo ruso con art. 111. Asimismo nombramos para capitanes pliegos de Pctersburgo para Paris. y oficiales de las conjpañías de este batallón á los El Emperador Napoleón ha conferido al señor - que á continuación se expresan. barón de Dalberg, antiguo embaxador de S. A. R. ^ Capitanes. D. Pedro de Contreras, £). Diego el gran …</t>
  </si>
  <si>
    <t>su conducta pasada y so conducta pre­ tuyo ocasión de manifestar su magnanimidad, dan­ sente. Estas consideraciones personales privaron á do parte al Emperador Napoleón de una trama Mr. Whítbreadt de Ja gloria inmortal que hubiera horrible que uno de sus súbditos urdia contra su adquirido, denunciando á la nación los traidore…</t>
  </si>
  <si>
    <t>ía.ban sido ocopados con una celeridad -increí­ preciosas bal también un retrato tqui parecido def ble. por un exér Jco trances de 6o3 hombres. Desda Emperador Napoleón en un tapiz de la íátjica ue Málaga hasta Santi Pctri no hai punto ninguno im­ los Gobeiios. portante que no hayan tomado ya los franceses; y lo peor-es que s…</t>
  </si>
  <si>
    <t>s9 archicanciller del Imperio. — II. B. duque de Basano , secretario de Estado. I em 6. Con fecha de 3 del corriente se ha publicado un de­ creto del emperador Napoleón, que tiene por objeto coKsclidar mas y mas las recompensas hereditarias, é imprimirlas un carácter mas fixo. Se divide en cinco títulos, y cada uno tiene dife…</t>
  </si>
  <si>
    <t>conducidos por caballos del ministro de Francia, en que le ha participado el de posta hasta la puerta de Maillot, y desde allí matrimonio de S. M. el Emperador Napoleón. por los tiros de la caballeriza imperial, seis de ellos El gobierno del Ródano exterior del cantón de de seis caballos , y des de ocho. Appenzel acaba de exp…</t>
  </si>
  <si>
    <t>izo dirigirá toda la comitiva, esta ciudad las funciones en celebridad del matri­ é irá á caballo al lado derecho de la carroza del monio de S. M. el Emperador Napoleón con la ar­ Emperador junto al coronel general de la guardia. chiduquesa María Luisa. Dos destacamentos de esta abrirán y cerrarán la marcha, y en todo el cami…</t>
  </si>
  <si>
    <t>pds que se encuentren es­ oro y plata acuñadas para eternizar ia memoria cudos con las arm.is antiguas del H.nnóvtr, ó con del augusto matrimonio del Emperador Napoleón las cifras de S. M. británica * se quiten, y en su con María Luisa, archiduquesa de Austria. lugar se pongan las armas de S. M. el Rei de Se dice que SS. MM I…</t>
  </si>
  <si>
    <t>TRIACA. cuerpo diplomático , de las personas de la coi te, de los generales, magistrados &amp;c. &amp;e. con motivo Ltmberg 25 de febrero. del matrimonio del Emperador Napoleón. Por la noche estuvieron iluminadas con la mayor brillante* El Emperador de Rusia ha nombrado al prín­ la casa del embaxador, el palacio del Rei , la casa cip…</t>
  </si>
  <si>
    <t>Relaciones exteriores de que ha reventado un volcan en el monte Hecla, y que á la erupción habían precedido algunos ligeros E ^ térra , y la otra del Emperador Napoleón pa­ ra nuestro Soberano. Algunas personas suponen es­ temblores de tierra. to tan cierto, que citan ya varios pasages de ¡a Del 3 &lt;T. carta del Emperador Napo…</t>
  </si>
  <si>
    <t>pectiva de lo por. veput ,• que uo año ha* jador extraordinario dé Prusia, seti bien recibido ce no nos presentaba sino horror y tinieblas, prin­ del Emperador Napoleón, que le ha tJadcrya antes cipia á aclararse y á moitrar un aspecto agradable y - de ahora pruebas de su estimación. risueño. Si en circunstancias tan tutanien…</t>
  </si>
  <si>
    <t>cán de S. M. el Reí el evangelio, propnné truno una de las principales de ’Vy'estta.iía , ha.llegado á esta capital, con el en­ la convocación por el Emperador Napoleón, pro— cargo de^entcegar.una Cattadel Rei su amo á nues­ . «ectorde la. confeJerab’on, de un concilio general, tro Soberano, .y tambi.n. iqs insignias de la gr…</t>
  </si>
  <si>
    <t>Gaceta de Madrid n.º 123</t>
  </si>
  <si>
    <t>Ntím. 125 SL5 ■ GAZETA DE MADRID DEL JUEVES 3 DE MAYO DE iSjo. . RUSIA. tar en'nombre de nuestro Soberano al Emperador Napoleón por so matrimonio con la archiduquesa Peters burgo 15 de marzo. de Austria María Luisa. El caballerizo Qualeo y La gazeta ministerial de esta capital contiene otras muchas personas de distinción van …</t>
  </si>
  <si>
    <t>. „Se acaba de recibir aqm nia , y Con qb destacamento del regitr lento 33.a do ]a importante noticia del prítimo matrimonio del infantería de línea. Emperador Napoleón con la archiduquesa de Aus­ - Una parte de las tropas francesas que están ac­ tria María Luisa, hija mayor del Emperador Fran­ tualmente acantonadas en la Fra…</t>
  </si>
  <si>
    <t>anTicipar mas dinero pitra gastos del viagé se añade que para entonces vendrá á esta ciudad de los que están ya en camino para Rusia con pa­ S. M. el Emperador Napoleón. saportes de los ministros ó cónsules de este imperio. Algunos príncipes de ia confederación han re­ El teniente general Sreinhoil, comandante de vocado ya la…</t>
  </si>
  <si>
    <t>, consejero privado, que pz&lt;a á París a feli­ Del 7. citar en nombre de La corre de Dinamarca a S. M. El matrimonio de nuestra amada archiduquesa el Emperador Napoleón con motivo de su augusto tj t| objeto de nuestras conversaciones. El librero matrimonio. Strans acaba de publicar una colección de todas las El señor Alopeus, …</t>
  </si>
  <si>
    <t>ara tomar po­ mo, que con el apoyo del Emperador de los fraasesión del país de Saltzburgo. ceses, su augusto hermano, esperaba restituir mui S. M. el Emperador Napoleón ha nombrado al pronto h Holanda á su antiguo estado de prospe­ general de división conde de Campans , comisario, ridad y de gloria. para recibir la ciudad de …</t>
  </si>
  <si>
    <t>dos los convidados repitiegpn con el mayor en­ na la carta escrita al archiduque Cários j&gt;or S. M. tusiasmo el brindis, haciéndose al mismo tiempo el Emperador Napoleón al mismo tiempo qne le repetidas salvas de artillería. A las seis de la noche remitía sus poderes para so matrimonio con la ar— prneipiaron mas de 80 músicos …</t>
  </si>
  <si>
    <t>en los referidos países los géneros coloniales S. M. el Emperador * á quien entregó una carta del es una prueba nada equivoca i y el resultado natu­ Emperador Napoleón, y siete grandes cordones de ral de esta prohibición será Ja cesación de todo co­ la legión de Honor. S. M. tomó uno para sí ;-dió mercio con Altona , que es l…</t>
  </si>
  <si>
    <t>Urbano, prior de la órden de Ja Tra­ bes, que el Emperador de Austria «ovia de regalo pa en los Estados-Unidos» ha escrito á sus supe­ i su yerno el Emperador Napoleón. Dichos caba­ riores de Europa. Parece que los 4$ individuos de llos ton hermosísimos, y 00 se les hace andar nal esta órden establecidos en las inmediaciones …</t>
  </si>
  <si>
    <t>París, ha sido nombrado embaxador extraordinario cerca de aquella corte para felicitar en nombre de ‘Vierta ij de abril. nuestro Soberano á S. M. el'Emperador Napoleón Los voces que han corrido de que se iba á pro­ con motivo de su matrimonio, • hibir la importación del café en los estados aus­ S. M. la Emperatriz María y la …</t>
  </si>
  <si>
    <t>s acreedores á ellos, redoblando vuestro zeS M. ei Emperador de Austria eñvia de regalo á lo por su servicio. Dad gracias al cielo por vivir £. M. el Emperador Napoleón, y ademas otros baxo el gobierno do un Monarca tan grande y tatj ■ cinco destinados para un’tniaistro de la corte de justo, y hacees cada dia mas dignos del f…</t>
  </si>
  <si>
    <t>vieron á obiiguoi &gt;nes con que los tenían sus antiguos, po­ nuestro general en jefe, repetían mil veces las afec­ se euores. tuosas voces de viva el Emperador Napoleón: S. E. que lleno de alegría les m,!n¡f:;t_bi su s-irisfaccíoa IMPERIO FRANCES. y reconocimiento; la coluna de prisioneros que por instantes se iba aumentando; …</t>
  </si>
  <si>
    <t>ontiuuará aun eo^ Paris todo el mes pró­ que hai en Gotteoburgo serán trasladados á Sch- ximo. wtenefnuuda ó á Sterfin, y los buques que los S. M. el Emperador Napoleón ha enviado á transporten llevarán sus pliegos ó documentos de S. A I. el archiduque Carlos, ademas del gran cornuestro gobierno, que comprueben que dichos gé­…</t>
  </si>
  <si>
    <t>en territorio dinamar­ qués. El jueves llegó aquí el general conde Wrede, PRUSIA. que va á París á cumplimentaren nombre de S.M. el Reí de Suecia ai Emperador Napoleón por su Berlín as&gt; df abril. matrimonio, y al día siguiente se puso en camino, El señor consejero Hnmbold acaba de presen­ llevando en su compañía al conde Fabi…</t>
  </si>
  <si>
    <t>y la otra á caballo. El señor Francisco RiAcaba de llegar aqui una comisión encargada chetti, célebre fundidor, ha concluido ya el molde por S. M. el Emperador Napoleón de organizar sin de la primera. Se dice que la segunda sobrepujará dilación la marina ilírica. per sus dimensiones á las mayores que se conocen, tanto entre l…</t>
  </si>
  <si>
    <t>ando de todas maneras que el unitormj sea trimonio de su hija la archiduquesa María Luisa el mas cómodo y saludable que se pueda para el con S. M. el Emperador Napoleón. soldado. La caballería de linca usara de morriones, El mismo dia 29 entregó también el barou de y la ligera de mochilas y botines, para que pueda Braun á S. …</t>
  </si>
  <si>
    <t>por.cr el colmo á vues­ reino con la mayor solemnidad el aniversario de la tra conducta escandalosa hubiéseis tirado una silla coronación de S.-M. el Emperador Napoleón como á la cabeza del orador, qdizá no hnbiérais incur­ Reí de Italia. Se están haciendo aquí grandes pre­ rido en otro castigo que en el desagrado momen­ para…</t>
  </si>
  <si>
    <t>/ *fT Hemos sabido que el Emperador Napoleón es­ de Lérida en Cataluña , y la relación de las opera­ taba en Flesinga el 12 de este mes. Un navio nues­ ciones del sitio. tro , que andaba cruzando eo aquellas aguas , vio . Persuadido el general conde Suchet de q</t>
  </si>
  <si>
    <t>eba mui mal al príncipe del Brasil, el qual ha Italia el aniversario de la coronación de S. M. el propaesto al gobierno ingles que si no tenía incon­ Emperador Napoleón como Rei de Italia. En me­ veniente , trasladaría su residencia á la isla de la moria de un suceso tan plausible se cantará al me­ Madera. dio dia en todas la…</t>
  </si>
  <si>
    <t>del ventaja de presentar ñ los viageros y caminantes matrimonio de la archiduquesa Marta Luisa con el una multitud de objetos los mas pintorescos. En Emperador Napoleón. efecto,,allí se ven por un lado peñascos enormes Se han publicado varias órdenes del Emperar derribados; por otro torrentes impetuosos sujeta­ dor relativas …</t>
  </si>
  <si>
    <t>cada día ‘Al general Wrede, qne ha venido con ¡goal dan nuevos testimonios de afecto á su augusto So­ comisión de parte del Rei de Snecia; berano el Emperador Napoleón, á quien deben to­ Al señor de Rozencranz, ministro de Negocios dos estos beneficios. Los prelados mas distinguidos extrangeros de Dinamarca , que trae igual e…</t>
  </si>
  <si>
    <t>y por entre las armas di Saxonia y de Austria, El premio de un millón de francos, destinado esta inscripción: Armonía del Austria, y He la Sa- por el Emperador Napoleón para el inventor de la xoni.t. Oíanse á lo Irjot las canciones de los mine— mejor máquina p.ra hilar lino , ha hecho en todos ros , los quales votaron con pól…</t>
  </si>
  <si>
    <t>adtamgación de semejantes voces, y empleando todo sd Hof, y después ha solicitado y ha obtenido del conato y zetó en aumentar la confianza y adhesión Emperador Napoleón una indemnización para ayu­ al gobierno, Potsdain. = Firmados El presidente dar á muchos vecinos á reparar sus casas.” de la marca electoral.” BAVIERA. AUSTRI…</t>
  </si>
  <si>
    <t>los ingleses no hicieron nada para socorrer estando para renovarse una nueva coalición; ya que esta plaza ; y que después de toda su jactancia se­ el Emperador Napoleón tiene tales y tales proyec­ rán la burla y el escarnio de toda la Europa si se tos contra ta tranquilidad de la Rusia Scc. toma la pbza (i) estando ellos á ti…</t>
  </si>
  <si>
    <t>de fidelidad á S. M. el Emperador. Extracto del informe presentado por la comisión El general Damonceau con todos los oficiales creada por S. Ai- el Emperador Napoleón para de su estado mayor; el almirante Dewinreracom­ la adjudicación de tos premios decenales insti­ pañado de un gran número de oficiales de marina, tuidos por…</t>
  </si>
  <si>
    <t>cobro de su salud. ' El almirante Devvinter ha sido nombrado co­ misario pafáhaeér que presten el juramenta de fi-* : V--&gt; -ESPAÑA. .. . ' delidad al Emperador Napoleón las tripulaciones- ‘ ‘ ‘EladtjlÉjé de, agostó. '. , i° ' de la reTcera esquádra, que manda el contra-almi-' faute Verdotírer, y está en la rada de Amsterdan.-…</t>
  </si>
  <si>
    <t>eramente de la circulación las monedas de cazoq Ia ha ilamsdo un escritor ingles la vanguaroro. Los judíos compran allí secretamente las gui­ dia del Emperador Napoleón. neas A 29 francos, y pagan por una portuguesa ,, Parece^que el odió es uno de los resortes del una quinta parre mas sobre su valor intrínseco. En ministerio …</t>
  </si>
  <si>
    <t>sta &gt; puertas de Cnwtamioopla. «ludad. Anteayer taro sa audiencia de despedida. BOHEMIA. RUSIA. Praga «&lt;T de julio. Xgw aff- de julio. Se sabe que ¿i Emperador Napoleón expidió &amp; Anteayer al llegar S. M. la Emperatriz acudid principios del corriente no decreto en que señala el puebla» desunció loa caballos de so carroza » y u…</t>
  </si>
  <si>
    <t>ffe tnburgo 27 de agasfo. unidos. AUSTRIA. S. A. R. el gran dnque de Francfort acaba de publicar el edicto siguiente : Vierta ai de agosto. „S. M. el Emperador Napoleón» para indem­ Ayer llegó el correo de Turquía con las noti­ nizarnos de la cesión que hemos hecho del princi-*. cias siguientes t pado de Ratisbona, y del dere…</t>
  </si>
  <si>
    <t>Gaceta de Madrid n.º 283</t>
  </si>
  <si>
    <t>por ahofa £&gt;*áaez«..»ó de;medios pararmede ella. Nb es esa ni pódia ser ja mente del decre­ ▼os premios y couiprpfnvú&lt;nieotpi : el público ne­ to del Emperador Napoleón, antes lo contrarío cesita del auxiúo de que téftrat»¿ *l inventor exldice, que .deberá de premiarse por el gobierno ge coa derecho el premio; epo .qo* ¿vendr…</t>
  </si>
  <si>
    <t>egún su costumbre, ha perdido sn enviará ellas mas tropas ¡ quién se lo podrá estorbar? corona por ser fiel &amp; la política insensata y furibunda de El Emperador Napoleón está seguro de la Rusia,como la Inglaterra. {Monitor.) quando sentí un tufo á rancio queme encalabrinó todos cho : ¡cáspita, y lo que sabe este hombre! Pues s…</t>
  </si>
  <si>
    <t>1323</t>
  </si>
  <si>
    <t>ó la direcccion hacia el Norte , y pa­ niales , en conformidad al decreto del 5 de agosto recía un globo de fuego de gran tamaño. Los al­ de S. M. el Emperador Napoleón. deanos se asustaron , creyendo que iba á pegar fue­ go á las míese* , y abrasar á trdos los habitantes. REINO DE ÑAPOLES. Este globo hacia un ruido espantoso…</t>
  </si>
  <si>
    <t>do muchas no. Muchas dedas disposicio ’es que contiene han obras a fin de repararlo y adornarlo. sido tomadas del esratuto de Lmiija publicado por el Emperador Napoleón. Ningún, príncipe ni prin­ PRUoIA. cesa de Baviera podrán casarse sin el consentimien­ to dgl Rei , dado por escrito, firmado de su mioo, Berlín 2$ de setiemb…</t>
  </si>
  <si>
    <t>898</t>
  </si>
  <si>
    <t>o, el oprobio que mas sobresale y la tizna al mirar el dilatado quadro de sus inmensas majdades, es el desprecio con que su intruso hé­ roe, ó tirano emperador Napoleón, mira, trata y atropella á nuestra santa católica religión : siguiendo después su calificada é insaciable codi­ cia, que lo induce y arrastra miserablemente á…</t>
  </si>
  <si>
    <t>da para Bristol había entrado en este puerto, Francia en la corte de Munich , ha sido nombrado y habia declarado que habia tenido que salir de por el Emperador Napoleón comisario para la en­ Oporto á medio cargar, porque los franceses iban trega de los diferente- distritos que han sido cedi­ á entrar en aqnella ciudad. dos á …</t>
  </si>
  <si>
    <t>al general francés el oficio siguiente. “ Vuestro atento general Eaval (que Dios baya) hizo saber á esta plaza, cele­ braba con salva ios dias de su emperador Napoleón; y para corresponder á este aviso, es noticio que mañana 14 cumple años el bien deseado augusto monarca de España é Indias el Sr. D. FERNANDO vil ( que Dios gu…</t>
  </si>
  <si>
    <t>.° otros dos caballerizos: S. E. ha tenido la honra de presentar á S. M. I. 9.0 dos pages: io.° un gefe de la caballeriza real: una carta de S. M. el Emperador Napoleón, la 11.a S. A. el Príncipe heredero en una carroza ti­ qual contiene pruebas nada equívocas de la intima rada por ocho caballos, acompañado del conde de amist…</t>
  </si>
  <si>
    <t>Napoleón, Carlos Luis</t>
  </si>
  <si>
    <t>Carlos Luis Napoleón</t>
  </si>
  <si>
    <t>458</t>
  </si>
  <si>
    <t>ación de* la dignidad y autoridad real hecha por S. M. Luis Napoleón en favor del príncipe de la corona, hijo primogénito de S. M. y de su hermano el príncipe Carlos Luis Napoleón, y en virtud d la facultad contenida en las -letras abiertas y sella­ das, publicadas por S. ivi. el l.° de julio de 1810, la Regencia provisional …</t>
  </si>
  <si>
    <t>Napoleón, Don Josef</t>
  </si>
  <si>
    <t>Don Josef Napoleón</t>
  </si>
  <si>
    <t>uedara Estado. encargados de la execucion del presente decreto. =¿ Real alcázar de Sevilla í n de febrero de 1810. Firmado=YO EL, REI. = Por S. M. &gt;u ministro Don Josef Napoleón por la erada de Dios y secretario de Estado Mariano Luis de Urquijo.'* p &gt;r la constitución del estado, Rui de las Españas y de las Indias. Extracto …</t>
  </si>
  <si>
    <t>Napoleoñ, Don Josef</t>
  </si>
  <si>
    <t>Don Josef Napoleoñ</t>
  </si>
  <si>
    <t>aestro palacio de Madrid 4 13 de junio encargado de la encaden dél presente decreto.ss de iS'ió. • ; •• *«!-.«* v'G 0 Firmado=YO EL REJ.sPor S, M. su ministro Don Josef Napoleoñ por' la gracia dv- Dios y secretario de Estado 3= Firmado ^Mariauo Luis de por la constitución dtrl estado, REI1;d&lt;e laí Espa— Urquijo.” - -...... 'i…</t>
  </si>
  <si>
    <t>cretario de E$tado=Firmado = Mariano Luis d* sí mismo. Urquijo.*’ art. iv. En el caso de qne los inventores ó propietarios reclamen, nombrará nuestro ministro Don Josef Napoleón por la gracia de Dios y de lo Interior una comisión de revisión , la qnal por la constitución del estado, REI de las Espa­ examinará el trabajo de la…</t>
  </si>
  <si>
    <t>Napoleón, Eugenio</t>
  </si>
  <si>
    <t>Eugenio Napoleón</t>
  </si>
  <si>
    <t>la Irlanda de metales sin labrar y acuñados; de demos por las presentes á nnestro ainado hijo el las cédulas del banco de Inglaterra que se han pues­ príncipe Eugenio Napoleón todos nuesrros de­ to nuevamente en circulación , y de todas las es­ rechos sobre el gran ducado de Francfort. Quere­ pecies metálicas que sé han envia…</t>
  </si>
  <si>
    <t>o tienipo hemos determinado que no quede la menor íncertidumbre sobre la suerte de sus puebles, y en consecuencia hemos cedido á nuestro caro hijo el príncipe Eugenio Napoleón todos nuestros derechos sobre el Gran-duca­ do de Francfort. Le hemos llamado á poseer hereditariamente este estado después del fallecimiento del prínc…</t>
  </si>
  <si>
    <t>Napoleón, Francisco Don Josef</t>
  </si>
  <si>
    <t>Francisco Don Josef Napoleón</t>
  </si>
  <si>
    <t>rcediano de Pevtroches ; D. Ba tasar Yusta, prior; D. Juan de Castro, chantre ; D Josef Ubi- PROCLAMA DE S. M. Iio» , tesorera; D. Francisco Argnte ; D. Francisco Don Josef Napoleón por la gracia de Dios y de Barcia ; D. Ped o Segovía ; D. Diego de Ugal- por ia constitución dei estado, REI de las Españas de; D. Miguel Gar la …</t>
  </si>
  <si>
    <t>Napoleón, Francisco Ja Don Josef</t>
  </si>
  <si>
    <t>Francisco Ja Don Josef Napoleón</t>
  </si>
  <si>
    <t>juzgado del Sr. D. León de Sagasta, del con­ de 1810. sejo de S. M., y juez de primera instancia en esta cor­ te , y por la escribanía del número de D. Francisco Ja­ Don Josef Napoleón por la gracia de Dios y res Maldonado, se ha mandado sacar á pública subasta por la constirocion del estado, REI de las Espa- por término de 3…</t>
  </si>
  <si>
    <t>Napoleón, Garlos Luis</t>
  </si>
  <si>
    <t>Garlos Luis Napoleón</t>
  </si>
  <si>
    <t>457</t>
  </si>
  <si>
    <t>cia v á las buenas intenciones de mi her­ mano para con este país, abdico mi corona en favor de mi hijo primogénito Napoleón Luis, y de sü hermano el príncipe Garlos Luis Napoleón. — Sien­ do S. M. la reyna conforme á derecho y á la constitución regente del reyno , la Regencia hasta su venida se confia al consejo de los Minis…</t>
  </si>
  <si>
    <t>Napoleón, Gerónimo</t>
  </si>
  <si>
    <t>Gerónimo Napoleón</t>
  </si>
  <si>
    <t>duque de Guastala; el príncipe Gerónimo estrado, el príncipe Luis Napoleón, Rei oe Ho­ Napoleón , Reí de VVesifitia ; el principe Luis Na­ landa; el príncipe Gerónimo Napoleón, Rei de poleón, Reí de Holanda; el Emperador; la Etn- Westfalia ; el príncipe B '-vi-s--, duque de Guas— per-'r’z. tala; el príncipe Joaquín Napoleón, …</t>
  </si>
  <si>
    <t>rt. ni. Nuestros ministros de lo Interior y la gran duquesa , donde se hallaban presentes dv Hacienda quedan encargados de la exe'cucion del S. M. el príncipe Gerónimo Napoleón, Reí de presente decretóos: Firmados: YO EL REI.s= Por "VVestfalta, hermano del Emperador , S.M. el ministro secretario de Estado ss Firmado ss . . S.…</t>
  </si>
  <si>
    <t>Napoleón, Jesef</t>
  </si>
  <si>
    <t>Jesef Napoleón</t>
  </si>
  <si>
    <t>bligados á pagar incontinenti 9* »*No hai ningún exército español Fuera del una contribución triple á la suma robada. Igual de S. M. católica el R.EI D. Jesef Napoleón; asi castigo se impondrá al vecindario que se dexe ro­ todas las partidas que existan en ias provincias, bar por los bandidos; y ademas se le aplicarán las qua…</t>
  </si>
  <si>
    <t>Napoleón, Joaquín</t>
  </si>
  <si>
    <t>Joaquín Napoleón</t>
  </si>
  <si>
    <t>ríncipe Gerónimo Napoleón, Rei de poleón, Reí de Holanda; el Emperador; la Etn- Westfalia ; el príncipe B '-vi-s--, duque de Guas— per-'r’z. tala; el príncipe Joaquín Napoleón, ÍCei de Ñapó­ 'Detras del Emperador el coronel general de la les; el príncipe Eugenio Na — i ron, vi-.i d Italia; guarnió ; vbgran mariscal del palo-u…</t>
  </si>
  <si>
    <t>Napoleón, Josef</t>
  </si>
  <si>
    <t>Josef Napoleón</t>
  </si>
  <si>
    <t>k» detuvo aquel primer azote , y nos dio de comer. D. Josef Napoleón i un «moroso padre. D, do en ,, Cargo sobre nosotros e&gt;ta nueva guerra (es Ssv.ila a de febrero de iSto.=:Manuel Caye­ verdad); pero ¿qué sabemos, hermanos inios, si tano, obispo gobernador," la multitud de n</t>
  </si>
  <si>
    <t>elebrado * Hemos decretado y decretamos Iq siguiente : con el mayor regocijo los dial de S. M. .el Señor articulo i., ,5Se formará enlacindad deCar-’ D. Josef Napoleón i., nuestro Soberano. doba un batállóade milicia cívica ,' compuesto* de Una, salva completé ,'dé&lt; artilletíg y tul. repique' díHt^bmpañíás dfe infdnteríi baxo…</t>
  </si>
  <si>
    <t>420</t>
  </si>
  <si>
    <t>art. v. Un oficial de ingenieros en cada pro­ augusta dinastía imperial, por el REI nuestro Se­ vincia será ei encargado de la dirección de estos ñor D. Josef Napoleón 1, por la REINA nuestra trabajos. Señora, por ia familia real, por los exércitos im­ art. vi. Se execntarán por los natoralss c ve­ periales en España , y por …</t>
  </si>
  <si>
    <t>r S. M. el conde de Montare», gran banda de la bar ,"i Dios por habernos dado un REI, qual es el Orden, y encargado interinamente del despacho de Sr. D. Josef Napoleón, cuya vida y prosperidad la gran cancillería." debe ser en adelante uno de nnestros más- ardientes Córdoba itf de abril. votos , como es uno d^ nuestros mayore…</t>
  </si>
  <si>
    <t>ue les darán los venideros. pués de haber prestado juramento de fidelidad y Dios solo sabe, y solo Dios puede reducirlo to­ obediencia á S. M. el Sr. D. Josef Napoleón, volun­ do á su voluntad. Por, eso lo que parece mas ex­ tariamente, ó llamados por los fqragidos, se han traño quando no se miran sino las causas particula­ a…</t>
  </si>
  <si>
    <t>la sociedad , de los Reyes y de los vasallos, dir los ánimos á la sumisión y obediencia al señor y constituye la verdadera y sólida felicidad de los D. Josef Napoleón i, REI sabio , amable y justo, reinos? ¿Es compatible por ventara con su manse­ que funda necesariamente su patrimonio eu la fe­ dumbre que continúe haciéndose …</t>
  </si>
  <si>
    <t>en las librerías de Escriba­ eo la forma,siguiente: Juramos fidelidad*a S. M. no y Quiroga, casa de la fonda del Angel. Las mues­ Católica el Sr. REI D. Josef Napoleón l „ A la tras que ahora se publica? son seis, y su precio es á 4 constitución y 4 lat ¿ryrf.y y prometemos sacrifi­ reales y 32 mrs., y llevándolas separadas á…</t>
  </si>
  <si>
    <t>Romero , que no quiso entre­ no quedará sometida por entero á las leyes de S. M. garse antes de ver perecer hasta el último de aqne* católica el REI D. Josef Napoleón ; y los males en líos créju'os habitantes , que se habían dexado se­ qne desean sumergir á este apreciable país una ga­ ducir de sns péilidos consejos, fue efec…</t>
  </si>
  <si>
    <t>Maqueda v Víts. Señores Póli­ han prestado con toda solemnidad su juramento ai ce, Ortigas, Caprara, Contador, Cristiáa!, Oros, SuaREI nuestro Señor D. Josef Napoleón 1 el dia 10 rez y Casanova. de este mes. Lo bien dispuesto de la ceremonia y En el de la,Cruz, á las siete de la tarde, se encen­ la multitud de personas que as…</t>
  </si>
  <si>
    <t>Napoleón, Josef de la Hi Don Josef</t>
  </si>
  <si>
    <t>Josef de la Hi Don Josef Napoleón</t>
  </si>
  <si>
    <t>. Josef María de Estado. . Cnbas , D. Francisco Ladrón, D. Joaqnin Jáco- Real alcázar de Sevilla á 7 de febrero de 1810. me, D. Antonio de los Ríos , D. Josef de la Hi­ Don Josef Napoleón por la gracia de Dios y guera y Lara y D. Josef del Biyena. por la constitución del esrado, REI .de las Empañas Subtenientes. y de las Indi…</t>
  </si>
  <si>
    <t>Napoleón, Jusef</t>
  </si>
  <si>
    <t>Jusef Napoleón</t>
  </si>
  <si>
    <t>a Sabiduría é ilus­ actos titulada la Gran clemencia de Tito, y la opereta tración del gobierno de nuestro amable Soberano del Criado fingido. el Sr. D. Jusef Napoleón i. En el de la Cruz, á las cinco de la tarde, se eje­ Ayer pasó igualmente n vista S. E. á !á com­ cutará la comedla tildada Jas Armas de la hermosura, pañía d…</t>
  </si>
  <si>
    <t>Napoleón, Luis</t>
  </si>
  <si>
    <t>Luis Napoleón</t>
  </si>
  <si>
    <t>ín Napoleón , R&lt;-i de Ñapóles ; el príncipe Bor- A la derecha del Emperador, m-s abaxo del gbese, duque de Guastala; el príncipe Gerónimo estrado, el príncipe Luis Napoleón, Rei oe Ho­ Napoleón , Reí de VVesifitia ; el principe Luis Na­ landa; el príncipe Gerónimo Napoleón, Rei de poleón, Reí de Holanda; el Emperador; la Etn-…</t>
  </si>
  <si>
    <t>Napoleón, Manuel de Cárde Don Josef</t>
  </si>
  <si>
    <t>Manuel de Cárde Don Josef Napoleón</t>
  </si>
  <si>
    <t>minadas por nuestro decreto de este dia. Estado; aat. Nombramos para'catncsdar.te de! prí- R (¿qJ «i» Ju A "9 Ha r R r a. inero de estos batallones á D. Manuel de Cárde­ Don Josef Napoleón por la gracia de Dios y nas : para comandante del segando á D. Juan Ma­ por la constitución del estado , REI de las España* ría de Saavedr…</t>
  </si>
  <si>
    <t>Napoleos</t>
  </si>
  <si>
    <t>n á la división del general Mo­ cada uno lleva na miüon de francos. lí tor, que va destinada al Norte. Munich 19 de febrero. Dresde s&gt; de febrero. El Emperador Napoleos h.» concedido al te­ Nuestros generales han tomado los mismos tí­ niente general Wrede una pensión de 30Q trancos tulos que los generales fraoceses: los tenie…</t>
  </si>
  <si>
    <t>Napoleq-R</t>
  </si>
  <si>
    <t>los hielos, de donde tie­ Antes de ayer pararon por nuestra ciudad con nen esperanzas de sacarlos. dirección á París 243 cabaiíos y molas de S. M. el Emperador Napoleq-R. IMPERIO FRANCES. Escriben de Su:za que los cantones no pierden Nimes 2jp de diciembre. ocasión de poner en sus actas de oficio el título re­ cientemente ado…</t>
  </si>
  <si>
    <t>Ñapóles</t>
  </si>
  <si>
    <t>Ñapóles a? de julio. Extracto de una carta de Mr. F rbes, cónsul Un batallón compuesto de iS reclutas salió de de los Estados-Unidos en Hamburgo, al general Ñapóles el 25 de este mes á las órdenes del gefe Armstrong , fecha en Copenhague, á 3 de marzo de batallón Destengo, del regimiento de la guar­ de 1810. dia municipal. Es…</t>
  </si>
  <si>
    <t>Ñapóles, Je</t>
  </si>
  <si>
    <t>Je Ñapóles</t>
  </si>
  <si>
    <t>e francesa» nombrándole las S. M ha expedido el decreto siguiente: personas que, la componían, Ei este.instante cutió G-atada id de ma zo de t3io. ]a Reina Je Ñapóles, que había llegado durante, la Gran cancelería de la O.den Real de E*pafia. ceremonia; se apernó á la Emperatriz , que la abra­ Don Josef Nipoleon por la gracia…</t>
  </si>
  <si>
    <t>Napoli, Pedro Luis</t>
  </si>
  <si>
    <t>Pedro Luis Napoli</t>
  </si>
  <si>
    <t>Carlos Abancini. D. Tomas Garda Suelto...... D. Tullan González Saes, D. Ceferino Casas. El Marques de los Zoidos..... D. Luis Le Clair........... , D. Pedro Luis Napoli. D. Mariano Herranx........... . D. Josef Gamarra........... . D. Juan Valenchana.............. D. Jaime Rostan. •#•-»••«•* ••*•••••»«••■»•« D. Josef Paniagu…</t>
  </si>
  <si>
    <t>Nápples, Pedro Covacha</t>
  </si>
  <si>
    <t>Pedro Covacha Nápples</t>
  </si>
  <si>
    <t>i ó©8 nombrado ministro plenipotenciario cerca de la de t Francisco Morales López, y D. Pedro Covacha Nápples. . , ■ c_. ' Subteniente. . . , , ...T, . / ? * ...Los pescadores,4,e~Éecamp hatv cogido cerca. de . aRt. ix.” En la villa de^Casariche; se formará aquel puerto un pescado de una magnitud e</t>
  </si>
  <si>
    <t>Napqleoií</t>
  </si>
  <si>
    <t>es. La división Desaix se primera noticia , que recibió el ministro conde quedará en Holanda, adonde ha llegado ya. La del Goltz , del matrimonio del Emperador Napqleoií general Puctod ocupa las costas del antiguo círcuió</t>
  </si>
  <si>
    <t>Nar</t>
  </si>
  <si>
    <t>* Hecho ája. rc$pqe*f4 que en gn acto titulada el Barón fingido , músi.a de/ mae»-* dTóriía Inglaterra i.Us.á^úisas prapósiciones de paz, tro español.D Nar.iso Paz, y el gran baile-titulado: Bita- aserción se refiere principalmente á los negó-,, Iqs "Vendimiadores de Medoque, esecutado por Fer­ cips da España; por taÚM as uac…</t>
  </si>
  <si>
    <t>e una fan. y ir ra de las Animas........... ...................... I la celem., linde á norte con vínculo de Otra inmediata á la anterior, de 6 cel., D. Nar ciso de Oñcz............................ *97 con el mismo lindero.......... ......... . 3 66 Otra en Carrausan'os, de 2 fan. y 11 ce­ Otra en Valdepinillas, de una lhn; y…</t>
  </si>
  <si>
    <t>Naranjo, Francisco</t>
  </si>
  <si>
    <t>Francisco Naranjo</t>
  </si>
  <si>
    <t>ala y Colon, oidor de lachauciUeiía de Va* _: 4v! ,.D. Joeef Martínez. lladotid. , 4&gt;•, «D. Baltasar Vallés, fiscal. . ‘ Jueces. artículo vr. ' v 1.® D. Francisco Naranjo. •: a.® D.Esiéban La-Madcid.., -i " : :; .; Patencia. i. i 3*® O* ^GScf M.lld ^dgUU4. * ,■ D. redro Joaquín Escudero, oidor de ia au­ 4.® tí. Iñigo de Casan…</t>
  </si>
  <si>
    <t>Narbona, Antonio</t>
  </si>
  <si>
    <t>Antonio Narbona</t>
  </si>
  <si>
    <t>56. "O. Domirígó Gómez, 25* El gobernador intendente D. A’exo Gar­ cía Conde, *00. El ayudante inspector D. Antonio Texada, ioo. — Fronteras. Capican D. Antonio Narbona, 90. Teniente D. Guillermo Limón, 10. Alférez D. Ignacio Diaz, 6. Id. D. Manuel Casanova , y. Lqs sargentos , cabos y soldados:,, 212. — Sta. Cruz- Capitán D.…</t>
  </si>
  <si>
    <t>Narbonn, Eugenio</t>
  </si>
  <si>
    <t>Eugenio Narbonn</t>
  </si>
  <si>
    <t>P. Francisco de'Isla; dos tomos en 8.3_"Doctrina política civil, es­ ción singular de la antigua Corcira, rodas estas cir- crita en aforismos por el doctor Eugenio Narbonn. _ cunstancias unidas al aspecto militar y marítimo El Consejo y consejeros del pn'ncipc, por Fadrique Ceque actualmente tiene la isla , y á las muestras q…</t>
  </si>
  <si>
    <t>Narchao, Gregorio</t>
  </si>
  <si>
    <t>Gregorio Narchao</t>
  </si>
  <si>
    <t>de Alooso Moron, cura de Fuente el Saz. D. Vicente Boruel y Via , á D. Casimiro García, Para el de Fuente novilla , vacante por muerte presbítero. de D. Gregorio Narchao, á D. Manuel Luciano Para el de Valdegrodas, vacante por ascenso Martinez de Pioillos, cura de Malaguilla. de D. Juan Francisco Gómez al de Cadalso, á Para e…</t>
  </si>
  <si>
    <t>Nassau</t>
  </si>
  <si>
    <t>de Bibra, gentilhom­ encargado de la exccucion del presente decreto. = bre de SS. AA. RR. el duque y el príncipe de Firmado szYO EL REI. Por S. M. so ministro Nassau; el barón de Boock , idem; el conde de secretario de Estado=F¡rmado=Mariano Luis do Badeni, del ducado de Varsovia; el conde de Bas­ Urquijo.” le witz, gentilhom…</t>
  </si>
  <si>
    <t>Nava</t>
  </si>
  <si>
    <t>961</t>
  </si>
  <si>
    <t>acopiado en aquellos pueblos: pero él 21 volvió á ocupar el mismo punto de Sta. Marta en número de 275 infantes*y 80 caballos..Noti­ cioso da ello el coronel Nava, dio sus disposiciones, y el 231 amaneció sobre Sta. Marta, con su división compuesta de los lia tal 1 ones de Benavente, Sevilla;, Toledo y Mari na., la partí - *;…</t>
  </si>
  <si>
    <t>Navajas, Vicente</t>
  </si>
  <si>
    <t>Vicente Navajas</t>
  </si>
  <si>
    <t>Subtenientes. D. Benito Prado y Ulloa. D. Francisco Diez. El conde de S o Rafael. D. Francisco García. Marques de la Cerrezuela. D. Manuel Palomera. D. Vicente Navajas. j D. J&lt;vef Fernandez Caso. D. Antonio G.rcía Vargas. D. Higinio Zazo de Lares. D. J ulian de Fuentes. D. Francisco Bezares. D Julián Saez. Tenientes. D Juan R…</t>
  </si>
  <si>
    <t>Navar, Antonio Celestino</t>
  </si>
  <si>
    <t>Antonio Celestino Navar</t>
  </si>
  <si>
    <t>rancisco Puy, 50. D. Domingo Lagoa, 100. Señores Matorell , Pía y compañía. 100. D. Jorge la Cenia, ICO. D. Bruno Barnoya, 100. D. José Lagarda, 100. D. Antonio Celestino Navar­ ro , 100. D. José Marsan , 100. D. Joséjlgnació Pabon , 100. D. Nicolás Campe­ ro , 100. D. Manuel de Villa y Gibaja, 200. D» Felipe Vivanco, 50. D. …</t>
  </si>
  <si>
    <t>Navar, Juan María</t>
  </si>
  <si>
    <t>Juan María Navar</t>
  </si>
  <si>
    <t>Fd teniente ele fragata D. Ma­ nuel de Clemente, 40. El alférez de navio D. Ramón Martínez del Cor­ ro, 60. Id. de fragata D. Jesé Zapiola , 25. Id. D Juan María Navar­ ro , 50, D. Pedro de Zamalloa, oficial quarto de la contaduría, 30. D- Bartolomé Cerda, capellán , 20. Id. D. Lorenzo Salas, 20. D. José María Cordero, segund…</t>
  </si>
  <si>
    <t>Navarrete, Antonio Estrada</t>
  </si>
  <si>
    <t>Antonio Estrada Navarrete</t>
  </si>
  <si>
    <t>tación de Javalquinto, que se preseotó Ortíz, corregidor; D. Martia Miguel Cebos, re­ 4 S. M. en Jaén el dia 2 de abril, se componía de gidor decano; D. Antonio Estrada Navarrete, al­ D. Josef Martínez Sánchez, alcalde primero; Don guacil mayor, y D. Bernardo Laborda. Francisco Xavier Grai, alcalde segundo; D. Juan Por Montem…</t>
  </si>
  <si>
    <t>Navarrete, Lorenzo</t>
  </si>
  <si>
    <t>Lorenzo Navarrete</t>
  </si>
  <si>
    <t>b¿rg una población de 170© almas en Suabia. Subtenientes. D. Manuel de Robles, D. Vi­ Ademas pagará á la Francia una cierta cantidad de cente Nieto, D. Lorenzo Navarrete, D. Alexandinero, y una renta anual al barón de Dalberg, que dro B-stamante, D. Josef Puche,D. Benito Del­ acaba de ser nombrado duque del Imperio francés, g…</t>
  </si>
  <si>
    <t>Navarrete, Martin</t>
  </si>
  <si>
    <t>Martin Navarrete</t>
  </si>
  <si>
    <t>fabricas deberán hacer una justificación de los ción; D. Damaso de la Torre, corregidor de Ma­ medios que tienen para hacer uso de estas máqui­ drid; D. Martin Navarrete , D- Carlos Pignateii, nas, y darán las correspondientes lianzas para pa­ D. Juan Peñalver ;. los facultativos D..Juan Bau­ gar las cantidades que se Ies ade…</t>
  </si>
  <si>
    <t>Navarrete, Martín Fernandez</t>
  </si>
  <si>
    <t>Martín Fernandez Navarrete</t>
  </si>
  <si>
    <t>| * hijo D. Pedro Zubiaga...... ........ 5764 31 D. Pedro Madrid.................................¡. ¡'-361 Doña Josefa Larrea.............. . 5106 24 D. Martín Fernandez Navarrete......... 9Ó 8| El monte pío del colegio de abogados 1 D. Cayetano Lim-Maeso.;................ 180 17 de Madrid............i........... 489879 15 D.…</t>
  </si>
  <si>
    <t>Navarro, Antonio Sánchez</t>
  </si>
  <si>
    <t>Antonio Sánchez Navarro</t>
  </si>
  <si>
    <t>Bartc lomé Blanco D. Joaquin Gómez, D. José Flaquer, D. Lean­ dro Rubira , D. José Velasco, D. Joaquín Velasco, D. Caytt no Vico, D. Manuel Aranda , D. Antonio Sánchez Navarro , D. José Ocaña, y D. Miguel Larraz. Empleos de alféreces en el regimien­ to de Reales Guardias Españolas , á los cadetes del mismo cuer­ po , D. Juan …</t>
  </si>
  <si>
    <t>Navarro, Benito</t>
  </si>
  <si>
    <t>Benito Navarro</t>
  </si>
  <si>
    <t>Napoleón por la gracia de Dios y por la constitución del estado, REI de las Espa- Batallón del quartel de S. Gerónimo. ñas y de las Indias. Capitán, D. Benito Navarro. probar que ei autor no ha salido de la naturaleza pre­ El papel de D. Alvaro está lleno de rasgos nobles, sentando este carácter sobre la escena. Es inmoral y …</t>
  </si>
  <si>
    <t>Navarro, Benito Sánchez</t>
  </si>
  <si>
    <t>Benito Sánchez Navarro</t>
  </si>
  <si>
    <t>a pertenecen á lo que los autores llaman gramática Doña Paulina Gil de Terreros.............. 11712 general, y las segundas á la que llaman gramáti­ D. Benito Sánchez Navarro................... 19250 ca particular de tal ó tal idioma. No trataremos V) fijan r .rreífarf**------.......................... 2b14^ exprofeso ni de l…</t>
  </si>
  <si>
    <t>n Andalucía reina la mayor seguridad , y la D. Saturnino Bolide.......................... 3 539 8f confianza es grande y recíproca entre los habitan» D. Benito Sánchez Navarro............. 1353 a5 f tes y las tropas.” Doña Xaviera de Ochoa................... 22021 Quintana, Pando y compañía.......... 100000 D. Jaime Dat......…</t>
  </si>
  <si>
    <t>Navarro, Domingo</t>
  </si>
  <si>
    <t>Domingo Navarro</t>
  </si>
  <si>
    <t>nativo. Fragata Flora. D. Agustín de Aldecoa , alférez de fraga­ ta , 30.—Depo'sito. D. José Obregon , capitán de fragata, 200 —Te­ nientes de navio. D. Domingo Navarro, no. D. Juan Lacre, 110 D Ma­ nuel Laiglesia, nd.—Idem de fragata. D. Joaquín SUgasri , 80. I jem D. Manuel Villodas,-3o. JlI contador oficial quarto D Franci…</t>
  </si>
  <si>
    <t>Navarro, Francisco Sánchez</t>
  </si>
  <si>
    <t>Francisco Sánchez Navarro</t>
  </si>
  <si>
    <t>6f DoñsP'Jos'efá de-Toro¡.¿.......... 1 í 563/'28^ D. Francisco Perez Criad®.»»'..;;!..;... 9004$ 16 &gt;- D. Dámasóde4aTorre.......... -‘46t't'y-'Jitíi D. Francisco Sánchez Navarro 154000'; DtJjúa'ttf Peña 1 ver.-.v.......................... '120Ó 1 Doña Paulina GilTerreros......;,78082:126 D. Manpfel María Tovar...........;».‘…</t>
  </si>
  <si>
    <t>Navarro, Juan</t>
  </si>
  <si>
    <t>Juan Navarro</t>
  </si>
  <si>
    <t>quiere descubrir su nombre, 300. La cofradía de S. Ignacio de Loyola y acompañamiento del Sacramento de la par­ roquia de Sta. Catalina mártir, 300. D. Juan Navarro, director general de aduanas, 300. Lis cofradías, de, Sta. Catalina^ n ártir, benditas animas, y el ayuntamiento del Son©. Sacramento de la parroquia de S. Miguel…</t>
  </si>
  <si>
    <t>Navarro, Manuel</t>
  </si>
  <si>
    <t>Manuel Navarro</t>
  </si>
  <si>
    <t>ncisco Bernabeu. canal sin detenerse ni hacer caso de las señales que D. Rafael Antonio Mazon. Se le hacia; pero los castillos le hicieron foego,y la D. Manuel Navarro. obligaron á parar. Tenientes. IMPERIO FRANCES. D. Manuei Gómez. D. Josef Diez Avilós. Angers 1 g de mayo. D. Gregorio Serralta. En la semana última han llegad…</t>
  </si>
  <si>
    <t>Navarro, María Francisca</t>
  </si>
  <si>
    <t>María Francisca Navarro</t>
  </si>
  <si>
    <t>Pascuala de Trotiaga................. 4762 6 D. Antonio Fernandez........................ 180 17 D. Andrés Saez de Azofra................... 13808 7 Doña María Francisca Navarro......... 1083 El mismo Azofra................... ................. 127642' 6 El conde de Biarhaben........................ 1895 8f D. Josef López de …</t>
  </si>
  <si>
    <t>Navarro, Miguel</t>
  </si>
  <si>
    <t>Miguel Navarro</t>
  </si>
  <si>
    <t>ipitada de los facultativos y nez de Azagra, D. D:ego de Torres Espinosa, empleados en su administración, dio las órdenes D. Benito de Castro y Coca, D. Miguel Navarro líídS ürgyí'itÉ» ¿íl Exorno. Sr. ¡Xa«rv¿üc$ u£ tiinjCíisrij y_A_______ T\ rtliuyi/ y JW. T___ •' UC JUdU .1 - /-» ✓'V. I *. t TV VjUCií y \jU~lldr T Lf, juan m…</t>
  </si>
  <si>
    <t>añías á D. Feíix Mijares, y D. José Montero ; ayundamía , á D. Martin Sierra ; tenencias, á D. Eduardo Velase»; D. Vicente Cabañas , D. Manuel Laget, D. Miguel Navarro, D. Antonio Aznar , y D. Laureano Sauz; y subtenencias, ? X). Bruno Soaso, D. Antonio Llamas, D. Lorenzo Adelantado D. Juan Sotelo , D. Gregorio Aívarez Carbal…</t>
  </si>
  <si>
    <t>Navarrov, Francisco</t>
  </si>
  <si>
    <t>Francisco Navarrov</t>
  </si>
  <si>
    <t>fies, tbhdeía 4328 2íft Da jfOSvCfdfi TOMÍaiaiíittMlSíiMH - Í970 i. yluái de Tiiii;;;;;;;;;.......C.;Av.^.:::v D. AUxandro Vejez y. Sauz "-••47% .. i D. Francisco Navarrov.'.'....„..&gt;..í.';.V^U. 1666 20 f B. Antonio Castejon ' .^aj40'. D. Bernardíno Pandeavenas.'.-r....;.;.1.. D. Francisco López Ñoñez *«#*éW*4«***&lt; 2 4. D. An…</t>
  </si>
  <si>
    <t>Navas, Anastasio</t>
  </si>
  <si>
    <t>Anastasio Navas</t>
  </si>
  <si>
    <t>entes de la academia militar año de 1810 , que fueron entre­ gados por mí á presencia de todos á los alumnos D. Eulogio Carrascoso , D. José Andrés , D. Anastasio Navas , D. Juan Senovilla, D. M anuel Rodríguez, D. Pedro González, D. Fer­ nando López , D. Santiago Pereyra, D. Cándido María Rosa­ da ; y para mayor estímulo les…</t>
  </si>
  <si>
    <t>Navas, Mariano</t>
  </si>
  <si>
    <t>Mariano Navas</t>
  </si>
  <si>
    <t>141</t>
  </si>
  <si>
    <t>rto é imparcialidad. ,, La gioria que me resulta de esta memoiable acción se ahoga en mucha parte con la muy sensible pérdida del esforzado capi­ tán D. Mariano Navas , que ,. habiendo salido herido , ha falle­ cido en el pueblo de Torrequadrada. Ruego á V. E. tenga en cof sideración sus distinguidos servicios para aliviar la…</t>
  </si>
  <si>
    <t>Naveyra, Hilario</t>
  </si>
  <si>
    <t>Hilario Naveyra</t>
  </si>
  <si>
    <t>, D. Bernardo Cobian , y D. Francisco San Pedro ; subtenencias á D. Víctor Restrebada, D. Nicolás Marino, D. Miguel Souto, D. Francisco Urdapilleta, D. Hilario Naveyra , y D. Ramón Vasadre : en el se­ gundo de la Princesa , subtenencia k D. Joaquín Roca y Soriano : en el de la reunión murciana, subtenencia á D. José Perez Del…</t>
  </si>
  <si>
    <t>Navoi, Cris Josrf</t>
  </si>
  <si>
    <t>Cris Josrf Navoi</t>
  </si>
  <si>
    <t>triótica ;de su ayudante el Sr. D. Rafael Sequera y Carvajal, Programa de la fiesta de S. M. católica Do&gt;r primogénito del conde de la Puebla; el Sr. D. Cris­ Josrf Navoi.eüX i, Rei de España y de In­ tóbal Fernandez de Córdoba, conde de Luque , de dias. capitán de la primera , y el Sr. D. Mauricio Bohor- El dia 18 á Jas seis…</t>
  </si>
  <si>
    <t>Nazarre, Alberto</t>
  </si>
  <si>
    <t>Alberto Nazarre</t>
  </si>
  <si>
    <t>el empleo de coronel á D. Manuel del Mazo; el de sargento mayor, á Don Manuel de Bayona ; compañías , á D. Ramón Díaz, y D. Pedro Payo; ayudantías á D. Alberto Nazarre, y D. Francisco Mo­ ren za ; tenencias , á D. Antonio Fernandez, D. Fernando Azevedo , y D. Francisco Venegas; y subtenencias, á D. Patricio Auge, D. Tomas Man…</t>
  </si>
  <si>
    <t>Neafchatel</t>
  </si>
  <si>
    <t>hai persoaa AUSTRIA. alguna de mediana ilustración que no esté conven­ Vierta 4 de marzo. cida de esta verdad, que tanta impresión había he­ S. A. el príncipe Neafchatel ha llegado esta cho en el espíritu de Mr. Pitt antes que te dexase tarde, y mañana hará su entrada pública en esta corromper. Desde el punto en que este ciud…</t>
  </si>
  <si>
    <t>Nedolssen</t>
  </si>
  <si>
    <t>lla dada contra los una idea de la riqueza de su cargamento, baste de-' torcos el 4 de agosto. cir que en el caso de salir condenado, la parte que El teniente coronel Nedolssen, qne habla sido debe tocar á cada uno de los armadores del corsa—: degradado y reducido á la clase de soldado raso» rio que le apresó será de 30® rixd…</t>
  </si>
  <si>
    <t>Negra, Femando</t>
  </si>
  <si>
    <t>Femando Negra</t>
  </si>
  <si>
    <t>lcs, D. Joan f ran­ cisco Salido, D. Juan Corral, D. Francisco Corral, D. Pedro An­ drés Gómez, D. Juan Sánchez, D. Jo;é Segovia, D. Marcos Jáuregai, D. Femando Negra, D. Joaquín Antonio Navarro y D. Antonio Ximenez; y á subtenientes, a D. Manuel Moreno y Vá­ rela, D. Gabriel Antonio Fernandez Alexo , D. Gaspar Diego de Torre…</t>
  </si>
  <si>
    <t>Negrece, Felipe Lopez</t>
  </si>
  <si>
    <t>Felipe Lopez Negrece</t>
  </si>
  <si>
    <t>rero interino D. Rafael Ahumada, 20. El Conde del Valle del Súchil 100a. D. José Matos, 75. D* Joáquin A fnezaga, 50, D, José &gt; Castro y» Ortega, 50. D Felipe Lopez&gt; Negrece; y^suhijo, * 500. D. Pedro del. Campo y Montes, 50. D. Juan! José Zimbrana,5CO.D. Antonio Izurrieta, $oox D. Cayetano Mutis-9 15* D/ jcséGuerrero 15Á D. …</t>
  </si>
  <si>
    <t>Negrete, Manuel del Castillo</t>
  </si>
  <si>
    <t>Manuel del Castillo Negrete</t>
  </si>
  <si>
    <t>nte. D. Francisco Manzano, 50. La provincia de Guanaxuato en dos remesas , incluso el intendente , 72,517 v 5 rs. , v ofrece anualmente 10,145 pesos. D. Manuel del Castillo Negrete , regente que fué de la audiencia de México , y su hijo D. Manuel 1100. El colegio de escribanos de la misma ciudad, 1000. La cofradía de S. André…</t>
  </si>
  <si>
    <t>Negrooj, Luis</t>
  </si>
  <si>
    <t>Luis Negrooj</t>
  </si>
  <si>
    <t>bteniente de la dicha. , dos ya formadas. : D. Ignacio Granados para subteniente de la Nombramos para comandante de este batallón tercera compañía. a D. Luis Negrooj .para ayudante á D. Blas Ca­ D. Luis de Muro para sobteaiente de la.qaarballero , y para abanderado á í). Agustín Man­ ta compañía. zano. art. xiv. En el batalló…</t>
  </si>
  <si>
    <t>Negueruela, Manuel</t>
  </si>
  <si>
    <t>Manuel Negueruela</t>
  </si>
  <si>
    <t>es. D........................................ Ej?Josef González. D. Tomas Arenillas. í?. Gaspar de Losas Hidalgo. D. Josef lbárreta. D. Pedro Batelú. D. Manuel Negueruela. D. Antonio Bailo. D. Ramón Rites. D. Manuel Toro. D. Josef Castro. D. Antonio Rubio. D. Andrés Saiz Dnrango. Batallón del quartel de S. Francisco. D. Jo se…</t>
  </si>
  <si>
    <t>Nei</t>
  </si>
  <si>
    <t>perador que recibe las llaves de la ciu­ de Callpso, por Mr. Meluler. dad de Vsena, por Mr, Gir^dct. La consternación de la familia de Príamo des­ El mariscal Nei que entrega sus banderas al pués de la muerte de Héctor, por Mr. Garnier. regimiento 7 6/' de línea, habiéndolas recobrado •Fedra é Hipólito, por Mr. Guerin. en el …</t>
  </si>
  <si>
    <t>Nenado, Jacote</t>
  </si>
  <si>
    <t>Jacote Nenado</t>
  </si>
  <si>
    <t>s atacarán en nn punto donde no El consejo de Belgrado se compone al presente tienen mas que 10©. Los piratas acometen indis­ de dos presidentes , el comandante Jacote Nenado- tintamente á los buques de toda nación, y tra­ wits y León Markowits, de tres senadores y un se­ tan con la mayor crueldad á las tripulaciones que cret…</t>
  </si>
  <si>
    <t>Nepckon</t>
  </si>
  <si>
    <t>iaciones que ha habido con las poten­ años anteriores. cias extr..i:geras desde la última dieta. ,, La última guerra, dixo el diparado del can­ ,, El Emperador Nepckon, añadió, ha tomado' tón de Vaud, quando devotjbi el continente, no por piimera vtz en ei tratado de Víena ei título ha producido entre nosotros otro Afecto que…</t>
  </si>
  <si>
    <t>Nepocon, Juan</t>
  </si>
  <si>
    <t>Juan Nepocon</t>
  </si>
  <si>
    <t>Herrera. bre de 18 os1. Segunda ídem. Capitán D. Josef Granados , te­ En una conferencia que he tenido esta mañana niente D. Joan Parga, subteniente D. Juan Nepocon ei consejero áulico Hudeliot me ha dicho este muceno de Castro, otro, D. Josef de Hoyo. que acababa de saber por el conde de Stadion que Tercera ídem Capitán D. J…</t>
  </si>
  <si>
    <t>Nepomuceno, Juan</t>
  </si>
  <si>
    <t>Juan Nepomuceno</t>
  </si>
  <si>
    <t>varios vecinos de aquel partido, 219 y un real. D. Francisco Ccrvcra, 50. I). José Vicente María de Paz y Mendoza, 100, y 500 anualmente. Su ahijado D. Juan Nepomuceno, 100. D. Juan Nepomuceno Fiorez , te­ niente retirado, 36. El vecindario de los pueblos de Tacotalpa y Xalapa, de Tabasco , 534 y 4 rs. El vecindario de los pu…</t>
  </si>
  <si>
    <t>Nepoque, Juan</t>
  </si>
  <si>
    <t>Juan Nepoque</t>
  </si>
  <si>
    <t>a de la academia' promoción de D. Francisco Manuel García al cu­ de los Arcades un sabio discurso sobre la poesía, rato de Moinbeltran , al expresado D. Juan Nepoque fue interrumpido repetidas Veces por los aplau­ inuceno Cortés, vicario cura del logar de Niarra sos de todos los concurrentes. en la misma diócesi. Génova &lt;f de…</t>
  </si>
  <si>
    <t>Neufchatel</t>
  </si>
  <si>
    <t>e beneficio; vosotros os em­ jano dispone el vendaje: S. M. está sentado en peñáis en sostener con fuerzas débiles una lucha tierra ; y a! rededor el príncipe Neufchatel, el gran demasiado superior á todos vuestros esfuerzos. ; Mas mariscal de palacio, ¡os duques de Dantzick, quáles son, decid, vuestras esperanzas ? ¿ Dónde e…</t>
  </si>
  <si>
    <t>ses, ó correspondencia de un agento Mr. de Cormelissea, gentilhombre de S. M. del Reí de Fersía, residente en Atenas durante la guer­ Por S. A. S. el príncipe Neufchatel , vice­ ra del Peloponeso: contiene una excelente pintura de condestable 1 la historia, literatura y costumbres de los griegos y de­ Mrs. el barón Lagrange y…</t>
  </si>
  <si>
    <t>Nevares, Rafael</t>
  </si>
  <si>
    <t>Rafael Nevares</t>
  </si>
  <si>
    <t>. Pedro Larramendi, 92. Teniente D. Lúeas Valenzuela, 5. Id. D. Gregorio Blanco, 10. Alférez D. Fermín Tarbe, 25. Id. D. Gorgonio Olivas, 3. Capellán D. Rafael Nevares, 3. D. José Ronqui­ llo, 15. Sargentos, cabos y soldados , 197.— Segunda Volante. Capitán D. José María del Rivero , 100. Teniente D. Miguel Ortiz, 46. Alférez…</t>
  </si>
  <si>
    <t>Ney</t>
  </si>
  <si>
    <t>de. la Nación, abrazarían qualquier partido que se les propusiese. La ocasión pa­ rece que br ndaba, y no juzgó oportuno dexarla pasar. Así es que el mariscal Ney mandó qne se reuniesen en Salamanca quantas fuerzas había disponibles en Alba , Toro, Alaejos y otros pueblos inmediatos. La Junta Suprema de Castilla, cuyo patriot…</t>
  </si>
  <si>
    <t>— Dicen que en Astorga fueron rechazados dos veces por el general Gar­ cía. También se afirma, que en el ataque de Ciudad-Rodrigo ha­ bia perdido el mariscal Ney un sobrino suyo, ayudante de cam­ po : y que los franceses juntaban algunas fuerzas en Mantilla, dos leguas mas allá de Tamámes. Antes de ayer entraron en esta plaza…</t>
  </si>
  <si>
    <t>aparte habían hecho un movimiento sobre Badajoz, á fin de llamar hacia aquel lado el exercito ingles. — Las mismas car­ tas aseguran también , que el mariscal Ney ha juntado un cuerpo de tropas considerable en Salamanca, con designio de encaminarse i la frontera de Portugal. — El exército de la Man-</t>
  </si>
  <si>
    <t>saron notable pérdida, no baxando por un cálculo prudencial de 60 á 100 los mut uos y he­ ridos que tuvieron en esta acción. Ayer no hubo novedad. El mariscal Ney es quien manda á los enemigos , y según avisos trata de formalizar con todas sus fuer­ zas el sitio de esta plaza. Pero puede decirse sin jactancia , que por la exp…</t>
  </si>
  <si>
    <t>as de quatro regimientos de infantetíiyr uno de caballeiía ai mando de ios ge­ nerales Menaet y.Fetrey , acaban de reforjarse considerablemen­ te, El mariscal Ney se incorporó con ellas el 30 de mayo. El 28 .salieron de Salamanca hácia esta plaza 39 piezas de artillería gruesa dé que han llegado hoy 8. Todas las señales son d…</t>
  </si>
  <si>
    <t>go se rindió ayer (1) al enemigo. La brecha era grande y practicable, y el enemigo había hecco todos los preparativos para el asalto, á tiempo que el mariscal Ney propuso la capitulación, y se entregó la plaza. El enemigo se situó delante de Ciudad-Rodrigo el 26 de abril, la embistió completamente el 11 de junio, abrió la tri…</t>
  </si>
  <si>
    <t>aerá prontamente, porque carece hasta de verosimilitud. D os veces he hablado al príncipe de Neufchatel sobre la justa queja dada por V. M. contra el mariscal Ney. En la primera me dixo que el emperador no le habia entregado la carta de V. M. , y significo que no era de aprobar la conducta del mariscal; y en la segunda , me r…</t>
  </si>
  <si>
    <t>Neyetnoourg</t>
  </si>
  <si>
    <t>menor. Berna j de junio. Si'hafoiisa, El burgomaestre Pfister , diputado. En la dieta que principió sos sesiones el dia 4 Consejerodé diputación, el consejero Neyetnoourg. sobrino IX Pedro de Luna, administrador que era del «ahorcar al cursor que os lo presentó? Que claro esta, obispado de Tortosa, para .el 'arzobispado de To…</t>
  </si>
  <si>
    <t>NicaL</t>
  </si>
  <si>
    <t>n ‘í Tp*M«atq,r^)/Min»¿V. Te-jevía. Y, iYW' mó Bosqne,tj-Jv\ &gt; 0? ^ Vj, ,s y5:Vji,_...... , Subteniente , D. Juan Subtenientes»' D. Modesto Cabello y D. NicaL 1 í T d^i -í - XCasfiUo. C , , * f 71 í| t; S Jas de i¿-CiáM«,A *f‘:A 1: :r :;f : Compañía de ~Má}¿ídá-konda de d loo.hdñibtesi CompJñíáXdejTarrejni deVehUc^df -d tt&gt;Q …</t>
  </si>
  <si>
    <t>Nicasio</t>
  </si>
  <si>
    <t>Gaceta de Madrid n.º 248</t>
  </si>
  <si>
    <t>á causa Reflexiones ó sentencias y máximas morales de Air. de su gracejo y de la naturalidad de su trama, y el duque de Rochcfoucault, traducidas por D. Nicasio de la sencillez y facilidad de su estilo. El Tesoro Alvarez de Cienfiregos, quien las publicó baxo ei nom­ no ha tenido tan bnena fortuna como los Calave­ bre de D. N…</t>
  </si>
  <si>
    <t>Nico</t>
  </si>
  <si>
    <t>de todo el que estaba colgada y adornada con magnificencia. reposo de la vida monástica con conveniencias mu­ El señor lectoral de esta santa iglesia D. Nico­ cho mayores que en su anterior estado. lás Maestre, después de la lectura del decreto y Los demas cuerpos recibieron igualmente ins­ circular , improvisó un elocuente d…</t>
  </si>
  <si>
    <t>rgento mayor dei mismo cuerpo D. Mauricio Assin. También se ha servido S. M. conferir la tenemda coronela del regimiento de dragones l.° de Lusitamaá D. Nico ás del Campo, comandante del tercer esquadron del propio cuerpo ; esta resulta i D. José de Elorduy, capitán dei de cabañería del Príncipe ; com­ pañía ai ayudante D. Pe…</t>
  </si>
  <si>
    <t>2 a de junio. ii. Un oficial de artillería, otro de ingenieros, y un comisario de guerra francés entrarán inme­ Por decreto real de 18 del corriente D. Nico­ diatamente en el castillo para hacer inventario y to­ lás Espitalé queda nombrado ayudante de segunda mar posesión de los almacenes. clase de la plaza de Madrid. Resp. E…</t>
  </si>
  <si>
    <t>Nicolás</t>
  </si>
  <si>
    <t>770 ara entrar en comunicación con ci. El general Mil- Doña Francisca Rodríguez Palomeque. 3 1 «,00 aud se dirigió sobre Cuenca , al mismo tiempo que D. Nicolás de los liaros.......................... 94947 12 el general en gefe con ia división Lava! y los cora­ D. Joset de Luji......................................... 20160 …</t>
  </si>
  <si>
    <t>a Vega; al conde da ¡as Lomas, y Don cina , canónigo presidente de esta catedral, á Don Josef de Checa y Gijon. Juan de Erada» dignidad de tesorero , D. Nicolás art. H. Nuestros gran canciller y gran tesore­ Maestre» lectoral, y D. Josef Morales» canónigos ra de ia Orden quedan encargados de la execucion de la misma; al conta…</t>
  </si>
  <si>
    <t>para rendir la* plazas que Passari ( D. Noel ), capitán de la guardia real. te atreven á retener todavía los insurgentes. Bien Peres de Santa María { D. Nicolás }. pronto les recordareis que sois los .vencedores de Pérez de Aguírre (D. Simón) , penitenciario de la lúdela, de Zaragoza, de Belchite &amp;c.; y vuestra catedral de Ja…</t>
  </si>
  <si>
    <t>bre de este tados. pueblo. La diputaciou de Lucena la componían D. Ma­ Los diputados de 2a villa de Torre Don Xime- nuel Ortiz de Pinedo, corregidor; D. Nicolás de ao eran , por el clero D. Jacinto Josef Perales, cu­ León y Di 'Nicolás de Mena , regidores. ra párroco; por el ayuntamiento D. Jusef Roldan La diputación de'Moren…</t>
  </si>
  <si>
    <t>de Si lldefonso............. 12631.17’Los señores Meacorta y compañía..... 19133: .i Doña Xaviera de Yol ji.16S76 2 D. Josef Justo-Salcedo.,,4783’ 8f D. Nicolás de 4os Heros............... 424T 2^4 D. Agustín RatrintiPiteir*.*13700 8| Doña'Teresa Geferiua Ramonel....... 9009: 30’ D. Manad Eligió.»»............................…</t>
  </si>
  <si>
    <t>e 6 fanegas, poco masó me­ por 2 partes con tierras del marques nos, junto á otras de D. Matías de de Salas, de 2 aranz., y 128 cepas. 73 1606 Toro y D. Nicolás de-la Canal.......... 54-*7 z 199 Otra mas allí de la cuesta del Lotero, Una tierra junto al cerro de la Espar­ junto al camino , de 3$ aranzadas , y tos» , de 2 fane…</t>
  </si>
  <si>
    <t>................ ..................................... 27-17 603 7 fan., que linda á norte con tierras de Otra en Palomero en la Herradura, de 3 fin. D. Nicolás de Madrid.................................. 95 2090 y 3 celem., linde á mediodia con Antonio Una cerca de media fan. en la población de Olías.........................…</t>
  </si>
  <si>
    <t>primero y segunebeo Ortea y D. Ju a - . re„¡n?¡eoto de caba- En el de Ja Cruz, á las ocho de la noche . s- execudo ayudante' de cirugía en c . * j ¿ D Nicolás tará la comedia en tres actos titulada las Víctimas del Hería ligera de la p.optaguardt. „r¡mer0 y amor, en la que hará la oarte de barba el señor Rafael Laudri y D. Ja…</t>
  </si>
  <si>
    <t>ar i*9S 48; de Jonkoping 114480 (ésta» tres úl­ de la propia drdeii. ! timas prefecturas forman Ta Smol-anda); de GorPara la descapillas de Albaída á D. Nicolás de tenburgo 116674; de Wénenborg 15 293 7 ; de ScaBlancas» de la expresada orden. ía 135697 (estas prefecturas forman la WestrogoPara la de- Arenas y Daimalds á D. Jo…</t>
  </si>
  <si>
    <t>aba­ de Sevilla. llo de nuestra guardia xeal. Chacón (D. Josef), capitán de miqneletes de Na­ Yollier (D. Francisco),'tirador, idem. varra. Youglet ( D. Nicolás) , capitán de tiradores, idem. Chambard (D. Francisco), cabo de tiradores de nnes* Jarri Bouffermou (D. Francisco), teniente de na­ tra guardia real. vio de nuestra r…</t>
  </si>
  <si>
    <t>ros de la Acaba de pnblicarse en esta no decreto imperial Orden Real de España i los señores del 13 del corriente .cuyo fenor es como signe: , Bamon (D. Nicolás), capitán de granaderos del articulo i.-* "Quedan suprimidas entera ” y' regimiento Real Extrángero. definitivamente todas .las órdenes monásticas y con­ Beioqui (D. …</t>
  </si>
  <si>
    <t>Nicolás, Clemente Bueno y D</t>
  </si>
  <si>
    <t>Clemente Bueno y D Nicolás</t>
  </si>
  <si>
    <t>de Madrid , tenencias en este á los subtenientes D. José Sánchez, D. José María Sierra y D. Antonio Gomfez dé la Torre , y subtenen­ cias al graduado D. Clemente Bueno y D Nicolás la Madrid, sargen­ to primero y cadete del mismo : tenencia en el dé Canarias á D. Joaquín Martin, subteniente del propio,, y subtenencia de bander…</t>
  </si>
  <si>
    <t>NicolasaRengeret</t>
  </si>
  <si>
    <t>o Rafael Cu riel Pérez....... 180000 Doña Josefa Vázquez de Silva.'....;.... 24380 1 i D. Ignacio Agudo y Andrade, como 5,2 8 * 3 -, 1 17.f marido de Doña NicolasaRengeret. 26400 Doña Feliciana Barra.............. ............. 26400 Que i una sumí Importaircincp'millones doscien­ Doña Claudia Antuñano..................... 26…</t>
  </si>
  <si>
    <t>Nicolini</t>
  </si>
  <si>
    <t>las quatro de la tarde, se re­ critores, qne son Micaii Josef, Rosini, profesor en presentará por la compañía española la tragedia en cin­ Pisa, y el abogado Nicolini. co actos titulada los Templarios, y la opereta el Se­ Escriben también de Ancona que S. A. I. el creto. príncipe virei salió de aquella ciudad el 22 de oc­ En …</t>
  </si>
  <si>
    <t>Nicort, Mariano</t>
  </si>
  <si>
    <t>Mariano Nicort</t>
  </si>
  <si>
    <t>es lograron apoderarse del parapeto, y de un cañón que ios nuestros habían clavado antes de abandonarlo $ pero una reserva mandada por el subteniente D. Mariano Nicort los desalojó son la mayor bizarría, arrojándolos al foso5 y á la una</t>
  </si>
  <si>
    <t>Nies</t>
  </si>
  <si>
    <t>general ináyor; encargado de la execucion del presente decreto. =s el señor Marre, secretario general; los señores Firmados YO EL REI. = Por S. M. el ministro Nies5cr , Oldcmburg y Corengel, comisarios del secretario de Estado = Firmado = Mariano Luis de gobierno ; y el señor Carillón , que exerce las fun­ Urquijo.” ciones de…</t>
  </si>
  <si>
    <t>Nightíngale</t>
  </si>
  <si>
    <t>. 099 mm GAZETA DE LA REGENCIA , — -' t ' / . DE ESPAÑA ¡E *N®IAS DEL JUEVES 13 DE DICIEMBRE DE 1-81.0. GRAN-BUETAÑÁ. Lómdres 30 de octubre. El mayor general Nightíngale rva h Portugal a suceder, á Gatlin Ci^wjford. —salido de Eíy.mouth varios,baxeles de guerra para apoyar las operaciones militares en la costa de Cantabria. —…</t>
  </si>
  <si>
    <t>Nikich</t>
  </si>
  <si>
    <t>os fragatas y ua brick. nes del mes pasado para Crajowa de Belgrado. Se Uno de los navios intentó apoderarse erare A?' ,d compone de 1270 hombres. El coronel Nikich ha y Spottsbierg de dos: galeotas cargadas de t:igo; servido en el exórcito austríaco. pero las balerías de Spottsbierg las han libertado, El baxá Pekliwan Acmet-…</t>
  </si>
  <si>
    <t>Nikitsch</t>
  </si>
  <si>
    <t>relativo a los géneros eolonialts, y que se pondrá mo sangrienta han sido heridos machos comandan­ en execuciou el 15 de este enes. tes servios, y el coronel Nikitsch, que manda el El Emperador ha hecho varios regalos á algu­ regimiento de las fronteras de Petterwáradin , ha nos establecimientos de beneficencia y de utilidad …</t>
  </si>
  <si>
    <t>Niño, Josef Ximencz</t>
  </si>
  <si>
    <t>Josef Ximencz Niño</t>
  </si>
  <si>
    <t>e acababa de saber por el conde de Stadion que Tercera ídem Capitán D. Joaquín Romero, te­ la esquadra inglesa se habia retirado del Escálda,y niente D. Josef Ximencz Niño, subteniente D. An­ que esta noticia habia causado sumo disgusto al drés P«ris, otro, D. Antonio Paris. Emperador. Quarta ídem. Capitán D. Josef Muñoz, te­…</t>
  </si>
  <si>
    <t>Nioa, Juan</t>
  </si>
  <si>
    <t>Juan Nioa</t>
  </si>
  <si>
    <t>; el de sargento mayor, k D. Juan de Dios Alguer ; compañías á D. Francisco Sapena, D. Cristóbal Dócio, D. Manuel Bausa, D. Juan Doz, D. Jayme Perj, D. Juan Nioa , D. Juan Vasadre, y D. Pablo Baliñani; ayudantías, á D. Francisco Valdés, y D. Félix Camarasa ; te­ nencias, á D. Manuel Sainz, D. Juan Conde, D. Francisco Carrion,…</t>
  </si>
  <si>
    <t>NLrmont</t>
  </si>
  <si>
    <t>inantes glamento que acaba de publicarse, se compondrá que para ello ha recibido de Corst ¡minopla. El esta comisión de un comisario imperial , de un mariscal NLrmont ha rom„do por su parte las pro­ substituto, y de t y diputados de los estados here­ videncias mas acertadas para conservar la bu-na in­ ditarios, en la formi si…</t>
  </si>
  <si>
    <t>Nocedal, Ramón</t>
  </si>
  <si>
    <t>Ramón Nocedal</t>
  </si>
  <si>
    <t>Esteban Gómez. D. Pascual Santander. D. Mateo Norzagarai. D. Manuel de Cañas. I&gt;. J uan Picdrahica. Subtenientes. D. Ramón Rada. D. Antonio Robillar. D. Ramón Nocedal. . D. Eduardo Santiago Palomares. D. Fcrinin Carnerero Vela* D. Claudio Botelú. D. Tuan Valdivieso. D. J osef Navarro. Tenientes. D. Josef Ortiz Herboso. D. And…</t>
  </si>
  <si>
    <t>Noel</t>
  </si>
  <si>
    <t>n á nuevos trabajos; vais á marchar Moreno ( D. Luis), teniente coronel de ingenieros. con un equipage de, sitio para rendir la* plazas que Passari ( D. Noel ), capitán de la guardia real. te atreven á retener todavía los insurgentes. Bien Peres de Santa María { D. Nicolás }. pronto les recordareis que sois los .vencedores de…</t>
  </si>
  <si>
    <t>tador en el regi­ ta* de ia provincia de Soria. mentó de granaderos de nuestra guardia real. Parraud (O Juan Bautista), sargento de tiradores Vario ( D. Noel), subteniente de húsares, idem. de nuestra guardia real. Villate (D. Estéban), tirador, idem. Pastor (D. Ju&gt;m Francisco) » capitán agregado al Virio (D. Juan Bautista de…</t>
  </si>
  <si>
    <t>Nog, Cárlos</t>
  </si>
  <si>
    <t>Cárlos Nog</t>
  </si>
  <si>
    <t>tos fenómenos que ofrece la naturaleza, hallan me­ D Fermín Llamas, ex-igU'tino calzado. 44000 dios seguros .de rectificar los sbtemas ya estableci­ D. Cárlos -Nog.les , éx agustino reco- dos y IrfS teóricas mejor admitidas, para deducir por aquellos efectos las causas generales ó particu­ D. Josef S ope*, ex-basilio.........…</t>
  </si>
  <si>
    <t>Noguera, Miguel</t>
  </si>
  <si>
    <t>Miguel Noguera</t>
  </si>
  <si>
    <t>guerrilla de Valencia, dei cargo del capitán D. Juan de Car­ dona, se adelantaba hacia las baterías francesas del arrecife. La guerilla de Irlanda de D. Miguel Noguera, y la de Ordenes del teniente coronel D. José María Celaya,fueron las destina­ das para tomar la obra, y adelantarse lo suficiente para sostener á los trabajad…</t>
  </si>
  <si>
    <t>Nombramos, Francis</t>
  </si>
  <si>
    <t>Francis Nombramos</t>
  </si>
  <si>
    <t>itución del estado, REI de las Espa­ Ruiz: en el de Málaga, 6“ de línea , teniente á Don das y de las Indias. Juan Antonio Perello , y subtenientes á D. Francis­ „ Nombramos para el arzobispado de Toledo á co del Arca, D. Francisco Mabiliy D. Rafael Ver­ D. Francisco de la Cuerda, obispo de Málaga; y dugo: en el de Córdoba , …</t>
  </si>
  <si>
    <t>Ñoñez, Francisco López</t>
  </si>
  <si>
    <t>Francisco López Ñoñez</t>
  </si>
  <si>
    <t>y. Sauz "-••47% .. i D. Francisco Navarrov.'.'....„..&gt;..í.';.V^U. 1666 20 f B. Antonio Castejon ' .^aj40'. D. Bernardíno Pandeavenas.'.-r....;.;.1.. D. Francisco López Ñoñez *«#*éW*4«***&lt; 2 4. D. Antonio Guillen;;V.V. O B Nicolás García Caballera;...».. V.., '-/w*;:25* Los hijos y herCdéiós^de D. PolicarD. Salvador Souiats..—…</t>
  </si>
  <si>
    <t>Noriega, Francisco</t>
  </si>
  <si>
    <t>Francisco Noriega</t>
  </si>
  <si>
    <t>o. D. José Manuel Abalia , ibo D. R. A.A., 40. D. Ignacio Casal, 5000. D. Juan José Oferral, 6co. Tres dependientes de la dirección de Correos , 120. D. Francisco Noriega, presbítero , 180. D. F. F. G., 10.—Total, ^8322 rs. vrí. Idem en prendas.— D. Francisco de la Peña Pódrigo, 10 piezas de listados, de tiro 200 varas, y una…</t>
  </si>
  <si>
    <t>Noriega, Ignacio</t>
  </si>
  <si>
    <t>Ignacio Noriega</t>
  </si>
  <si>
    <t>25. D. Ig­ nacio Araíza, 25. D. Ignacio Serrano, 10. D. Tomas Valencia, 10. D. José López, 10. D. Agustín Pesqueyra, ió. D. Juan Antonio Bernal, 10. D. Ignacio Noriega, 8. D. José María Moreno, 10. Varios indivi­ duos, 71 y 1 real. — Fuerte. D. Gaspar Zañudo, 200. D. Estéban de la Vega, 50. D. Joaquín Velarde, 25. D. Joaquín …</t>
  </si>
  <si>
    <t>Noriega, José María</t>
  </si>
  <si>
    <t>José María Noriega</t>
  </si>
  <si>
    <t>Francisco Sánchez, 10. D. Pedro de la Sema, 25. D. Francisco Rodrí­ guez, 100. D. Jacinto del Pino, 20. D Julián Romero, 25 D. Antonio Vázquez , 1$. D. José María Noriega, 25. D. Vicente Moreno , 10. Don Bernarda GiStellum, 10. D. Damian Segrega, 1 o. D. Juan Mendez, 13* D Manuel Cermeño, 10. Doña María Teresa Vázquez, ió. Do…</t>
  </si>
  <si>
    <t>Noriega, Josef</t>
  </si>
  <si>
    <t>Josef Noriega</t>
  </si>
  <si>
    <t>formarán los quatro regimientos de infan­ á recobrar con el tiempo su antiguo esplendor. El tería de iínea, numerados 5.°, &amp;/', 7.0 y 8.°, con rector D. Josef Noriega leyó un breve discurso la denominación de Sevilla, Granada, Córdoba y análogo á las circunsnncias en hoaor del estableci­ Jaén , cu cuyos distritos quedaran emp…</t>
  </si>
  <si>
    <t>Noriega, Pablo</t>
  </si>
  <si>
    <t>Pablo Noriega</t>
  </si>
  <si>
    <t>riano Triviño,.., D, Alberto Gteúudelt. Quar/o batallón. Para ayudante primero t&gt;. Bernardo de Ara, para segundo D. Gregorio Choya, y para abanderado D. Pablo Noriega. i*. D. Francisco Besa tes............. D. Julián Sane. 3*. »«•........Le....... D. Pedro P.bio Perez Arrieta. D. Gregorio García. B D. Manuel Gaviria..........…</t>
  </si>
  <si>
    <t>Norzagarai, Mateo</t>
  </si>
  <si>
    <t>Mateo Norzagarai</t>
  </si>
  <si>
    <t>Josef Chacón. D. Agustín Gamell. D. Tomas Perez. D. Bernardo Barril. D. Francisco Berdejo. D. Camilo Gamboa. D. Esteban Gómez. D. Pascual Santander. D. Mateo Norzagarai. D. Manuel de Cañas. I&gt;. J uan Picdrahica. Subtenientes. D. Ramón Rada. D. Antonio Robillar. D. Ramón Nocedal. . D. Eduardo Santiago Palomares. D. Fcrinin Car…</t>
  </si>
  <si>
    <t>Novales, Manuel</t>
  </si>
  <si>
    <t>Manuel Novales</t>
  </si>
  <si>
    <t>n Alfaro. D. Francisco Xavier Toledano. I). Manuel Carrillo. D. Ignacio Abadía. D. Manuel Antonio Ibañez. D. Isidro Velazquez. D. Josef María Acosta. D. Manuel Novales. D. Eugenio Aguilar. D. Francisco Peralta. D. Manuel Badana. D. Mateo Gil de Sola. D. Vicenre Tejada. D. Domingo Ventades. D. Julián Sojo. D. Tomas Ibargiien. …</t>
  </si>
  <si>
    <t>Noveda, Francisco</t>
  </si>
  <si>
    <t>Francisco Noveda</t>
  </si>
  <si>
    <t>el propio cuerpo el teniente general D. José VVorster , los brigadieres D. Joaquín Navarro y D. Joaquín Ibarra, el coronel graduado D. Manuel Llano y D. Francisco Noveda : á tenientes coroneles al sargento mayor graduado de teniente coronel Don Pablo Sánchez, á los capitanes D. Joaquín Arnau , al coronel graduado D, Mariano O…</t>
  </si>
  <si>
    <t>Novella, Vicente</t>
  </si>
  <si>
    <t>Vicente Novella</t>
  </si>
  <si>
    <t>roneles al sargento mayor graduado de teniente coronel Don Pablo Sánchez, á los capitanes D. Joaquín Arnau , al coronel graduado D, Mariano Osorio, á D. Vicente Novella: al teniente coronel gradúa-</t>
  </si>
  <si>
    <t>Novoa, Pedro</t>
  </si>
  <si>
    <t>Pedro Novoa</t>
  </si>
  <si>
    <t>|ban descubierto poco En la prefectura de Málaga. hí varias antigüedades , y entre ellas un suelo mo­ saico de un trabajo exquisito y de mucho gusto. D. Pedro Novoa, subprefecto de Málaga. Un año há que en el mismo parage se encontraron D. Antonio Mier, de Antequera. Otras antiguallas, y entre ellas un discóbulo y una D. Dieg…</t>
  </si>
  <si>
    <t>Ñrer, Sátnrnitio</t>
  </si>
  <si>
    <t>Sátnrnitio Ñrer</t>
  </si>
  <si>
    <t>. jqanirinnreit.w^.^.^.i.túy¿at.uf.t MwtdtSti. t.»«* ••í Doña ÑicoIasa Martreorena............ .. 128868 16 , D. Juatvjgnacio.Joven..............»t»5 D. Sátnrnitio Ñrer;.v.v..v;.,.;v;;..i.«.i' 1200 ,r P, Jqaa.Malnerp.------ —...........«.ui.a-'j , j a79f;2'5» D. 'Juiían, D. *Angel y D. Joaquín ]3. Josef ^^erlo. ^...... i.....…</t>
  </si>
  <si>
    <t>Nuestro</t>
  </si>
  <si>
    <t>cibido noticias mui recientes del cé­ Munich J9 de junto. lebre Üagero Seezeu &gt; de Gotha, que tiene el títu­ lo de asesor de los colegios de S. M. el Emperador Nuestro gobierno ha determinado sacar del Tide Rusia. Sus últimas cartas son de Suez del 13 rol rodas las tropas, menos dos regimientos de in­ de mayo de 1809. Después…</t>
  </si>
  <si>
    <t>Nuestros</t>
  </si>
  <si>
    <t>627</t>
  </si>
  <si>
    <t>antes de París un oorreo , el qual ha vuelto á París visto v..rii'S buques de guerra mas alia de Rullen. con las insignias de la murria orden para el conde Nuestros corsarios han apresado dos navios Zatnoiski, senador palatino del dúo-do de Varsoamericanos y un b rgmtin sueco cargado de sal via , que se halla en la actualidad…</t>
  </si>
  <si>
    <t>Nueve-Iglesias, Bernardo</t>
  </si>
  <si>
    <t>Bernardo Nueve-Iglesias</t>
  </si>
  <si>
    <t>Melendez, 120. Marques de Astorga, 1500. Micheo, padre c hijo, 15CO. Doña Vicenta Velásco de Hue, 150. D. Cayetano Hüc,- I50. D. Tomas Ravina, 1000. D. Bernardo Nueve-Iglesias, 7C0. D. Amonio Suris , 400. D. Sebastian Antonio Garnica, 5C0. D. Juan</t>
  </si>
  <si>
    <t>Nuñez, Francisco</t>
  </si>
  <si>
    <t>Francisco Nuñez</t>
  </si>
  <si>
    <t>ga marcha en una noche cruel j y mas faltaría, si ocultase que despees de haber estado teda ella t abajando los comisarios de guerra Don Manuel S;1 y D. Francisco Nuñez, para que la tropa recibie­ se aguardiente, pan y raciones, acompañaron la división al ac­ to del juramento : y siendo el primero de estos D. Manuel Sil á el …</t>
  </si>
  <si>
    <t>Nuñez, Francisco López</t>
  </si>
  <si>
    <t>Francisco López Nuñez</t>
  </si>
  <si>
    <t>Madrid y Gastii/a la nueva ¿ se añaden á D. Antonio Potlier........................... 34811 17 la noticia de la entrada de S. M. en Sevilla las par» D. Francisco López Nuñez.............. 2&gt;co ticularidades siguientes: Sr. D. Bernardo Iriarte.................... 17882 16 „Iíl dia 3 de este me« ha debido el quarto Cuer­ D. An…</t>
  </si>
  <si>
    <t>Nuñez, P'runcbcQ López</t>
  </si>
  <si>
    <t>P'runcbcQ López Nuñez</t>
  </si>
  <si>
    <t>la gramática hai que considerarlas cosas qu^ D. Josef Antonio G¡r-rd......................... 9cl&gt; son comunes á todos ios idiomas, y lasque son pe­ D. P'runcbcQ López Nuñez.................... I’7 5° culiares de cada uno en particular. Las primeras D. Pedro Pablo Pastor............................. 147^8 a pertenecen á lo qu…</t>
  </si>
  <si>
    <t>Nuñez, Vicente</t>
  </si>
  <si>
    <t>Vicente Nuñez</t>
  </si>
  <si>
    <t>. ,,Queriendo .erigir, un monumento en honor de Juan Alcázar: comandante de inválidos de Madrid los fundadores de la escena nacional: visto el in­ á D. Vicente Nuñez; y capitán de la qnarta com­ forme de nuestro mínjstro de lo Interior , pañía del mismo cuerpo á D. Félix Floreuce de Hemos decretado y decretamos lo que sigue: …</t>
  </si>
  <si>
    <t>O, Antonio</t>
  </si>
  <si>
    <t>Antonio O</t>
  </si>
  <si>
    <t>B. Pablo Flores y B. Marcos ÍJaguno , 26. D. Santo* Gavióla y T). Luis Rendon , 26. Varios individuos , 59 y 8 rs. -— Ai/^dme. B. Pedro Forjas , 30. D. Antonio O bregón , 10. Varios individuos , 44 y 14 rs. — Culiacan. D. Pa­ blo Verdugo , 200. D. Francisco Posada y D. Francisco Peyro , 20. D. Jo­ sé Vidal , 10. B. Ignacio Se…</t>
  </si>
  <si>
    <t>O, Juan</t>
  </si>
  <si>
    <t>Juan O</t>
  </si>
  <si>
    <t>nde se retirará por falta de salud el de Miguel. mariscal duque de Castiglione. En varios cuerpos, mayor del regimiento de Granada , 5.° de línea , á D. Juan O rei li: mayor del batallón suizo á D. Josef Ruttíman: teniente ESPAÑA. del regimiento de rezadores á caballo r.iím. a ° á Madrid 3 de junio. D. Josef de Iruegas: subte…</t>
  </si>
  <si>
    <t>O, Matías</t>
  </si>
  <si>
    <t>Matías O</t>
  </si>
  <si>
    <t>omadas por el Excmo. Sr. min stro co Paula de Lurribarna, D. Ramón de Acha, de Hacienda conde de Cabarrus ; en este día i su D. Ag í tin de Igartua , D. Matías O mina &gt; y D m pr.seucia y la del Ex.mu. Sr D. Sihastim de Pi­ Vicente de E heguren, Doña María y D„, Jo»efa de Aljama, coa mas otras siete en la c ud-d de Orduña á pr…</t>
  </si>
  <si>
    <t>O, Octaviarlo</t>
  </si>
  <si>
    <t>Octaviarlo O</t>
  </si>
  <si>
    <t>125 co Manilla, suplente por idem: D. Andrés Savariego, suplente por idem : D. Salvador S. Martin , suplente por idem : D. Octaviarlo O bre­ gón , suplente por idem: D. Máximo Maldonado, suplente por idem: D. José Maria Gutiérrez de Terán , suplente por idem: D. Pedro Tagíe, suplente por Filipinas: D. José Manuel Couto , supl…</t>
  </si>
  <si>
    <t>O, Rafael Marli</t>
  </si>
  <si>
    <t>Rafael Marli O</t>
  </si>
  <si>
    <t>............................. 5054 articulo i. ,, Se declaran acree­ D. Pedro Celiini y compañía.............. 3 1 “68 Rs vu. Mrs. dores de¡ estado á D. Rafael Marli- O. 1 lian ííe; R íl&gt;e*ra............ ........ _.fr ■3 I 4ü6 I 7 rt”z de. Ariza por....................................... 3 1 201 ió 31201 IÓ Doña Anacía Celva.…</t>
  </si>
  <si>
    <t>O-Doiin, Enrique</t>
  </si>
  <si>
    <t>Enrique O-Doiin</t>
  </si>
  <si>
    <t>ce-rán y al soldado Lorenzo Des. — Dios guarde á V. E. muchos años. — Tortellá 24 de octubre de 1810. — Excmo. Sr. — El barón de Eróles,— Exorno. Sr. D. Enrique O-Doiin^il.”</t>
  </si>
  <si>
    <t>O-Doneil, Enriqné</t>
  </si>
  <si>
    <t>Enriqné O-Doneil</t>
  </si>
  <si>
    <t>a opinar que la misma suerte aguarda al príncipe y princesa de Óldemburgo, y aun al emperador Alexandro. Tarragona 13 de octubre. El general, en gefe D. Enriqné O-Doneil ha recibido del mariscal de campo marques de Campoverde ía relación siguiente de las ventajas que ha consegui­ do pn la Cerdaña francesa* rv ... , t "Habiend…</t>
  </si>
  <si>
    <t>O-Donell</t>
  </si>
  <si>
    <t>achos cargados decarsus eminentes qualidades , fue herido «a la sien iz­ tuchos y 500 caballos. quierda , y está á pique de perder un ojo; pero no Al general O-Donell no le qneda mas recurso hJ que temer que por esto corra peligro la vida de para salvarse qne el meterse dentro de Tarragona. un oficial general tan distinguido …</t>
  </si>
  <si>
    <t>á la larga, la sociedad y compañía con los malvados. ESPAÑA. !Tarragona 18 de abril. Después de las últimas ventajas conseguidas por el exército del general O-Donell contra los franceses, el mariscal Augeréau dexando con escasas guarniciones las plazas de Barcelona, Gero­ na y Fígüeras, reunió las demas tropas, que según dice…</t>
  </si>
  <si>
    <t>aderos y cazadores y los 80 caballos, cuya bizarría con­ tuvo á los enemigos, k quienes no fué posible impedir la reunión de estas tropas con las del general O-Donell, que cubre á Al­ burquerque, hasta cuya vista llegaron los enemigos; pero con *</t>
  </si>
  <si>
    <t>352</t>
  </si>
  <si>
    <t>ra­ ble el número de desertores del exército enemigo que conti­ nuamente se nos pasan, elespues ele la proclama mandada es­ parcir entre ellos por el general O-Donell. Antes de a}^er lle­ garon á e^ta plaza 68 ; ayer 36, entre ellos un vizcaíno de los que se llevaron los franceses en la primera recpiisicion que hi­ cieron el …</t>
  </si>
  <si>
    <t>ismos sobre Lobon , donde se hallaban las nues­ tras, y les impidieron el paso del vado que intentaron para observar el movimiento de la división del general O-Donell, que de Alburquerque se había dirigido hacia el Mo itijo y Mérida.—Qpando el brigadier Imaz remíta los detalles de esta acción, se manifestarán al público las a…</t>
  </si>
  <si>
    <t>o Sicilia. — En este estado: permaneció una y otra tropa desde el -28 hasta el SO, en que después de hechos los reconocimientos ordinarios^ acudió el general O-Donell con el resto de las tropas paraimpedir los socorros de la orilla derecha, y envolver comple­ tamente la torre y casa fuerte. El 31 al amanecer, encerra­ dos les…</t>
  </si>
  <si>
    <t>758</t>
  </si>
  <si>
    <t>eron sórprehendidos en las inmediaciones^ de Barcelona pór los somatenes. i; -— &gt; Badajoz 25 de setiembre. Ayer de madrugada salió de es­ ta plaza el general O-Donell con 2 batallones dé catalanes. A media mañana.salió toda la división de Ballesteros, y des­ pués entró una brigada ele la división que se halla en Oii venza. El…</t>
  </si>
  <si>
    <t>ntes de pre­ cipitarse con bayoneta calada sobre los defensores del fortín, me avancé á ellos y les intimé la rendición, ofreciéndoles en nombre del general O-Donell, que serian tratados con hu­ manidad y con todo el respeto que se merecían unos hombres valientesoomo lo eran. Al oir el nombre respetado de V. E, rindieron las …</t>
  </si>
  <si>
    <t>ros hechos de armas igualmente memorables. Se espera por momentos la división del general Carrera , y ya hace algunos dias que entró en Lisboa la del general O-Donell. Así se reúnen para la entera derrota del mariscal Massena los valientes lusitanos que pelean por su libertad é independencia; los generosos y esforzados hijos …</t>
  </si>
  <si>
    <t>ico , del Manco, y de ©tras par­ tidas patrióticas que han estado en sus lugares, quienes les cuentan las ac­ ciones que ha habido en Cataluña con el general O-Donell, en Extre­ madura con el marques de la Romana, en Murcia ccn el general Blake, y en Portugal ccn un ingles llamado VVeiiington. Estoy cierto que quando vm. lea …</t>
  </si>
  <si>
    <t>O-Donell, Enriqrre</t>
  </si>
  <si>
    <t>Enriqrre O-Donell</t>
  </si>
  <si>
    <t>vanguar­ dia de una división de 6D hombres que viene á España. Pero na­ da tiene que temer esta provincia riendo á -su frente al intrépido y valeroso D. Enriqrre O-Donell, con tal que se active el sorteo, y se acaben de organizar con la mayor prontitud todas las legio­ nes del exército catalán.—Se han recibido noticias de que…</t>
  </si>
  <si>
    <t>O-Donell, Enrique</t>
  </si>
  <si>
    <t>Enrique O-Donell</t>
  </si>
  <si>
    <t>reedores á los favores de V. E.—Dios guarde á V. E. muchos años. Tarragona 1 9 ie setiembre de 1810.—Exorno. Sr.— Honora­ to de Fleijres.— Rxcmo. Sr. D. Enrique O-Donell. II. Excmo. Sr. —En oficio de hoy el teniente coronel Don Tadeo Aldea, sargento mayor del batallón de voluntarios in­ fantería ligera de Tarragona, me da el …</t>
  </si>
  <si>
    <t>n quanto dependió de sus facubades para el bien de la tropa. — Dios guarde &amp;o. Cardona 22 de octubre de 1810. — EL marques de Campoverdü'.—Excmo. Si\ D. Enrique O-Donell.” Resumen del estado de la pérdida de La división del mar­ ques de; Campoverde. en. la acción del 21 de octubre.-—Tres oficiales y 5 soldados mueitos , 33 so…</t>
  </si>
  <si>
    <t>O-Doñell, Jofee</t>
  </si>
  <si>
    <t>Jofee O-Doñell</t>
  </si>
  <si>
    <t>Chancillería. El mismo Consejo de Regencia en nombre de S. M., se ha servido promover á mariscales de campo de los reales exércitos á los brigadieres D. Jofee O-Doñell , coronel del regimiento de infantería primero de la Princeéá , y mayor general de infantería del exército de -la izquierda ; y a I). Juan Senen dé Contreras, …</t>
  </si>
  <si>
    <t>O-Donojú</t>
  </si>
  <si>
    <t>gos, descansaron la noche del 11 en S. Mateo, donde repitieron ios mismos excesos; y des­ de allí retrocedieron el 13 hacia la Galera. El dia 16 , el general O-Donojú intimó la rendición &amp; Mr. Quisin , gober nador del castillo de Morella. —- Después escribe el mismo general desde Albocaeer con fecha del 19, que habiéndose pre…</t>
  </si>
  <si>
    <t>O-Dontieil, Enrique</t>
  </si>
  <si>
    <t>Enrique O-Dontieil</t>
  </si>
  <si>
    <t>ando para en­ tregarse de ellos. — Dios guarde á V. E¿ muchos a;\os. Dás 3 de octu­ bre de 1810. Excmo. Sr. = El marques de Catnpovsrde zz Excmo. Sr. D. Enrique O-Dontieil.”— El brigadier Barón de Labirre participa al gen¡t \ en gef ron fecha de a; de setiembre último desde Fa'-set, que te.ienlo notVa de que los enemigos solo…</t>
  </si>
  <si>
    <t>O-FARÍULL, GONZALO</t>
  </si>
  <si>
    <t>GONZALO O-FARÍULL</t>
  </si>
  <si>
    <t>475 VI. A D. GONZALO O-FARÍULL. París 2.0 ds junio de 1810.— Mi estimado compañero y amigo :; quién sabe donde encontrará á vrnd. esta carta ? Aquí dicen qu e iban vmds. á salir para Valencia: ;y con que tropas (14)? Co­</t>
  </si>
  <si>
    <t>O-Farrill</t>
  </si>
  <si>
    <t>s, y á Jas veces contienen noticias singulares y curio­ sas. En una carta escrita por D. Juan Bautista de Castro, co^ mandante general de Córdoba, al ministro O-Farrill, se leen los estados del regimiento'‘primero de infantería de línea, y primero de cazadores á caballo, y de ellos resulta estar au­ sentes las dos terceras pa…</t>
  </si>
  <si>
    <t>O-larri, Gonzalo</t>
  </si>
  <si>
    <t>Gonzalo O-larri</t>
  </si>
  <si>
    <t>entos del discurso humano , llevados D. Mariano Plerran................................... 31'it itf de que en este no se usa palabra ninguna qn« Sr. D. Gonzalo O-larri 1....................... jjcG} 22 no podamos alistar con facilidad en qualquiera de Sr. D. Luis Marcelino Pcreira.............. 7°37 27 elids; pero pronto ver…</t>
  </si>
  <si>
    <t>Oadinot</t>
  </si>
  <si>
    <t>, embaxador de Holanda culo de Westfdlia hasta el embocadero del Wcscarca de nuestra corte, entregó ayer á nuestro So­ ser, y estará á Ls órdenes del mariscal Oadinot, berano la gran cruz de la óidcu holandesa de la duque de Reggio. Union. El Reí de Holanda ha enviado la misma £1 número de tropas francesas que había en condec…</t>
  </si>
  <si>
    <t>Oautier</t>
  </si>
  <si>
    <t>bispal, en que S. E. se halla alo­ exército insurgente se retiró en desorden sobre Najado , estaba perfectamente iluminada y adornada via, y él 15 el coronel Oautier iba todavía persi­ al intento. Las bandas de música ocupaban la esca­ guiéndole. lera , y todo presentaba un espectáculo de brillan­ Según noticias fidedignas nr…</t>
  </si>
  <si>
    <t>Obbes, Lúeas</t>
  </si>
  <si>
    <t>Lúeas Obbes</t>
  </si>
  <si>
    <t>. D. Juan Triana, 15. D. Fernando Sánchez, alterez de fragata graduado, con­ tramaestre de- construcción, 25. D. Gaspar Botets, primer cirujano , 4c. D. Lúeas Obbes, asesor, 3$ y 4 rs. D. Manuel de Cavia, $5 y 4 rs. - —</t>
  </si>
  <si>
    <t>Obispo</t>
  </si>
  <si>
    <t>del regimiento de América. Desde este punto al de la ac­ ción mediaban tres quartos de hora; pero el Señor O- Donell hi­ zo el viage en uno. Mandó ai Brigadier Obispo que colocase el batallón de Granada que venia en retirada en una altura, y que reuniese otra porción de América que marchaba en desorden, y la colocase en otra,…</t>
  </si>
  <si>
    <t>o que oyeron los primeros tiros de las guerrillas de la división de Porras, se retiraron con precipitada fu­ ga. Pe rsiguiéroníos por disposición del general Obispo las gueriilas de Valencia , Darcca y Numancia--, causándoles notable dañoi JLa división. Manso . que no habiendo oído el primer fu g v, se había detenido algun ta…</t>
  </si>
  <si>
    <t>Obregon, Francisco</t>
  </si>
  <si>
    <t>Francisco Obregon</t>
  </si>
  <si>
    <t>vos. El subdelegado D. Atanasio Loya, 283. D. José Antonio Loya, 125*. D. Pablo Villalobos, 50. D. Ciríaco Salas, 20. D. Juan de Dios Rodríguez, 2 4. D. Francisco Obregon, 27. Varios individuos, ;r. Los naturales de Sta. Cruz de Valerio, 13. Id. de S. Pablo, 11 y 6 rs. Id. de S. Felipe, 12 y 3. Id. de Guaxoritañ ,9. El cura y…</t>
  </si>
  <si>
    <t>Obregon, José</t>
  </si>
  <si>
    <t>José Obregon</t>
  </si>
  <si>
    <t>al guerra, y de él dos pagas de su respectivo g ce para es­ te donativo. Fragata Flora. D. Agustín de Aldecoa , alférez de fraga­ ta , 30.—Depo'sito. D. José Obregon , capitán de fragata, 200 —Te­ nientes de navio. D. Domingo Navarro, no. D. Juan Lacre, 110 D Ma­ nuel Laiglesia, nd.—Idem de fragata. D. Joaquín SUgasri , 80. I…</t>
  </si>
  <si>
    <t>Obregon, Pedro</t>
  </si>
  <si>
    <t>Pedro Obregon</t>
  </si>
  <si>
    <t>rado y nombramos cisco Vargas, D. Jcsef Echavarri, D. Andrés Or­ á nuestro consejero de Estado y teniente general tega, D. Juan Montemayor. de marina D. Pedro Obregon para entender en ios Tenientes. D. Jaime Mayol, D. Jorge Ostman, ramos de marina del tramo de costa de este tercio D. Juan de León, D. Salvador Ximeuez , D. Ra­…</t>
  </si>
  <si>
    <t>festar á V. Eé en contestación á su oficio de 6 del actual. — Dios guarde á V. E. muchos años. — Málaga 9 de mayo de i8io.—José Cervera. — Excmo. Sr. D. Pedro Obregon, — Es copia. — Pedro de Obregon. IV. De D. Pedro de Obregon al duque de Dalmacia. Excmo. Señor: Acabo de recibir el oficio de V. E. de 6 de es.te jfiés eri que …</t>
  </si>
  <si>
    <t>Ocaña, José</t>
  </si>
  <si>
    <t>José Ocaña</t>
  </si>
  <si>
    <t>Gómez, D. José Flaquer, D. Lean­ dro Rubira , D. José Velasco, D. Joaquín Velasco, D. Caytt no Vico, D. Manuel Aranda , D. Antonio Sánchez Navarro , D. José Ocaña, y D. Miguel Larraz. Empleos de alféreces en el regimien­ to de Reales Guardias Españolas , á los cadetes del mismo cuer­ po , D. Juan Manuel Coghen, D. José María …</t>
  </si>
  <si>
    <t>Ocaroi, Manuel María</t>
  </si>
  <si>
    <t>Manuel María Ocaroi</t>
  </si>
  <si>
    <t>ta de los donativos hechos por les individuos del apos­ tadero de marina de Montevideo. Bergantín guardacostas, Befen.—Oficiales de guerra y mayores. D. Manuel María Ocaroi, teniente de fragata y comandante, 40. Don José de Agandoña, alférez de fragata , ;o. Id. D. Pedro Fernandez Tavira, 50. D. .Antonio Contero, segundo ciru…</t>
  </si>
  <si>
    <t>Ochaita, Juan</t>
  </si>
  <si>
    <t>Juan Ochaita</t>
  </si>
  <si>
    <t>de, de 2116 estadales................... 74- *7 1639 Smo. Cristo del Socorro, que hace me­ Otra arriba del prado de Acedinos, de dianería con otra de D. Juan Ochaita. 443 53^ 740 estadales....................................... 4* 924 Otra que fue del maestro D. Pedro Alon­ Otra que sale al camino de Leganes, de so Gaseo, cur…</t>
  </si>
  <si>
    <t>Ocho, To</t>
  </si>
  <si>
    <t>To Ocho</t>
  </si>
  <si>
    <t>inte y siete obradas de viña, zález , arrendados á Miguel pago de la Galera, término Nalvaez en........................ 209 2409 de Torrox, linde con D. To­ Ocho marjales de riego, pago de mas de A riza, que tiene arren­ la Cajacija, Linde con Alonso dadas á Francisco de Chozas Olaya y barranco del mismo en...................…</t>
  </si>
  <si>
    <t>Ochs</t>
  </si>
  <si>
    <t>mponen la primera división dé la gíiSrdi 1 im­ de gabinete; Boucheporn, mafiscál de la.corte; el perial: la segunda división¿ á la qual seguirá inme­ general Ochs; el coronel príncipe de Salin-Salni, diatamente la tercera , ha pasado ya de Burdeos, y '«decan del Reí; el coronel- de la Ville-sur-Iilotnj dentfo.de ocho diás lle…</t>
  </si>
  <si>
    <t>Ocon, Juan</t>
  </si>
  <si>
    <t>Juan Ocon</t>
  </si>
  <si>
    <t>o. sas consistoriales, é inmediatamente se dio princi­ Fd REI ha venido en nombrar al presbítero pio á los fuegos artificiales, que fueron vistosísi­ D. Juan Ocon , ex-regular de la ó.den de S. Ge­ mos. Los puentes, los malecones, las cailes y aun rónimo, para e! beneficio servidero de lt iglesia los tejados de las casas y ed…</t>
  </si>
  <si>
    <t>Octaviano</t>
  </si>
  <si>
    <t>en el tres provincias en que estaba repartida entonces toda la tome 4° de la España sagrada una nota de esta división península, desde el tiempo del Emperador Octaviano tomada de la historia de Rasis: el autor de la diserta­ Augusto. El autor señala con exactitud los límites de ción la ha insertado también en el apéndice de e…</t>
  </si>
  <si>
    <t>Odo</t>
  </si>
  <si>
    <t>aquel para deliberar y tomar las resoluciones que mejor principado. les parezcan sobre este mismo negocio, y en Lon­ Corren voces de que ha muerto el conde Odo- ■ dres han determinado los mas de los vecinos ves­ nell, ministro de Hacienda en Viena. tirse de verde el dia en que Mr. Burdett salga de su prisión. GRAN DUCADO DE B…</t>
  </si>
  <si>
    <t>Odoneli</t>
  </si>
  <si>
    <t>1071</t>
  </si>
  <si>
    <t>te de la cámara de Hacienda, vuelve á es­ te mismo destino con poderes mas ámplíos que los GRAN DUCADO DE FRANCFORT. qne tenia antes de la muerte del conde Odoneli, y tendrá el título y autoridad de ministro de Ha­ Francfort 2 r de julio. cienda sin depender del consejo de Estado. Este ha El comercio de Franc fort es en el dí…</t>
  </si>
  <si>
    <t>Odonell</t>
  </si>
  <si>
    <t>su comitiva á las dos, y entró lat damas de palacio; á saber : la princesa de Traut- en el saioD del lado de Altheim. Después de haber taansdorff, ia condesa Odonell, la condesa de Sau- descantado un momento, fu* introducida S. M. por re», la de Apponi, la de Biumegen, la de Trauñ, el maestro de ceremonia^austuaco en el gran …</t>
  </si>
  <si>
    <t>triz mar­ chara desde allí a los baños de Toeplitz. En la noche del 3 ai 4 falleció repentinamente Los ministros y otros empleados principales del el conde Odonell , ministro de Hacienda. Este mi­ gobierno tienen casi todos los días conferencias pa- nistro se estuvo paseando por la tarde en el Prater -ra deliberar sobre las m…</t>
  </si>
  <si>
    <t>gatas inglesas, ni tampoco es fácil dete­ bre el nuevo plan de rentas con motivo de la muer­ nerse ni cruzar por las inmediaciones de este ba­ te det conde Odonell, y no volverán á principiar­ luarte del golfo Adriático. El mismo almirante in­ se hasta que se nombre nuevo ministro de Ha­ gles conoce la imposibilidad de apoder…</t>
  </si>
  <si>
    <t>se dice, y después irá con ción general del ministerio de Hacienda. Entre los toda la familia real al palacio dé Pilnitz, Dícese papeles del difunto conde Odonell se han encon­ también que S. M. la Emperatriz de Austria pien­ trado los que tenia escritos relativos á su sistema sa ir á pasar en dicho palacio algunos dias, acom…</t>
  </si>
  <si>
    <t>legado á esta capital. RUSIA. ' Dícese que el conde de Wallis, gobernador de la Bohemia, sucederá en el ministerio de Hacienda Baca tt de trtarza. al conde Odonell; y que el conde de Stadion, mi­ Días pasados se prendió fuego por descuido d« nistro antiguo de Negocios extrangeros, reempla­ la tripulación en un buque persa, ca…</t>
  </si>
  <si>
    <t>ndidos, que infestan algunos distritos de la SaSe dixo al principio que un archiduque sucede­ xonia; y van á formarse algunas colunas movibía* ría al conde Odonell en el ministerio de Hacienda, de tropas para acabar de exterminarlos. y después que el conde de Wallis: ahora dicen que se dará este ministerio al conde de Wrbna, …</t>
  </si>
  <si>
    <t>iudad al conde Met- Ciudad de Weingarten. ternich, el qual es mui probab e que contribuya y* apoye el cuerdo proyecto formado por el dilunto HOLANDA. conde Odonell de aplicar los bieues eclesiásticos Amiterdan 8 de julio. para la hipoteca y amortización de una parte de nuestro papel-moneda. L. junta nombrada para Como S. E. e…</t>
  </si>
  <si>
    <t>t^nto mas culpable, quanto escribió Wailis para el ministerio de Hacienda , vacante por su carta quatro diaS después de h iberse publicado muerte del conde Odonell. La comisión encargada aquí el decreto de S. M. I. y R., y de haberse de la amortización de los billetes de banco no ha tomado las providencias mas eficaces para p…</t>
  </si>
  <si>
    <t>s qae ha sostenido la casa de Aus­ mibles. tria, quasi sin interrupción, desde el año de 1787. Desde que el caminó de Orsowa quedó intran­ El difunto conde Odonell y*.1 había trazado et plan sitable por causa de la guerra, se traen á esta ca­ de esta operación de hacienda, y hecho sentir su pital los algodones de Macedoma por…</t>
  </si>
  <si>
    <t>Oessolle</t>
  </si>
  <si>
    <t>por la experiencia. Se halla­ qu..l executó dos cargas con el mayor denuedo. = rá en las librerías de Castillo, frente á las gradas de Por orden del general Oessolle, gobernador gene­ S. Felipe , de Dávila , calle de Ls Carretas , y de ral, el gefe de la plana mayor Francisco Bagneris.” Orea, frente á S. Luis: su precio 2 rs.…</t>
  </si>
  <si>
    <t>Oferral, Juan José</t>
  </si>
  <si>
    <t>Juan José Oferral</t>
  </si>
  <si>
    <t>. D. Miguel Mendízabal,. 400. D Salvador de Oria , 50. Duque de Medinaceli, ioco. D. José Manuel Abalia , ibo D. R. A.A., 40. D. Ignacio Casal, 5000. D. Juan José Oferral, 6co. Tres dependientes de la dirección de Correos , 120. D. Francisco Noriega, presbítero , 180. D. F. F. G., 10.—Total, ^8322 rs. vrí. Idem en prendas.— D…</t>
  </si>
  <si>
    <t>Ogioski, Miguel</t>
  </si>
  <si>
    <t>Miguel Ogioski</t>
  </si>
  <si>
    <t>esa;;*.... Les haremos :ver que nador de Rusia, el señor general barón de •Me- el poder-de la Francia es tan grande » que nada yendorff, y el senador conde Miguel Ogioski. puede, resistirle en el ^continente. La .-Inglaterra lo Después de misa ha habido gran parada en el sabe mejor que nadie; pero necesit^.despedazar los pati…</t>
  </si>
  <si>
    <t>Oí, Tí</t>
  </si>
  <si>
    <t>Tí Oí</t>
  </si>
  <si>
    <t>0* © C* ©; fc 49 3 XT 04 3 ¡oO 00 tí &lt;5! s- 1353 0) O 09 © *53 • wt &lt; A 3 o &gt; &lt;fiX5í-© 00 • ^4•*-* co &gt;v ce fl "CJ fl 1Ni ■'■*». ce ■ rt ^ 49 © 09 Vi d Tí 09 Oí tí © o;a • e wo 00© uh © 13 fl­ eo a; £ &gt; H3 03 en 09 3■ «3 O* . fl sa E3 O © ^ í&gt; S3 ¿3 « o a r cr t Cu, &lt;30Oí S 8Cu &lt;u r° ¿a W ■sr • o Oh «j M . rj *—« O . NUM. II.…</t>
  </si>
  <si>
    <t>Oíavarricta, Juan Lucas</t>
  </si>
  <si>
    <t>Juan Lucas Oíavarricta</t>
  </si>
  <si>
    <t>D» Felipe Vivanco, 50. D. Francis­ co García Puertas., 100. El Escribano D. Manuel Vidal , 100. D. Rafael de Ibarra , 100. D. Francisco Ascorve , 50. D. Juan Lucas Oíavarricta , 400. D. Roque Martínez, 50. D. José Antonio de Cevallos , 100. D..Juan Francis­ co de Senties, 100. D. Joaquin Pérez de Arce, 100. D. Julián de Corta…</t>
  </si>
  <si>
    <t>Oído</t>
  </si>
  <si>
    <t>tución del estado, REI de las Espa­ „ El gobierno fixará del modo que jnzgbe mas ña* y de las Indias. oportuno la dirección de las casas de educación d Oído el coatejo de Estado, instrucción que estabao á cargo de los. religiosas Hemos decretado y decretamos lo siguiente : suprimidos." , articulo 1. ,,Los prefectos presidirán…</t>
  </si>
  <si>
    <t>Oido, Rami</t>
  </si>
  <si>
    <t>Rami Oido</t>
  </si>
  <si>
    <t>constitución del estado» REI de las España* tirado» y administrador de rentas de Carmona; •y de las Indias. D. Josef Velasco, capitán de artillería; D. Rami­ Oido nuestro gran consejo de ia Orden Real ro Bobadilla, capitán de cazadores de infantería de España, hemos decretado y decretamos lo si­ de Ecíja ; D. Francisco Gómez …</t>
  </si>
  <si>
    <t>Oígowitsch</t>
  </si>
  <si>
    <t>llaman la atención por sa las decretales del metropolitano Juan Kieu, coa—'&lt; conducta urbana y exempLr. . : temporáneo de Nestorio, y del código del príncipe Oígowitsch, que vivía en el siglo xii, y otras au-; IMPERIO FRANCES. ti^uallas rusas del xiv , remitidas de la Moldavia; pero nada de esto publicará hasta que haya dado-…</t>
  </si>
  <si>
    <t>Ojanpnren, Juan Trsefde</t>
  </si>
  <si>
    <t>Juan Trsefde Ojanpnren</t>
  </si>
  <si>
    <t>o Bravo.................................... 243G 2 &gt;4 D o fu M «rit Josefa Olarrima.............. 721 % D. Josef Manuel de izagurre............. 3°10 D. Juan Trsefde Ojanpnren.,........ ... 33,-3 -■s -% •j&gt; D. Santiago Sedaño................................. 992 2j2 D. Di&gt;:r.t;iu ' de UrrcnsyecFcM............ 1 -34 8x D F•'an…</t>
  </si>
  <si>
    <t>Olarte, Dionisio</t>
  </si>
  <si>
    <t>Dionisio Olarte</t>
  </si>
  <si>
    <t>cura párroco D. Francis­ co Ortiz, del alcalde D. Alonso Gaitan , D. Dio­ Administración general. nisio Carro y D. Martin de Porras , diputados, los D. Dionisio Olarte, oficial primero. quales en nombre de su ayuntamiento y vecinos D. Manuel Imafia , idem 2. han prestado á S. M. el juramento de fidelidad y D. Ramón Montoya, i…</t>
  </si>
  <si>
    <t>Ólavnrrieta, Francisco</t>
  </si>
  <si>
    <t>Francisco Ólavnrrieta</t>
  </si>
  <si>
    <t>a gracia de Dios y i.° Juez á D. Pedro Simó, oidor en ei propio por ía constitución del estado, REI de las Espa- tribunal. ñas y de las Indias. i.° A D. Francisco Ólavnrrieta. Visto ei inter ne de nuestro ministro de la 3.0 A D. Marcos Martin Ovi.do. Guerra hemos decretado y decretamos lo. que 4° A D. lomas Agrednno, todos tr…</t>
  </si>
  <si>
    <t>Olí, Josef</t>
  </si>
  <si>
    <t>Josef Olí</t>
  </si>
  <si>
    <t>Mariano Luis de Urquijo.” tonio Guzman. En el de Granada, $.° de línea, subtenientes á Don Josef Napoleón por la gracia de Dios y D. Antonio Cortijo, D. Josef Olí ver y D. Juan por la constitución del estado, REI de las Espa­ Ruiz: en el de Málaga, 6“ de línea , teniente á Don das y de las Indias. Juan Antonio Perello , y sub…</t>
  </si>
  <si>
    <t>Oliden, Juan Ignacio</t>
  </si>
  <si>
    <t>Juan Ignacio Oliden</t>
  </si>
  <si>
    <t>ui, roo. José Pablo Bracannonte, 39 y 3 rs. Ramón Hernández, 1 xa.--Valle de S. Bartolomé. Don Estéban Mata, 10. Doña María y Doña Juana Urquidi, 50. D. Juan Ignacio Oliden, 40. D. José Ignacio Cordero, 20. D. Manuel EstaviLlo, 10. D. Francisco Díaz Velarde, 40. D. Joaquín Maynez , 10. Don Agustín Soto, 20. D. José Ramón Luxa…</t>
  </si>
  <si>
    <t>Olivas, Gorgonio</t>
  </si>
  <si>
    <t>Gorgonio Olivas</t>
  </si>
  <si>
    <t>.— Primera Vio­ lante. Capitán D. Pedro Larramendi, 92. Teniente D. Lúeas Valenzuela, 5. Id. D. Gregorio Blanco, 10. Alférez D. Fermín Tarbe, 25. Id. D. Gorgonio Olivas, 3. Capellán D. Rafael Nevares, 3. D. José Ronqui­ llo, 15. Sargentos, cabos y soldados , 197.— Segunda Volante. Capitán D. José María del Rivero , 100. Tenie…</t>
  </si>
  <si>
    <t>Olive, Antonio</t>
  </si>
  <si>
    <t>Antonio Olive</t>
  </si>
  <si>
    <t>nito Ramón de Hermida, procurador por el revno de Galicia; el marques de Villafranca por el de Murcia; D Fe­ lipe Amat por el principado de Cataluña; D. Antonio Olive­ ros por la provincia de Extremadura ; D. Antonio Sámper por el reyno de Valencia, y D. Ramón Pon ver por la isla de Puer­ to-Rico ; examinen estos seis procura…</t>
  </si>
  <si>
    <t>Oliveras, Ccsme</t>
  </si>
  <si>
    <t>Ccsme Oliveras</t>
  </si>
  <si>
    <t>astornos que ha sufrido este pais, no me han da­ do lugar para tras-adar ios partes y relaciones que me lian pasa­ do los señores D. Juan Fabrega , y D. Ccsme Oliveras, coman­ dantes de las compañías de somatenes organizadas, y apostadas en la parte superior del corregimiento de Gerona, lo que verifi­ co si presente. Luego qu…</t>
  </si>
  <si>
    <t>Olivero, Antonio</t>
  </si>
  <si>
    <t>Antonio Olivero</t>
  </si>
  <si>
    <t>Hermida , diputado por'el reytío de Galicia: el Marques de Viiíafranca, por el de Murcia: D. Felipe Amar/por el principado de Cataluña: D. Antonio Olivero?,' por la provincia de Extremadura : D. Ramón Povcr, por la isla de Puerto Rico: D. Ramón Saris , por la ciudad de Barce­ lona : D. Juan Valle, por Cataluña: D. Plácido de …</t>
  </si>
  <si>
    <t>Oliveros, Antonio</t>
  </si>
  <si>
    <t>Antonio Oliveros</t>
  </si>
  <si>
    <t>to Ramón de Hermida , procurador por el reyno de Galicia; el marques de Yillafrañca por el de Murcia; D. Felipe Amat por el prin­ cipado de Cataluña; D. Antonio Oliveros por * ' - \ Y ,Í y . ^ la provincia de Extremadura; IX Antonio Samper por él réyno déi Yáleneia, ^ Di RansonPouver por la isla; de Puerto-íRico; exa­ minen e…</t>
  </si>
  <si>
    <t>Olloniego, Miguel</t>
  </si>
  <si>
    <t>Miguel Olloniego</t>
  </si>
  <si>
    <t>José Felhe , habitante de Eire (es D. Juan) ; el corregidor de la Ulloa (D. N. Uarela) ; el cura de Gundivós UD. Manuel Gay) ; ei cura de 3a Pénela (D. Miguel Olloniego) ; el nombrado Boado , relator déla audiencia áe la Coruña (D. Pedro) ; el nombrado Casardique, rico habitaste cer­ ca de la barca de Belesar sobre la ribera …</t>
  </si>
  <si>
    <t>Olmedo, Cristóbal</t>
  </si>
  <si>
    <t>Cristóbal Olmedo</t>
  </si>
  <si>
    <t>2 22 derado de D. Francisco Elexaga ... 1985 J7 Doña María del Rosario Reinoso....... 23687 D. Bernardo Elexaga............................. 1453° 8f D. Cristóbal Olmedo.............................. 90068 17 D. Andrés Martínez............................... 1994 5 8| D. A ntonio López.................................. *5 3f …</t>
  </si>
  <si>
    <t>Oloriz, Juan Crísóstomo</t>
  </si>
  <si>
    <t>Juan Crísóstomo Oloriz</t>
  </si>
  <si>
    <t>51 años , fue procesado en el de 179? xiones políticas y morales, sobre la sociedad del hom­ con un hermano suyo por hurtos de leña y cace- bre, por D. Juan Crísóstomo Oloriz: un toma en 8.° tías en los bosques reales : resultaron ambos Verdar —-De los Remedios de qualquiera fortuna, libro de Lu­ derameote vagos; y aunque ent…</t>
  </si>
  <si>
    <t>Omulrian, Josef</t>
  </si>
  <si>
    <t>Josef Omulrian</t>
  </si>
  <si>
    <t>gustín Riquelme, alcalde del cri­ 2 Cuenca, Valencia , Alicante...... Videncia. men de Granada. ‘ ¡ Teruel , Z ragoza , Tarragona.... Zaragoza. 4.“ A D. Josef Omulrian , alcalde mayor de 3 4 JJ i&gt;-ce"*n , Gerona , Lcírida........ Barcelona. Córdoba. - 5 Huesca , Pamplona........................ Pamplona. Fiscal á D. Magín Fer…</t>
  </si>
  <si>
    <t>Oñativia, Antonio</t>
  </si>
  <si>
    <t>Antonio Oñativia</t>
  </si>
  <si>
    <t>ez.............. 2&gt;co ticularidades siguientes: Sr. D. Bernardo Iriarte.................... 17882 16 „Iíl dia 3 de este me« ha debido el quarto Cuer­ D. Antonio Oñativia......................... 1623 5 28 po ocupar á Málaga y Guadix. Doña María Concepción de Eche­ „ El regimiento de suizos de Reding, fuerza varría............…</t>
  </si>
  <si>
    <t>Ondinot</t>
  </si>
  <si>
    <t>se­ Los géneros exportados de sola la ciudad de gundo cuerpo de exército mandado anteriormente Riga para los Estados-Unidos importan 6.661851 por el general Ondinot se disolverá, y sus divisio­ rublos, y los que han salido del mismo puerto nes serán destinadas á diferentes partes: la del ge­ para Holanda ascienden á 7.054560 …</t>
  </si>
  <si>
    <t>obre el eximen é informa­ Ambires y de abril. ción de la expedición del Escalda. Su resultado ha sido aprobar en--un todo la conducta del ministe­ El mariscal Ondinot, duque de Reggío , vol­ rio. La cuestión que se propuso primero fue sobre verá aquí de un dia á otro con todo su estado si la expedición del Escalda había sido …</t>
  </si>
  <si>
    <t>Onis, Joaquín</t>
  </si>
  <si>
    <t>Joaquín Onis</t>
  </si>
  <si>
    <t>de S. Juan. D. Josef Aleson. D. Matías López de Para. Batallón del quartel de Afligidos. D. Fernando Ruiz Mazo. Capitanes. D. Isidro de Mata y Serna. D. Joaquín Onis. D. Josef Fernandez Zúñiga. D. Josef María Monserrat. D. Ramón Echaetea. D. Gaspar Soiiveres. Subtenientes. D. Juan Ncpomuceno Rosales. D. Josef Vargas. D. Juliá…</t>
  </si>
  <si>
    <t>Oniz, Redro</t>
  </si>
  <si>
    <t>Redro Oniz</t>
  </si>
  <si>
    <t>, D. Tornas Gatída . *D. 'Santiago Blanco , y D. A«nt©nio Morí troya ■; y Whireneircias á D. Litis Ramos , D. Ma­ nuel Saez , ID. Francisco Hidalgo , D. Redro Oniz , D. Manueil Hidalgo , D. Joaquín Hidalgo, D. Francisco Dacosta , D. Fer­ nando Barbolla, IV José CansLo, D. Fernando Teruel, D. José A-mat, IV A*gu¡»tin Amat, D. …</t>
  </si>
  <si>
    <t>Onofre</t>
  </si>
  <si>
    <t>aunque no1 cura ecónomo de Hueneja, para el de Sta. María cumplan todas las condiciones necesarias para ob­ de esta villa en la propia diócesis; y á D. Onofre tener este premio. Ramírez para el beneficio curado de la villa de la „ Por último, dice el prefecto, aunque estoi Solana, en la provincia de ia Mancha. bien convencido…</t>
  </si>
  <si>
    <t>Ontiveros, Josef Ramón</t>
  </si>
  <si>
    <t>Josef Ramón Ontiveros</t>
  </si>
  <si>
    <t>ez. Eu conformidad de lo dispuesto en nuestro de­ Para la de Jayena y Fornes al ex-agustino creto de t.° de mayo último sobre la provisioa y descalzo D. Josef Ramón Ontiveros. servicio de las sacristías de las iglesias de nuestro Para la de Sta. María Magdalena de Granada real patronato ; y vista la propuesta de ex-regola- al…</t>
  </si>
  <si>
    <t>Oovarow</t>
  </si>
  <si>
    <t>mas felices. El valiente coronel Orourk recha­ Un destacamento del cuerpo que manda el te-» zó siempre con igual suceso los ataques reiterados siente general Oovarow se apoderó el 13 de ju­ de los enemigos; y habiéndolos acometido por.úl­ lio, cerca de Slobodza, de una isla , cuya posición timo á la bayoneta , los obligó á re…</t>
  </si>
  <si>
    <t>Or, Andrés</t>
  </si>
  <si>
    <t>Andrés Or</t>
  </si>
  <si>
    <t>do y decretamos lo siguiente': D. Antonio Rubio, D. Juau Ahumada, D. Fran­ articulo i. ,,Hemos nombrado y nombramos cisco Vargas, D. Jcsef Echavarri, D. Andrés Or­ á nuestro consejero de Estado y teniente general tega, D. Juan Montemayor. de marina D. Pedro Obregon para entender en ios Tenientes. D. Jaime Mayol, D. Jorge Ostm…</t>
  </si>
  <si>
    <t>Ordaz, José</t>
  </si>
  <si>
    <t>José Ordaz</t>
  </si>
  <si>
    <t>s. donativos de la Nueva-Vizcaya, Compañía ÍP"volante. Capitán D. Andrés Mateos, 40 ps. fs. Teniente D. José Uribe, 8. Id. D. Manuel Perú, 8. Alférez¿D. José Ordaz, 10. Id. D. Agustín Geballos. 15 Capellán Fr. Bernardo Rincón , 25. Sár* antos, cabos y soldados, 401 y 2 rs. —Ciudad de Durango. Elgof ernador-intendente , brigad…</t>
  </si>
  <si>
    <t>Orduñá'á, Cayetano</t>
  </si>
  <si>
    <t>Cayetano Orduñá'á</t>
  </si>
  <si>
    <t>allon"¿n'!á va­ ficionadas. El vírnsjsc contrae por la boca quizá mas cante de D/ Jaime Mayórí ’ fácilmente- que por'el coito, y á ciertas épocas coa D. Cayetano Orduñá'á subteoiente dé quin­ .iíiás' frecuencia. Es mas refinada la infección viro­ ta compañía del segundo batallón en lasábante de lenta-de la boca que de otras p…</t>
  </si>
  <si>
    <t>Oreilana, Camilo</t>
  </si>
  <si>
    <t>Camilo Oreilana</t>
  </si>
  <si>
    <t>alle de los Majuelos, de 2 aranzadas, que en Una tierra de i§ fan., camino de Valdcte- el dia se compone de 770 cepas y 30 mar­ resa, linde olivos de D. Camilo Oreilana ras , con una cabecera de tierra inútil........... 70 iS4o y Manuel de la Cámara.................................. 10..17 231 Una tierra de 2$ fan., al camino…</t>
  </si>
  <si>
    <t>Orella, Vicente</t>
  </si>
  <si>
    <t>Vicente Orella</t>
  </si>
  <si>
    <t>deben de Hacienda, cuyos vales contendrán una certificación ele ser cortos, y si posible fuese monosílabos é in­ del gefe de la oficina de renovación D. Vicente Orella­ dependientes entre si: ademas , aunque es verdad na, para que en virtud de ella se estimen por legítimos que la composición de las palabras en la primera los …</t>
  </si>
  <si>
    <t>Orellana, Camilo</t>
  </si>
  <si>
    <t>Camilo Orellana</t>
  </si>
  <si>
    <t>. 6.. 17 *43 Praderon del Valle de los Majuelos, de Otra de 880 cepas en el pago de la Careaba, 3ó2 cepas, las 346 vivas, y las 16 mar­ que linda con D. Camilo Orellana.............. 21..17 &gt; 473 ras, que linda con dicho Praderon y con Una alameda en la vega, linde Bernardo Car­ majuelo de Narciso Benito y cabecera de rasco y…</t>
  </si>
  <si>
    <t>Orendain, Manuel</t>
  </si>
  <si>
    <t>Manuel Orendain</t>
  </si>
  <si>
    <t>a Ga~ ray, ro. Varios pobres, 25 y 4 rs. D. Leonardo Flores, 20, D. Pedro Rábago 24 y 4 rs. D. Juan Femando Ceballos, 40. D. José Antonio Lorina, 50. D. Manuel Orendain, 25c D. Cirios de Arriaga, 100. Don Francisco Antonio de la Presa , 50. -- Chibuagua. Ei ministro tesorero D. Francisco Truxiílo, 100. D. Isidro Madero, ofici…</t>
  </si>
  <si>
    <t>Orni, Cristóbal</t>
  </si>
  <si>
    <t>Cristóbal Orni</t>
  </si>
  <si>
    <t>, que coinprehende desde zos , están todos reunidos 6 el Cenage hondo hasta la tier­ incorporados, y lindan con ra del Veinte y quatro, y laolivar de D. Cristóbal Orni- bot del convento 6 cartuja re­ 11o y Lora, y con otro del ferida , su cabida 20} aranza­ convento de religiosas Merce­ das de olivar..........................…</t>
  </si>
  <si>
    <t>Oros, Juan Antonio Diaz Noric</t>
  </si>
  <si>
    <t>Juan Antonio Diaz Noric Oros</t>
  </si>
  <si>
    <t>García, Ramos, Ma­ gasta , cabeüero de la Orden Real de España , por la es­ quéela y Rosario García. Sres. Maiqucz, Ortigas, cribanía de provincia de D. Juan Antonio Diaz Noric- Oros, Avecilla, Suarez y Fabiani. ga, á tratar y acordar lo conveniente en junta general, para la que esrá señalado el domingo 2 de setiembre próximo…</t>
  </si>
  <si>
    <t>Oros, Juan Bautista Monteverde</t>
  </si>
  <si>
    <t>Juan Bautista Monteverde Oros</t>
  </si>
  <si>
    <t>edia. Señoras Josefa Raníos en 1773, D. Joan Ibargoitia en 1801, D. Juan y Maqueda. Señores Ponce, Ortigas .C.iprara, Justo M¿, lafira en .1802 &gt; . y D. Juan Bautista Monteverde Oros, Avecilla, Casa nova, Suarez, Muñoz, Camas j en 1805 y 806; teniendo presente ademas qoanto Fabiani. ■ios navegantes extrangeros han publicado d…</t>
  </si>
  <si>
    <t>Orourk</t>
  </si>
  <si>
    <t>able, pues solamente tarimos nueve hom­ forzar nuestra ala izquierda ; pero tampoco allí fue­ bres muertos y j; heridos. ron mas felices. El valiente coronel Orourk recha­ Un destacamento del cuerpo que manda el te-» zó siempre con igual suceso los ataques reiterados siente general Oovarow se apoderó el 13 de ju­ de los enemi…</t>
  </si>
  <si>
    <t>Orozco</t>
  </si>
  <si>
    <t>división de Campo Verde. He tenido la satisfacción de que el suceso haya cor­ respondido á mis deseos en todas sus partes. — Las tropas al mando del coronel Orozco cumplieron exactamente con fus deberes, obligando á una colima enemiga , que se presentó por su flanco izquierdo , á replegarse á Barcelona ., y en los demas punto…</t>
  </si>
  <si>
    <t>Orozco, Francisco</t>
  </si>
  <si>
    <t>Francisco Orozco</t>
  </si>
  <si>
    <t>-de y fanegas call.jon que fue calle para la ermita. 13-*7 *97 poco mas ó menos, que linda con he­ Una tierra , que fue viña , .en el hoyo rederos de D. Francisco Orozco...... 95 3090 de Valdecuervos, de .5 (anegas....... 45 990 Otra en la Mata , de 3 fan. , junto á otra Otra en Valdcaparicio, .que Jinda con de los PP. mercen…</t>
  </si>
  <si>
    <t>Ortega, Andrés</t>
  </si>
  <si>
    <t>Andrés Ortega</t>
  </si>
  <si>
    <t>ayor» teníeOte »í capitán de la quin- tente* y demas. ta compañía del segundo batallón en la vacante de Pero'sobre todo los dentistas con sus manos é D. Andrés Ortega. , ’ ° ' instrumentos son sin lá'menor dndaconductores del D. Jósef de Luna » subteniente» á tedíente de contagio qoe recogieron de bocas por lo regular in­ la …</t>
  </si>
  <si>
    <t>Ortega, Casimiro Gómez</t>
  </si>
  <si>
    <t>Casimiro Gómez Ortega</t>
  </si>
  <si>
    <t>as piezas inmediatas se reunirá la co­ mas raras del real jardín de Madrid, á 60 rs., y mitiva , que debe acompañarles al teatro. demas obras del Dr. D. Casimiro Gómez Ortega, Concluida la función de teatro el Emperador primer catedrático jubilado de botánica. jugar y descargar un garrote, y la penetración sutil del ba con su…</t>
  </si>
  <si>
    <t>Ortega, Mateo</t>
  </si>
  <si>
    <t>Mateo Ortega</t>
  </si>
  <si>
    <t>mandante eltenienregobernadorD. José Esteban , 62. Ayudante mayor Ó. Juan Pedro VValfcer, 15. Capellán D. José María Tirado, 25. --Primera compartid. Capitán Mateo Ortega, 47 y 4 rs. Teniente Faustino Váz­ quez, 22 y 6 rs. Alférez Lorenzo Saíazar , 19. Los sargentos, cabos y soldados, 416 y 5 rs. Segunda id. Capitán D. Antoni…</t>
  </si>
  <si>
    <t>Ortes, Justo</t>
  </si>
  <si>
    <t>Justo Ortes</t>
  </si>
  <si>
    <t>it....................... 2t6do! '•'*•' tinos........................ ........................... 44000 D;rCipriáno Layát.'^,.*.;.'..'a....;! 8*71 íó D. Justo Ortes,. de carmelitas cal- ■ . &gt; ' D. Lúcas de Ca'rran.......w,.;¡ 3676^16 1 izados....;..',............ . 4400O * D. Francisco Rodríguez de Huerta... 8^3 'r7&gt;: D. Clau…</t>
  </si>
  <si>
    <t>Ortiz, Antonio</t>
  </si>
  <si>
    <t>Antonio Ortiz</t>
  </si>
  <si>
    <t>- d« VTalamanca.... ;............... ................... 140 3080 de 6 fan. y 2 celem. , linde á medio­ Otra, camino de Meco, donde dicen la día con D. Antonio Ortiz...,............. 168 3696 media legua, de 8 fan. y 5 estad., que Otra de 2 fan. y 5 celem. en los Espár­ • linda á poniente con tierra del Maes­ tales por encima…</t>
  </si>
  <si>
    <t>Ortiz, Francisco</t>
  </si>
  <si>
    <t>Francisco Ortiz</t>
  </si>
  <si>
    <t>­ ra del Rey, D. José Joaquín Daureia, y D. José Tirso Carvajal; y subtenencias , á D. Juan Miguel Balanza , D. Antonio Diaz Pintado , D. Tomas Leal, D. Francisco Ortiz , D. José Mazon, D. Andrés Serrano,D. José Gutiérrez Genico, D.Pablo Carcía Bermejo, I&gt;. Juan Bautista Padilla, D. Antonio López, D. Pió Sotolongo, D. Fc-lix …</t>
  </si>
  <si>
    <t>onisio de Aguilar, 25. D. Francisco Escobosa, 20. D Juan Contreras, 12. Varios in­ dividuos , 16$. Altar. El teniente coronel D. José Saenz Rico, 24. D. Francisco Ortiz, 30. D. Francisco Robledo, 25. Varios individuos, i.8 y 4 rs. Los vecinos de Ocuca, 27= Las de Oquitoa, 35 y 4 rs. Los de Atil, 15 y 4. Los deTeutlama, 30 y 4…</t>
  </si>
  <si>
    <t>Ortiz, Josef</t>
  </si>
  <si>
    <t>Josef Ortiz</t>
  </si>
  <si>
    <t>ado, en cumplimiento de su instituto, avisa al D. Ramón de Monserrat......................... 340000 público que por dos reales decretos expedidos en D. Josef Ortiz.............................................. 22~-o2 6 '29 de diciembre del año próximo pasado , en vista D. Gabriel Gómez...................................... i…</t>
  </si>
  <si>
    <t>oraciones y ruina del drigo dé León, para teniente á D. Juan María de templo, en la que cantará una aria una niñá de diez León, y par^t subteniente á D. Josef Ortiz. años: se bailará la guaracha, y se finalizará con una to­ Pata capitán de la quarta compañía á D. An- nadilla general titulada £1 triunfo de las xnugeres. IN LA …</t>
  </si>
  <si>
    <t>Ortiz, León</t>
  </si>
  <si>
    <t>León Ortiz</t>
  </si>
  <si>
    <t>oriente linda con Otra en dicho sitio, de 1 fanegas, que linda tierra de Juan Manuel López..................... 54" *7 1199 á oriente con tierras de D. León Ortiz, y Otra al camino del Pedregoso, de 2J fan.... 34 . 74» • mediodía con otra de Manuel Prieto da Otra al camino de Fuente el Saz de abaxo, d&gt;e Miguel................…</t>
  </si>
  <si>
    <t>Ortiz, Miguel</t>
  </si>
  <si>
    <t>Miguel Ortiz</t>
  </si>
  <si>
    <t>D. Rafael Nevares, 3. D. José Ronqui­ llo, 15. Sargentos, cabos y soldados , 197.— Segunda Volante. Capitán D. José María del Rivero , 100. Teniente D. Miguel Ortiz, 46. Alférez D. José Moreno, 4. Id. D. Manuel García, 20. Capellán Fr. Francisco Es­ cobar, 40. Sargentos, cabos y soldados, 1194. — Tercera Volante. jCapitan D. …</t>
  </si>
  <si>
    <t>Ortiz, Placido</t>
  </si>
  <si>
    <t>Placido Ortiz</t>
  </si>
  <si>
    <t>... ................. 34 Í4 D. Manuel Agüeros, como marido de D. Pedro Antonio de Echfvar-ía...... 62:7 Sf Doá M iría Nicola a Agüeros....... 3268 17 D. Placido Ortiz de E&gt; exa: te............ 4'- 202 17 D. Josef Perez- Aguilera........................ J41 *7 D. Juan Turar:......................................... j 4;. , _ D…</t>
  </si>
  <si>
    <t>Ortíz, Santos</t>
  </si>
  <si>
    <t>Santos Ortíz</t>
  </si>
  <si>
    <t>........................................... . 4+000 D oña Josefa Larrea.............................. 291K1 6 D. Patricio Diez. Porrua, id. de tri- - D. Santos Ortíz.................. 6oc-5'i ’ 6 hitarlos calzados............................... 44000 - ' Doña Victoria Gadea......................... 6700o-'-' D. Ignacio» Peña,…</t>
  </si>
  <si>
    <t>OrtizFarsefn, Juan</t>
  </si>
  <si>
    <t>Juan OrtizFarsefn</t>
  </si>
  <si>
    <t>Almazan. qué linda Un pajar contiguo á la casa anterior, que á oriente y poniente con otra de Ja linda por poniente con la calle de las ^ memoria de D. Juan OrtizFarsefn.... *59 1908 ; 'Damas.................................................... 38$ 4$3* &lt;r - Otra en la propia calle, que á poniente lin­ Otra en la calle de la P…</t>
  </si>
  <si>
    <t>Orto</t>
  </si>
  <si>
    <t>xecutó;á,ba¿. íde Méttearnielv Wiim¿hur|;of^ihihistro áefEstado yotieta , el enemigó fue arrojado de: Jas trincheras, y de Negocios extrangeros, y el conde Orto de levantadas sobre uno de sus Ámeos corí una pérdi­ Mosfoi*, eorbáxadorüfe francia. 1 . ?.-&lt;tr"--:da considerable de muertos, y desando en nuestro t: Xíilíonea de ho…</t>
  </si>
  <si>
    <t>Orurk</t>
  </si>
  <si>
    <t>ovo provisto, y Rudschuck le servirá probablemente en inacción hasta el 22, en cuyo día el coronel de depósito de municiones y de víveres. Las enfer­ conde Orurk recibió la orden de obligar á los. tor­ medades contagiosas que habían principiado á caa-í cos á qoe saliesen fuera de sos atrincheramientos, sar algunos estragos ( …</t>
  </si>
  <si>
    <t>Osewardc</t>
  </si>
  <si>
    <t>m-ite de A emania, van a acantonarse en brigadier Wolterbeck; la fragata la Minerva man­ los contornos de Batnberg y de Baireuth, y en el dada por el teniente coronel Osewardc; ia fragata paíatinado superior. la Frise por el teniente coronel Mes; la Linx por</t>
  </si>
  <si>
    <t>OsoLevante, Juan</t>
  </si>
  <si>
    <t>Juan OsoLevante</t>
  </si>
  <si>
    <t>a Sile­ regimiento de Sevilla : en el regimiento de Murcia, sia y á Jas demas provincias vecinas. Los países de 2.8 de infantería ligera, capitanes á D. Juan OsoLevante se aprovechan también de las circunstan­ rio Calvadle y D. Juan Ximenez de la Isla, que cias actuales, mediante el esmero cod que se culti­ lo fue del regimie…</t>
  </si>
  <si>
    <t>Osor, Miguel</t>
  </si>
  <si>
    <t>Miguel Osor</t>
  </si>
  <si>
    <t>na mayor de este esquadron se rera, D. Josef Rech y Ferrando, D. Manuel Ra- compondrá de un comandante, un ayudante, un quejo, D. Josef María Venene, D. Miguel Osor- porta y dos trompetas. no, D. Joaquín María de la Cueva, D. Antonio art. iv. Esta tropa no* hará parte de nuestra Mier y D. Juan Josef Romero. guardia en los dia…</t>
  </si>
  <si>
    <t>Osorbia, Diego Grao</t>
  </si>
  <si>
    <t>Diego Grao Osorbia</t>
  </si>
  <si>
    <t>7 y Doña Matilde de Soto y Urquijo. 10389 D. Santiago Antonio de Urizar............ 12240 D. Juan Peñalver................................... 1150 23 D. Diego Grao Osorbia, ex-carmeli­ Doña María Polonia de Nanclares... 275 2 1 ta descalzo............................................ 44000 Los herederos de D. Juan Esiéban de D…</t>
  </si>
  <si>
    <t>Osorno, Fernando</t>
  </si>
  <si>
    <t>Fernando Osorno</t>
  </si>
  <si>
    <t>militar de esta plaza^ y comandante general D. Francisco de Paula Rodríguez, vecino de Sanlude sus armas, al Excmo. Se. D. Nicolás Gaye, mar­ car; á D. Fernando Osorno , intendente corregidor ques de Rio- Milano , comendador de la orden real de Granada; á D. Francisco Cañaveral y Ponce, de España, caballero del imperio francé…</t>
  </si>
  <si>
    <t>Osten</t>
  </si>
  <si>
    <t>o ha adoptado también eh Escriben de Longwi,que un vecino de aqnella nuevo código de enjuiciar. ciudad , el qual tiene ya 85 años cumplidos, se ha EL general Osten ha salido huyendo de Ingla­ casado no há mucho tiempo en terceras nupcias terra en un buque de pescador; ha pasado ya por con una hermana del marido.de .una nieta …</t>
  </si>
  <si>
    <t>Osteret, Josef</t>
  </si>
  <si>
    <t>Josef Osteret</t>
  </si>
  <si>
    <t>Manuel González del Rio. D. Josef Ramón de Aguiar. D. Domingo Prieto. “•••i D. Pedro Soler. D. Fermín Lumbreras. Batallón del quartel de Maravillas. D. Josef Osteret. D. Manuel Zavala Espetillo. Capitanes. D. Rafael Fleuriot. D. Francisco Xavier Berindoaga. D. Benito Angulo. D. Juan Oden y Meneses. D. Antonio San Germán. D. J…</t>
  </si>
  <si>
    <t>Ostman, Jorge</t>
  </si>
  <si>
    <t>Jorge Ostman</t>
  </si>
  <si>
    <t>á nuestro consejero de Estado y teniente general tega, D. Juan Montemayor. de marina D. Pedro Obregon para entender en ios Tenientes. D. Jaime Mayol, D. Jorge Ostman, ramos de marina del tramo de costa de este tercio D. Juan de León, D. Salvador Ximeuez , D. Ra­ naval, y proveer en él lo conveniente para los ar-r fael Arana, …</t>
  </si>
  <si>
    <t>ad de Málaga quedan igualmente promo­ practicarlas por un genio ó fuerza interior que los vidos : • determina. Pero si nos hemos de guiar por la his­ D. Jorge Ostman á capitán de la segunda com­ toria , ninguno de los historiadores qoe han refe­ pañía del primer batallón en la vacante de D. Joa­ rido sus opiniones filosóficas…</t>
  </si>
  <si>
    <t>Otero, Miguel</t>
  </si>
  <si>
    <t>Miguel Otero</t>
  </si>
  <si>
    <t>por fa­ Para el beneficio de lai parroquia de S. Juan de llecimiento • de D. Bartolomé Gómez Roxo, i la ciudad de Velez-Málaa^, , vacante por muerte D. Miguel Otero, tenieóte de cora dé la misma. de D. Josef d¿ Martos , alDr. D. Fernando Vara, Y para el de la'parroquia de S. Juan de ia cura propio de la parroquia de Moclinejó…</t>
  </si>
  <si>
    <t>OTIoneli, Enrique</t>
  </si>
  <si>
    <t>Enrique OTIoneli</t>
  </si>
  <si>
    <t>851</t>
  </si>
  <si>
    <t>migos que se dexáren asaltar.— Dios guarde á V. E. muelles ralos. Tarragona £0 de. setiembre de 1810.— Excmo. Sr. — Honoralo de Fleyres.—^ Excmo. Sr. D. Enrique OTIoneli, r 111. Exorno.-Sr.': Siguiendo el plan de operaciones que V. E. se había dignado trazarme, salí á las 12 del dia de ayer de Palamós con el batallón de Tarra…</t>
  </si>
  <si>
    <t>Otra</t>
  </si>
  <si>
    <t>......... 45 990 Otra de 3 fan., camino de Pinto, linde á Otra de una fan., al camino de Quijorna........ 13-17 297 mediodia y poniente con tierra de Doña Otra de 6 celem. en la vega de Castaño......... 11 142 Bernarda Beczamar....... ................................. 81..I7 1793 Otra de 9 fan. , que linda con la, Portuguesa.…</t>
  </si>
  <si>
    <t>de todos el de noventa y dos mil Ptff id. dopde llaman,H correr*, dé^fcéelemines.. 4r-.-" 88, setenn réales vellón.-Madrid ‘11 de junio,dt 181 o’. El consejero Otra id. donde llaman la Fuerta, de 2 celemines.. 3 66 de Estado, d¡rector.,gene«l. de, bienes,.opcionales-,—Juafi, -Lloren' Otra id. donde llaman el Centenalon, de 8 …</t>
  </si>
  <si>
    <t>992</t>
  </si>
  <si>
    <t>. ar­ =E1 ministro de lo Interior-,-interino de Hacienda, = Al­ rendada á Eufrasio Portillo....... 3»S 4620 menara. =Firmado= YO EL REI.—Por S. M. su ministro Otra en la calle de S. Juan» que secretario de Estado=Firmado sMariano Luis de Urquijo. habita Miguel Perez................... 396 47 í2 Otra en la catle de D. Diego» R…</t>
  </si>
  <si>
    <t>Otra, Alonso</t>
  </si>
  <si>
    <t>Alonso Otra</t>
  </si>
  <si>
    <t>..... . 308 3696 linda con casa de Antonio NaOtra en la calle del Carmen, que varrete......... ................... ................ linda con casa de D. Alonso 264 3168 Otra en la calle de Coreóles, que Zambrana.................... .............. 440 yz3o linda con casa de Catalina NaOtra en la calle de Valencia, que varrete.…</t>
  </si>
  <si>
    <t>Otra, Bernarda Gar</t>
  </si>
  <si>
    <t>Bernarda Gar Otra</t>
  </si>
  <si>
    <t>de Otra, calle de la Solana, en la San Basilio , .en i dicho Alca- calleja de Pedregosa, arren­ zar viejo, núm. 4.................... 462 3696 dada á Doña Bernarda Gar­ Otra, frente del convento de cía y á D. Manuel Gómez en 5 25 4200 Trinitarios Calzados, en 1a es­ Tercera parte de la casa núm. 27, quina del muladar, núm. 4.…</t>
  </si>
  <si>
    <t>Otra, Catalina</t>
  </si>
  <si>
    <t>Catalina Otra</t>
  </si>
  <si>
    <t>la s;-nda dé Valdemolinos, de 5 Otra como de 4 fanegas á los Quema­ fanegas y 4 celemines.......................... 218 479* dos , junto á otras de .Doña Catalina Otra que fue viña, en dos pedazos, en Romano....................... ........................ 3$ 79 a la Lonutnilla, de 3$ fanegas.....'......,. S4-*7 1199 Otra en l…</t>
  </si>
  <si>
    <t>Otra, Fran</t>
  </si>
  <si>
    <t>Fran Otra</t>
  </si>
  <si>
    <t>te con olivar de Otra tierra en los Verdiales, de 2 fane­ Pedro Turadas.'............ ..................... '40..17 $9\. gas , incorporada en otra de D. Fran­ Otra al arroyo de la Careaba,de so fa­ cisco Linares............ ;........................ *7 594 negas, que linda po/Oriente con di- , , Otra de 5 fanegas en la Cabeza…</t>
  </si>
  <si>
    <t>Otra, Gabriel</t>
  </si>
  <si>
    <t>Gabriel Otra</t>
  </si>
  <si>
    <t>le de Córcolet, que linda con casa-de las monjas de Una casa en la calle Alameda, que S. Nicasib................................... Jinda coa otra de D. Gabriel 348 2976 Otra en la plazuela-de Nava, que Ramírez».....;»...................... . 308 3696 linda con casa de Antonio NaOtra en la calle del Carmen, que varrete.......…</t>
  </si>
  <si>
    <t>Otra, Joa</t>
  </si>
  <si>
    <t>Joa Otra</t>
  </si>
  <si>
    <t>que linda á norte con dicho ^as en la primera1 hoya; de una fan. y camino......,'....,',................... ....... . 7 *54 9 cel., linde á norte con Doña Joa­ Otra en el mismo llano, de una fin. y quina Bello......... ................. S9-«7 869 10 celem., linde á todos aires con el Otra! á la derecha dél camino de Camar­ .m…</t>
  </si>
  <si>
    <t>Otra, Joan Gó</t>
  </si>
  <si>
    <t>Joan Gó Otra</t>
  </si>
  <si>
    <t>............ linda con otra de la vinculación 440 5280 Otra en la cnesta Cobatilla, que de Juan Toral................... . 275 3300 linda con casa de D. Joan Gó­ Otra enla puerta de Toledo, que mez Prieto.................. ............ . hace esquina á la calle de Don 220 2640 Otra en la Cerueba , que linda coq Joan, que lind…</t>
  </si>
  <si>
    <t>Otra, Josef</t>
  </si>
  <si>
    <t>Josef Otra</t>
  </si>
  <si>
    <t>.itía» Otra en el Albillo, de «na fanega y 10 ce­ Prieto.............. .............................................. ia lemines, linde á oriente con D. Josef Otra en dicho sitio, cerca del anterior, de Aguarlo, y á mediodiacon D. Juan Ma­ igual cabida, que linda por oriente con nuel López.....................................…</t>
  </si>
  <si>
    <t>Otra, León Oriiz</t>
  </si>
  <si>
    <t>León Oriiz Otra</t>
  </si>
  <si>
    <t>por encima del convento Tres olives al sitio que dicen de Arriba, del Santo Angel.................. *.............. 81..17 »793 linde i poniente con D. León Oriiz Otra camino de Ajalvir, de 6 fjn,....... 201..17 4433 de Algete........................................... 2..17 Otra de 4 fan., al pago de las Monjas... 90.. 17 19…</t>
  </si>
  <si>
    <t>Otra, Luis</t>
  </si>
  <si>
    <t>Luis Otra</t>
  </si>
  <si>
    <t>nda con tierras de los PP, dominiOtra junto á la ermita de la Concepción ^ eos, de^j quartilias y 90 estadales... 45 990 y olivar de los herederos de D. Luis Otra al Esparragal de 433 estadales, Cabello, de caber 3 quartilias y 75 que linda con tierra del vínculo da estadales......................................... 30 858 Lo…</t>
  </si>
  <si>
    <t>Otra, Ma</t>
  </si>
  <si>
    <t>Ma Otra</t>
  </si>
  <si>
    <t>AlcantoSa, de 200 Otra que sube al comedio de la Cogor- estadales...................... ........................ 18 39* rilla, y linda vcon tierra de D. Ma­ Otra en Valdemosos , junto á otra que nuel Rivacoba yGorvea, de 1289 ■- labró Julián Sánchez, de 200 estad. a3 506 estadales..... ............. ■V............. ........ 4…</t>
  </si>
  <si>
    <t>Otra, María</t>
  </si>
  <si>
    <t>María Otra</t>
  </si>
  <si>
    <t>ría y Palomar, de Otra en los Escobares , de 5 fanegas, qu« dichos herederos.............................. ............ linda i oriente con tierra de Doña María Otra en Carracobeña, de 2 fanegas, linde 54-X7 upp ' Ramírez, y á mediodía con la vereda que tierra de la ermita de Valdenave y Juan va á Al al pando.................…</t>
  </si>
  <si>
    <t>Otra, Pedro</t>
  </si>
  <si>
    <t>Pedro Otra</t>
  </si>
  <si>
    <t>iaz Mansilla , de una fui. y 3 celem., linde á de Yeia......... ............................................... i3 296 norte y mediodía con tierra de D. Pedro Otra en los 'eis Vjilejos , de una fan., que Josef Diaz de Vela........................................ 34 748 linda á oriente con herederos de D. Josef . Otra en la Ve…</t>
  </si>
  <si>
    <t>Otra, Pedro Alon</t>
  </si>
  <si>
    <t>Pedro Alon Otra</t>
  </si>
  <si>
    <t>do de Acedinos, de dianería con otra de D. Juan Ochaita. 443 53^ 740 estadales....................................... 4* 924 Otra que fue del maestro D. Pedro Alon­ Otra que sale al camino de Leganes, de so Gaseo, cura que fue de Meco, linde oie estadales....................................... 70..17 *55« ■ ábrego y serrano c…</t>
  </si>
  <si>
    <t>Otra, Ra</t>
  </si>
  <si>
    <t>Ra Otra</t>
  </si>
  <si>
    <t>l convento Cftfti-^n el Chorrillo,- pasado Bañuelos, • del Carmen....... ........... ....................... .78-17 1727 de 10 fan., linde majuelo de D. Ra-¡ Otra de 5 fan. camino de pañuelos, á la .. 1 fael de Vargas.....................................* • 181..17 6193 derecha , cerne se.n-a de Alcalá,, linde Otra , camino d…</t>
  </si>
  <si>
    <t>Otra, Simón</t>
  </si>
  <si>
    <t>Simón Otra</t>
  </si>
  <si>
    <t>, en dicho sitio... 13 286 calá, de una fan., 8 celem. y 14 estad., Otra de 4 fan., camino de Campo Real....... 31 484 que linda con la capellanía de D. Simón Otra de 2 fan. ,&lt;n los Rcalillos——........... 9 198 de Mondcjar.».............................................. 30-17 671 Otra de 2} fin., en la majada de Roma........ …</t>
  </si>
  <si>
    <t>Otra, Vi</t>
  </si>
  <si>
    <t>Vi Otra</t>
  </si>
  <si>
    <t>896 lámpara de la iglesia de Villaviciósa..... 6 *3* linda á mediodia con tierra de D. Vi­ Otra al camino alto que ya á Madrid, mas cente Ambrosio de Aguirre.................... 20..I7 45* abaxo de la antecedente, que á ponien­ Otra á la Moraleja chica, que linda á me­ te linda con el barranco y tierra de di­ diodi</t>
  </si>
  <si>
    <t>Otter</t>
  </si>
  <si>
    <t>s. Camina con el nombre de Conde de Gottorp. Su acompañamiento se reduce á .37 personas , entre las quales se halla el mayor general Skjoldebrand, el coronel Otter,dos tenientes, un médico, y un ca­ pellán. ALEMANIA. Viena 4 de enero. Se han recibido algunos dias hace noticias de 'I'urquía de qts.e~ el exército ruso, retirado…</t>
  </si>
  <si>
    <t>Otto</t>
  </si>
  <si>
    <t>la Francia hubiera sido soro público conde Mollier; al general de división dueña' déLmondé, y qoe lalngiatérta hubiera des- lacombe-Saint-Míchel; al conde Otto, embaxador aparecida'cjecéEcpa todos sos; laureles. Nuestro* en Viena; al mayor Atquier, comandante del i." hístoi ¡adores, dicen que d Reí Guitlelmó tenia regimiento …</t>
  </si>
  <si>
    <t>e está tratando entre la Rusia y el ducado de Varsovia de arreglar Vienn 7 de febrero. an convenio, que restituyendo respectivamente los S. E. Mr. el conde Otto, embaxador de Fran­ soldados de un pais alistados baxo las banderas del cia , tuvo el dia 4 de este mes, después de misa, otro, allanaría toda dificultad que pudiera …</t>
  </si>
  <si>
    <t>Oudiaot</t>
  </si>
  <si>
    <t>1819</t>
  </si>
  <si>
    <t>ue de Castiglíone , co­ lación han cogido prisionera. mandante en gfe del exército de Cataluña , con Las últimas carras de Ambires dicen que S. E. el mariscal Oudiaot se disponía á salir para Breda. fecha en Olot el i.° de enero de j8io. Tengo la honra de dar parte á V. E. que en ESPAÑA. cumplimiento de sus órdenes del 20 de …</t>
  </si>
  <si>
    <t>Oudinot</t>
  </si>
  <si>
    <t>ongará su residencia en Buda. vuelve á los estados de su Soberano. Despue* de Según nuevas órdenes ei exército húngaro pa­ este cuerpo llegará el del mariscal Oudinot, duque rece que se disolverá , y las tropas que le compo­ de Reggio, que se acantonará en las inmediacio­ nen se retirarán á sus casas. El quartei general de ne…</t>
  </si>
  <si>
    <t>enido de la clemencia del vencedor el per­ Del Están preparados los quarteles para las miso de retirarse á lo interior de Turquía, sin em­ tropas del mariscal Oudinot; varios regimientos do bargo de que merecían ser tratados como prisione­ este cuerpo han pasado ya el Lech por el puento ros de guerra, en a'encionáhaber dilata…</t>
  </si>
  <si>
    <t>310</t>
  </si>
  <si>
    <t>iii, ha pasado por aquella ciudad ,&lt;iy nerse en marcha para Francia el cuerpo de tro- que viene de Dresde á París con uoa comisión de as que manda el mariscal Oudinot, duque de importancia. E .egjio. Los buques ingleses la Fortuna de 260 toneladas, la Lusitania de 250» y la Creóle de 300 , han sido GRAN BRETAÑA. apresados en …</t>
  </si>
  <si>
    <t>enero. La guarnición y la guardia nacional los regimientos 5.*, 10° y 11.° de coraceros del estaban formadas eu las calles por donde pasó cuerpo del mariscal Oudinot. ni aquellos graves defectos con que han amancillado la talidad la curandería ha de ser mucho mas común en las gala y donaire de nuestro idioma tanto traductor v…</t>
  </si>
  <si>
    <t>4560 rublos. Los neral Tarreau está en marcha para las costas , y pa­ géneros importados á Riga de los Estados-Unidos sará de nuevo á las órdenes del general Oudinot: importan solamente 130900 rublos, y 161613 los la división Dupas permanecerá todavía algún tiem­ de Holanda. La balanza de nuestro comercio con po en la orilla …</t>
  </si>
  <si>
    <t>otro que Bonaparte declarase la guerra á los Estados-Unidos de América. — Se han suprimido las ordenes religiosas en to­ do el reyno de Italia. — El general Oudinot, duque de Reggio , general en gefe de las tropas francesas en Holanda, ex­ pidió desde m qu«u:tel general de Utrqeht un decreto eu que»</t>
  </si>
  <si>
    <t>icias de Holanda pintan con los mas vivos colores la desesperación y ruina de aquel des­ graciado pais. Quince mil soldados franceses mandados por el mariscal Oudinot, duque de Reg^io, entraron el dia 4 del corriente en Amsterdam para executar los planes de Napo­ león. Se dice que su hermano Luis había propuesto á los ho­ lan…</t>
  </si>
  <si>
    <t>Ouvarow</t>
  </si>
  <si>
    <t>levaron á la fortaleza cu nú­ comienda particularmente el zelo y buenas dispo­ mero mui conaiderable de heridos. Nosotros hemos siciones del teniente general Ouvarow, y el vdor perdido uo capitán y ti toldados muertos, y he­ que ha manifestado el coronel conde Orourk, el mos tenido un oficial y 72 toldados heridos. qual, hall…</t>
  </si>
  <si>
    <t>Ovi, Marcos Martin</t>
  </si>
  <si>
    <t>Marcos Martin Ovi</t>
  </si>
  <si>
    <t>itución del estado, REI de las Espa- tribunal. ñas y de las Indias. i.° A D. Francisco Ólavnrrieta. Visto ei inter ne de nuestro ministro de la 3.0 A D. Marcos Martin Ovi.do. Guerra hemos decretado y decretamos lo. que 4° A D. lomas Agrednno, todos tres alcal­ sigue: des del crimen del referido tribunal. ar ticulo 1. ,, La Es…</t>
  </si>
  <si>
    <t>Owers</t>
  </si>
  <si>
    <t>el coronel Owers: la Ayatt par el mayor Poldert, instante hs trincas á hachazo», el navio entró may la Iris por ei teniente coronel Van-der-Hast: gestuosamente en el agua co i repetí Jas acUmac-ola segunda</t>
  </si>
  <si>
    <t>Oxenstiern</t>
  </si>
  <si>
    <t>apuro en que se veia, y parada. Ei consejo íntimo y el ministerio trabajan terminó el combate. incesantemente sobre estos dos particulares. El señor barón Oxenstiern , embalador de Sue­ cia cerca de nuestra corte, ha llegado aqui, y ayer Del 4. fue presentado á la audiencia de b. M. El príncipe Esterhazi está nombrado embaxad…</t>
  </si>
  <si>
    <t>Oy, Lorenzo</t>
  </si>
  <si>
    <t>Lorenzo Oy</t>
  </si>
  <si>
    <t>deseos de ver y disfrutar de la cisco R-che, D. Juan Monta ni cr , D, Ventura amable presencia de sus augustos Soberanos. Jáuregui, D. Luis Guillen , D. Lorenzo Oy ,rdo y D. Antonio Djran; subtenientes 3 D. Ma ¡ano París 14 de mayo. R -xas, D. Fernando Anglada , L&gt;. Juan Fiscal y Acaba de llegar de Petersburgo el príncipe D. …</t>
  </si>
  <si>
    <t>Oyuela, Josef González</t>
  </si>
  <si>
    <t>Josef González Oyuela</t>
  </si>
  <si>
    <t>esqui; D. JoseF Palafói...'.................. D.‘ Bernardo Espioalt y Co­ llado. D. Eugínio Roldan, D. Francisco Verdejo Paez.... D. Gabriel Leoneli. D. Josef González Oyuela.... D. Francisco Peirou y Goazalez. D. Mariano García de la Cruz. D. Autonio María Rodríguez. D. Antonio Uribarri D. Tomas Arenillas..;... D.' Josef Man…</t>
  </si>
  <si>
    <t>P, Antonio</t>
  </si>
  <si>
    <t>Antonio P</t>
  </si>
  <si>
    <t>, se ha servido promo­ ver S. M. á capitán al teniente de granaderos D. Vicente Esca­ lante ; k tenientes , á los subtenientes D. Francisco Tajuelo, D. Antonio P.mentel , D. Andrés Martinez Pínillcs, D. Joan f ran­ cisco Salido, D. Juan Corral, D. Francisco Corral, D. Pedro An­ drés Gómez, D. Juan Sánchez, D. Jo;é Segovia, D.…</t>
  </si>
  <si>
    <t>P, Juan</t>
  </si>
  <si>
    <t>Juan P</t>
  </si>
  <si>
    <t>carmelitas calzados. Hoetor y su anexo Caxar, vacante por muerte de , Para el de la iglesia parroquial de S. Cecilio de D. J osef Antonio Martínez, á D. Juan P¡zarro„ la misma, vacante por muerte de D. Manuel de ex regular del órdea de agustinos calzados. Es tan grande la confianza que inspira á las gabelas ría (1). Y.i fe qu…</t>
  </si>
  <si>
    <t>P, Pedro</t>
  </si>
  <si>
    <t>Pedro P</t>
  </si>
  <si>
    <t>ó obli­ ñas y de ias Indias. gado ¿ largarse. Hemos decretado y decretamos lo siguiente: £1 dia 21 te presentaron también los ingleses articulo 1. ,, D. Pedro P.eviila , alcalde ma­ delante de la isla de Chiozza, y tiraron algunas yor de Fuensalida, queda nombrado alcalde ma­ bombas y granadas. Aunque esta isla se halla bas­ …</t>
  </si>
  <si>
    <t>, para segundo D. Gregorio Choya, y para abanderado D. Pablo Noriega. i*. D. Francisco Besa tes............. D. Julián Sane. 3*. »«•........Le....... D. Pedro P.bio Perez Arrieta. D. Gregorio García. B D. Manuel Gaviria.................. 3 a D. Josef Ecbeoique* 4- D. Diego de Castro, D. Pedro Hiera; 5" D. Ramón Pando.... D Hi…</t>
  </si>
  <si>
    <t>P-erez, Julián María</t>
  </si>
  <si>
    <t>Julián María P-erez</t>
  </si>
  <si>
    <t>Manuel Garrón. sada-ia pensión ó canon. Subtenientes. Este contrato.fue desconocido de los primeros legisladores romano*:, hasta que Zenon , separán­ D. Julián María P-erez. dolo de ser contrato innominado, (pues ¿e confun­ D. Luis Cordero. dían epo el de veúta y arrendamiento) , y er: fuer-5D. Antonio Ramón Gallegos. zade .l…</t>
  </si>
  <si>
    <t>Pa, Andrés</t>
  </si>
  <si>
    <t>Andrés Pa</t>
  </si>
  <si>
    <t>curas : y no contentos con esto, excavaron y escudriñaron los sepulcros , desenterrando varios cadáve­ res, como sucedió con él del venerable prelado D. Andrés Pa­ checo , obispo que fué de esta ciudad hace dos siglos; el qual</t>
  </si>
  <si>
    <t>Pablo</t>
  </si>
  <si>
    <t>e s de marzo. tudes, adquiera entre nosotros la magostad, el de­ coro , la pureza con que se dexó ver en los prime­ La oración pronunciada por el Sr. D. Pablo ros siglos de la iglesia. Que reiné, en fin , con vos Andeiro , magistral de. esta santa iglesia catedral, la paz , que renazca la abundancia, que recobre su á presenci…</t>
  </si>
  <si>
    <t>ramos en esta semana otros regimientos de caballe- Andéiro (D. Pablo), canónigo magistral, y digni­ .ría que vienen de la orilla derecha del Rio, como dad de arcipreste de la catedral de Granada. también varios destacamentos numerosos de tropas Avilés (D. Cr</t>
  </si>
  <si>
    <t>atriz se ha­ princesa jos coche"* de S.M. y üüá escolta dé froK"'pas wurtemberguesas. brán avistado hoi en las tres magníficas tiendas de S. A. R. el príncipe Pablo salió hasta Goeppin- campaña que se han dispuesto para el efecto á dos gen , donde presentó un desayuno.* ia.Emperatriz,’ leguas de Soissons. La primera de dichas…</t>
  </si>
  <si>
    <t>s genízaros contra S. M. ci Rei de Wurtemberg ha dado parte á los cristianos griegos, sin,tener relación alguna con nuestra corte de que ú esposa del príncipe Pablo los acontecimientos políticos. La Macedonia es una de Wurrembcrg ha dado á luz una pr.ncesa, á la de las provincias mas quietas de la Turquía, y de que se le pond…</t>
  </si>
  <si>
    <t>que fue corte ha recibido del feld-mariscal Kaikreuth son de Negocio* extrangeros de Rusia en el reinado de muí satisfactorios. Parece que dicho feld-mariscal Pablo 1. permanecerá todavía algon tiempo en Paris. Acaban de descubrirse en Finlaodia algunas mi Das de plomo, y según lo abundantes que parecen AUSTRIA. podrá sacarse…</t>
  </si>
  <si>
    <t>(D. Emilio), subteniente del Real Exart. v. Los religiosos y religiosas que no ¡go­ trangéro. zan todavía pensión, la cobrarán en adelante con Gorda (D. Pablo), sargento de tiradores del Real arreglo á la quota fixada anteriormente para los de Irlaudes. su ciase. Gregoire (D. Luis), capitán de granaderos del art. vi. Todo rel…</t>
  </si>
  <si>
    <t>Pablo, Juau</t>
  </si>
  <si>
    <t>Juau Pablo</t>
  </si>
  <si>
    <t>ón Gil.Gallo,.......*........... 3610 D Baltasar Fernandez...,,,....,. 3315 i Doña Nicasia de Cañas...... ................. 5234 *7’ P-. Josef Masart D. Juau Pablo.Malnero,...... ............... 7S8i D. Gonzalo Du*.&lt;Je RibjWa.-..-a^*;.vv 22500 1 D. Juan Rincón.».............. ................. 7OI4 *7 pona Abs ;■ ?5'4gco D, F…</t>
  </si>
  <si>
    <t>Pabon, Joséjlgnació</t>
  </si>
  <si>
    <t>Joséjlgnació Pabon</t>
  </si>
  <si>
    <t>Pía y compañía. 100. D. Jorge la Cenia, ICO. D. Bruno Barnoya, 100. D. José Lagarda, 100. D. Antonio Celestino Navar­ ro , 100. D. José Marsan , 100. D. Joséjlgnació Pabon , 100. D. Nicolás Campe­ ro , 100. D. Manuel de Villa y Gibaja, 200. D» Felipe Vivanco, 50. D. Francis­ co García Puertas., 100. El Escribano D. Manuel Vid…</t>
  </si>
  <si>
    <t>Pacheco, Joan</t>
  </si>
  <si>
    <t>Joan Pacheco</t>
  </si>
  <si>
    <t>Piases. dé una ilustre cuna. D. Bartolomé jurado se había Comandante, D. Agustín Montoya. distinguido por su denuedo en la función de Val- Ayudante, D. Joan Pacheco. sequi lo contra &gt;os bandoleros de las quadtillas de Abanderado , D. Vicente Abancini. Ventura v de] Caracol. Varios pueblos del reino de Jaén persiguen coo Batal…</t>
  </si>
  <si>
    <t>Pacheco, Joaquín</t>
  </si>
  <si>
    <t>Joaquín Pacheco</t>
  </si>
  <si>
    <t>. Juan Ncpomuceno Rosales. D. Josef Vargas. D. Julián Castañou. D. Diego Giraldo. D. Juan Crespo. D. Andrés Almarza. D. Antonio Reyelo. D. JnrefTubó. D. Joaquín Pacheco. D. Pedro Josef Mayora. D. Esteban Bains. D. Modesto faLcios. Tenientes. D. Juan Paredes. D. Agustín Ugarte. D............................... D. Antonio Arias…</t>
  </si>
  <si>
    <t>Pacheco, Manuel</t>
  </si>
  <si>
    <t>Manuel Pacheco</t>
  </si>
  <si>
    <t>D. José María de Reyna \ y á los tenientes coroneles graduados D. José Diez de Texada y D. José Miranda, Continúan los donativos de la Nueva-Kizcaya. D. Manuel Pacheco, 20. D. Francisco Soberon , 10. D. Juan Pes­ cador, 20. D. Mariano Garvizo, 12. D. Cayetano López, 25. D. Juan Ba.rrera, 200. Don Tomas del Campo, 25. Don Juan…</t>
  </si>
  <si>
    <t>Pacho, Gregorio</t>
  </si>
  <si>
    <t>Gregorio Pacho</t>
  </si>
  <si>
    <t>mo, vacante Luis de Urquijo." por prQmocion de D. Juan Aloe Luis, á D. Ra­ món Moral Herranz , toosurado. Para el de VUlamohol, vacante por muerte de D. Gregorio Pacho, á D. Pablo 'Ramos Quauda, tonsurado. En la tarde de este día se ha execntado aqni la Para el de Quintanilla del Monte, vacante por décima y ú'tima corrida de …</t>
  </si>
  <si>
    <t>Pachtod</t>
  </si>
  <si>
    <t>oticias convienen en asegurar que el gefe les Legrani y De&gt;aix han marchado á su destino, superior militar Czerni Jorge tiene ahora mas influy la del general Pachtod va á acantonarse eu los xo que nunca. países de tíauau y Fuida cu la orilla derecha del Mein. Los regimientas 3.0 de infantería de línea, IMPERIO FRANCES. y 3.“ …</t>
  </si>
  <si>
    <t>Pack</t>
  </si>
  <si>
    <t>parte de la Sierra ocupa­ da por la división de tropas ligeras á las órdenes del briga­ dier general Crauford , y por la brigada portuguesa á las del general Pack.—Una sola división de infantería enemiga hizo algún progreso en la subida para la cumbre de la Sierra y pero el brigadier general Crauford la cargó inmediatamente á…</t>
  </si>
  <si>
    <t>utton ; el regimiento 8 , mandado por el teniente coronel Douglas, la brigada 1: y 16 de línea, y el quarfco batallón de cazadores, á las órdenes del general Pack; la brigada 7 y 19 , y cazadores num. 2, á las órdenes del general Colman; los batallones de cazadores núm, 1 y 3 con la división ligera inglesa , y el batallón sex…</t>
  </si>
  <si>
    <t>Pacz, Francisco Berdejo</t>
  </si>
  <si>
    <t>Francisco Berdejo Pacz</t>
  </si>
  <si>
    <t>D. Bonifacio Cabañas. Subtenientes. D. Simón Gallardo. D. Agustín Zaldo. D. Joaquín Gómez. D. Francisco Berdejo Pacz. D. Josef González de Hoyuelo. Tenientes. D........................................ Ej?Josef González. D. Tomas Arenillas. í?. Gaspar de Losas Hidalgo. D. Josef lbárreta. D. Pedro Batelú. D</t>
  </si>
  <si>
    <t>Padilla, Diego</t>
  </si>
  <si>
    <t>Diego Padilla</t>
  </si>
  <si>
    <t>to de lá ’ dos los honores militares. misma iglesia, vacante por muerte de D. Miguel-' El navio español S. Francisco de Paula, que López Caballero, á D. Diego Padilla. ■’ ha hecho un gran ruido mientras hau durado todos Para el segundo enrato de la iglesia de. la villa los trabajos del exército francés en ei Trocador o, de Po…</t>
  </si>
  <si>
    <t>Padilla, Diego Andrés</t>
  </si>
  <si>
    <t>Diego Andrés Padilla</t>
  </si>
  <si>
    <t>ido observaciones mas interesantes go, para el de Sta. María de Lantegra en el mis­ acerca de la vacuna. El prefecto añade que el mi­ mo obispado*, á D. Diego Andrés Padilla, cura nistro de lo Interior le anunciaba al mismo tiempo ecónomo de Darro, para el beneficio patrimonial que se distribuirían cada año 100 medallas en. t…</t>
  </si>
  <si>
    <t>Padilla, Gabriel</t>
  </si>
  <si>
    <t>Gabriel Padilla</t>
  </si>
  <si>
    <t>rales , 45. El subdelegado D. Te­ rnas Escalante, 100. D. Francisco López, 25. D. Rafael Morales, 150. D* Martin Zuviria, ico. D. Miguel Morales, 50. D. Gabriel Padilla, 20. D&gt; Ignacio Serrano, 45 Doña Gertrudis Bravo, 15 D. Rafael Elias, 25. D Ignacio Perez, 20. Varios individuos, 29 y 3 rs—Real de Alamos. ÍL' .sub­ delegado…</t>
  </si>
  <si>
    <t>Paez, Francisco Verdejo</t>
  </si>
  <si>
    <t>Francisco Verdejo Paez</t>
  </si>
  <si>
    <t>iano Gaizaburuagá, y‘para abanderado D. Manuel Moresqui; D. JoseF Palafói...'.................. D.‘ Bernardo Espioalt y Co­ llado. D. Eugínio Roldan, D. Francisco Verdejo Paez.... D. Gabriel Leoneli. D. Josef González Oyuela.... D. Francisco Peirou y Goazalez. D. Mariano García de la Cruz. D. Autonio María Rodríguez. D. Anton…</t>
  </si>
  <si>
    <t>Paez, Juan</t>
  </si>
  <si>
    <t>Juan Paez</t>
  </si>
  <si>
    <t>de la V¡toráá*';ar- Otra, calle de las Parras, [ar-: 'rendada á Pablo de Rozas..:;; 324 2592 rendada á Josef López Zafra*.. 3gí- 3080 Otra, calle de D. Juan Paez/ ar- Otra, calle de Nogaltjo,:.ar-.. •’a „ '■ * rendada á Pablo García.;.:;:.'. • 328 - 2624 rendada á JuanGamero,.*,...... 264 2112 Oirá en id., arrendada á Pbcíro …</t>
  </si>
  <si>
    <t>Pah, Juan</t>
  </si>
  <si>
    <t>Juan Pah</t>
  </si>
  <si>
    <t>allero Mr. Jauhert , encargado de año próximo pasado individuo de la partida de acompañar á S. E. hasta Ls fronteras, el qual se bandidos mandada por D. Juan Pah.dea. ha vuelto desde aquí á París ; de Mr. Ciurei, vice­ A principios del mes de setiembre del mismo cónsul de Francia en la residencia de Bagdad , y año se separó d…</t>
  </si>
  <si>
    <t>Paitor, Joaqnla</t>
  </si>
  <si>
    <t>Joaqnla Paitor</t>
  </si>
  <si>
    <t>r ;L- IJI D. Antonio de Lara Trillo, D. Antón!» de Castre «1, D. Joaqnla Paitor, D: fétef de loi itioy," Perez, D, Pedro Molina Gallardo, P. Joan Mati- D. Santos’ Quijada. • ; ■: r ‘ - r. 11a Rouriguez Linares, D. Maceo Borrego López, Asimismo se presentaron á S. M. lo</t>
  </si>
  <si>
    <t>Pajares, Vitoriano</t>
  </si>
  <si>
    <t>Vitoriano Pajares</t>
  </si>
  <si>
    <t>mp de mon royaume.” — A Dios , tuyo — Pepe (2). Se halla de venta la traducción castellana de la Táctica de la caba­ llería inglesa en la librería de D. Vitoriano Pajares, al lado de las Re*^ cogidas 3 calle Ancha, en Cádiz, y en la de D. Miguel Segovia en la Real Isla de León. tria, el desenfreno de la soldadesca t la afrent…</t>
  </si>
  <si>
    <t>e ii de agosto de 1809, en que se mandaron suprimir las rentas provinciales, luego que se subrogasen en otras equivalentes. Véndese en la librería de D. Vitoriano Pajares, calle Ancha, á 20 rs. á la rústica. CADIZ: EN LA IMPRENTA REAL.</t>
  </si>
  <si>
    <t>Pajo</t>
  </si>
  <si>
    <t>r bs comunicaciones interiores, abriendo nue­ Augsburgo jo de mayo. vos caminos. Los prefectos han recibido instruccio­ Acaba de marchar i Francia pl general Pajo- nes particulares sobre este asunto, y á ios corregi­ Hes, y su brigada empezará también á salir lue­ dores se Íes ha encargado patiicularmeute que cuiAPBNDICB A XA…</t>
  </si>
  <si>
    <t>Pala</t>
  </si>
  <si>
    <t>1299</t>
  </si>
  <si>
    <t>1299 Mac bácia el palacio! donde reside el príncipe Pala» [ 'ALEMANIA, «ico ; de modo que ha sido necesario tratar de sa­ car y poner en saleo inmediatamente los archivos» Hamburgo 14 de settembfe. £1 puente de barcas qne hai .yendo de Pest á HoíFe</t>
  </si>
  <si>
    <t>Pala, Francisco</t>
  </si>
  <si>
    <t>Francisco Pala</t>
  </si>
  <si>
    <t>ar y Villareal, llamando por aquella parte la atención de los cuerpos enemigos de Daroca , Caiamocha y Camitireai, miéatras que el mariscal de. campo D. Francisco Pala fox acometía al. de A hafiz. Tres horas átites de llegar á Mainar, supo que su guarnición y la de Villareal habían marchado á Darocahácia cuya ciudad había he­…</t>
  </si>
  <si>
    <t>Pala, Tomas</t>
  </si>
  <si>
    <t>Tomas Pala</t>
  </si>
  <si>
    <t>y en el caso de que Francisco Veiazquez: para ia de Meiegis y Mar­ no llegue á la quota de los 200 ducados anuales, chas al ex franciscano observante D. Tomas Pala­ se completará por el resoro público la cantidad que dea, confesor y predicador de su convento: para falta, según el artículo 3." del mismo. la de Isbol y Tablate …</t>
  </si>
  <si>
    <t>Palacios, Antonio</t>
  </si>
  <si>
    <t>Antonio Palacios</t>
  </si>
  <si>
    <t>ar­ ra la de Alboludui y .Nacimiento al ex carmelita dián de franciscos de Illora : para iá de Cogoltos calzado D. Juan Martínez. al ex - franciscano D. Antonio Palacios , predicador art. ni. Si por la liquidación qoe ha de prac­ y confesor de su convento: para la de Guejar Sier­ ticarse de las referidas sacristías resulta qo…</t>
  </si>
  <si>
    <t>Palacios, Cándido</t>
  </si>
  <si>
    <t>Cándido Palacios</t>
  </si>
  <si>
    <t>ayudante primero D. Francisca Zegers, para segando D. Angel Groadoaa , y para abanderado D. Mjgnel de Zerralde. i*. D. Mannel Zavala................. D. Cándido Palacios. a.*. D. Félix lzaguirre.................. D. Gerónimo Sobrado. D. Mannel Gonzalo del Rio. D. Gabriel Sobrado. D. Josef Zerralde. D. Antonio Boan. 6.*.......…</t>
  </si>
  <si>
    <t>y Justo Mas. . ;c ¡ Sexto batallón. ? ' En el dé”la Ci-uz, á lai'-quatro y media de la tarde, se CXeCutafá lá comedia en Urea actos titulada Quitar o D. Cándido Palacios» subteniente » i teniente de España cón honra el- feudo de cien doncellas, y hom­ de la quaru-compañía. bre es el,que lo parece con .tonadilla y sainete. EN …</t>
  </si>
  <si>
    <t>Palacios, Dionisio</t>
  </si>
  <si>
    <t>Dionisio Palacios</t>
  </si>
  <si>
    <t>José Cortés; D. Hilario Mora, D. Isidro Mendez, D. Francisco Rivas; D. Rafael González, D. Valentín Rivas, D. José Félix Sosa; D. José María Blanco, D. Dionisio Palacios, D. Juan Ger­ mán Rossio, D[ Juan Ascanío, D. Pablo González , D. Fran­ cisco Xavier Ustariz, D. Silvestre Tovar, D. Nicolás A usóla,' D. José Félix Rivas, D…</t>
  </si>
  <si>
    <t>Palacios, Esteban</t>
  </si>
  <si>
    <t>Esteban Palacios</t>
  </si>
  <si>
    <t>ríguez de Barce­ na .suplente por la de Sevilla: D. Francisco Escudero , suplente por la de Navarra : D. Francisco González, suplente por la de Jaén: D. Esteban Palacios, suplente por la de Caracas: D. Fermín de Clemente, suplen­ te por Caracas: y D. Francisco Fernandez Golfín, diputado por Ex­ tremadura. Salieron todos á las…</t>
  </si>
  <si>
    <t>Palacios, Joaquio</t>
  </si>
  <si>
    <t>Joaquio Palacios</t>
  </si>
  <si>
    <t>. El marques de Cevados. D. Agu stin Chavarri. D. Mari, no Villodas. D. Faustino de Nieva. D. Bernardo Dios dado. D. Mateo Casado. D. Ji-sef Ibaceta. D. Joaquio Palacios. Subtenientes. D. Mariano de San Juan. D. Dámaso Machuca. D. Mariano Lfanderal. D. Pascual Carsi. D. Víctor Moreno. D J uan de ios Heros. D Vicente Per^ti. T…</t>
  </si>
  <si>
    <t>Palacios, Juan</t>
  </si>
  <si>
    <t>Juan Palacios</t>
  </si>
  <si>
    <t>el teniente de granaderos provinciales I&gt;. Tomas Fer­ nandez , y algunos heridos , entre ellos D. Ignacio Flotafcs, subteniente del propio cuerpo, y D. Juan Palacios,‘teniente de Granada. i __ ^ Madrid 18 de julio. — El domingo 8 dél corriente hizo •él gobernador Belliard aguardar en el Carmen hasta las dos para la misa: á es…</t>
  </si>
  <si>
    <t>Palacios, Modesto</t>
  </si>
  <si>
    <t>Modesto Palacios</t>
  </si>
  <si>
    <t>«abtenlentes. „ D. Juan Crespo.................... D. Francisco Izquierdo. ............... .................................. D. Jo.quin Piao^rjonF. D. Modesto Palacios..'...... . D. Francisco Mauricio^ * D. Vicente Ferrer y Fous.... D. Mariano Fabre. D.Blas Bczares........ .............. Di josef García pchábüra. Octave Bata…</t>
  </si>
  <si>
    <t>Palácip, Feliciano</t>
  </si>
  <si>
    <t>Feliciano Palácip</t>
  </si>
  <si>
    <t>ablecieron un juzgado de policía, y nombraron un * gobernador militar. Los individuos de la junta son D. José de las Llamosas, D. Martin Tovar Ponte, D. Feliciano Palácip; D. Nicolás de Castro, D. Juan Pablo Ayala, D. José Cortés; D. Hilario Mora, D. Isidro Mendez, D. Francisco Rivas; D. Rafael González, D. Valentín Rivas, D.…</t>
  </si>
  <si>
    <t>Palafói, JoseF</t>
  </si>
  <si>
    <t>JoseF Palafói</t>
  </si>
  <si>
    <t>.......... . D.‘Buenaventura, MofeúO. Noveno Batallón. . "V ' Para ayudante primero D. Feliciano Gaizaburuagá, y‘para abanderado D. Manuel Moresqui; D. JoseF Palafói...'.................. D.‘ Bernardo Espioalt y Co­ llado. D. Eugínio Roldan, D. Francisco Verdejo Paez.... D. Gabriel Leoneli. D. Josef González Oyuela.... D. Fra…</t>
  </si>
  <si>
    <t>Palafox, Josef</t>
  </si>
  <si>
    <t>Josef Palafox</t>
  </si>
  <si>
    <t>Moya. articulo 1. ,,Ei regimiento nú.ti. i.° de in- Teniente, D. Eugenid Roldan. fanictí.i iig- r;i tendrá la denominación de regimien­ Subteniente, D. Josef Palafox. to de Ca tilla en su clase respectiva. Batallón del quartel de S. Francisca. art. ir. Nuestro ministro de la Guerra qoeda encardado de la execucion de este decr…</t>
  </si>
  <si>
    <t>Palau, Juan</t>
  </si>
  <si>
    <t>Juan Palau</t>
  </si>
  <si>
    <t>ín de Elizalde, 3000. D. Tomas de la Cuesta, 500. Don Alexandro de la Parra, 500. D. Fermin Ramón Barrera, 500. D. Fran­ cisco Buch y. Truxillo, 400. D. Juan Palau, 1000. D. Esteban Fernan­ dez de León, 1000. D. P. M. V., 100. Doña Rosalía de Córdoba, 20. D. Benito de Labra, 40. D. Lázaro Elejalde, 1000. D Lorenzo Rodrí­ guez…</t>
  </si>
  <si>
    <t>Palavicino</t>
  </si>
  <si>
    <t>spaña y Francia hicieron italianos á contradecirlas no fue, según se ve por la re­ en el concilio de Trcnto, solicitando con cristiana en­ lación del cardenal Palavicino, historiador del conci­ tereza , con graves representaciones y con vivísimas ins­ lio , la pura gloria del cielo, tino la d? !a ti rra, no la tancias la refo…</t>
  </si>
  <si>
    <t>Palla, Mauricio</t>
  </si>
  <si>
    <t>Mauricio Palla</t>
  </si>
  <si>
    <t>baña­ bas. D. Ramón Ríbes........... D. Antonio Tomas Dicgues. D. Francisco B mi^;„. D. Juan Antonio Medina. lo.• a • «••••» D. Diego Josef de Vi.la D. Mauricio Palla. Décimo batallón. Para ayudante primero D. Francisco de Paula Toledano, para segundo D. Juan Villa y Trigueros, y para abanderado D. Francisco Xavier Bcre. i. E…</t>
  </si>
  <si>
    <t>Pallasar, Joan Francisco</t>
  </si>
  <si>
    <t>Joan Francisco Pallasar</t>
  </si>
  <si>
    <t>ía pchábüra. Octave Batallón. .. ¡ Para ayudante primero D. Manuel Eligió, para legando D. Josef Díaz Avilés, y para abanderado D. Felipe Gallarza. ' D. Joan Francisco Pallasar. D. Estiban Blanco de Alba. ........ ............... ........................ p. Rufino Ballestea. ................................................. D…</t>
  </si>
  <si>
    <t>Palmero, Juan Bautista</t>
  </si>
  <si>
    <t>Juan Bautista Palmero</t>
  </si>
  <si>
    <t>víveres de Montevideo, 150. Id. de Buenos-Ayres, 100. Dependientes de las provisiones de víveres de deposito. D. Francis­ co García, maestre, 27. Id. D. Juan Bautista Palmero, 14. D José Vivanco, encirgado, 10. Juan Antonio Diaz, despensero, 6. Fernando An­ tonio García, alguacil de agua, 11. Juan Burañes, tonelero, 27. Id. B…</t>
  </si>
  <si>
    <t>Palocaballo, Salvador Rodríguez</t>
  </si>
  <si>
    <t>Salvador Rodríguez Palocaballo</t>
  </si>
  <si>
    <t>„Todos los bagages de esta colunia han caldo en Sr. Marques de Muzquiz................. 541 i j poder del regimiento i.úm. 27.0 de cazadores de á Sr. D. Salvador Rodríguez Palocaballo. meqae................. 13808 7I „En Andalucía reina la mayor seguridad , y la D. Saturnino Bolide.......................... 3 539 8f confianza…</t>
  </si>
  <si>
    <t>Palom'que</t>
  </si>
  <si>
    <t>i me dice que un crítico Dios me libre. Asi es que no me firmo ni D. Jeta , ni no está obUgado á manifestar el suyo, yo le responde­ -D. Gregorio. ni D Palom'que, ni 2). Castañas-; ni soi d» ré: ,,señor agresor, «I que critica con hombría de bien juntas anónimas, ni de legiones incógnita?. Yo m« Hamo, • sin atacar á las perso…</t>
  </si>
  <si>
    <t>Palomares, Eduardo Santiago</t>
  </si>
  <si>
    <t>Eduardo Santiago Palomares</t>
  </si>
  <si>
    <t>scual Santander. D. Mateo Norzagarai. D. Manuel de Cañas. I&gt;. J uan Picdrahica. Subtenientes. D. Ramón Rada. D. Antonio Robillar. D. Ramón Nocedal. . D. Eduardo Santiago Palomares. D. Fcrinin Carnerero Vela* D. Claudio Botelú. D. Tuan Valdivieso. D. J osef Navarro. Tenientes. D. Josef Ortiz Herboso. D. Andrés Saez. D. Gabriel…</t>
  </si>
  <si>
    <t>Palomeque, Mil Doña Francisca Rodríguez</t>
  </si>
  <si>
    <t>Mil Doña Francisca Rodríguez Palomeque</t>
  </si>
  <si>
    <t>5025 10 conde Milhaud , marchó hácia su extremo derecho Doña Ignacia de Castro........................... 22770 ara entrar en comunicación con ci. El general Mil- Doña Francisca Rodríguez Palomeque. 3 1 «,00 aud se dirigió sobre Cuenca , al mismo tiempo que D. Nicolás de los liaros.......................... 94947 12 el genera…</t>
  </si>
  <si>
    <t>Palomera, Manuel</t>
  </si>
  <si>
    <t>Manuel Palomera</t>
  </si>
  <si>
    <t>l marques de Cusano. Subtenientes. D. Benito Prado y Ulloa. D. Francisco Diez. El conde de S o Rafael. D. Francisco García. Marques de la Cerrezuela. D. Manuel Palomera. D. Vicente Navajas. j D. J&lt;vef Fernandez Caso. D. Antonio G.rcía Vargas. D. Higinio Zazo de Lares. D. J ulian de Fuentes. D. Francisco Bezares. D Julián Saez…</t>
  </si>
  <si>
    <t>PalomeTEATROS, Gregorio</t>
  </si>
  <si>
    <t>Gregorio PalomeTEATROS</t>
  </si>
  <si>
    <t>l peso, el carácter y la ciencia de los APENDICE A LA GAZETA DE MADRID. Manifiesto académico. Marte* 6 de febrero de 1810. Nos por la gracia da Apolo D. Gregorio PalomeTEATROS. que y Castañas, soberano y árbitro de la nueva acade­ En el del Príncipe, á las quatro de la tarde, se re­ mia anónima de Madrid, caballero gran cruz …</t>
  </si>
  <si>
    <t>Palomino, Jotef</t>
  </si>
  <si>
    <t>Jotef Palomino</t>
  </si>
  <si>
    <t>. / Teniente., rD^Antnnfb ’Mantmefe*;,V ¡v* r - v"¡ • i Compañía de AtgandadeÁioo plazas. Subteniente, D. Miguel'Adap. Xí , ,u. Capitán, D. Jotef Palomino,: .&lt;? .M0“p '.' i-i '1 LC) /HlíJ Cl &lt; i’ Teniente , D¿-Justa Salcedo*. G , . Subrejweriis,íDi'AlfonsaiJeirezP* .■ SkI» .*^*.¡¡*0 Tcntettft, D. Andrés Avelina. Botragueno, C…</t>
  </si>
  <si>
    <t>Palomino, Miguel</t>
  </si>
  <si>
    <t>Miguel Palomino</t>
  </si>
  <si>
    <t>v. En la villa de Xilena se formará una D. Francisco Alorudo ; D. Joaquín Sánchez Cal­ compañía. Para capitán de esta compañía osrá derón teniente, y D. Miguel Palomino -subte­ nombrado D. Juan Josef de Galvez; D. Manuel niente. Diaz para teniente, y D. Tomas, Martínez para art. xvit. Nuestros ministros de lo Interior subteni…</t>
  </si>
  <si>
    <t>Palou, Joaquín</t>
  </si>
  <si>
    <t>Joaquín Palou</t>
  </si>
  <si>
    <t>ncisco Velasco , oficial i.° de la secretaría de ía comandan­ cia general, 25. D. Mariano Hinojos, tercero, 25. D. Pedro Simón del Campo, quarto, 50. D. Joaquín Palou , archivero, 15. D. Francisco Garavilla , escribiente, 10. D. Julián Zubia, idem, 10. El auditor de guerra D. Mariano Herrera, 100. El ayudante inspector D. Cri…</t>
  </si>
  <si>
    <t>Pan</t>
  </si>
  <si>
    <t>tos , cuyas disposiciones princi­ ñana entrará el &lt;?3-° de infantería de línea. Estos pales son las siguientes: dos regimientos forman la brigada del general Pan- ,,JLas funciones que exercia en la universidad netier, y hacen parte de la división del general de la Sapienza el colegio llamado de los abogados Puchtod, que va á …</t>
  </si>
  <si>
    <t>Panai, Josef de Espinosa</t>
  </si>
  <si>
    <t>Josef de Espinosa Panai</t>
  </si>
  <si>
    <t>ocieron y trazaron el interior de la Ame'rica meridional, desde Valpa­ las costas occidentales de las islas de Mindoro, raíso hasta Buenos-Aires, por D. Josef de Espinosa Panai, Negros y Mindanao; se hicieron observa­ y D. Felipe Bauza: 2.0 otras sobre el calculo trí— ciones en nuestro presidio de Z^mboanga, y para onométrico…</t>
  </si>
  <si>
    <t>Pandeavenas, Bernardíno</t>
  </si>
  <si>
    <t>Bernardíno Pandeavenas</t>
  </si>
  <si>
    <t>;;;;;.......C.;Av.^.:::v D. AUxandro Vejez y. Sauz "-••47% .. i D. Francisco Navarrov.'.'....„..&gt;..í.';.V^U. 1666 20 f B. Antonio Castejon ' .^aj40'. D. Bernardíno Pandeavenas.'.-r....;.;.1.. D. Francisco López Ñoñez *«#*éW*4«***&lt; 2 4. D. Antonio Guillen;;V.V. O B Nicolás García Caballera;...».. V.., '-/w*;:25* Los hijos y he…</t>
  </si>
  <si>
    <t>Pandero, Pedro</t>
  </si>
  <si>
    <t>Pedro Pandero</t>
  </si>
  <si>
    <t>o Batidlo , vecino de Xalapa, 200.. D. Domingo Escando» , 200». .IX Pablo Fray le , 200. D. Juan José Morillo , 200. D. Imancisco Luis SeptitímA-200. D. Pedro Pandero , asesesor de la Intendencia, 200. D. Francisco Barrero, promotor fiscal , 100. I&gt;. Pedro Gómez , Escribano de real hacienda , 100. D. Juan Antonio Serra­ no , …</t>
  </si>
  <si>
    <t>Pando, Gerónimo López</t>
  </si>
  <si>
    <t>Gerónimo López Pando</t>
  </si>
  <si>
    <t>os de ellos i los su ge tos siguientes: JD. Jusrf Cabello y Goitia; y allí irismo, donde Para el de Cerrera á JD. Juan Aloe Lois: para dice Teniente, D. Gerónimo López Pando, deba *1 de Besande á D. Agustín Jaebete: para el de decir Teniente, Lf. Gervasio López Pando. las Arrimadas I D. Pedro Francisco del Pozo: pa­ ta el de …</t>
  </si>
  <si>
    <t>Pando, Manuel</t>
  </si>
  <si>
    <t>Manuel Pando</t>
  </si>
  <si>
    <t>ejo de Estado A D. Diego Josef Benitez, canónigo magistral á D. Joaquín Ezquerra, teniente de infanteiú; á de la misma, para el arcedianato de Ronda. D. Manuel Pando, su page mas antiguo, y á Don A D, Manuel de Elizalde, capellán de la real Ventura Martínez Reinon. capilla de Granada, para una canongía. Por decretos del mismo…</t>
  </si>
  <si>
    <t>Pando, Ramón</t>
  </si>
  <si>
    <t>Ramón Pando</t>
  </si>
  <si>
    <t>Tenientes. D. Gregorio Simón de Diego. D. Ramón Vartureu. D Macuel Alevio. D. Diego Castro. D. Juan Lecanda. • D. Josef Casalc. D. Plácido Ffexalde. D. Ramón Pando. D. Cj i*o Garc.a. D. Tomas García Domínguez. D Nicolás Herencia. Batallón del quartel de S. Martin. D. Gervasio Fernandez Izquierdo. Capitanes. D. León de Montene…</t>
  </si>
  <si>
    <t>edro P.bio Perez Arrieta. D. Gregorio García. B D. Manuel Gaviria.................. 3 a D. Josef Ecbeoique* 4- D. Diego de Castro, D. Pedro Hiera; 5" D. Ramón Pando.... D Higinio Z.zo de Lares D. Josef María Abades. 6.*. D. Ramón Guizabnruaga. 7* D. Francisco María Carneo y Maasb. 9* D. Salvador Palomeque D. Juan Clavel* Quin…</t>
  </si>
  <si>
    <t>Paniagua, Cristóbal</t>
  </si>
  <si>
    <t>Cristóbal Paniagua</t>
  </si>
  <si>
    <t>l. Para el di V “ga Cerneja, vacante por muerte Para el de Saeiices del Rio , vacante por muer- de D. Aniceto Diez , á D. Pablo Laiz Fernandez, te de D. Cristóbal Paniagua , á D. Juan Manuel tonsurado. Perez, presbítero , cura de Salió. Y para el de Oreonagar vacante por muerte de Para el de Santiago de las Villas, vacante po…</t>
  </si>
  <si>
    <t>Paniagua, Josef</t>
  </si>
  <si>
    <t>Josef Paniagua</t>
  </si>
  <si>
    <t>s Napoli. D. Mariano Herranx........... . D. Josef Gamarra........... . D. Juan Valenchana.............. D. Jaime Rostan. •#•-»••«•* ••*•••••»«••■»•« D. Josef Paniagua. D. fíustaqnio Villaseftor....... D. Manuel Gamarra. D. Pedro Sao Micbel............. D. Juliao Gajlcedo. D. Pedro Díaz López............ D. Antonio Gamarra. D…</t>
  </si>
  <si>
    <t>Panlagua, Josef</t>
  </si>
  <si>
    <t>Josef Panlagua</t>
  </si>
  <si>
    <t>le en el preciso término de 30 dja$¿ contados desde el 27del presente,,por an­ Segundo batallo*. te dicho señor jupz y escribano del núméro; con aper.D. Josef Panlagua» subteniente» á teniente de ciblmiéñto de que pasados sin-haberlo hecho, les para­ rá el perjuicio que haya lugar. la segunda compañía. t. D. Ceferino Casas, s…</t>
  </si>
  <si>
    <t>Pantoja, Juana</t>
  </si>
  <si>
    <t>Juana Pantoja</t>
  </si>
  <si>
    <t>abello............. .................. ............... 45 990 Una viña en Cabezas fuertes, que Jinda Otra de una fanega en la Fuente are­ con otra de Doña Juana Pantoja, de nosa , linde tierras que labró Joaquín caber aranzada y media..................... *3-*7 a 97 Barres.................. ................................. 1…</t>
  </si>
  <si>
    <t>Paolina</t>
  </si>
  <si>
    <t>snberg con un -edecán. Estado. Una de las últimas señoras que hablan queda­ En nuestro palacio de Madrid á 20 de julio, do en la sala de baile era Ja princesa Paolina de de 1810. Schwarzemberg, que llevaba de la mano á una de D-m Josef Napoleón por la gracia de Dios y sus hijas. La niña-tropezó,'y cayó ;y ia madre, arras­ por…</t>
  </si>
  <si>
    <t>Papadopulo</t>
  </si>
  <si>
    <t>udschuck frecuentes sali­ conde de Katneaski avanzó con so exército victo­ das; pero el general de división de-Sass y los ge­ rioso hasta Schumla. El general Papadopulo fue nerales Weioski y Kiof la han rechazado siempre, muerto de un balazo al acercarse á examinar los causándole pérdidas mui considerables! reductos de Schuml…</t>
  </si>
  <si>
    <t>Papiol, Francisco</t>
  </si>
  <si>
    <t>Francisco Papiol</t>
  </si>
  <si>
    <t>r de Galicia: D. José María Suarez deRioboo, por la provincia de San­ tiago : D. José Cerero, por la de Cádiz : D. Manuel Ros, por la de San­ tiago : D. Francisco Papiol, por Cataluña: D. Pedro María Ric, por ía junta superior de Aragón : D. Antonio Abadin y Guerra, por la pro­ vincia de Mondoñedo: D. Antonio Payan, por la de…</t>
  </si>
  <si>
    <t>Par, Valentín</t>
  </si>
  <si>
    <t>Valentín Par</t>
  </si>
  <si>
    <t>eriores respectivos ni exigírseles su consentimiento.39 Continúan los donativos de la provincia de Sonora. Tercera compañía de milicias de Aíazatlan. Capitán Valentín Par­ do , 47 y 4 rs. Alférez Fernando Gamboa , 19. Los sargentos, cabos y solda­ dos , 392 y 3 rs. — Quarta id. Capitán Marcelo Pardo, 22 y 6 rs. Los sar­ gento…</t>
  </si>
  <si>
    <t>Para</t>
  </si>
  <si>
    <t>lez de Lima, á D. Antonio Moreno, presbítero Pero otra carta fecha del mismo dia, y que copia­ ex-regular. remos ahora, da á entender que el quartel general Para otro de la misma parroquial, vacante por estaba todavía el 21 en Celorico. Debe de haber muerte de D. Francisco Ruiz, á D. Francisco de error en la fecha de úna de e…</t>
  </si>
  <si>
    <t>Para, Carlos</t>
  </si>
  <si>
    <t>Carlos Para</t>
  </si>
  <si>
    <t>iguro­ cbanciilería , y ha mandado publicar ia siguiente sa información sobre la voz que se había esparcido proclama. de que ia muerte de S. A. R. el príncipe Carlos „ Para colmo del dolor en que la muerte re­ Augusto había sido efecto de algún veneno, tengo pentina del Principe Real ha sumergido á S. M. el nonor de presentar…</t>
  </si>
  <si>
    <t>Para, Cayetano</t>
  </si>
  <si>
    <t>Cayetano Para</t>
  </si>
  <si>
    <t>á D. Francisco de Paola Torrado, Para el de la iglesia parroquial de la villa de. ex-regular de agustinos calzados. Alhendin, vacante por renuncia de D. Cayetano“Para el de la iglesia parroquial de S. Gil de»la Ximenez Romero, á D. Lorenzo Antonio Marín,: misma, vacante por muerte de O. Vicente Eche­ cura económo de Armiliave…</t>
  </si>
  <si>
    <t>Para, Luis</t>
  </si>
  <si>
    <t>Luis Para</t>
  </si>
  <si>
    <t>ro ministro interino de Negocios eclesiásticos, gefe conde Sebastian!, coyas ocupaciones no se lo nombramos : permitieron hacer personalmente, el Sr. D. Luis Para el curato de Bastar viejo, vacante.por pro­ Doguerao , gobernador de esta plaza. moción de D. Pedro Ruiz de Raíz á una capel la­ Acabado el discarso de apertura que…</t>
  </si>
  <si>
    <t>Para, Mariano</t>
  </si>
  <si>
    <t>Mariano Para</t>
  </si>
  <si>
    <t>e del Castillo, ex-- . tias de la misma ciudad de Granada, vacante por regular de la orden tercera de S. Francisco. muerte de D. Juan Raíz Cabello, á D. Mariano Para el de la iglesia parroquial dei Jogar.de Sicilia , cura de Albuñol. Domingo Perez, vacante por reonacia de D Cris-; Para el de la iglesia parroquial de santa Ana…</t>
  </si>
  <si>
    <t>Para, Rodrigo</t>
  </si>
  <si>
    <t>Rodrigo Para</t>
  </si>
  <si>
    <t>, alDr. D. Fernando Vara, Y para el de la'parroquia de S. Juan de ia cura propio de la parroquia de Moclinejó.7' villa déCoin, vacante-por muerte de D. Rodrigo ■ Para otro vacante en la- misma &amp; D. Francisco Peralta , á D. Fernando; Romero Barca.Maldonado , cora de la Torre del Mar. Nuestro ministro interino de Negocios ecles…</t>
  </si>
  <si>
    <t>Paradis, Joan</t>
  </si>
  <si>
    <t>Joan Paradis</t>
  </si>
  <si>
    <t>......... ................................... D Sebastian Loche. fc” ...................................................... D. Joaquín Manad Vhlaiba. D. Joan Paradis. ............................................................................................................ 0 Josef Agustín Míret. D. Juan Cutáneo de la Cruz..…</t>
  </si>
  <si>
    <t>Parce, Silvers</t>
  </si>
  <si>
    <t>Silvers Parce</t>
  </si>
  <si>
    <t>cuerpo JBerlin 28 de abril. de 20-3 hombres. Antes que se disuelva la dieta habrá nuevas SS. M\L nuestros augustos Soberanos habitan promociones: el coronel Silvers—Parce, mariscal de alternativamente en esta c-pital y en Potsdam. Se la corte, que ha sido gobernador de Gripsholm asegura que nuestro enviado extraordinario el c…</t>
  </si>
  <si>
    <t>Pardo</t>
  </si>
  <si>
    <t>ma ficación, importan............. 904$* 1*08)400 jurisdicción de (Jbrique, cuyo Unos olivares en el término de fruto de bellota se arrendó en Villar D. Pardo y en el de la 49242 reales con 2$ marave­ villa de Escañucla, que pro­ dís , y regulándose pructen— ducen 1024 arrobas y quarticialmente , salva su rectifica- . 11a de …</t>
  </si>
  <si>
    <t>Pardo, Francisco</t>
  </si>
  <si>
    <t>Francisco Pardo</t>
  </si>
  <si>
    <t>e Creus por idem : D. Ramón de Lledós por idem: D.~ José An­ tonio Castellarnau por ídem: D. Antonio María de Parga, por la pro­ vincia de Santiago : D. Francisco Pardo por idem: D. Vicente Ter­ rero, por la de Cádiz: D. Francisco María Riesco, por la junta supe­ rior de Extremadura: D. Gregorio Laguna, por la ciudad de Badaj…</t>
  </si>
  <si>
    <t>Pardo, Luis</t>
  </si>
  <si>
    <t>Luis Pardo</t>
  </si>
  <si>
    <t>s corresprmde, .no podrá tan fá­ cilmente plantar sus águilas en los muros de Lisboa. NOTICIAS DE ESPAÑA.. Sevilla % de enero. El teniente de fragata D. Luis Pardo, co­ mandante de la-division de 3 faluchos que salió ce Tarragona c-1 13 de diciembre último convoyando 16 embarcaciones.careadas de víveles para el exército de Ca…</t>
  </si>
  <si>
    <t>Pardo, Manuel</t>
  </si>
  <si>
    <t>Manuel Pardo</t>
  </si>
  <si>
    <t>de Espartinas... 484 54-*7 * *99 Otra i dicho sitio, de 31 fin. y 9 celemi­ nes, que linda á poniente con tierra dé SACEDON SE CANALES. herederos de D. Manuel Pardo, y al oriente remata en punta, que forman Una tierra de 8 celem., al Colmenar..... i-*t 2 arróyuelos............ ................................ . Otra de 2 fan.…</t>
  </si>
  <si>
    <t>Pardo, Marcelo</t>
  </si>
  <si>
    <t>Marcelo Pardo</t>
  </si>
  <si>
    <t>licias de Aíazatlan. Capitán Valentín Par­ do , 47 y 4 rs. Alférez Fernando Gamboa , 19. Los sargentos, cabos y solda­ dos , 392 y 3 rs. — Quarta id. Capitán Marcelo Pardo, 22 y 6 rs. Los sar­ gentos , cabos y soldados, $70 y 2 rs. — Quinta id. Capitán Honorato In­ da , 16. Teniente Juan Ureña, 14. Alférez Vicente Hernande z,…</t>
  </si>
  <si>
    <t>Paredes, José García</t>
  </si>
  <si>
    <t>José García Paredes</t>
  </si>
  <si>
    <t>120</t>
  </si>
  <si>
    <t>de artillería, reunido en una de las; baterías de la misma plaza de Campomayor, haciendo el juramento prescrito en manos de su co­ mandante general* D. José García Paredes, quien con este motivo arengó oportuna y enérgicamente á sus soldados: y se concluyó d acto con salva y regocijadas aclamaciones. Un oficial de las divisio…</t>
  </si>
  <si>
    <t>Paredes, Juan</t>
  </si>
  <si>
    <t>Juan Paredes</t>
  </si>
  <si>
    <t>espo. D. Andrés Almarza. D. Antonio Reyelo. D. JnrefTubó. D. Joaquín Pacheco. D. Pedro Josef Mayora. D. Esteban Bains. D. Modesto faLcios. Tenientes. D. Juan Paredes. D. Agustín Ugarte. D............................... D. Antonio Arias. D. Vicente Ferrer. D. F rancisco Sagasta. D. Mariano de la Cuesta. Batallón del quartel de…</t>
  </si>
  <si>
    <t>Pareja, Alonso</t>
  </si>
  <si>
    <t>Alonso Pareja</t>
  </si>
  <si>
    <t>nales, 00 hallan expre­ -’D. Cristóbal de Figuercta, maestrante de Ron­ siones suficientes para manifestar su sincero recono­ da , regidor. cimiento. D. Alonso Pareja, teniente de navio retirado, Sevilla /.* de febrero. regidor. "D. Alonso Mantilla, maestrante de Sevilla , re­ La derrota total que sufrió en Ocaña el exércigid…</t>
  </si>
  <si>
    <t>Pareja, Euscbio</t>
  </si>
  <si>
    <t>Euscbio Pareja</t>
  </si>
  <si>
    <t>Juana Elexaga.............................. 12003 «f D. Eiías Pascual Ronda..... .................. 8700 D. Fulgencio de la Riva Agüero........ 2597 D. Euscbio Pareja.................................. 1190 D. Nicolasa Utiel.................................... 2888 D. Josef Ruiz.......................................... D. Ped…</t>
  </si>
  <si>
    <t>Pareja, Joséf-Rtalz</t>
  </si>
  <si>
    <t>Joséf-Rtalz Pareja</t>
  </si>
  <si>
    <t>o D. CándidoPeratra. reglb al artículo m del mismo. - -v, Para la de Lanjaron al' ex-carmelita descalzo art. in. Nuestros ministros de Negocios «cié. D. Joséf-Rtalz Pareja. elásticos y de Hacienda quedan encargados y cada Pará lamele Orxíba al e*-gerónimo D. Gabriel uno éo la-parte que le toca , del cumplimiento de Granétf. '…</t>
  </si>
  <si>
    <t>Pareja, Manuel</t>
  </si>
  <si>
    <t>Manuel Pareja</t>
  </si>
  <si>
    <t>rsonero. ha hecho ai Exento. Sr. gobernador general. La diputación de la villa de Menxibar la for­ El domingo 8 del corriente dio el Excmo. Sr. maban D. Manuel Pareja , alcalde primero; D. Eu­ gobernador general una suntuosa cena y un es­ frasio de Gamiz, síndico; D. Juau Fernandez Ca- pléndido baile, á que asistieron todas l…</t>
  </si>
  <si>
    <t>Parga, Joan</t>
  </si>
  <si>
    <t>Joan Parga</t>
  </si>
  <si>
    <t>m­ lludo, otro, D. Torquato Herrera. bre de 18 os1. Segunda ídem. Capitán D. Josef Granados , te­ En una conferencia que he tenido esta mañana niente D. Joan Parga, subteniente D. Juan Nepocon ei consejero áulico Hudeliot me ha dicho este muceno de Castro, otro, D. Josef de Hoyo. que acababa de saber por el conde de Stadion q…</t>
  </si>
  <si>
    <t>París</t>
  </si>
  <si>
    <t>za, hermanos........ 5*091 22 ron.el regimiento 113.° y los volteadores del Vís­ D. Francisco Criado.................................. 3C7°5 tula. El general París y el coronel Dupeiroux , á Dendoat, hermanos.................................... 51=33 ri pesar de sus recientes herid is, marcharon con gran­ D. Jaime Dot........…</t>
  </si>
  <si>
    <t>á hacer todos sus esfuerzos para concur­ le: á las 10 el castillo grande eoarboló bandera rir por su parte á conservar la tranquilidad. blanca, y el general París presentó al general en gafe un brigadier acompañado de varios oficiales y 1JBRO. de un vocal de la junta, que venían á tratar de la Arte de nadar-, librito en dozav…</t>
  </si>
  <si>
    <t>Paris, Antonio</t>
  </si>
  <si>
    <t>Antonio Paris</t>
  </si>
  <si>
    <t>sa se habia retirado del Escálda,y niente D. Josef Ximencz Niño, subteniente D. An­ que esta noticia habia causado sumo disgusto al drés P«ris, otro, D. Antonio Paris. Emperador. Quarta ídem. Capitán D. Josef Muñoz, te­ Puesto que S. M. I. no puede contar ya con niente D. Julián Castañeda , otro, D. Antonio Anque continúen la…</t>
  </si>
  <si>
    <t>París, Francisco</t>
  </si>
  <si>
    <t>Francisco París</t>
  </si>
  <si>
    <t>del pueblo. Un inmenso gentío llena­ Oteóte D. Juan de Ortega, otro» D. Antonio Lla­ ba toda la carrera desde mucho mas allá de las mas , subteniente D. Francisco París, otro , D. Ra­ puertas de la ciudad hasta el palacio obispal, si­ fael Vázquez. tuado al otro extremo de ella; todos los balcones Segundo batallón, Comandante…</t>
  </si>
  <si>
    <t>París, Juan</t>
  </si>
  <si>
    <t>Juan París</t>
  </si>
  <si>
    <t>5 D. Antonio Diana, el comandante de tiradores de Fernando Vil D. Antonio Mendoza , el cadete D. José Heres , el subteniente; de la guardia de honor D. Juan París, el de la misma clase D. Manuel Pélaez y el subteniente Don Francisco Fresno*; y aunque todos han llenado su deber, no han tenido igual ocasión que los expresados d…</t>
  </si>
  <si>
    <t>Parlado, Francisco</t>
  </si>
  <si>
    <t>Francisco Parlado</t>
  </si>
  <si>
    <t>100. B. L. , 100. Marques de Castelar, ioco., D. To­ mas de Urrutia , 1000. D. Antonio Eseaño , ioco. D. Jayme Mendiberri, So. Marques de Salas, 5C0. D. Francisco Parlado , toco. D. Pedro Benito Michel, 40. D. Mariano Matali, Soo. TJr.á bisabuela , zoco. Doña María Josefa Ge i cochea y Melendez, 120. Marques de Astorga, 1500.…</t>
  </si>
  <si>
    <t>Partenueaux</t>
  </si>
  <si>
    <t>* equivale á dos libras y quarteron -disi­ que se detendrá aquí tres ó quatro dias. de uva?. Cada fanega de tierra puede producir ¿le La división del general Partenueaux ha tenido 300 á óoo quintales de remolachas, y cada quin­ órden para ir á Scilla y Bagnara. tal de 30 libras de xugo producen tres libras y La guardia real b…</t>
  </si>
  <si>
    <t>Partonneaux</t>
  </si>
  <si>
    <t>cito está dividido eo tres coerpos : el á los franceses medios de entrar provisiones en primero ocupa la derecha de Scilla t á las órdenes Corfd. del general Partonneaux : el seguí-1o ocupa ta iz­ En el año de 1792 «1 conde de Liverpool, quierda, i l*s órdenes del general Lo«n»tqur : el miembro entonces de la cámara baxa, des…</t>
  </si>
  <si>
    <t>e guerra españoles y una fragata, comandante de marina para que se preparase al que han sido entregados por aquel gobierno insur­ combate, y avisó al general Partonneaux para qne reccional á los ingleses , y desde luego empezaron embarcase su división, y mandó colocar la del ge­ á hacer rumbo hacia Gifcraltar escoltados por n…</t>
  </si>
  <si>
    <t>Pasarin, Tomas</t>
  </si>
  <si>
    <t>Tomas Pasarin</t>
  </si>
  <si>
    <t>uín de Iurvide, vecino de Valladolid , 10, y anuales , 500. D. Felipe Robledo, vecino de Valladolid, 10 , y otros 1© anuales. Eí conde de Regla , 10. D. Tomas Pasarin , 10. El brigadier D. Manuel Agustin Masca­ rá , 10. La religión de S. Camilo, 10. D. Andrés Parez Soto, ve­ cino del Real de los Catorce, 10. La archicofradía …</t>
  </si>
  <si>
    <t>Pascalis, Juan</t>
  </si>
  <si>
    <t>Juan Pascalis</t>
  </si>
  <si>
    <t>pe. de S. M., queda nombrado comandante de ,,No se cause vmd.; la España está llena esqnadron. de traidores; es menester hacer un escar­ Y finalmente D. Juan Pascalis ha sido miento exemplar. La junta no dexará de ha­ promovido á capitán de caballería de lÍDea cer las pesquisas mas rigurosas; y si los ge­ por decreto de 2 del…</t>
  </si>
  <si>
    <t>Pasión, V</t>
  </si>
  <si>
    <t>V Pasión</t>
  </si>
  <si>
    <t>inete titulado Lagnto y Cancne. ióme Calcinar, médico de los reales e.Vi iros, de les En el de los Caños del Peral, ú las siete y media de hospitales General V Pasión, individua de la .j.. Za noche, se representara por la compañía italiana la rM.-.i incaica. Tres volúmenes en 8.'' Vendcr.se en casa</t>
  </si>
  <si>
    <t>Pasqoier</t>
  </si>
  <si>
    <t>te establecidas en las otra parte. .. ______________ provincias de su mando, procederán á confiscar sus bienes sin necesidad de nueva declaración. El barón Pasqoier, consejero de Estado, pre­ art. n. Los empleos que hayan obtenido las fecto do Policía, acompañado de Mr. Piis, secre­ personas emigradas, se considerarán como va…</t>
  </si>
  <si>
    <t>Pasquel, Mariano</t>
  </si>
  <si>
    <t>Mariano Pasquel</t>
  </si>
  <si>
    <t>to, 100. D. Pedro García la Lausa , 200. D. Domingo Madariaga, 25. D. Juan Manuel Muñoz , 200. D. Joaquin Micon , 100. D. Jo­ sé Domingo Couto , 100. D. Mariano Pasquel, 100. D. Manuel Elguero , 100. D. Juan Antonio Leunes , 100. D. Francisco Magarola , 50. D. Francisco Guer­ ra , 50. D. Francisco Torres y Juyol, 25. D. Barto…</t>
  </si>
  <si>
    <t>Pastor, Josef</t>
  </si>
  <si>
    <t>Josef Pastor</t>
  </si>
  <si>
    <t>También le recibieron mas »llá de ¡as puer­ Tiradores. Capitán D. Fernando Campero, sub­ tas el señor comisario regio, el reverendo obispo, teniente D. Josef Pastor , orro, D. Manuel Dusmet. el cabildo, y otras personas principales. La guar­ art. ii. Asimismo quedan nombrados para el dia nacional estaba formada en los p.tim d…</t>
  </si>
  <si>
    <t>Pastor, Juan Francisco</t>
  </si>
  <si>
    <t>Juan Francisco Pastor</t>
  </si>
  <si>
    <t>. Juan Oden y Meneses. D. Antonio San Germán. D. Juan Puente. D. Manuel Carranza. D. Jnan Verdes Montenegro. D. Nicolás María Bretnond. Subtenientes. D. Juan Francisco Pastor. D. Tomas Mari. D. Policarpo Saez de Tejada Hermoso. D. Felipe Colmenares. EL marques dei Valle de la Paloma. D. Mariano Mari. D. Estéban Corones Albero…</t>
  </si>
  <si>
    <t>Pastor, Pedro Pablo</t>
  </si>
  <si>
    <t>Pedro Pablo Pastor</t>
  </si>
  <si>
    <t>on comunes á todos ios idiomas, y lasque son pe­ D. P'runcbcQ López Nuñez.................... I’7 5° culiares de cada uno en particular. Las primeras D. Pedro Pablo Pastor............................. 147^8 a pertenecen á lo que los autores llaman gramática Doña Paulina Gil de Terreros.............. 11712 general, y las segun…</t>
  </si>
  <si>
    <t>Pastrána, Manuel</t>
  </si>
  <si>
    <t>Manuel Pastrána</t>
  </si>
  <si>
    <t>risioneros y muchos eíéctos. Nuestra pérdida fué de 5 muertos, 18 héridos, 4 con­ tusos , 2 prisioneros y 2 extraviados. ! v ' ' El 25 del mismo mes, D. Manuel Pastrána, conocido por el nombre de Chambergo, sacó de Ciudad-Real preso al algua­ cil mayor y lo llevó á MigueltuiTa. Perseguido después por los franceses, se hizo fu…</t>
  </si>
  <si>
    <t>Patiroja, Josef</t>
  </si>
  <si>
    <t>Josef Patiroja</t>
  </si>
  <si>
    <t>90 tadales.....;..... :........ .......................... 3 9a Otra de igual cabida en_ci vallé, linde Otra camino de Gctafé, mas alláde las Otra de D. Josef Patiroja.................. So IIOO eras de divho camino.de j celemines. ¿■*7 » • *43 Otra de una fanega y 3 quartilias en Otra en el mismo valle,'linde rierras de ‘ dic…</t>
  </si>
  <si>
    <t>Patón</t>
  </si>
  <si>
    <t>ue domina el campo vecino. Tiene también un cerca de Almeida el 24 del mes anterior, la divi­ .gran foso y un camino cubierto. Casi en medio sión del general Patón se vid ep necesidad de aban­ de la ciudad, «obre un alto raoutec¡Uo,esíá situa­ donar á Pin el en la noche del 2 y , y al dia siguien­ do el castillo, que es Ltnos…</t>
  </si>
  <si>
    <t>Pau</t>
  </si>
  <si>
    <t>ha regimenta­ Emperador se hallaba á la otra extremidad de la do la milicia del p'ais ál modo de la de Rusia. A sala, y acababa de pasar cerca de la princesa Pau­ los habitantes se les ha pedido una declaración de lina de Schwarzemberg, que le había presentado su nombre, de su estado y de sus medios de sub­ las princesas sus …</t>
  </si>
  <si>
    <t>Pauca, Pedro</t>
  </si>
  <si>
    <t>Pedro Pauca</t>
  </si>
  <si>
    <t>933 SUPLEMENTO A LA GAZETA DE MADRID DEL DOMINGO 29 DE JULIO DÉ l‘8lO. S. M. ha expedido el decreto siguiente * D. Pedro Pauca...................................... *444 Extracto de las minutas de la secretaría de Estado. D. Juan Pablo Pereira............................ 712 En'nuestro palacio de Madrid á 14 de jul</t>
  </si>
  <si>
    <t>Paula</t>
  </si>
  <si>
    <t>fiel" Arenal................V,... 79.17 'i 1749 Otra al Carrasca! ,de 7 fanegas, linde á' Otra en la Horca vieja, de una fane­ saliente con tierra de Doña Paula ga, que [inda á oriente y mediodía Linares.................................................. 95 290 con tierra'de Josef Anselmo de los Otra de fcnegas, al Carrascal, …</t>
  </si>
  <si>
    <t>n y contento por Federico Guillermo Alexandro Fernando. El Rei, la bizarría y gallarda presencia de este cuerpo de la princesa Real, el principa y la princesa Paula exérciro, y principalmente por el entusiasmo qae y la princesa Luisa han servido de testigos. se nota en todos los soldados. El enemigo, viendo la rennion de los …</t>
  </si>
  <si>
    <t>Paulina</t>
  </si>
  <si>
    <t>uestra patria; y la pers­ España, de Holanda, de Westfaiia.y de Nápoies, pectiva de la felicidad presente y futura de los de Madama, y de S. A. I. la Princesa Paulina.” franceses sea el premio de sus fatigas y el galardón S. M.. el Emperador y Reí se ha dignado ha­ de sus sacrificios! blarnos en estos términos: «Vuestra comis…</t>
  </si>
  <si>
    <t>(la muger de José) de Holanda , de VVestfaUa y de Ñapóles, de Madama y Je S. A. I. ia princesa Paulina.” M. el emperador y rey se dignó dirigimos la palabra en estos términos.” “Primo mió, príncipe archi- canciller : con fecha de hoy os he dirigido una carta cerrada, ordenándoos que os halla</t>
  </si>
  <si>
    <t>lia , y S. A. I. y R. la talina, Reina de Westfalia , la princesa Elisa , gran ««archiduquesa María Luisa están unidos en matriduquesa de Toscana, la princesa Paulina, la prio- •&gt; monio.” res las fuerzas físicas del cuerpo, es mui cierto que sin dencia y reserva á los casos particulares en que se halla. estas no se grangea co…</t>
  </si>
  <si>
    <t>y de un ayudante de talina , Reina de VVesUalia; 1a princesa Elisa, gran ceremonias , 1 evará el evangelio al Emperador y á duquesa de Tr ican.:; ia princesa Paulina ; la prin­ Ja Irinperatriz p..ra que le besen, y luego incensa­ cesa C .rutina ,Reina de Ñapóles ;el gran duque ele rá á Si. MM. YVurtzburpo; !a princesa Augusta…</t>
  </si>
  <si>
    <t>vendieron posteriormente en esta de Westfalia, de la Reina de Ñipóles y el viréis corta; cayos efectos pudieron ser recogidos, re— de ’Itiíia , de la princesa Paulina y el principe Es- sultatído íu procedencia de los mismas agresores. terrhaci, y de M.1,e Pean de S. Gil y Mr. de Ni- Todos estos hechos aparecen pienísimamente …</t>
  </si>
  <si>
    <t>veza» y que ¿1 se había convenido eo con motivo de la función que dió á SS. MM. II. comprar la de Adams por un scheling. También ha y RR. S. A. I. la princesa Paulina. Pasaron de 18 confesado que se había allanado» mediante qne no billetes los que se repartieron entre las personas tenia hijos, en llevarse dos de los quatro qu…</t>
  </si>
  <si>
    <t>s, que llamaban i $. M. la Emperatriz conservó toda la noche la sus esposos y sus hijos, y que en el instante en que mayor serenidad. La muerte de la princesa Paulina se hallaban se abrazaban como si hubiesen estado le ha hecho derramar muchas lágrimas. separados largo tiempo. El Emperador y la Emperatriz snbierpn en un ESPAÑ…</t>
  </si>
  <si>
    <t>toda su esquadrilla. S. M., El dia 7 se celebraron en la parroquia de San que observaba los movimientos del enemigo, hizo Roque los funerales por la princesa Paulina de salir de este puerto 2 5 buques con granaderos del Schwartzemberg. Las personas que asistieron al en­ 62.° y tiradores de la guardia real, dando al mis­ tierr…</t>
  </si>
  <si>
    <t>dente de la cámara de Hacienda. destiló en seguida á presencia de S. A. I. S. M. ha nombrado al mismo tiempo vice-presi- El cadáver de la desgraciada princesa Paulina dente del gobierno de Bohemia al señor Schulier, de Schwartzemberg ha sido conducido á Kromau, consejero de la corte, y director de policía en que es una de las…</t>
  </si>
  <si>
    <t>de Krnse y el regimiento de Nassau , que dos de la Holanda y de las provincias ¡líricas. mandaba en esta acción, son dignos de los mayo­ S. A. I. la princesa Paulina se voelve á Patis res elogios. Va persiguiendo con sus valientes los de los baños de Aix-la-Chapelle. restos de la guerrilla de Francisquet, con espe­ Por delibe…</t>
  </si>
  <si>
    <t>A» I. Y S. M. respondió: ,,En este caso él es ti verda­ madama madre dei Emperador, S. M. la Reina dé dero c.eñr.r de Joui.” Ñipóles , y S. A. I. la princesa Paulina. En el con ejo de comercio se ban sentenciado los buques otomanos ó berberiscos secuestrados en los puertos de Marsella, de Génnva y de Liorna pnr sospecharse qu…</t>
  </si>
  <si>
    <t>Paulioa</t>
  </si>
  <si>
    <t>le ha con- - piaron á danzar, y esparcir flores en el camino por fiado S. M. donde debían pasar SS. MM. Por una marcha viva La fiesta que S. A. I. la princesa Paulioa ha te- y militar se anunció inmediatamente el tcmpfe de #_______ _____________ . Monarcts, y los subditos á su exemplo, se esmeraron en raíces seculares en mano…</t>
  </si>
  <si>
    <t>Paulo</t>
  </si>
  <si>
    <t>les del estado mayor general del exérTIoi ha sido bautizada con toda solemnidad la «íto de Brabante y de nuestra guarnición dieron princesa, hija del príncipe Paulo, en el palacio de ayer un gran baile, al que convidaron á las autori­ S. A. El Rei, la Reina y los principales emplea­ dades del país, á los oficiales holandeses,…</t>
  </si>
  <si>
    <t>Pavist, Luis</t>
  </si>
  <si>
    <t>Luis Pavist</t>
  </si>
  <si>
    <t>f Valdivia y D. Antonio Negro: la Minerva, y la corbeta inglesa Víctor, llamada subteniente en el regimiento de Málaga, 6.° de lí­ antes Jena. nea, á D. Luis Pavist subtenientes en el regimien­ to de Infantes, io.° de línea , á D. Andrés de Ro­ Ambéres 13 de mayo. bledo Odriscols, D. Josef Martin y Barreiro y S. M. ha salido …</t>
  </si>
  <si>
    <t>Pawlowna</t>
  </si>
  <si>
    <t>1103</t>
  </si>
  <si>
    <t>ellón. joren por una mutación de sistema, ó que se re­ Aguar íamos de un día á otro á S. A. R. la gran nueven por una convulsión, ó que por su propio duquesa Pawlowna coa su augusto esposo. peso caigan en el olvido que amenaza siempre á las naciones corrompidas, que no han tenido bastante PRUSIA. virtud para volverse á levant…</t>
  </si>
  <si>
    <t>Payan, Antonio</t>
  </si>
  <si>
    <t>Antonio Payan</t>
  </si>
  <si>
    <t>D. Francisco Papiol, por Cataluña: D. Pedro María Ric, por ía junta superior de Aragón : D. Antonio Abadin y Guerra, por la pro­ vincia de Mondoñedo: D. Antonio Payan, por la de la Coruña: Don Juan Bernardo Quiroga, por la de , Orense: D. Josef Ramón Becerra y Llamas, por la de Lugo: D. Pedro Ribera y Pardo, por la de Betanzo…</t>
  </si>
  <si>
    <t>Payo, Pedro</t>
  </si>
  <si>
    <t>Pedro Payo</t>
  </si>
  <si>
    <t>del exército de la izquierda el empleo de coronel á D. Manuel del Mazo; el de sargento mayor, á Don Manuel de Bayona ; compañías , á D. Ramón Díaz, y D. Pedro Payo; ayudantías á D. Alberto Nazarre, y D. Francisco Mo­ ren za ; tenencias , á D. Antonio Fernandez, D. Fernando Azevedo , y D. Francisco Venegas; y subtenencias, á D…</t>
  </si>
  <si>
    <t>Payztn, Antonio</t>
  </si>
  <si>
    <t>Antonio Payztn</t>
  </si>
  <si>
    <t>.” Informe de la Comisión. “Señor: V. M. se sirvió honrar individuos de ella. á los exponentes con la comisión de presentar á las Cortes el mejor me­ D. Antonio Payztn. dio que pueda adaptarse para que se I). Manuel Ros. terminen prontamente las causas cri­ I). Vicente Morales. D. José Morales Gallego, minales, á fin de que s…</t>
  </si>
  <si>
    <t>Paz, Narciso</t>
  </si>
  <si>
    <t>Narciso Paz</t>
  </si>
  <si>
    <t>quarteto. Se bailará el bolero, y seguirá Sábado 3 de marzo de 1810. la ópera nueva en un acto titulada el B.iron fingido, música del maestro español D. Narciso Paz, primera TEATROS. composición que da al teatro, adornada con todo su En el del Principe, á las cmco^de la tarde, se re- vestuario nuevo. prcsc-it.irá por la compa…</t>
  </si>
  <si>
    <t>ZETA DE MADRID. segunda representación de la ópera nueva en un acto titulada el Barón fingido, música del maestro español Domingo 4 de marzo de 1810. D. Narciso Paz, primera composición que da al teatro, TEATROS. adornada con todo su vestuario nuevo; y el baile del En el del Príncipe, á las cinco de la tarde , se re­ Cubero, …</t>
  </si>
  <si>
    <t>trech. Los españoles que contribuyeron á to titulada el Barón fingido, música del maestro espa­ que entonces se verificasen sus proyectos, son el ñol D. Narciso Paz, y el baile nuevo compuesto por Mr. Lefebre, que será una gran diversión asiática, excobjeto de la execración de los buenos patriotas: cutada por Fernanda y Alexo…</t>
  </si>
  <si>
    <t>a comedia en tres ac­ ó el Barón fingido, que es lo mismo, cuya composi­ tos titulada Reinar después de morir, D.-ií* Inés de ción música-pertenece á D. Narciso Paz , joven español, Castro, y la opereta del Engañador engañado. qne ha creído dar con esta pitra la primera prueba de En el de la Cruz, á las tincj de la tarde, se …</t>
  </si>
  <si>
    <t>ía italiana la ópera nan de sobresalto, representándoles la reforma como titulada el Barón fingido, mfuica del maestro español una novedad peligrosa. D. Narciso Paz, y se finalizara con el bolero á tres. - Esto es justamente lo que he notado en las diíérená - En el de la Cruz, á las ocho de la noche, se cxccu- tes ocasiones q…</t>
  </si>
  <si>
    <t>ior de su órbita con relación á la titulada el liaron fingido, música del maestro español eclíptica. Si el solno la atrasera, es claro que á la mitad D. Narciso Paz, y se dará fin cor. un sexteto nuevo de de cada revolución se hallaría en el punto opuesto al la composición del señor Favoni, y exccutado por los de donde partió…</t>
  </si>
  <si>
    <t>Pcreira, Luis Marcelino</t>
  </si>
  <si>
    <t>Luis Marcelino Pcreira</t>
  </si>
  <si>
    <t>en este no se usa palabra ninguna qn« Sr. D. Gonzalo O-larri 1....................... jjcG} 22 no podamos alistar con facilidad en qualquiera de Sr. D. Luis Marcelino Pcreira.............. 7°37 27 elids; pero pronto veremos qué exactitud y verdad 'D. Josef Fontoneüe................................... 22 hai en esta aserción g…</t>
  </si>
  <si>
    <t>Pdblo</t>
  </si>
  <si>
    <t>en las pruebas, regulando sus términos por los dias AVISO. del correo. Pero acaso ¿no es este mas propio que En la junta de acreedores al concurso de D. Pdblo la cuenta por leguas de distancia ? ; No es menos Antonio Tarsfs celebrada el dia 24 del: corriente en la costosa, mas fácil y segara la comunicación en las posada del …</t>
  </si>
  <si>
    <t>Pde'Rivera, Manuel</t>
  </si>
  <si>
    <t>Manuel Pde'Rivera</t>
  </si>
  <si>
    <t>en la. desgracia de sufrirlos. s El Consejo de Regencia se ha servido conferir en el Tejimiento; dé infantería dé Cantabria, "tenencia al subteniente D. Manuel Pde'Rivera, y subtenencias al sargento primero D. Gabriel Cardell y al’cadete Don Evaristo Fiallo: en el de, Murcia tenencia al subteniente; D. Francisco Preilcr : en …</t>
  </si>
  <si>
    <t>Pdniatowski, Josef</t>
  </si>
  <si>
    <t>Josef Pdniatowski</t>
  </si>
  <si>
    <t>lia; otra para el primer gentil­ El Rei nuestro gran duque, atendiendo' áf los hombre y el gran maestro de ceremonias; dos para grandes servicios del príncipe Josef Pdniatowski, los príncipes grandes dignidades; qnatro para los comandante en gefe del exército polaco , y señala­ príncipes y princesas de ia familia imperial; la…</t>
  </si>
  <si>
    <t>Pé, Diego</t>
  </si>
  <si>
    <t>Diego Pé</t>
  </si>
  <si>
    <t>vilo: en el de Canarias, tenencias á. D. Miguel Manzano y D. Aureliano Carabeo, y subtenencias á D. J an de Blanca', D. Nicolás y D. Juan Calzadiila, D. Diego Pé­ rez y D. Juan Martin Creagh ; y ei tercer batallón de la legión, de voluntarios del Rivero á D. Juan Saarez y Luaces. En el regimiento provincial de Cuenca , se ha …</t>
  </si>
  <si>
    <t>Pe, Don</t>
  </si>
  <si>
    <t>Don Pe</t>
  </si>
  <si>
    <t>donde , viendo aquel que se le Obligaba demasiado , vo vió sobre nosotros ; pero fue detenido por el regimiento de Can­ gas de Tinéo , que mandaba su teniente coronel Don Pe­ dro Dejui (por hallarse empleado su coronel en el mando de una cclena) y por otras varias partidas de diferentes cuer­ pos que con valor y atrevimiento …</t>
  </si>
  <si>
    <t>Ped</t>
  </si>
  <si>
    <t>, chantre ; D Josef Ubi- PROCLAMA DE S. M. Iio» , tesorera; D. Francisco Argnte ; D. Francisco Don Josef Napoleón por la gracia de Dios y de Barcia ; D. Ped o Segovía ; D. Diego de Ugal- por ia constitución dei estado, REI de las Españas de; D. Miguel Gar la de Pisa , lectora! ; D. Ma­ y de las Indias. nuel de Espejo; D. Grag…</t>
  </si>
  <si>
    <t>ados anteriormente sobre esta Extrángero. materia. Cardo (D. Juan), sargento del Real Irlandés. art. ii. -LoJ conventos qoe todavía existen . Dambli (D. Ped ro Nicolás), capitán de tiradores quedarán cercados á mas tardar para el ij de- oc­ del Real. Extrángero. tubre próximo. Dumonr (D. Josef), subteniente de granaderos art.…</t>
  </si>
  <si>
    <t>Pedas, Antonio</t>
  </si>
  <si>
    <t>Antonio Pedas</t>
  </si>
  <si>
    <t>D. Josef Pelaez»».,.»...... *....»........... ¿5760 Idem.............................. .564194 i'.;. D. J oso Auto cío .de. Irusta MMMttiPMPP 163800 D. Antonio Pedas.,............ 165582 28 D. Antonio Alvit[ez,i&lt;&gt;.-.„,..A........... 90720 B.Osbntl 9866 10* 15. Lntrda............... .439*9 D. Josef Luis Sape 6255I i2f; DoñaMar…</t>
  </si>
  <si>
    <t>Pedí</t>
  </si>
  <si>
    <t>on 6 hombres v un cabo en cada una de 10 ,de ellas , encararando, el mando del todo de esta tropa al subteniente del regimiento de fieles Zaragozanos D. Pedí o Sánchez de Sierra.—-En la Selva destrui­ mos las baterías que habia, arrojando al mar 14 cañones de fierro del calibre de á 2.4: perdieron upa y otra fragafa en es,te …</t>
  </si>
  <si>
    <t>Pedio</t>
  </si>
  <si>
    <t>aga á D. Juan Formalagner y M&gt;rti- ez: a\udanMadrid 6" de junio. tede primera clase de la plaza de Madrid al tenien­ Por decreto de 29 de mayo último D. Pedio te coronel D. Josef Dampierre. en uno de dos extremos, ó hará el papel monótono y mos dicho, los diálogos del cura, principalmente e! de desagradable, ó desmentirá su c…</t>
  </si>
  <si>
    <t>Pedraza, Félix</t>
  </si>
  <si>
    <t>Félix Pedraza</t>
  </si>
  <si>
    <t>. r ■ Compañía de Caíniehár '-vi(¡j^ dedil o *plazas.. a.ij C.i-, CompañíadSiGrlñon de d\gót1ptapal..ít Capitán, D. Bernabé dq la Fuente. C ipitan , D. Félix Pedraza. . !... Tenienté^Dí1''Aláíl5ó's5Ortjtíidr. I,: ' Tfiniente-.^D. B¿roabé Gaián.; " ' Subtenientc j R j'iIaa Gbasee'Ibañíi. i .. SubíenientevIX Aügel Rodriguen.. .…</t>
  </si>
  <si>
    <t>Pedrero, Marcos</t>
  </si>
  <si>
    <t>Marcos Pedrero</t>
  </si>
  <si>
    <t>elogiaban á porfía á so Monarca y al nuevo órden de Abanderado, D. Marcos Pedrero. cosas cjae concedía al mérito prerogativas , antigua­ mente prrpituo y excítlsivo patrimonio, del acaso Batallón del quartel de la Piases. dé una ilustre cuna. D. Bartolomé jurado se había</t>
  </si>
  <si>
    <t>.rtin Azcué...... D. Pedro Simón Puerta. D. Antonio F.beirac. D. Camilo Gonsalex. $•"* El conde de Isla............. ....... D.,Manuel Gomes......... D. Marcos Pedrero, 6*. D. Francisco Monta leo y Ta­ 1- D. Antonio Salasar. ba res........................ .......... . •••«••••hete-*»»»***» ••♦••••................ D. M.riano C…</t>
  </si>
  <si>
    <t>Pedriza, José María</t>
  </si>
  <si>
    <t>José María Pedriza</t>
  </si>
  <si>
    <t>osé Tomas Yañez, 10 Tres individuos, 15. — AÁapimi- D. Francis­ co Labarrieta, 100. D. Santiago Labarrieta, 25. — Cuencamé. D. Miguel Arróspide, too. D. José María Pedriza, 50. D. Tomas Troncoso, 3 — Papa:-qttiaro. El cura D. Jote Joaquín Escarzaga, 25. D. Francisco Ve11ot, 50. D. Pedro Barraza, 13. D. Julián y D. Juan Torrij…</t>
  </si>
  <si>
    <t>Pedrn</t>
  </si>
  <si>
    <t>misma • * parroquia. - v:: ttyU'.W. .1. Patúi-elde la parroquial-de Setenil, vácaote por Para eU beneficio entero de . la parroquia.'denlos muerte dc-D. Pedrn jacinto Villalon ,'á D* FranSantos Mártires-de la mismaciudad, vacan tepór, ciscp*Marin y Paez, cléf ig® de prima. muerte de DpNicolas Ximenfcr,D; Manuel Re- : Paraf'el…</t>
  </si>
  <si>
    <t>Pedro</t>
  </si>
  <si>
    <t>n del Oido el gran consejo de la Orden Real de Es­ ministerio de Negocios eclesiásticos. paña, hemos decretado y decretamos lo siguiente: Ciucúnegui (D. Pedro), secretario general de la articulo i. ,, Nombramos caballeros grandes mayordomía de nuestra real casa. bandas de la Orden Real de España á Delecrai (D. Josef) , capitá…</t>
  </si>
  <si>
    <t>celo y laborioso cuidado con que ha proporcionado criminal extraordinaria. V. E. las provisiones necesarias para el/destaca­ Peres de la Castellana ( D. Pedro), vice-presiden- mento del exército de mi mando que se ha acan­ te de la misma junta. tonado ea esta provincia. Aseguro á V. E. que Perez del Ribero ( D. Francisco), ge…</t>
  </si>
  <si>
    <t>Uarela) ; el cura de Gundivós UD. Manuel Gay) ; ei cura de 3a Pénela (D. Miguel Olloniego) ; el nombrado Boado , relator déla audiencia áe la Coruña (D. Pedro) ; el nombrado Casardique, rico habitaste cer­ ca de la barca de Belesar sobre la ribera izquierda del Miño ; el sargento Castro. El mariscal comandante en xefe ordena,…</t>
  </si>
  <si>
    <t>naturaleza, y que el autor no lo sacó) á la escena í hu­ ,, Dice vmd. que ha pensada un poco en ello¡ pue* mo de pajas. Yo también me parezco algo á D. Pedro, piénselo vmd. mas despacio, y hable entonces. ~ ' * y no dexo de tener mi puntita de declamador, aunque no ,, Dexe vmd. á Aristóteles y á Horacio donde es­ lo haga tan …</t>
  </si>
  <si>
    <t>, y le gustará á vmd. de ve- en paz a esta buen 1 gente, que todos dicen á boca is­ xas, si acaso lo entiende. tia lo que en un sitio corno este dixo D. Pedro que de­ ,, En fin , si vmd. estima al autor de la Huerfanita, cid Séneca.” hace vmd. mui mál en hablar de su producción en es­ Esto es Sr. D. Y. b&gt; que me parece que vo…</t>
  </si>
  <si>
    <t>éano indio , tamla que hizo del canal viejo D. Juan Henriquc de bien en dos hojas de inarca mayor; y cuyo precio la Rigada, y varias observaciones de D. Pedro de es de 36 rs. vn. Cárdenas, D. Tomas Ugarre, D. Cosme Churruca, D. Dionisio Galiano, D. Mariano Isashiribil, y hs M. F. de N. de D. Josef Joaquín Ferrer y D. Sebastia…</t>
  </si>
  <si>
    <t>de estos fin se ha propuesto hacer la operaeion por sí, y po­ reverberos resultará una economía de mitad de nerlo para su despacho en las boticas’ de D. Pedro aceite, y de dos te ceras partes de empleados, co­ Salgado , calle de Alcalá, y en la de D. Martin Ro­ mo asimismo la ventaja de poder encenderlos y dríguez, en la subi…</t>
  </si>
  <si>
    <t>ncogida' del 114.*' han h¿ch^&gt; se arrepin­ Alíáro Fernando de Aguilar ( D. Diego de). tieran de su atrevimiento. El general Vetges llego Aítamirano ( D. Pedro). opnrtil minen te: CQri el regimiento 131.“ para arro­ Barrouge (D. Juan Bautista), mayor del primer jarlo-. , matarles 300 homores.» y hacerles 150 prir regimieuto de…</t>
  </si>
  <si>
    <t>erminación oca si Cayetano Calatrava, ayudante D. Tomas Leal, naiia una pérdida inútil de tiempo, coya duración, abanderado D. Pedro Motero, cirujano D. Pedro estando ya tan adelantada la estación, no seria fá­ Moron. cil determinar, y Napoleón no dexaria de aprove­ Compañía de granaderos. Capitán D. Manuel charse de este inc…</t>
  </si>
  <si>
    <t>co del re­ S. A. la princesa viuda de Futstemberg ha lle­ gimiento 1.® de infantería ligera. gado á esta ciudad, y sé pophne asistir á Jas fun­ Luna (D. Pedro), grauadero de la brigada Irlan­ ciones que se harán . para cbsiqqiar á la Lmfsra- desa. TK1Z. Martínez {D. \Ticente ) .jtargento 1.® de artillería. Montano'("Di Bartol…</t>
  </si>
  <si>
    <t>n de las compañías. tado su número con otras obras maestras. Asi esta de caballería de Córdoba. inmensa colección merece ser considerada ahora Baena (D Pedro), capitán de las compañías de in­ mejor que nanea como única en Europa y en to­ fantería de Córdoba. do el mundo. El talón, transformado en capilla, Coca Coellar (D. Jua…</t>
  </si>
  <si>
    <t>nio), chantre de la catedral en guardias nacionales para ia seguridad interior de de Córdoba. »us pueblos *, formando ademas en cada uno com­ Cueva ( D. Pedro de la ), caballero que fue de la pañías de escopeteros bien dotadas, y compuestas orden extinguida de Malta. de jóvenes ágiles y vigorosos , para recorrer los ca­ Guill…</t>
  </si>
  <si>
    <t>omé. peratriz. Batallón del quartel de. Afligidos. París i.° de mayo. Capitán, D. Josef Fnmel. Uno de nuestros periódicos dice que Mr. Mac­ Teniente, D. Pedro Real. ícenle, enviado de S. M. británica , y Mr. Williams Subteniente, D. Manuel Zavala. Ki‘ton , secretario de la legación, han tomado una Batallón del quartel de Mara…</t>
  </si>
  <si>
    <t>s y bienes confisca­ nardo BoyaronDr Pedro Pabló Peraldi, D. Ale­ dos , Ó correspondientes á personas emigradas. jandro Barennev -O- Imber La Croix y D. Pedro art. ni. Nuestros ministros de H.cienda y ; Vandercreosse-á tenientéí. - Policía general qaedan encargados de la execucion En el regimiento de Murcíai núm. 2.0 de in­ d…</t>
  </si>
  <si>
    <t>n! mada cabeza la corona de Portugal. El argumento de esta composicicn es sacado de la El carácter del Reí P. Alonso es el de uno d« historia del Rei D. Pedro de Portugal quando toda­ aquellos políticos que sacrifican todos los sentimientos vía era Infante. Muerta -&gt;u primera esposa se había casa­ y aun todas las virtudes á l…</t>
  </si>
  <si>
    <t>tidas aclamaciones y vivas. propiedad. F.sts dificultad nace del carácter de este per­ mado. El actor que haga este papel no debe esperar que sonaje. D. Pedro, aunque es un hombre duro é inscribi­ el público aplauda su acierto; porque su carácter es tan ble, no por eso puede dexar de sentir los movimientos odioso, que quantom…</t>
  </si>
  <si>
    <t>dignidad teatral.' tes ha hecho estremecer á los espectadores: todos han Tal es el juicio que he formado de la composición, detestado ia conducta de D. Pedro, como la detestaba dramática que me he propuesto censurar. En ¿1 he ma­ D. Cirios. Este es el mayor eh gio que se puede hacer á nifestado con franqueza mi modo de pensar…</t>
  </si>
  <si>
    <t>nce -el discurso d«l drama. Siempre grosero, siempre or- apurado? ¡Queria vmd. que estuviera hecho un naranjo -gulloso, siempre inflexible, y siempre D. Pedro, en media hora que la duraron las agonías de la muerte ? Cui­ - ninguna situación se déxó ver un momento como pa- dado que es vmd. impertinente. Y por último, ¡no tuvo …</t>
  </si>
  <si>
    <t>iepto de infantería S. M. Leyrette y Muí tiñe, y por el corsario Jar- Josef Napoleón. . .. bulento. . ^ «.-¡ i- ■ :i Por decreto de 19 de mayo último D. Pedro v ..... espana. .. .VVitithuiscn queda nombrado .capitán de infan­ ’ '■ - •f tería. ' ' :‘ ” ' Madrid T4 de junio.- ■1 Por decreto de 5 del corriente D. Felipe de la S.…</t>
  </si>
  <si>
    <t>a deuda del Estado; lo expuesto por nuestro mía D. Domingo TorrecUla...................... 82427 22 nistro de Hacienda, y oido nuestro consejo de M&amp;± D. Pedro, Ferrerp Ku*4 20 . tado, ; i D. Julián María. BUzquez................. 27040 Hemos decretado y decretamos lo siguiente" D. DomingoGarcíá....¿.,..;................ 39372…</t>
  </si>
  <si>
    <t>e Gillür,"ídl...: 2H9.99./ .¡ J D. Jqaquiñ Cordero y. Vargas^......'.ac.i..:, 208 "' XI D. Fernando Díé^iiéz, id,......*¿í^t...i;. *j j449co..lVi,t j D. Pedro.del Rio.,,,.......... ..iii i.: j 25-557 3*J D, Plácido Vioáfmarin, iH..............44 ■ ; 44090 j.,- D. Jps«f Luis Sap^,.......— ,»h.. .8€á96 ; •. l Di; 'Valentín Róhi…</t>
  </si>
  <si>
    <t>ladea Perez...;.;..... 7*9*4 Dí Rámon de Posada’y Soto.;.........../ ‘ 16312 i 3 ¡ D. Jqc¡ef &gt;Trilio».~. 11363 * El conde de Guzmaij.v.;...10450 23 ' D. Pedro fie Mora y Lomas............. 36jifa D. Manuel More^j4S.;:;;;;;....„d.....'('..V, 314906^2^1' D. Juaa Antonio del Valle..;*..'....... -• 35280; D. Mateo Gbregon.v.:.v:;…</t>
  </si>
  <si>
    <t>ó con los de­ vertir el .cura, y queria vmd. que io convirtiese el pe­ beres de su ministerio, deb¿ó*tomar el sombrero, é irse cador de C. ? de donde D. Pedro podía echarlo, diciendo con las lá­ Pero dígame vmd., buena alma, y ¡qué le costaba á grimas en los ojos: Curamimus Babilonem, et non es/ Volfaire hacer que alguno desc…</t>
  </si>
  <si>
    <t>. 18036 20 hijo D Pedro Marta de Zubiaga.... w ei 0 0 0 0 0 D. Josef y Lorenzo Mercado............... 13507 D. Nicolás Alomo de Tejada............... D. Pedro «tibio........................................ 29166 iS D. Te ¡pe Alba Ruiz............. ................ 1 2 ;o3 28 Los hijos menores de D. Matías de Oli­ Doña Ramona …</t>
  </si>
  <si>
    <t>.........-1 14981 17 í-y como tutora y’curadora de sú D. Antonio García de Roa........¿..... . 4061 8| * hijo D. Pedro Zubiaga...... ........ 5764 31 D. Pedro Madrid.................................¡. ¡'-361 Doña Josefa Larrea.............. . 5106 24 D. Martín Fernandez Navarrete......... 9Ó 8| El monte pío del colegio de abo…</t>
  </si>
  <si>
    <t>éstCmedio' Para capitán de esta .compañía queda nombra­ nuestrai'fuétzaS, pudieran tícasiórur lá* consecuen­ do D. Ezequiel Aaguló'; pUfa" ‘teniente D. Pedro cia* mastft»ri#stasá nuestra.libertad y -á nuestra in- Raíz y Rozo, y para tubtenienfe D. Manuel de depeodeticíatdacíonafU ' :;i v “ Madrid. • • _ ;^Eni este&lt;estado peli…</t>
  </si>
  <si>
    <t>evio que segun-su -plao la ‘elocuencia del vera^iy qiyfosu^aasádtefrle parece deimsiado benigno; i- cura • no debía: triunfar de is obstipaciart rodé D. Pedro, fa que, respondo Doña Eulalia haca ando mil tílogiós del y xoneste objdto preparé dk' antemanoc la. salí da que es­ cyra_, y pintánd°l° con todoa los caractéres de un …</t>
  </si>
  <si>
    <t>inguir el principio y fin d,e cada vei&gt;o, .1 pel, t\ws participaran de los defectos de la pieza. El teatro español adolece y ha adolecido de cal« ¿¡i D. Pedro es un hombre de una dureza estúpida ¿</t>
  </si>
  <si>
    <t>ca vmd. una palabra? Porque asi lo pide su pape!. Yo doi al alguna utilidad, quedan completamente satisfechos los. actor mas consumado esta escena de D. Pedro coto Ma- deseos de su apasionado amigo y afecto servidor ss N. deP.SUFLEMENTO /</t>
  </si>
  <si>
    <t>aria, por tres cha,....................................................... 697.. 2 vales de caxa......................................... 391 580.-28 D. Pedro Madrid..................................... 644 La real academia de S. Fernando, por D. Antonio Rubiliard....................... .... 10073.. 24 uno id.................…</t>
  </si>
  <si>
    <t>lix lzaguirre.................. D. Gerónimo Sobrado. D. Mannel Gonzalo del Rio. D. Gabriel Sobrado. D. Josef Zerralde. D. Antonio Boan. 6.*.......... D. Pedro Real D. Eugenio Fourdioier. D. Josef Trasvina.................... D. Josef Batalon. S.\.. D. J uan de Ribera y Céspedes. D. Jorge Escudero. D. Julián Apartci...........…</t>
  </si>
  <si>
    <t>Manuel Morete: á capitanes, á D.' Miguel Ruano, E).-JNicolás. Sedaño, D Francisco Corres, D José Montero, D. Fei;x Arb’izu y Alava 3 D José GEaido , D. Pedro. Hermosilla y D Diego To-"losa. Igualmente se. ha servido promover-en el propio real cuerpo a sar-</t>
  </si>
  <si>
    <t>lan, modo alegre, trae ¿ tan buen tiempo á la escena al in­ y la opereta del Secreto. Actores en la comedia. Seño­ fanta D. Henrique, hermano del Rei D. Pedro, y le ras García, Ramos , Virg y Cabo. Señores Ponce , Or­ obliga á hacer tales instancias, que alcanza el perdón tigas , Caprara, Oros, Suarez, Contador, Avecilla, del…</t>
  </si>
  <si>
    <t>o el oir después a la nusma Do­ Que Je dehe de supuesto, na Leonor, que ardardo siempre á caza de disculpas, Que nunca se ven iguale* se queja al Kei D. Pedro del desacato cometido por Dos ardores con extremo. D. Telio, diciéndcile entre otras cosas: Véase aquí como i pesar d® su» zelos y ds su de»*»-</t>
  </si>
  <si>
    <t>detención, y cada tniaistcrio ‘recibirá las ordenet tfqas mixtas, física, química y botánica'D. Pedro partícoJares para este objeto. x Velutl, guardia de honor, D. Joan Teruel y Dr.Jo en Petersburgo ei 25 de julio de 1810.S Quevedo, D. Josef M¿rij Ibañ;z. De arquitectu­ Firmado = Ax-exandro. =£i conde de Román t- ra mil</t>
  </si>
  <si>
    <t>­ no está de acuerdo con ella, yo les aseguro que val­ tud y dé la decencia. drían mas , y que muchas impropiedades que podré no­ Él carácter del Rei D. Pedro se expresó en la re­ tarles, s¡ no enteramente corregidas, serian por lo me­ presentación con propiedad y valentía. Los impulsos nos mas disimulables. Yo me alegraré qu…</t>
  </si>
  <si>
    <t>pues si hemos de dar Para el de la de Benamocarra, vacante por crédito 4 la proclama de Massena, su exército as­ muerte de D. Francisco Estremera, á D. Pedro ciende á no0 hombres. Bueso, presbítero ex-regalar. Las últimas noticias de oficio son del 19 del Para el de la de Benadalid, vacante por pro­ mes pasado. A esta época l…</t>
  </si>
  <si>
    <t>abundan sin embargo en casi en Seguida de haber desempeñado, en la Comedia bellezas y en situaciones teatrales. Los inteligentes no nueva el papel de D. Pedro? Es notable que sea él desaprobarán su representación, si el traductor ha con­ mismo quien há pocos dias que, repitiendo estas precio­ servado la viveza del diálogo y l…</t>
  </si>
  <si>
    <t>834</t>
  </si>
  <si>
    <t>de bien por los malévolos. Se ha levantado cerca de la po­ blación de Periana una partida que se halla comandada por orí desco­ nocido que le llaman D. Pedro , al quál se le ha perseguido hace dos meses por la policía sin poderlo coger 4 y siempre ha estado auxiliado por el dicho pueblo; ha tenido atrevimiento de mandar al co…</t>
  </si>
  <si>
    <t>.. rector general del tesoro público. Antoioe (D. Santiago), «argento de tiradores, ídem. Favier ( U. Claudio), capitán de artillería de núes* Arpin (D. Pedro), cabo de la gendarmería esco­ tra guardu real. gida ) ídem. Faxardo y Henao (D. Juan ) , comandante de las Arsd (D. Felipe de), comandante de batallón del armas en la …</t>
  </si>
  <si>
    <t>artillería , ídem. Rodríguez (D. Francisco), húsar de nuestra guar­ Lobis (D. Leopoldo), soldado de caballería li­ dia real. . gera , ídem. Roujeor (D. Pedro), granadero, idem. Lorieux ( D. Juao Bautista) , cabo de caballería li­ Roujon (D. Pedro), capitán de tiradores, idem. gera , ídem. Rubio ( D. Manuel} » arcediano de .Hu…</t>
  </si>
  <si>
    <t>s tienen una elevación de 700 toesas, y.á las Neidorf(D. Juan), soldado del regimiento suizo. 500 toda vía no ett-n cubiertas -de nieves perpe­ Peña (D. Pedro de u), teniente de tiradores ds tuas Parece que la inmediación del Océano con­ nuestra guardia real. tribuye mucho á disminuir el frío de aquellas re­ Perex (D. Vicente…</t>
  </si>
  <si>
    <t>versas épo- ia salud de ios hombres el cultivo del arroz en e! casjpara precaver, cortar y extinguir enteramente reino de Valencia, puesto que el Reí D. Pedro n estas enfermedades asoladoras, haciendo por esté lo prohibió, y el Reí D. Alonso renovó esta pro­ medio su obra md¡ ¿preciable para los médicos y hibición , baxo pena…</t>
  </si>
  <si>
    <t>nde del Valle del Súchil 100a. D. José Matos, 75. D* Joáquin A fnezaga, 50, D, José &gt; Castro y» Ortega, 50. D Felipe Lopez&gt; Negrece; y^suhijo, * 500. D. Pedro del. Campo y Montes, 50. D. Juan! José Zimbrana,5CO.D. Antonio Izurrieta, $oox D. Cayetano Mutis-9 15* D/ jcséGuerrero 15Á D. Juan Manuel de Asunzalo, 15. D. Amonio Gúr…</t>
  </si>
  <si>
    <t>ado D. Nemesio K:uiz , y á Iqs sub^ tenientes D. Ramón Vestid y Di Eulogio Sánchez, y subtenencias al sargento primero D. Teodoro Martínez, al cadete D. Pedro.Carmona y ál soldado distinguido D. Francisco Carrillo., Asimismo se ha dignado conferir la sargentía mayor del regimiento de voluntarios de'León á D. Cayetano deT iá.C…</t>
  </si>
  <si>
    <t>olás Mesías , 19 .y 4 rs. B. Mariano Campa , 10. B. .Miguel Rodríguez , 10. Varios individuos , 54 y 4 rs. Id pres­ bítero B. Pedro Ley va , 125. Id. D. Pedro líuiz , 50. Fr. José Mora, 60. Varios individuos, 27 y 1 real.— l/ri.s. D. Juan Gándara: 50. D. Dolores Ugués, 100. .D/Manuel Ugués , 14 y 8 rs. Varios individuos , 58 …</t>
  </si>
  <si>
    <t>Pedro, Francisco San</t>
  </si>
  <si>
    <t>Francisco San Pedro</t>
  </si>
  <si>
    <t>ompañía á D. José Mariano Rodríguez ; ayudantía, k D. Vicente Alvarez ; tenen­ cias, á D. José Arechaga , D. Francisco Galan , D. Bernardo Cobian , y D. Francisco San Pedro ; subtenencias á D. Víctor Restrebada, D. Nicolás Marino, D. Miguel Souto, D. Francisco Urdapilleta, D. Hilario Naveyra , y D. Ramón Vasadre : en el se­ g…</t>
  </si>
  <si>
    <t>Pedro, Juan</t>
  </si>
  <si>
    <t>Juan Pedro</t>
  </si>
  <si>
    <t>ero de la orden gistral D. Pablo Andeiro pronunció después un de Santiago. breve pero elocuente discurso, el mas acomodado Por el comercio de Vivero: D. Juan Pedro á las circunstancias. Bergcíra. De allí pasó S. M. á su real capilla, donde Por los labradores: D. Manuel de la Orden, se cantó otro Te Deutn\ y concluido este dev…</t>
  </si>
  <si>
    <t>Pedro-es</t>
  </si>
  <si>
    <t>o que han la muerte, ó el Tuzaní de las Alpujarras, con tonadilla man i test a do en la esecucion de m-s. papeles respectivos. y sainete. Ei papel da D. Pedro-es mui dd i.il Js «xecuur coa</t>
  </si>
  <si>
    <t>Pedroche, Magdalena</t>
  </si>
  <si>
    <t>Magdalena Pedroche</t>
  </si>
  <si>
    <t>antería imperial de Toledo ; y ha concedido subtenencias en el de Murcia al sar­ gento primero D. Francisco GArcía y al cadete D. José María Tomos. A Doña Magdalena Pedroche, residente en Murcia, le roba­ ron la noche dal dia 22 de abril qu ttro vales re alea de la crea­ ción de setiembre, renovados á su favor en dicha ciudad…</t>
  </si>
  <si>
    <t>Pedrosa, Josef de Torres</t>
  </si>
  <si>
    <t>Josef de Torres Pedrosa</t>
  </si>
  <si>
    <t>Pedrpsa Tor­ S. M., el ministro secretario de Estado== Firma­ res está nombrado capiran; D. Diego Becerra te­ do =Maiano Luis de Urquijo.” niente, y D. Josef de Torres Pedrosa subteniente. art. vi. . Eu la villa de Ptdrera se formará media compañíi. D. Josef Vergara está nombrado TEATROS. capitán, y D. Pedro Talavera subtenie…</t>
  </si>
  <si>
    <t>Peifotenj, Mapsós</t>
  </si>
  <si>
    <t>Mapsós Peifotenj</t>
  </si>
  <si>
    <t>..rj.;.I' 34564 ■•iül Dt Diego jGil Fernández..'.'.'...//..,..,,,*0335 ,37 &lt;; D. Jqaqúm XI D? Mártir} de Leones..................... , . . 23P41C14Ci D. Mapsós Peifotenj¡..¿ó.i...¿í¿gI xin^46c-r^l D. Andrés Roniéro Váidas...........rr;¡ i . 6585 ¿V-J'í í?-i Jd^sGarcíji Abj?lU...I—L.,í„..áD ’..’ci4*oi D. .Antonio Be ni to,....…</t>
  </si>
  <si>
    <t>Peili, Benito</t>
  </si>
  <si>
    <t>Benito Peili</t>
  </si>
  <si>
    <t>grados de teniente coronel á los capi­ tanes D. Cayetano Puente , de caballería de Ciudad-Rodrigo , D. Juan de Arjona , dei de infantería de Toledo, D. Benito Peili, del batallón de voluntarios catalanes , D. Bernardo Márquez, dei escuadrón de ja cruzada de Aiburquerque y D. Ermenegildo Bielsa , comandante de las 'partidas de…</t>
  </si>
  <si>
    <t>Peimbert, Ramón</t>
  </si>
  <si>
    <t>Ramón Peimbert</t>
  </si>
  <si>
    <t>-- Chibuagua. Ei ministro tesorero D. Francisco Truxiílo, 100. D. Isidro Madero, oficial primero de la resorería, 20 D. Manuel Calderón ,segundo, 10. D. Ramón Peimbert, ensayador, 2 D. Antonio Cabrera, administrador de rentas, 50. D. Fran­ cisco Prieto, interventor, 10. D. Francisco Xavier Losa , vista , 10 D. Juan José Ruiz …</t>
  </si>
  <si>
    <t>Peinador, Blas</t>
  </si>
  <si>
    <t>Blas Peinador</t>
  </si>
  <si>
    <t>Juaii de la Fuente , D. Mtnuel Martinez , D. Pió Moron , D. Francisco Alonso , D. Bernab S María de Faez , D. Angel Salazar y Aldao, D. José Pereyra, D. Blas Peinador, D. Antonio Rubín, D. Ra­ món Momeo , D. José Benito Perez , D. Faustino Diez , D. To­ mas Rodríguez, D. Bernardo Guallar, D. Antonio Carril, Di Cos­ me Sancho,…</t>
  </si>
  <si>
    <t>quartel que les ofrecían los enemigos. Entre los heridos 6 con­ tusos se cuentan los 4 oficiales del expresado regimiento Don Tomas Rodríguez, D. Blas Peinador, D. Bernardo Cobián y D. Casimiro Brodet. Con fecha de 9 del corriente participa el comandante de guerrilla D. Isidoro Mir que ha obligado k los enemigos k evacuar el …</t>
  </si>
  <si>
    <t>Peinando</t>
  </si>
  <si>
    <t>la gracia de Dios y landevi.’ por la constitución del estado, REI de las Espa- Pérez (D. Ignacio), intendente de Jaén. fias v de las lndias. Prado ( D. Peinando del). Visto el informe de nuestro míutstro de Guer­ Qaesada (D. Pedro de)., ra, hemos decretado y decretamos lo que sigue; Quesada (D. Francisco) , capitán de artille…</t>
  </si>
  <si>
    <t>Peiri</t>
  </si>
  <si>
    <t>ido por los vecinos de ella con ei vincia , y á calmar el espíritu de insurrección.' Se" júbilo que acostumbran siempre. El excelentísimo dice que el general Peiri tomará el mandó dé las señor gobernador general, ei señor gobernador partropas acantonadas en el Tirol italiano. tica I ¿ir y la oficialidad de ia guarnición salie…</t>
  </si>
  <si>
    <t>Peíroner, Güilísimo</t>
  </si>
  <si>
    <t>Güilísimo Peíroner</t>
  </si>
  <si>
    <t>ndrés de Lumbida, por ac­ Andrés García.............. ...... ............... 2037- a ciones y réditos.................................... 48319.. 2 4 D. Güilísimo Peíroner........... ............... .13079.. 10 ' D. Ramón de Posada, como marido / D. Fernando de Beingochea.................. 4542..14 de Doña María López Cabreja…</t>
  </si>
  <si>
    <t>Peironet, Guillelmo</t>
  </si>
  <si>
    <t>Guillelmo Peironet</t>
  </si>
  <si>
    <t>la Torre........................ 22000 D. Manuel López de Cerrcdo............... 27609-28 D. Basilio Fernandez.............................. 170.-25! D. Guillelmo Peironet....................... 20628.. 7 D. Benito de la Mata Linares............... ,3*49 D. Gabriel Luquet.......;........................ 2250 D. Santiago Estep…</t>
  </si>
  <si>
    <t>Pel, José Manuel</t>
  </si>
  <si>
    <t>José Manuel Pel</t>
  </si>
  <si>
    <t>a provincia de-Guayaquil. Continúa la lista de los donativos de América. Veinte y si^te vecinos de la villa de Orinaba 5726 pnsos fuertes anualmente. D. José Manuel Pel&amp;es cíe Pelayo , cura, del'pueblo deZoyatian. 332 y 3 rs. anualmente. Varios vecinos del corregi­ miento de Toluca, incluso el corregidor, 6342. Ei gobernador …</t>
  </si>
  <si>
    <t>Pelaez, Josef</t>
  </si>
  <si>
    <t>Josef Pelaez</t>
  </si>
  <si>
    <t>el Rio..,...,.................... . , 70541 ,'aj D. Mariano Hcrrauz «rp^PS«#»MP*«u««,ii** 44IOO D, Pedro Beotas...... ......................... 34794 D. Josef Pelaez»».,.»...... *....»........... ¿5760 Idem.............................. .564194 i'.;. D. J oso Auto cío .de. Irusta MMMttiPMPP 163800 D. Antonio Pedas.,..........…</t>
  </si>
  <si>
    <t>....... 4Í (Va- 15 D. Fernando l’crtz Rice...................... 3^5 Rs. vn. Mrs. D. Josef Ro.-l-s........................................ J' - ,3 14 D. Josef Pelaez...,............. ..................... 3475 D. xM'auuel Sixto L-purosa..................... i6:;0 4 D. VRente Ferrcr Carrera, por si, y D. Juan E-tébm Tiicio....…</t>
  </si>
  <si>
    <t>722 D. Pedro Anselmo Marchal................ 39242 10 D. Sebastian Esclarmonda................... 536 D. Josef Pelaez....................................... 9876 D. Rafael Diez de Vega.................... . 1127 1 D. josef Rodríguez................................ 3812 Doña Francisca Xaviera Yoldi.........</t>
  </si>
  <si>
    <t>convento de religiosas-de la Piedad D. Tomas Casanova........-..-i-...... ; 18»—*7 .Bernarda,............................................. - *509*-*4 D. Josef Pelaez..................................... . - S-&gt;49 J D. Basilio.Ramón Fernandez............... ¿54 ^ D. Josef Sánchez...... .”............................. 1805 ■&gt; •…</t>
  </si>
  <si>
    <t>Pélaez, Manuel</t>
  </si>
  <si>
    <t>Manuel Pélaez</t>
  </si>
  <si>
    <t>e tiradores de Fernando Vil D. Antonio Mendoza , el cadete D. José Heres , el subteniente; de la guardia de honor D. Juan París, el de la misma clase D. Manuel Pélaez y el subteniente Don Francisco Fresno*; y aunque todos han llenado su deber, no han tenido igual ocasión que los expresados de manifestar su valor y bizarría. '…</t>
  </si>
  <si>
    <t>Pelayo, Tomas</t>
  </si>
  <si>
    <t>Tomas Pelayo</t>
  </si>
  <si>
    <t>gnacio Serrano, 45 Doña Gertrudis Bravo, 15 D. Rafael Elias, 25. D Ignacio Perez, 20. Varios individuos, 29 y 3 rs—Real de Alamos. ÍL' .sub­ delegado D. Tomas Pelayo, 50.'El cura D. Juan Nicolás de Quinos * ico. El presbítero D. Eüas Zayas, 50. Idem D. José María Campoy* 20. Idem D. Pedro Campoy , 10. El administrador de rent…</t>
  </si>
  <si>
    <t>Pelegrini, Juan Felipe Vidari</t>
  </si>
  <si>
    <t>Juan Felipe Vidari Pelegrini</t>
  </si>
  <si>
    <t>Benigno González , Tusar de su derecho, en el juicio universal de acreedores formado á los bie­ un destacamento de la guardia cívica. nes del difunto D. Juan Felipe Vidari Pelegrini, con­ Los 1 $ o bandoleros fueron atacados vigorosa­ de que fue de Espilli, y ministro de S. M. en la regen­ mente en su guarida, tuvieron 12 hom…</t>
  </si>
  <si>
    <t>Pellejero, Luis</t>
  </si>
  <si>
    <t>Luis Pellejero</t>
  </si>
  <si>
    <t>venturoso de nuestra vida el día en de hatallon á D. Antonio Fa’gties; capitanes á qoe tengamos la dicha de recibir dentro de núes— D. Raque L:llo , D. Luis Pellejero, D, Aiexan— tres muros á Napoleón ti Grande y d la augusta dro Zegers, D. Francisco Maza y D. Josef EscoAtaría Luisa. En fin los ciudadanos de todas cla­ var; a…</t>
  </si>
  <si>
    <t>Peña</t>
  </si>
  <si>
    <t>REMITIDA A IOS REDACTORES.! misión de su mando, y se manifiesta descontento de ia junta, y convencido de la imposibilidad de continuar ia guerra. El general Peña no ha querido Señores redactores de la gaceta de Madrid. sucederie en el mando, pretextando su fusta de salud: el marques de Portago ha seguido su exeni- Mui señores…</t>
  </si>
  <si>
    <t>Peña, Ignacio</t>
  </si>
  <si>
    <t>Ignacio Peña</t>
  </si>
  <si>
    <t>Ortíz.................. 6oc-5'i ’ 6 hitarlos calzados............................... 44000 - ' Doña Victoria Gadea......................... 6700o-'-' D. Ignacio» Peña, de dicho convento. 44000’- ■ D.’António ■ .* 72900 D. Luis Sgarez ..Ribera, de benedic­ Doña Mana Andrea Sit....................... 2t6do! '•'*•' tinos........…</t>
  </si>
  <si>
    <t>Peña, José Antonio</t>
  </si>
  <si>
    <t>José Antonio Peña</t>
  </si>
  <si>
    <t>José Romero , 10. Capellán D. Pedro Ariquivás, 15:. Los sarentos, cabos y soldados, ?70sy 2 reales. —Altar. Capitán Ó. Mariano f frréa, 200. Álfére^ D. José Antonio Peña, 20. Id. D. Ignacio Perqueyía, 6. Los sargentos, cabos y soldados, 54? y 4 rs. — Orcasitas. Capican tí. José Laredo, 184. Teniente D. Felipe Valderrain ,15. …</t>
  </si>
  <si>
    <t>Peñafiel, Fernando</t>
  </si>
  <si>
    <t>Fernando Peñafiel</t>
  </si>
  <si>
    <t>ble: se acabó de convencer de esto D. Pedro Povedano, ex-agustino descalzo. asistiendo como discípulo á las célebres lecciones Para la de Jorayatar á D. Fernando Peñafiel, de las. escuelas normales, en donde rió i los dos ex-mínimo. genios tutelares de las ciencias exáctas, Mrs. LaPara la de Vilíanueva, Mesía y Moraleda á gra…</t>
  </si>
  <si>
    <t>Peñalver, Juan</t>
  </si>
  <si>
    <t>Juan Peñalver</t>
  </si>
  <si>
    <t>s hijas Doña María no de su marido D. Simón Medrano. 14602 17 y Doña Matilde de Soto y Urquijo. 10389 D. Santiago Antonio de Urizar............ 12240 D. Juan Peñalver................................... 1150 23 D. Diego Grao Osorbia, ex-carmeli­ Doña María Polonia de Nanclares... 275 2 1 ta descalzo............................…</t>
  </si>
  <si>
    <t>medios que tienen para hacer uso de estas máqui­ drid; D. Martin Navarrete , D- Carlos Pignateii, nas, y darán las correspondientes lianzas para pa­ D. Juan Peñalver ;. los facultativos D..Juan Bau­ gar las cantidades que se Ies adelanten ea el tér­ tista Parroisse , nuestro primer médico ; D. Anto­ mino de quatro años ,-que …</t>
  </si>
  <si>
    <t>Peñaranda, Josef Ramón</t>
  </si>
  <si>
    <t>Josef Ramón Peñaranda</t>
  </si>
  <si>
    <t>o González Álés; para teniente á D. Josef Cal­ mada. vo, y para subteniente á D. Jqan Manuel Mon- D. Pedro de Herdara está nombrado capitán; tijar.o. D. Josef Ramón Peñaranda teniente, y D. Juani art. m. En la villa de la Alameda se forma­ Bautista de Herdara subteniente. rá una compañía. • D. Josef Contreras queda nom­ art. …</t>
  </si>
  <si>
    <t>Penüla, Alfonso Aparicio</t>
  </si>
  <si>
    <t>Alfonso Aparicio Penüla</t>
  </si>
  <si>
    <t>mostrando en cada una, con la de ias dos compañías de este esquadron á D. Fran­ mayor exactitud, su valor desde uno hasta mil conse­ cisco Gallardo y D. Alfonso Aparicio Penüla : pa­ cutivamente, ventaja que le hace preferible á todas las ra tenientes á D. Ramón Vitoria y D. Cristóbal reducciones de monedas francesas publicad…</t>
  </si>
  <si>
    <t>Peone</t>
  </si>
  <si>
    <t>ue se manifies­ fantería ligera. ta por el mismo chistoso estilo los perjuicios de seme­ jante moda : papel en 4.0 á 3 rs. en TÚstica. Se hallarán El barón Peone, coronel del 112.0 de línea. en la librería deQuiroga, calle de las Carretas, casada El barón Buyos, coronel de! S2.° de'cazado­ la fonda de i Angel. res de á caball…</t>
  </si>
  <si>
    <t>Pepa, María</t>
  </si>
  <si>
    <t>María Pepa</t>
  </si>
  <si>
    <t>les que baxaron en busca de Vm. , y de la mor­ tandad que hicieron en' ellos hasta que treparon á sus montañas de Na­ varra. ' Suponía que á mi Sra. Doña María Pepa la seria de provecho el oreo del viage, con especialidad después de salir de zozobras de ruta: y fio que ese matrimonio gozará de toda salud en una mansión tan ag…</t>
  </si>
  <si>
    <t>principios de diciembre (3). Entregúela Vm. si le parece oportuno, ..é hag-j de ella el uso que lo fuese. Á Dios, amigo mío3 mis respetos á mi señora Doña María Pepa, -con las mas sinceras expresiones de María Antonia y .Juanita ai matririfonio: y sea Vm. en todo tan feliz como nos interesa y desea su ínti­ mo de Va i. — Maza…</t>
  </si>
  <si>
    <t>Pepe</t>
  </si>
  <si>
    <t>desea el gobierno del rey Pepe , porque los jóvenes, con este motivo, se marchan de muchos pueblos á reunirse con los di­ ferentes exércitos de la nación , cada uno según su localidad, como lo han practicado ya varios moz</t>
  </si>
  <si>
    <t>Pepio</t>
  </si>
  <si>
    <t>ueva salida; el ardor de dencia, y se ha pnesto en precipitada foga. Sin oaestras tropas se lo impidió. El combate ha sido embargo, la vanguardia del general Pepio , com­ mui vivo y sangriento: hemos muerto ó herido al puesta del regimiento 27.0 de cazadores y del a.“ enemigo mas de 500 hombres, y le hemos hecho de húsares, p…</t>
  </si>
  <si>
    <t>Per, Diego</t>
  </si>
  <si>
    <t>Diego Per</t>
  </si>
  <si>
    <t>manifiestan un espíri­ Subtenientes. tu de insubordinación y Je poca disdiplina, D. Bartolomé Reguera. ,,Se ha dado aqo¡ orden de preparar en el hos­ D. Diego Per. z. pital de marina camas para 2 $0 enfermos/' D. Juan G 'ozaiez. D. F&gt; añasco Martínez. IMPERIO FRANCES. art- m. Eo D viiD de (as Cabezas se forma­ rán dos compañí…</t>
  </si>
  <si>
    <t>Per, Miguel</t>
  </si>
  <si>
    <t>Miguel Per</t>
  </si>
  <si>
    <t>55i5 PORTUGAL. Lisboa 15 de agosto. Extracto de un oficio de lord Wellington ai Excmo. Sr. D. Miguel 'Per eirá Forjaz , su fecha en Celorico á 10 de Agosto.—“El enemigo continúa en su po­ sición delante de Aimeida: tiene un cuerpo pequeño de esta parte del Coa , y el resto de su exército en las cercanías en</t>
  </si>
  <si>
    <t>ncorporarse con el de lord Wellington en compañía de dos regimientos ingleses que aca­ baban de desembarcar. Oficio de lord Wellington al Exento. Sr. D. Miguel Per cu­ ra Forja*. “ Después del oficio que dirign á V. E. con fecha de 13 del corriente, el enemigo se ha ocupado principalmente en reco­ nocer las posiciones que ocu…</t>
  </si>
  <si>
    <t>Per, Vicente</t>
  </si>
  <si>
    <t>Vicente Per</t>
  </si>
  <si>
    <t>io Palacios. Subtenientes. D. Mariano de San Juan. D. Dámaso Machuca. D. Mariano Lfanderal. D. Pascual Carsi. D. Víctor Moreno. D J uan de ios Heros. D Vicente Per^ti. Tenientes. D. Gregorio Simón de Diego. D. Ramón Vartureu. D Macuel Alevio. D. Diego Castro. D. Juan Lecanda. • D. Josef Casalc. D. Plácido Ffexalde. D. Ramón P…</t>
  </si>
  <si>
    <t>Peral, Joaquin</t>
  </si>
  <si>
    <t>Joaquin Peral</t>
  </si>
  <si>
    <t>........................... 45 1 8f D. Fernando del Campo....................... 51957 22 D. Luis de Elexaga................................. 3700 81 D. Joaquin Peral................................... 73220 D. Josef Mallada.................................... 1444 D. Juan Teran......... ............................... 200 D.…</t>
  </si>
  <si>
    <t>Perales, Jacinto Josef</t>
  </si>
  <si>
    <t>Jacinto Josef Perales</t>
  </si>
  <si>
    <t>iou de Lucena la componían D. Ma­ Los diputados de 2a villa de Torre Don Xime- nuel Ortiz de Pinedo, corregidor; D. Nicolás de ao eran , por el clero D. Jacinto Josef Perales, cu­ León y Di 'Nicolás de Mena , regidores. ra párroco; por el ayuntamiento D. Jusef Roldan La diputación de'Morente, que no se habia po­ y Porras, reg…</t>
  </si>
  <si>
    <t>Peralta, Francisco</t>
  </si>
  <si>
    <t>Francisco Peralta</t>
  </si>
  <si>
    <t>I). Manuel Carrillo. D. Ignacio Abadía. D. Manuel Antonio Ibañez. D. Isidro Velazquez. D. Josef María Acosta. D. Manuel Novales. D. Eugenio Aguilar. D. Francisco Peralta. D. Manuel Badana. D. Mateo Gil de Sola. D. Vicenre Tejada. D. Domingo Ventades. D. Julián Sojo. D. Tomas Ibargiien. Tenientes. D. Ramón García Ximenez. Bata…</t>
  </si>
  <si>
    <t>Perca, Manuel</t>
  </si>
  <si>
    <t>Manuel Perca</t>
  </si>
  <si>
    <t>a parroquial. das y de las Indias. art. 11. Nombramos cura párroco de la iglesia Hemos decretado y decretamos lo siguiente: de 1. Isidro de Itálica á D. Manuel Perca, ex- articulo 1. ,, Qnn arreglo á lo prescrito en reiigioso del orden de S- Gerónimo, nuestro real decreto de 26 de octubre del año tilart. ni. E¡ mismo párroco …</t>
  </si>
  <si>
    <t>Peregrina, Antonio</t>
  </si>
  <si>
    <t>Antonio Peregrina</t>
  </si>
  <si>
    <t>aría González. convenientes ; oido nuestro ministro interino de Para la de 5. Gregorio del Albaicin al ex-merijegocios eclesiásticos, eenario calzado D. Antonio Peregrina. Hemos decretado y decretamos lo siguiente: Para la de S. Bartolomé al ex-franciscano ob­ ‘ artículo i. ,, Nombramos para la primera sa­ servante D. Rafael …</t>
  </si>
  <si>
    <t>Pereira, Juan Pablo</t>
  </si>
  <si>
    <t>Juan Pablo Pereira</t>
  </si>
  <si>
    <t>. M. ha expedido el decreto siguiente * D. Pedro Pauca...................................... *444 Extracto de las minutas de la secretaría de Estado. D. Juan Pablo Pereira............................ 712 En'nuestro palacio de Madrid á 14 de julio de 1810. D. Jacinto de la Quintana..................... 370-2si Don Josef Napole…</t>
  </si>
  <si>
    <t>Perellós, Don Salvador</t>
  </si>
  <si>
    <t>Don Salvador Perellós</t>
  </si>
  <si>
    <t>pueda ser empleado en el destino que S. M. tenga á bien señalarle, para indemnización de los perjuicios que injustamente ha sufrido. Que el teniente general Don Salvador Perellós pudo cum­ plir con mas utilidad del servicio las órdenes que le dió su Gene­ ral en xefe de conservar el pueblo de Santa Cruz con la caballe­ ría y …</t>
  </si>
  <si>
    <t>Perena, Felipe</t>
  </si>
  <si>
    <t>Felipe Perena</t>
  </si>
  <si>
    <t>ERNES 6 DE ABRIL DE 1810NOTICIAS DE ESPAÑA. San Carlos de los Alfaques 1 © de febrero. La Junta Superior de Aragón ha recibido del valeroso Coro­ nel D. Felipe Perena el siguiente parte. ” E&lt;cmo. Señor: El resultado feliz para las armas española* en el ataque que intentó dar el enemigo sobre Tamarite con 760 infantes y 60 cab…</t>
  </si>
  <si>
    <t>Peres, Juan Miguel</t>
  </si>
  <si>
    <t>Juan Miguel Peres</t>
  </si>
  <si>
    <t>dios públicos de esta ciudad; y de Articulo i. „ Nombramos caballeros de la sus preguntas y reflexiones rápidas se puede infe­ Orden Real de España á D. Juan Miguel Peres rir que este importante ramo se pondrá en el esta­ Tafdlla, D. Ignacio Valcarcel, D. Silvestre de do mas bridante, y entonces los ingenios sevillanos Ib.rra…</t>
  </si>
  <si>
    <t>Pereyra, Gaspar</t>
  </si>
  <si>
    <t>Gaspar Pereyra</t>
  </si>
  <si>
    <t>20. D. Diego de la Puente, 20. Varios individuos, 16 y 1 real. D. Juan José Yandiola, 10-- -Real del Oro. El subdelegado D. Tomas Diaz de Matos, 10. D. Gaspar Pereyra, 35. D. Jasé Francisco Rebota, 10. D. Tomas de Amezúa, 10. D. Juan de-Isasi, 12. D. Francisco Rubín de Celis, 12. D. Francisco Redondo, 10. D. Ignacio CeFerino …</t>
  </si>
  <si>
    <t>Pereyra, José</t>
  </si>
  <si>
    <t>José Pereyra</t>
  </si>
  <si>
    <t>btenencias, á D. Juaii de la Fuente , D. Mtnuel Martinez , D. Pió Moron , D. Francisco Alonso , D. Bernab S María de Faez , D. Angel Salazar y Aldao, D. José Pereyra, D. Blas Peinador, D. Antonio Rubín, D. Ra­ món Momeo , D. José Benito Perez , D. Faustino Diez , D. To­ mas Rodríguez, D. Bernardo Guallar, D. Antonio Carril, D…</t>
  </si>
  <si>
    <t>Pereyra, Luis</t>
  </si>
  <si>
    <t>Luis Pereyra</t>
  </si>
  <si>
    <t>ealiza­ ción. — Dios guarde á V. E. muchos anos. Granada 29 de juiio de 1810.—El arzobispo de Granada. — Excmo. Sr. D. Luis Marcelino Pereyra. VI- De D. Luis Pereyra al arzobispo. Excmo Sr.—Habiendo manifestado á V. E. la necesidad en queme hallo de aprontar dos millones de reales en lo que resta de este naes pa­ ra salvar á …</t>
  </si>
  <si>
    <t>Pereyra, Luis Marcelino</t>
  </si>
  <si>
    <t>Luis Marcelino Pereyra</t>
  </si>
  <si>
    <t>ceder á los prestamistas para su realiza­ ción. — Dios guarde á V. E. muchos anos. Granada 29 de juiio de 1810.—El arzobispo de Granada. — Excmo. Sr. D. Luis Marcelino Pereyra. VI- De D. Luis Pereyra al arzobispo. Excmo Sr.—Habiendo manifestado á V. E. la necesidad en queme hallo de aprontar dos millones de reales en lo que r…</t>
  </si>
  <si>
    <t>670</t>
  </si>
  <si>
    <t>o que V. E. no desatenderámai insinuación. --- Dios guarde á V. E. muchos años. Granada 29 de julio de 1810.— El arzo­ bispo de Granada. — Excmo. Sr. D. Luis Marcelino Pereyra. VIII. De Pereyra al arzobispo. Excmo. Sr.— Ninguna noticia tenia de la enajenación déla custodia donada por V. E. á su iglesia, de que en su papel de …</t>
  </si>
  <si>
    <t>Pereyra, Santiago</t>
  </si>
  <si>
    <t>Santiago Pereyra</t>
  </si>
  <si>
    <t>umnos D. Eulogio Carrascoso , D. José Andrés , D. Anastasio Navas , D. Juan Senovilla, D. M anuel Rodríguez, D. Pedro González, D. Fer­ nando López , D. Santiago Pereyra, D. Cándido María Rosa­ da ; y para mayor estímulo les recordé al mismo tiempo las obligaciones que les imponía tan singular distinción. . Los sabios general…</t>
  </si>
  <si>
    <t>Pérez</t>
  </si>
  <si>
    <t>30 olivos en Eoca vacía, Otra de 8 fan., que son.dos pedazos , que linda a solano con. olivos de la juntos en Valdelpozo, que lindan á capellanía del doctor Pérez............ . 27 594 solano con z\ntonio Muñoz................ 23 306; Otra de 8 olivos en los Cañamares a.. 17 55 Otra, camino de Camarina del Caño, de Otra en la …</t>
  </si>
  <si>
    <t>Perez, Ajelítena</t>
  </si>
  <si>
    <t>Ajelítena Perez</t>
  </si>
  <si>
    <t>Gatniz............... .......... y; 379.^3&gt;;f.3C Doña-C-talina del, Ner.e»i,aw.,„:, ...í.vv* ^0.3^04 III 1), Jacinto Colmenero..........; 4696^ 44^* Doña Ajelítena Perez, :»*Ü*l-7Xaí|£ 2 1 r i D. Feliciano de Guizaburuaga,..,2089.14c/ D. Ventura de ArqueJlada..^... '• » ^607 ' 19I D. Benito CantalinóV............... «./ 6470 …</t>
  </si>
  <si>
    <t>Perez, Alón'o</t>
  </si>
  <si>
    <t>Alón'o Perez</t>
  </si>
  <si>
    <t>n de enfermedad hibitua¡; Victoriano Arco subteniente en el regimiento de .....Visto el tutor me, de nuestro, ministro de lo Seviija 3 0 de línea : á D. Alón'o Perez, cap 1 de la Iqtefior, n , v .. . compañía franca de inválidos de' Ar .njuez: a¡ señor ¿ Jl.-mos.decretado y decretamos lo siguiente:. St. Hilaire ayudante mayor…</t>
  </si>
  <si>
    <t>Perez, Andrés</t>
  </si>
  <si>
    <t>Andrés Perez</t>
  </si>
  <si>
    <t>D. Josef Castro. D. Antonio Rubio. D. Andrés Saiz Dnrango. Batallón del quartel de S. Francisco. D. Jo sef Antonio Molina. Capitanes. D. Josef Garai. D. Andrés Perez. Subtenientes. D. Julián Pombo. D. Fermín Alfaro. D. Francisco Xavier Toledano. I). Manuel Carrillo. D. Ignacio Abadía. D. Manuel Antonio Ibañez. D. Isidro Velaz…</t>
  </si>
  <si>
    <t>Perez, Bartolomé</t>
  </si>
  <si>
    <t>Bartolomé Perez</t>
  </si>
  <si>
    <t>, ínterin se establece el liceo, que con ar­ yor, D. Rafael Montalvo, D. Manuel Díaz Pi­ reglo a) real decreto de S. M. de 26 de octubre del mienta, D. Bartolomé Perez, D. Josef Fernandez, año próximo pasado, debe haber en cada ana de las D. Diego de Lara, D. Santiago Aguado, D. Ra­ capitales de provincia, se prepare la de Có…</t>
  </si>
  <si>
    <t>Pérez, Cristóbal</t>
  </si>
  <si>
    <t>Cristóbal Pérez</t>
  </si>
  <si>
    <t>........................ 1994 5 8| D. A ntonio López.................................. *5 3f D.. Antonio Soldevilla........................... 902 *7 D. Cristóbal Pérez................................. 1520 20 D. Manuel Félix Fernandez............... 270 25I D. Matiuel de Santayara...................... 73000 Doña María Elexa…</t>
  </si>
  <si>
    <t>Perez, Eugenio</t>
  </si>
  <si>
    <t>Eugenio Perez</t>
  </si>
  <si>
    <t>D. Manuel EstaviLlo, 10. D. Francisco Díaz Velarde, 40. D. Joaquín Maynez , 10. Don Agustín Soto, 20. D. José Ramón Luxan, 10. Fr. Juan Cnacon , 25. D. Eugenio Perez, 30. D. Marcos Vagues, 130. Varios individuos, ^4 y 4 rs. --- Gnuvizamey. D. Ramón Re villa, 50. Fr. Luis Salgado, 20. D. Juan José Cobos, 10. D. Martin Zubizar,…</t>
  </si>
  <si>
    <t>Perez, Félix</t>
  </si>
  <si>
    <t>Félix Perez</t>
  </si>
  <si>
    <t>'í D. Josef Ibón Tillias..it»»...bi.i.M^í.i... - 46000 a D.iD'omingo de ■Lanz».-.v.-...i¡. .v....;Vir.í 1*899* D. Joaquín Antoniode- Sojo.i..186000 , D. Félix Perez...................-.v.mP.UV • i 996' -J*D. Manad de Lució Gutiérrez.»».,;:.. *w 1800ÓO &lt; D. Manuel de EHacurriaga...;rÍv.Wrw.ViJ ‘ "'qcüV'-zí*; La testamentiría-d…</t>
  </si>
  <si>
    <t>Perez, Francisco</t>
  </si>
  <si>
    <t>Francisco Perez</t>
  </si>
  <si>
    <t>ría Magdalena López Ca- ? v D. Francisco Gajo. Carrasco....... 106038 ii' brejas............................................................ 4549 35L D. Francisco Perez.Rico....... . . 11503 28: Doña Rita Durango y Orluzar...... 5205 jol Doña-María del Carmen Herran...^.. . u 207 ai. D. Santiago Antonio de Uvizar-....... 1497…</t>
  </si>
  <si>
    <t>Perez, Francisco Ortega</t>
  </si>
  <si>
    <t>Francisco Ortega Perez</t>
  </si>
  <si>
    <t>ombrado S. M por un decr.-io de 3 de D. Domingo Tomas Perez Gaseo para el de junio ministro de ia Po icía general ai señor du­ Mnduex. que de Róvigo. D. Francisco Ortega Perez para ei de Arrroyo El e nbasador de Persia ha salido de París con Mol nos. toda su comitiva , que es numerosísima. El caba­ D. P dro de la Cmz para el …</t>
  </si>
  <si>
    <t>Perez, Hermenegildo</t>
  </si>
  <si>
    <t>Hermenegildo Perez</t>
  </si>
  <si>
    <t>e: Rodríguez , 10 Dájosé Áná3nib? Gil , 12. D. Francisco Gagiola, 10. D* Secundino Gil ,18 D. José Ma.riá Viniegra, 12. D José Antonio Sandoval , 79. D Hermenegildo Perez, 25. Va:ios vecinos, 60.--S. Dimas- D. Franc'sco -Al ian Génzalez^; 105V Varios individuos, ..yo. — Parral. El subdelegado D Gregorio S Mar­ tin, 10. Alcald…</t>
  </si>
  <si>
    <t>Perez, Ignacio</t>
  </si>
  <si>
    <t>Ignacio Perez</t>
  </si>
  <si>
    <t>les, 150. D* Martin Zuviria, ico. D. Miguel Morales, 50. D. Gabriel Padilla, 20. D&gt; Ignacio Serrano, 45 Doña Gertrudis Bravo, 15 D. Rafael Elias, 25. D Ignacio Perez, 20. Varios individuos, 29 y 3 rs—Real de Alamos. ÍL' .sub­ delegado D. Tomas Pelayo, 50.'El cura D. Juan Nicolás de Quinos * ico. El presbítero D. Eüas Zayas, 5…</t>
  </si>
  <si>
    <t>Perez, Ignacio CeFerino</t>
  </si>
  <si>
    <t>Ignacio CeFerino Perez</t>
  </si>
  <si>
    <t>r Pereyra, 35. D. Jasé Francisco Rebota, 10. D. Tomas de Amezúa, 10. D. Juan de-Isasi, 12. D. Francisco Rubín de Celis, 12. D. Francisco Redondo, 10. D. Ignacio CeFerino Perez, 12. D. José Saracho y otros individuos de la hacienda de Ramos, 54. El jus­ ticia y vecinos de S. Miguel de las Bocas, 33. Varios individuos, 58.— Ind…</t>
  </si>
  <si>
    <t>Perez, Isidro</t>
  </si>
  <si>
    <t>Isidro Perez</t>
  </si>
  <si>
    <t>zo D. Agustín Rovira y Teruel. por la constitución del estado, REI de las Espa- Para la de Montexicar al ex-carmelita descal­ ñas y de las Indias. zo D. Isidro Perez. Eu conformidad de lo dispuesto en nuestro de­ Para la de Jayena y Fornes al ex-agustino creto de t.° de mayo último sobre la provisioa y descalzo D. Josef Ramón…</t>
  </si>
  <si>
    <t>Pérez, Joan Vicente</t>
  </si>
  <si>
    <t>Joan Vicente Pérez</t>
  </si>
  <si>
    <t>D. Joan Vicente Pérez................................ 4379 2^ en igual caso se hallan los que ignoran el sentido D. Antonio Hernández............................. 7 200 de las.palabras que pronuncian. D. Luis de</t>
  </si>
  <si>
    <t>Perez, Joaquín</t>
  </si>
  <si>
    <t>Joaquín Perez</t>
  </si>
  <si>
    <t>os días de nuestro augusto Sobera­ sef de Cárdenas y D. Juan García Tribiñoj y pa­ no, una escuela de dibuxo y de matemáticas puras ra subtenientes á D. Joaquín Perez, D. Dionisio Lo* en el real colegio de ia Asunción de esta ciudad, pez, D. Ramón Melgarejo, D. Vicente Montema- para que , ínterin se establece el liceo, que co…</t>
  </si>
  <si>
    <t>Perez, Joaquin María</t>
  </si>
  <si>
    <t>Joaquin María Perez</t>
  </si>
  <si>
    <t>2.0, dándole cuenta del estado de obras que se están practicando en los dos faluchos cañoneros baxo la dirección del ingeniero en segundo ¡de marina D. Joaquin María Perez ; y sin embargo de que es bien co­ nocida la actividad y suficiencia de este oficial, le he encargado la mas pronta habilitación de aquellos que yo visito …</t>
  </si>
  <si>
    <t>Perez, Joscf Joaquín</t>
  </si>
  <si>
    <t>Joscf Joaquín Perez</t>
  </si>
  <si>
    <t>laga: Don Genova 16 de mayo. Santos Martin Sedeño, ex-magistral, para una ca­ El día 13 á las cinco de la tarde se oyó un ca­ nongía de la de Zamora: D. Joscf Joaquín Perez, ñoneo mui vivo por la parte de Savona y de Va­ ex doctoral, para otra canongía de ia de León: do. El general comandante hizo salir inmediata­ D. Ramón Mo…</t>
  </si>
  <si>
    <t>Perez, José</t>
  </si>
  <si>
    <t>José Perez</t>
  </si>
  <si>
    <t>egorio Arroyo, D. JuanMuguiro , D. Ramón Sánchez , D. José Goyti, D. Domingo Angulo , D. Andrés Martínez y D. Antonio Valderas ; y subte­ nencias , á D. José Perez , D. Jorge Bertolld , D. José Fernandez, D. Miguel Henriquez , D. Blas Marín, D. Antonio Ferrer, D. Agustín Escobar . D. Miguel Federico, D. Francisco Blanco , D. …</t>
  </si>
  <si>
    <t>Perez, José Benito</t>
  </si>
  <si>
    <t>José Benito Perez</t>
  </si>
  <si>
    <t>, D. Francisco Alonso , D. Bernab S María de Faez , D. Angel Salazar y Aldao, D. José Pereyra, D. Blas Peinador, D. Antonio Rubín, D. Ra­ món Momeo , D. José Benito Perez , D. Faustino Diez , D. To­ mas Rodríguez, D. Bernardo Guallar, D. Antonio Carril, Di Cos­ me Sancho, D. Alonso Sanjurjo ,y D. Fulgencio Ayalai También se h…</t>
  </si>
  <si>
    <t>Perez, Juan Bautista</t>
  </si>
  <si>
    <t>Juan Bautista Perez</t>
  </si>
  <si>
    <t>de dragones provinciales de Queretaro, 100 ; ademas de 25 men­ suales. D. Dmting s Colonia, 100. El oidcr D. Francisco Xavier de M en dieta:,¡:5 o.. D. Juan Bautista Perez, 25. D. Mariano Do­ mínguez , 15. La cofradía del santísimo Sacramento de la parro­ quia do Santo Toma»; 50. D. Baltasar Pombo, 25. Ei administra­ dor de r…</t>
  </si>
  <si>
    <t>Perez, Luis</t>
  </si>
  <si>
    <t>Luis Perez</t>
  </si>
  <si>
    <t>nteres en la acción, variedad .en fantería de línea, á capitanes los tenientes D. Cár- los incidentes, y perfección de estilo en la execulos Supino y D. Luis Perez; á tenientes á los sub­ cíod , tales son las principales prendas tjue lo ca­ tenientes D. Carlos Ferraniiz, D. Mariano Villa- racterizan. El que publicase un pouna…</t>
  </si>
  <si>
    <t>Perez, Manuel</t>
  </si>
  <si>
    <t>Manuel Perez</t>
  </si>
  <si>
    <t>d como unción » y en el santa iglesia de Burgos, facante por muerte de qpe ha manifestado, los talentos de un orador reli- D. Juan Manuel del Rio.: á D. Manuel Perez de gioso, reuoidosí los scntimieatot de un buen ciu­ Rioja» cura párroco de Alinarail, diócesis de Os­ dadano , ha sido aplaudido coa el mayor entusias­ osa» par…</t>
  </si>
  <si>
    <t>Pérez, Matías de Oli Doña Ramona Manuela</t>
  </si>
  <si>
    <t>Matías de Oli Doña Ramona Manuela Pérez</t>
  </si>
  <si>
    <t>.. D. Pedro «tibio........................................ 29166 iS D. Te ¡pe Alba Ruiz............. ................ 1 2 ;o3 28 Los hijos menores de D. Matías de Oli­ Doña Ramona Manuela Pérez............ 11503 28 ven. ia, y D. Manuel Sixto Espinosa. 5 57 2 D- Josef de Ansjulo.............................. . 3 5',ii *7 D. Jo…</t>
  </si>
  <si>
    <t>Perez, Rafael</t>
  </si>
  <si>
    <t>Rafael Perez</t>
  </si>
  <si>
    <t>ina. Hemos decretado y decretamos lo siguiente: Para la de S. Bartolomé al ex-franciscano ob­ ‘ artículo i. ,, Nombramos para la primera sa­ servante D. Rafael Perez. cristía de la villa de Berja al ex-merccnario calza­ Y para la deS. PfedrO al ex-fraücíScáno D. An­ do D. picolas Vázquez. drés de la Bermeja. Para lá segunda d…</t>
  </si>
  <si>
    <t>Perez, Ramón</t>
  </si>
  <si>
    <t>Ramón Perez</t>
  </si>
  <si>
    <t>to, idem 4. Asimismo la villa de Pedro Abad, de 300 ve­ D. Josef de Casas, agregado coa sueldo. cinos , á seis leguas de esta ciudad , ha enviado una D. Ramón Perez, portero. diputación compuesta del cura párroco D. Francis­ co Ortiz, del alcalde D. Alonso Gaitan , D. Dio­ Administración general. nisio Carro y D. Martin de Po…</t>
  </si>
  <si>
    <t>Pérez, Toma</t>
  </si>
  <si>
    <t>Toma Pérez</t>
  </si>
  <si>
    <t>onfesar calzado D. Pedro Mole. los ministros con sus accioaes ei miedo que niegan Para la de Cartama al ex-franciscaoo observan*en sus discursos ? te D. Toma* Pérez., Para la de Rio Gordo al ex- carmelita descalzo SUIZA. D. Julián de Gaet».„ Lattsans x.° desetiembre. Para la de Colmenar á D. Francisco Repjso, ex-trinitario ca…</t>
  </si>
  <si>
    <t>Perez, Tomas</t>
  </si>
  <si>
    <t>Tomas Perez</t>
  </si>
  <si>
    <t>ntes. D. Ramón García Ximenez. Batallón del quartel de S. Isidro D. Josef Cabredo. D. Bartolomé Gómez. Capitanes. D. Josef Chacón. D. Agustín Gamell. D. Tomas Perez. D. Bernardo Barril. D. Francisco Berdejo. D. Camilo Gamboa. D. Esteban Gómez. D. Pascual Santander. D. Mateo Norzagarai. D. Manuel de Cañas. I&gt;. J uan Picdrahica…</t>
  </si>
  <si>
    <t>Perignon</t>
  </si>
  <si>
    <t>a que no tarda­ rá en venir á Inglaterra on agente francés con po­ N.ípoles 25 de abril. deres para efectuar el eange de prisioneros tan de­ S. E. el mariscal Perignon, gobernador de esta seado por ambas naciones. Los prisioneros de guer­ ciudad, pasó ayer revista al regimiento 6 id de in­ ra que hai en Portsmouth en número d…</t>
  </si>
  <si>
    <t>irtud de una orden del Reí pueden los completar los regimientos napolitanos que hai en corsarios salir otra vez á hacer el corso.” Cataluña. S. £. el mariscal Perignon , gobernador Trieste y Se marzo de 18 ro. ,, Señor inspector de Nápoles, y el general de brigada Carrascosa señera': la confiscación dei buque americano la los…</t>
  </si>
  <si>
    <t>Perj, Jayme</t>
  </si>
  <si>
    <t>Jayme Perj</t>
  </si>
  <si>
    <t>María Bonieelli ; el de sargento mayor, k D. Juan de Dios Alguer ; compañías á D. Francisco Sapena, D. Cristóbal Dócio, D. Manuel Bausa, D. Juan Doz, D. Jayme Perj, D. Juan Nioa , D. Juan Vasadre, y D. Pablo Baliñani; ayudantías, á D. Francisco Valdés, y D. Félix Camarasa ; te­ nencias, á D. Manuel Sainz, D. Juan Conde, D. Fr…</t>
  </si>
  <si>
    <t>Pero</t>
  </si>
  <si>
    <t>e nuestras avanza­ Marbella , vacante por muerte de D. Josef Gonzá­ das llegaban hasta ocho o diez millas de Pinel. lez de Lima, á D. Antonio Moreno, presbítero Pero otra carta fecha del mismo dia, y que copia­ ex-regular. remos ahora, da á entender que el quartel general Para otro de la misma parroquial, vacante por estaba t…</t>
  </si>
  <si>
    <t>Perqueyía, Ignacio</t>
  </si>
  <si>
    <t>Ignacio Perqueyía</t>
  </si>
  <si>
    <t>Pedro Ariquivás, 15:. Los sarentos, cabos y soldados, ?70sy 2 reales. —Altar. Capitán Ó. Mariano f frréa, 200. Álfére^ D. José Antonio Peña, 20. Id. D. Ignacio Perqueyía, 6. Los sargentos, cabos y soldados, 54? y 4 rs. — Orcasitas. Capican tí. José Laredo, 184. Teniente D. Felipe Valderrain ,15. Cadete D. Ma­ nuel Rodríguez ,…</t>
  </si>
  <si>
    <t>Perquts, Guillermo</t>
  </si>
  <si>
    <t>Guillermo Perquts</t>
  </si>
  <si>
    <t>a­ do que seria, una cosa mui útil presentar á su vista zadores á caba lo á D. Manuel Antonio Ranci y un bosquejo de la conducta de Mr. Pitt y de sus D. Guillermo Perquts; y á D. Josef Larbanoi* secesores, y los efectos de esta misma conducta teniente de la compañía de inválidos de Granada. desde la exaltación de Bonaparte ha…</t>
  </si>
  <si>
    <t>Pertira, M Antonio</t>
  </si>
  <si>
    <t>M Antonio Pertira</t>
  </si>
  <si>
    <t>.............. 1083 curadora de sus dos hijas D-* M ru E; hespir. 1 de la villa de Juncos........ jai 8 2 y D A Matilde de S;.ro y Lro-'ij -... 8c-eo D. M■" Antonio Pertira................... 2707 17 El marques je Muz.juiz........................ j 9 ' •&gt; s 8 6 16 D. Carlos T’S ■rcíaer............................... 6859 Doña…</t>
  </si>
  <si>
    <t>Perú, Manuel</t>
  </si>
  <si>
    <t>Manuel Perú</t>
  </si>
  <si>
    <t>o, á 2 reales. Continúan los. donativos de la Nueva-Vizcaya, Compañía ÍP"volante. Capitán D. Andrés Mateos, 40 ps. fs. Teniente D. José Uribe, 8. Id. D. Manuel Perú, 8. Alférez¿D. José Ordaz, 10. Id. D. Agustín Geballos. 15 Capellán Fr. Bernardo Rincón , 25. Sár* antos, cabos y soldados, 401 y 2 rs. —Ciudad de Durango. Elgof …</t>
  </si>
  <si>
    <t>Pes, Juan</t>
  </si>
  <si>
    <t>Juan Pes</t>
  </si>
  <si>
    <t>es graduados D. José Diez de Texada y D. José Miranda, Continúan los donativos de la Nueva-Kizcaya. D. Manuel Pacheco, 20. D. Francisco Soberon , 10. D. Juan Pes­ cador, 20. D. Mariano Garvizo, 12. D. Cayetano López, 25. D. Juan Ba.rrera, 200. Don Tomas del Campo, 25. Don Juan Ventura Ga~ ray, ro. Varios pobres, 25 y 4 rs. D.…</t>
  </si>
  <si>
    <t>Pesqueyra, Agustín</t>
  </si>
  <si>
    <t>Agustín Pesqueyra</t>
  </si>
  <si>
    <t>José Buelna, 25. D. Xavier Díaz, 25. D. Ignacio León, 25. D. Ig­ nacio Araíza, 25. D. Ignacio Serrano, 10. D. Tomas Valencia, 10. D. José López, 10. D. Agustín Pesqueyra, ió. D. Juan Antonio Bernal, 10. D. Ignacio Noriega, 8. D. José María Moreno, 10. Varios indivi­ duos, 71 y 1 real. — Fuerte. D. Gaspar Zañudo, 200. D. Estéb…</t>
  </si>
  <si>
    <t>Pessino, Joaquín</t>
  </si>
  <si>
    <t>Joaquín Pessino</t>
  </si>
  <si>
    <t>Doz: bernador de Ambéres, escribe queSS. MM. llegarán subteniente de cazadores á caballo , núm. t.°, á aquí á media noche , y que hartan su viage por D. Joaquín Pessino; y subteniente á D. Genaro agua si no fuera por el viento, que es demasiado Jaccarini: teniente del regimiento de cazadores á fuerte, y por la gran marea. Cré…</t>
  </si>
  <si>
    <t>Petancour, José Ramón</t>
  </si>
  <si>
    <t>José Ramón Petancour</t>
  </si>
  <si>
    <t>ia y mustien Mustich , ¿x 50. Tornamira, Aygameyra y Goseus , 100. El Tesorero principal D. José Antonio Carvajal , 100. D. Angel López Stn. Ana, 50. D José Ramón Petancour, £0, I&gt;. Antonio Figueroá, 100. D. José María Carde ña’, 100. D. José Cenen y Castilla , 100. X). Luis-de Elexaldre, 100 D. Pedro García del Valle, 100. D…</t>
  </si>
  <si>
    <t>Pétersburgo</t>
  </si>
  <si>
    <t>MADRID -i •• DEL DOMINGO 14 DE ENERO DE 1810. - RUSIA. tto descubrirían nada hasta que sé bóllase en la hora dé la muerte el'ditimo de los tres.' El gobernador Pétersburgo 30 de noviembre ete: 1809. 'dé la ciudad; ha hecho excavar inmediatamente la El conde de S. Julián b llegada i esta capital iglesia indicada , y se ha enco…</t>
  </si>
  <si>
    <t>Petit, Gregorio</t>
  </si>
  <si>
    <t>Gregorio Petit</t>
  </si>
  <si>
    <t>pas en Teruel , quedando mui satisfecho, como lo D. Gabriel Melléis......................... 1S0 17 había estado durante el camino, de su gallardía y D. Gregorio Petit....................................... *444 disciplina. D. F raiu-isco Xavier de Arriaga........... 21089 17 El coronel Piique ,á su regreso de los altos va­ D…</t>
  </si>
  <si>
    <t>Petitqque</t>
  </si>
  <si>
    <t>Murió en la accion e! coronel Petitqque mandaba la coluna ene­ miga, compuesta de 500 á 600 infantes del regimiento 14, de 30 á. 40 dragones y de 20 á 30 gendarmes: se hicieron na prisioneros con mi oficial; y solo escaparon 2 oficiales y 40 soldados, casi</t>
  </si>
  <si>
    <t>Pey, Joé Miguel</t>
  </si>
  <si>
    <t>Joé Miguel Pey</t>
  </si>
  <si>
    <t>re y fraternidad del nuevo continente con su metrópoli. Dios guar­ de á V. E. muchos años. Sala capitular de Santafé 19 dé junio de iSiO.— Excmo. Sr. D Joé Miguel Pey. —Juan Gómez.—jfosé Aíaria Domínguez de Castillo. — Joié Ortega. — Bernardo Benjnmea.— Juan</t>
  </si>
  <si>
    <t>Peynado, Camilo</t>
  </si>
  <si>
    <t>Camilo Peynado</t>
  </si>
  <si>
    <t>ga, 100. Doña Ignacia de León, 20. D. Teodoro Csneros, 18 D. Martin Barron, 2$. D. Cirios Rubio, 12. D. José Simón Birraza, 8 D. Atanasio Urbina, 10. D. Camilo Peynado, 10. D Juan José Salcedo , 6. D. Faustino Peynado, 6. Varios individuos 53 y 4 reales.--- Sta. Bár­ bara. El subdelegado D. Manuel Herdiz, 15- D. C riaco Salas…</t>
  </si>
  <si>
    <t>Peynado, Faustino</t>
  </si>
  <si>
    <t>Faustino Peynado</t>
  </si>
  <si>
    <t>neros, 18 D. Martin Barron, 2$. D. Cirios Rubio, 12. D. José Simón Birraza, 8 D. Atanasio Urbina, 10. D. Camilo Peynado, 10. D Juan José Salcedo , 6. D. Faustino Peynado, 6. Varios individuos 53 y 4 reales.--- Sta. Bár­ bara. El subdelegado D. Manuel Herdiz, 15- D. C riaco Salas, 20. D. Antonio Armendariz y Doña Francisca Amp…</t>
  </si>
  <si>
    <t>Peyrolon, Francisco</t>
  </si>
  <si>
    <t>Francisco Peyrolon</t>
  </si>
  <si>
    <t>ñores Vidal é hijo. Sta. Cruz de Te-) . , . „ , ’a ■ ‘ nerfe r D. Antonio García Campero. Tarragona. ... D. Ramón de Llordetla é hijo. Valencia, .... D. Francisco Peyrolon y compañía. LIBROS. Discurso en elogio de la milicia, y delineacion del ca­ rácter militar; con las consideraciones que este se merece del co­ mún de la na…</t>
  </si>
  <si>
    <t>Pforzheim</t>
  </si>
  <si>
    <t>o. El re­ ron un regimiento de Schwanzix urg y otro de gimiento de dragones de Treistett llegó el 16 á Waidcck, los qüalés debían salir de Strasburgo d Pforzheim, y el 17 á Bruchsal, donde está de 25 después de un día de de'canso. Para el mismo guarnición. El primero de infantería se halla en se esperaban alii muchos batallon…</t>
  </si>
  <si>
    <t>Pfulil</t>
  </si>
  <si>
    <t>aquí el señor conde de Berol— son las clases respetables de labradores y comer­ dingn. ciantes , y tan interesante y digno es el carácter El teniente general Pfulil está a1 presente en­ de las sociedades de amigos dei pais. Y&gt;&gt; me siento cargado, como intendente general, de 2a adminis­ penetrado de gozo ai tenerlos á la vista…</t>
  </si>
  <si>
    <t>Pi, Manuel Díaz</t>
  </si>
  <si>
    <t>Manuel Díaz Pi</t>
  </si>
  <si>
    <t>Asunción de esta ciudad, pez, D. Ramón Melgarejo, D. Vicente Montema- para que , ínterin se establece el liceo, que con ar­ yor, D. Rafael Montalvo, D. Manuel Díaz Pi­ reglo a) real decreto de S. M. de 26 de octubre del mienta, D. Bartolomé Perez, D. Josef Fernandez, año próximo pasado, debe haber en cada ana de las D. Diego …</t>
  </si>
  <si>
    <t>Pi, María Josefa</t>
  </si>
  <si>
    <t>María Josefa Pi</t>
  </si>
  <si>
    <t>ibuido con 600, cuya cantidad corresponde al valor de quatro mesadas de las que se le suplen por razón del atraso en el repartimiento de los diezmos. Doña María Josefa Pi­ cado Pacheco, 500. D. José Antonio de Mérida; vecino de Oaxaca, 500. D. Francisco Antonio de Santiago, y su hijo político D. Agustín de la Peña, por mitad,…</t>
  </si>
  <si>
    <t>Picardo, Benito</t>
  </si>
  <si>
    <t>Benito Picardo</t>
  </si>
  <si>
    <t>405 , 193687, 193 697. Y habiéndose extraviado, la persona en cuyo poder se hallen los entregará en Valencia á D. Pedro Mallen, y en Cádiz en casa ce D. Benito Picardo, dei comercio. CADIZ: EN LA IMPRENTA REAL</t>
  </si>
  <si>
    <t>Picaudaíre</t>
  </si>
  <si>
    <t>austral, ártico ó meridio­ de papel, que iba de Guerr.esei á Ló ,drts. nal. A medida que L$ estrellas están mas lejos de E&lt; corsario la Victoria , su capitán Picaudaíre aquel punto inmóvil deteriben túcelos tanto ma­ ha apresado el Nimble, su capitán Latiner, carga­ yores. Muchas, como ls potar y las de la osa ma­ do de vino …</t>
  </si>
  <si>
    <t>Picton</t>
  </si>
  <si>
    <t>laza, para llamar hácia allí la atención ses. La tercera división (que va á las órdenes del de los sitiados. Entre tanto 20 trabajadores abrie­ mayor general Picton) se retiró ]de Pinel á otro ron la primera paralela de tres pies de profundi­ dia de madrugada, y se acampó cerca de Alverca; dad y de 500 tosías de extensión, á …</t>
  </si>
  <si>
    <t>4&lt;5 , mandado por el teniente coronel Meade y el regimiento portugués nüm. 8 , mandado por el teniente coronel Douglas, todos á las órdenes del mayor general Picton. Es­ tos tres regimientos embistieron con bayoneta calada, y desal&lt;¡¿aron la división enemiga del terreno ventajoso que había ocupado. Otra división del segundo c…</t>
  </si>
  <si>
    <t>810 muerto) y el mayor Birmingham del regimiento portugués nüm. 8.—El mayor general Picton recomienda la buena con­ ducta de los regimientos portugueses 9 y 21, mandados por los tenientes coroneles Sutton y Araujo Bacellar , y de la arti­ llería portuguesa mandada por el mayor Arentschiid. Merece igualmente particular memoria…</t>
  </si>
  <si>
    <t>Piedra, Dionisio</t>
  </si>
  <si>
    <t>Dionisio Piedra</t>
  </si>
  <si>
    <t>migo con 2 regimientos el pueblo de Mequinenza, cuya puerta y cortina estaban de­ fendidas por 150 hombres del batallón de América á las ór­ denes do D. Dionisio Piedra. Después de un combate obsti-, nado en que este oficial y su tropa se cubrieron de gloria,los franceses lograron apoderarse del parapeto, y de un cañón que io…</t>
  </si>
  <si>
    <t>Piedra, Josefa</t>
  </si>
  <si>
    <t>Josefa Piedra</t>
  </si>
  <si>
    <t>................................. 551? D. Miguel Lapena......-............ .............. 64500 5 D. Juan Manuel García Rubia............ 18042 14 14 Doña Josefa Piedra.................................. 691 24 D. Gabriel Rodríguez de Ccbrian...... 1Ó860 IÓ860 13 Q D. Andrés García deRoxas................. 1470 D. Francisco de…</t>
  </si>
  <si>
    <t>Piferrer, Marín</t>
  </si>
  <si>
    <t>Marín Piferrer</t>
  </si>
  <si>
    <t>.. .............. 12631,' ** p. Joan Earreiture.......... .......-j ¿ i D. Gabriei Gómez....../ 3068 D^Aptónio Pojliec.».........—.+,¡nv*- *4963 9ííf Doña Marín Piferrer.. *444•■"í. D-iMjaTiano Saoz.Merino.................,,011116234 2 5|-D. Muitel Lopt^z. &gt;. , 722 - t 1 D. ;F/ancisco Lope¿Iííuñe*¿.2.í.::.v;W‘'í‘i }7 Df. Jose…</t>
  </si>
  <si>
    <t>Pignatelii</t>
  </si>
  <si>
    <t>ecto. Se cauto en seguida á Hoi han pasado por aquí el conde de Masbonrg, f..bourden un De yrofitndis, el Libera y las exe­ ministro de Hacienda ; el príncipe Pignatelii , mi­ quias. Dorante la noche no cesó el clamoreo de las nistro secretario de Estado, y Zuelo , ministro de campanas, y lo mismo ayer y hoi. Mañana se ce­ lo…</t>
  </si>
  <si>
    <t>Pignatélli</t>
  </si>
  <si>
    <t>al y su desracamr-rr-. Esta conquis­ á S. Seloni. ta es también mui útil para proteger ei cabot&amp;gé; Entre tanto se fue estrechando cada vez mas el El general Pignatélli habiá dado yá las dispósicióá bloqueo de Ilostalrich , de forma que nuestros nes necesarias para apoderarse de estas isletas , y lo* puestos estaban ya á tiro…</t>
  </si>
  <si>
    <t>Pignatelli, Juan</t>
  </si>
  <si>
    <t>Juan Pignatelli</t>
  </si>
  <si>
    <t>eja el año de 1808 á la entrada de los enemigos, y sumi­ nistrado á ettos la expresada última ciudad 250 raciones; se ha servido declarar al referido D. Juan Pignatelli libre de los mencionados cargos, por resultar que no tenia á sus órdenes tropas algunas ..para detener á los enemigos j y que es buen servidor del rey y de la…</t>
  </si>
  <si>
    <t>Piique</t>
  </si>
  <si>
    <t>, de su gallardía y D. Gregorio Petit....................................... *444 disciplina. D. F raiu-isco Xavier de Arriaga........... 21089 17 El coronel Piique ,á su regreso de los altos va­ D. Francisco Iru ta.................................... 70Ó9 lles de Aragón , con el batallón del 64.“ y otro del D. Nicolás Estarr…</t>
  </si>
  <si>
    <t>Pil</t>
  </si>
  <si>
    <t>y objeto , pues ha sido su marcha repentina. Valencia 17 de agosto. El parlamentario Iranres que ce presento al general Curo el 3 de este mes, es el coronel Pil­ que, de paehado p r el conde de Suohet en solicitud del cange del general de división Franceschi, prisionero de guerra en España, por el te dente general Saiut-Marcl…</t>
  </si>
  <si>
    <t>Pili, Manuel</t>
  </si>
  <si>
    <t>Manuel Pili</t>
  </si>
  <si>
    <t>de los Val- Otra de 300 estadales' í la salida de i deheftnosos, que la cruza el sendero, Pinto mas allá de la' Soledad ,'linde y linda con tierra de D. Manuel Pili- el camino de Fuenlahrida. 18 39* garrón..... .................. ......... ................. *» *9? Otra de. 24Í estadales á lá Espartosilla, i Otra i la larga de…</t>
  </si>
  <si>
    <t>Pilque</t>
  </si>
  <si>
    <t>arbajal. — Excmo.. Sr* D. Luis Alexandro de Bassecourt. — Dicho general’en confi­ dencial de la misma fecha añade la confirmación de la. muer­ te del coronel Pilque, y que casi todos los oficiales perecie­ ron, ó quedaron prisioneros.w Arves de ayer por la tarde fondeó en «re puerco el navio de guerra S. Pedro de Alcántara, p…</t>
  </si>
  <si>
    <t>Pine, Pedro</t>
  </si>
  <si>
    <t>Pedro Pine</t>
  </si>
  <si>
    <t>oda la corte. El júbilo fue drés de Rus, por la nobleza y el pueblo. universal, yen los rostros de todos se veia retra­ Los diputados de Porcuna eran D. Pedro Pine­ tada la satisfacción de gozar de la presencia del Mo­ da , regente de la jurisdicción; D. Pablo de Agui­ narca , prenda segura de lá paz que va á suceder á lera, …</t>
  </si>
  <si>
    <t>Piñeyra, Joaquín</t>
  </si>
  <si>
    <t>Joaquín Piñeyra</t>
  </si>
  <si>
    <t>ipe López, 20. D. Juan Monzon , 20. Varios individuos, 87 y 2 rs. — S. Francisco Xavier. D. José Manuel Calles, J00. B. Domin­ go Santa Coloma , 100. D. Joaquín Piñeyra, 100. B. Lorenzo Flores . 12 y 8 rs. B. Pablo Flores y B. Marcos ÍJaguno , 26. D. Santo* Gavióla y T). Luis Rendon , 26. Varios individuos , 59 y 8 rs. -— Ai/…</t>
  </si>
  <si>
    <t>Piñeyro, José</t>
  </si>
  <si>
    <t>José Piñeyro</t>
  </si>
  <si>
    <t>y subtenencias, ? X). Bruno Soaso, D. Antonio Llamas, D. Lorenzo Adelantado D. Juan Sotelo , D. Gregorio Aívarez Carbalio , D. Ramón Min guillen , y D. José Piñeyro. Asimismo ha concedido grado de capitan de infantería , á. D. Manuel de Oromí , teniente del bata­ llón de tiradores voluntarios de Cádiz. También se ha servido p…</t>
  </si>
  <si>
    <t>Pingarron, Manuel</t>
  </si>
  <si>
    <t>Manuel Pingarron</t>
  </si>
  <si>
    <t>media fanega, que linda con . cristía de las monjas,' de fanega y . las caceras de las Arcas y tierra de -media y ^o^estadalés........I... 5° - JICO. D. Manuel Pingarron................. . 3» 704 Otra en el Esparragal, que linda' con Otra de 2 fanegas camino viejo de Par­ tierra de la capellanía de Morcillo, la, que linda con…</t>
  </si>
  <si>
    <t>Pinilla, Angel</t>
  </si>
  <si>
    <t>Angel Pinilla</t>
  </si>
  <si>
    <t>ntos, cabos y soldados, 401 y 2 rs. —Ciudad de Durango. Elgof ernador-intendente , brigadier D. Bernardo Bonávia , 500. El ase­ sor de la intendencia D. Angel Pinilla, 75: D. Andrés Herrera, conta­ dor de la aduana, 15. El factor Juan Bautista Ugarte, 150. El mi­ nistro contador D. Pedro Pió, 2$. El tesorero interino D. Rafae…</t>
  </si>
  <si>
    <t>Pínillcs, Andrés Martinez</t>
  </si>
  <si>
    <t>Andrés Martinez Pínillcs</t>
  </si>
  <si>
    <t>­ ver S. M. á capitán al teniente de granaderos D. Vicente Esca­ lante ; k tenientes , á los subtenientes D. Francisco Tajuelo, D. Antonio P.mentel , D. Andrés Martinez Pínillcs, D. Joan f ran­ cisco Salido, D. Juan Corral, D. Francisco Corral, D. Pedro An­ drés Gómez, D. Juan Sánchez, D. Jo;é Segovia, D. Marcos Jáuregai, D. …</t>
  </si>
  <si>
    <t>Pininski</t>
  </si>
  <si>
    <t>os acabados y olvidados los males de la patria. conde de Cavriani, idem ; el conde de Thurn&gt; idem; El 19, con motivo del santo de'nuestro augusto. •1 conde Pininski; el conde Schoenborñ , hijo; el Monarca , fue advertido el señor gobernador de barón de Lcbzeltern ,* consejero de embaxada; el que la plaza debía celebrarle con …</t>
  </si>
  <si>
    <t>Pino</t>
  </si>
  <si>
    <t>el resto de un vética. ia á otro; los oficiales, según se dice, van í DiIon , y los soldados á los altos y bazos Alpes. GRAN DUCADO DE BERG. El señor general Pino pasó ayer por aquí í to­ da prisa á presentar á S. M. las banderas cogidas jDuseldwf 2 8 de diciembre. en Gerona. Las últimas cartas del Üaxo-Rjn retiren que S E. e…</t>
  </si>
  <si>
    <t>esta acción á no so­ brevenir la noche. Los 2 prisioneros contestan que la.s fuerzas actua­ les de 'estos puntos se componen de toda la división del general Pino: que el pueblo está ocupado por un batallón ligero romano de 600 in­ fantes ; y que los 4 morteros tienen municiones para algunos dias. Fue imponderable la presteza …</t>
  </si>
  <si>
    <t>Pino, Jacinto</t>
  </si>
  <si>
    <t>Jacinto Pino</t>
  </si>
  <si>
    <t>go. La isla de Walchéren nos ha En los pueb os de la vicaría: para la de Alma*» enseñado qU2nto os estremece la palabra invasión. char al ex-dominico D. Jacinto Pino. Copenhague nos hizo conocer ana parte de vuestra Para la de Beoaimadena a D.' Nicolás García, enfermedad, y, el robo de la esquadra española de la misma orden. …</t>
  </si>
  <si>
    <t>Pino, Vicente</t>
  </si>
  <si>
    <t>Vicente Pino</t>
  </si>
  <si>
    <t>víos nentrales; de los oavíos de vuestros Para la primera de la parroquia de S. Juan ai aliados , de los buques por fin de todo el mundo, exrdominico D. Vicente Pino. parece que no está de acuerdo coa el desprecio y Para la segunda de la misma parroquia al ex— desden que manifestáis á las amenazas de inva­ franciscano descalz…</t>
  </si>
  <si>
    <t>Pintado, Antonio Diaz</t>
  </si>
  <si>
    <t>Antonio Diaz Pintado</t>
  </si>
  <si>
    <t>Juan Morales, D. José Benitez, D, José Va­ ra del Rey, D. José Joaquín Daureia, y D. José Tirso Carvajal; y subtenencias , á D. Juan Miguel Balanza , D. Antonio Diaz Pintado , D. Tomas Leal, D. Francisco Ortiz , D. José Mazon, D. Andrés Serrano,D. José Gutiérrez Genico, D.Pablo Carcía Bermejo, I&gt;. Juan Bautista Padilla, D. An…</t>
  </si>
  <si>
    <t>Pinto, Antonio</t>
  </si>
  <si>
    <t>Antonio Pinto</t>
  </si>
  <si>
    <t>Pugeo» subteniente » á teniente de acto.s titulado la Novicia, y el fin de fiesta titulado la la quinta compañía. - . ? ~T Hostería del buen gusto. . D. Antonio Pinto, sargento primero» í-tnbtc*i En el mismo tcatró, í Jas siete de la noche, se re­ Cliente de la novena compañía. presentará^ Ja, comedia de figurón en tres actos…</t>
  </si>
  <si>
    <t>Pinto, Francisco de Silveyra</t>
  </si>
  <si>
    <t>Francisco de Silveyra Pinto</t>
  </si>
  <si>
    <t>647</t>
  </si>
  <si>
    <t>gosto. Capitulación hecha por los generales de los exéreilos porfíegucs y español D. Francisco Tabeada y Gil, comandante de las tropas de S. M. C., y D. Francisco de Silveyra Pinto de las de Portugal, con el comandante del batallón suizo al servicio del emperador de los franceses Mr. José de Granfoncied y que guarnecía la pla…</t>
  </si>
  <si>
    <t>Pinto, JoSé</t>
  </si>
  <si>
    <t>JoSé Pinto</t>
  </si>
  <si>
    <t>el empleo de coronel al coronel, graduado D. Tomas de RiítortiRo■Ténh-'nte coronel dei de Mur­ cia ; y en esta cuerpo compañías á D. Manuel Márquez , D. JoSé Pinto , D. Antonio Guto , IV Antonio Áivarez , y D. Juan Cosulh-ela ; t ív.-ncias á. D. l^edro Carmena , D. Luis Carceller, D. Nicolás de Robles , D. Vicente Castaño , I…</t>
  </si>
  <si>
    <t>Piñuela, María de las Mercedes</t>
  </si>
  <si>
    <t>María de las Mercedes Piñuela</t>
  </si>
  <si>
    <t>de Bajamar.......................... 20000 D. Benito Corrazar .......... ................. *444 D; Joaquirr Ronuúa............................. 30000 Doña María de las Mercedes Piñuela.. • D.,-Manuel;Sánchez Toscano.—~......... 50000 Doña Manuela Roca.............. ;....... . - 6498 Doña Tomasa Quintillar, viuda, y su D. Toma…</t>
  </si>
  <si>
    <t>Piñuela, Sebastian</t>
  </si>
  <si>
    <t>Sebastian Piñuela</t>
  </si>
  <si>
    <t>guerrillas, dexando tendidos en el campo de chos efectos; nombramos’ á los mismos consejeros barada mas de zoo hombres, ademas de otros 50 de Estado D. Sebastian Piñuela, D. Pedro Ramón qne han sido cogidos, como también un gran nú­ de Echeverría y D. Josef Ignacio Joven de Salas, mero de armas , de efectos y municiones , que…</t>
  </si>
  <si>
    <t>Pió, Pedro</t>
  </si>
  <si>
    <t>Pedro Pió</t>
  </si>
  <si>
    <t>r de la intendencia D. Angel Pinilla, 75: D. Andrés Herrera, conta­ dor de la aduana, 15. El factor Juan Bautista Ugarte, 150. El mi­ nistro contador D. Pedro Pió, 2$. El tesorero interino D. Rafael Ahumada, 20. El Conde del Valle del Súchil 100a. D. José Matos, 75. D* Joáquin A fnezaga, 50, D, José &gt; Castro y» Ortega, 50. D …</t>
  </si>
  <si>
    <t>Pioilla, Diego Félix</t>
  </si>
  <si>
    <t>Diego Félix Pioilla</t>
  </si>
  <si>
    <t>ante por de prima. muerte de D. Francisco Martinez Gil, á D. Josef Para el de Fontanar, vacante por muerte de Celedonio de Cea , cura de FuencemUlan. D. Diego Félix Pioilla , á D. Josef Ruiz, clérigo Para el de R o macones, vacante por ascenso de de prima. D. Mariaoo Lázaro de la Cuerda al de Romeral, Para el de Navas y Cinco…</t>
  </si>
  <si>
    <t>Pipeir</t>
  </si>
  <si>
    <t>gúe ai fiscal hacer una pesqui­ sa legal sobre esta materia ante el tribunal de la S. M. el Emperador AicXandro. En la fachada de corte de Suecia. La condesa Pipeir y el conde Fa­ tu casa se colocó un transparente perfectamente, bián de Fersen serán preguntados. El doctor iluminado, que representaba el comercio america­ Rossi…</t>
  </si>
  <si>
    <t>Piper</t>
  </si>
  <si>
    <t>se en «ateo. Una goardia de 300 hombre* de GRAN DUCADO PE-BADEN. tropa cercó y defendió la casa, que fue también Badén i.° de julio. amenazada, de la condesa Piper, hermana del con­ de Ferseo, la qual había, huido también. El go­ Ademas de S, M. el Reí de Baviera y de S. A. R. bierno ha ‘hecho entrar ch la ciudad varios regi­…</t>
  </si>
  <si>
    <t>Píper</t>
  </si>
  <si>
    <t>pe­ dazos. Acudieron las tropas , mas no consiguieron dispersar él populacho, que léjos dé ceder prorrumpió en injurias groseras contra ía reyna y la condesa Píper, hermana del conde dé Fersen. Los soldados hicieron fuego , y el pueblo después dé alguna resistencia se retiró á sus casas. Los paisanos muertos fueron, según las…</t>
  </si>
  <si>
    <t>jiña. 230. TOJ3 GAZETA DE MADRID DEL VIERNES 24 DE AGOSTO DE 1810. VALAQUIA. das de la casa de la condesa Piper, según ta últi­ ma matrícaia executada en esta capital»,y ha re­ Bucharest go de junio. sultado de sns declaraciones» que sólo se halla au­ El mayor general conde Zukato ha pasado sente una</t>
  </si>
  <si>
    <t>julio. unánimemente todas las cartas que se han recibido La comisión nombrada para examinar los pa­ de Semiin, de Orscwa y de Bucharest. peles de la condesa Piper ha dado cuenta al Rei El gran visir continúa cediendo á !a superiori­ del resultado de sus operaciones, y no ha descu­ dad del en:m:go: espera refuerzos mui conside…</t>
  </si>
  <si>
    <t>Pizarro, José</t>
  </si>
  <si>
    <t>José Pizarro</t>
  </si>
  <si>
    <t>la de León á 1 9 de abril de 1810.— Xavier de Castaños, presiden­ te.— Francisco de Saavedra. — Antonio de Fseaño.— Miguel dt Lardi abal y Uribe. — A D. José Pizarro. Eí Cocsfcjo de Regencia se ha dignado promover á mariscales de campo de los reales exércitos a los brigadieres D. Antonio de la Cruz , y D. Alexandro de Ogea, c…</t>
  </si>
  <si>
    <t>PJ, Josef García</t>
  </si>
  <si>
    <t>Josef García PJ</t>
  </si>
  <si>
    <t>. que que: no es vuestro^ esta ansia que manifestáis Para la segunda de la parroquia de Santiago á de apoderaros de los uavíos de .vuestros enemigos; D. Josef García PJ.mo, tx mercenario ca 'z.do. de los oavíos nentrales; de los oavíos de vuestros Para la primera de la parroquia de S. Juan ai aliados , de los buques por fin d…</t>
  </si>
  <si>
    <t>Plateo</t>
  </si>
  <si>
    <t>o le ha impedido asistir el AUSTRIA. domingo último al banquete espléndido que ha ha­ bido en celebridad de la paz con Francia. Vierta 4 de abril. El secretario Plateo, gran mariscal de la corte, Las noticias que se han recibido directamente ha salido hoi para la Pomerania, y parece que lle­ de Bucharest confirman todo quanto…</t>
  </si>
  <si>
    <t>Plaza, Isidoro Gañía</t>
  </si>
  <si>
    <t>Isidoro Gañía Plaza</t>
  </si>
  <si>
    <t>........... 4 de 600 pesos de setiembre. 40JÍ3 71999 2 de 300 de idem. 148296 x 73 5 7 r 164291 164388 168476 181765 196492^ 8 de 150 de idem. 209808 D. Isidoro Gañía Plaza. 1x9117 1 de 300 pesos de enero. 388016 388017 39x599 404849 4.09040 $ de 600 pesos de mayo. 419347 434029 48 8 5 40 3 de 300 de idem. 135165 138720 2393*…</t>
  </si>
  <si>
    <t>Plerran, Mariano</t>
  </si>
  <si>
    <t>Mariano Plerran</t>
  </si>
  <si>
    <t>032 17 Los gramáticos han dividido en ocho clases to­ Doña María del Carinen JLrran........ 3 131 18 dos los elementos del discurso humano , llevados D. Mariano Plerran................................... 31'it itf de que en este no se usa palabra ninguna qn« Sr. D. Gonzalo O-larri 1....................... jjcG} 22 no podamos …</t>
  </si>
  <si>
    <t>Plique</t>
  </si>
  <si>
    <t>as y oficiales he sabido, que Ja acción ha sido entre Moni oro "y Villar luengo, confirmándose la numerosa pérdida ya .insinuada, como también que ei coronel Plique, comandante de aquella expedición , lia muerto en el comba­ te , lo que se asegura con haber entrado en Viliarluengo el mismo día de la acción (cuya fecha me pers…</t>
  </si>
  <si>
    <t>Pmango, Fernando</t>
  </si>
  <si>
    <t>Fernando Pmango</t>
  </si>
  <si>
    <t>zaga , D. Juan Quesada y D. Heraclio de Alais: ; tenencias de cazadores , á D. Pedro Benavides , y de fu­ sileros a D. Angel García , y subtenencia á D. Fernando Pmango ; y en el de Voluntarios de la Patria , co?npañías á D. Pedro Al­ cántara Rute , D. Francisco de Cárdenas , D. Antonio Labrandero , y D. Francisco Federic ; a…</t>
  </si>
  <si>
    <t>Pnlatd, Dumas-du</t>
  </si>
  <si>
    <t>Dumas-du Pnlatd</t>
  </si>
  <si>
    <t>ismo, ha hecho ahora nuevos el «pronel JDalwiis; el barón de Malsburgo , conse­ beneficios, que~son Jé la mayor importancia. Quau- jero de Estado; el general Dumas-du- Pnlatd ; Maldo sea tiempo de publicarlos , mis pueblo^ los apfe- ebus, consejero de Estjtdo; el coronel Dmloupeiarán ea todo su valor, y presagiarán las mas fe…</t>
  </si>
  <si>
    <t>Poaiatowski</t>
  </si>
  <si>
    <t>ido entre todos la preferencia. Entre los que han fallecido en el imperio ruso Posen 2% de febrero. durante el año de tSo8 se cuenta uno que había El príncipe Poaiatowski, ministro de la Guer­ llegado á la edad de 160 años cumplidos. ra, y general en geie dei exército polaco, pasó ayer por aquí acompañado del general Fitscher…</t>
  </si>
  <si>
    <t>Poblaciones, Francisco de Sales</t>
  </si>
  <si>
    <t>Francisco de Sales Poblaciones</t>
  </si>
  <si>
    <t>s exáoto cumplimiento , especialmente los que calde de la santa hermandad por el astado noble, tienen el honor de h; ber sido el órgano de los sen­ y D. Francisco de Sales Poblaciones, macerante timientos de Baeza. Dígnese V. .VI. admitirlos con de la real de Granada , diputado por la nobleza: la benignidad que le da el renom…</t>
  </si>
  <si>
    <t>Pocas, Juan Bautista</t>
  </si>
  <si>
    <t>Juan Bautista Pocas</t>
  </si>
  <si>
    <t>&lt; ' ' Todas'estas dificultades han prolongado el tiitnen de la7comisión, cuyo resultado va á exponer AVISO. 4 V. M. En'virtud de providencia del Sr. D. Juan Bautista Pocas máquinas de qnantas ha examinado le Guitart, juez de primera instancia en esta villa, se ha ;fián parecido dignas de llamar su atención. 'mandado celebrar-…</t>
  </si>
  <si>
    <t>Poderus, Bernardo</t>
  </si>
  <si>
    <t>Bernardo Poderus</t>
  </si>
  <si>
    <t>dás y Luanco, que manda su teniente coronel D, Antonio de la Llana, cerca de Santa Lucía 5 el regimiento de Navarra al mando de su teniente co­ ronel D. Bernardo Poderus, y el de Cóvadonga al del capitán D. San­ tos San Miguel, que formaban el ala derecha de la primera línea, en un estribo de la montaña de San Gines j y el re…</t>
  </si>
  <si>
    <t>Pódrigo, Francisco de la Peña</t>
  </si>
  <si>
    <t>Francisco de la Peña Pódrigo</t>
  </si>
  <si>
    <t>Tres dependientes de la dirección de Correos , 120. D. Francisco Noriega, presbítero , 180. D. F. F. G., 10.—Total, ^8322 rs. vrí. Idem en prendas.— D. Francisco de la Peña Pódrigo, 10 piezas de listados, de tiro 200 varas, y una silla de montar. D.'Francisco Ignacio Arechahala, 7 camisas. Una madrileña , 4 id. Doña Nicolasa …</t>
  </si>
  <si>
    <t>PoggioJi</t>
  </si>
  <si>
    <t>esentado voluntaria­ El jardín botánico de esta ciudad se enriquece mente á alistarse. El prefecto y el corregidor se cada día con nuevas plaDtas. El doctor PoggioJi ha han alistado para servir de granaderos. Los jóvenes recorrido las costas de los estados romanos, y en que no llegan todavía á la edad de la conscripción, este…</t>
  </si>
  <si>
    <t>Poi, Josefa Ra D Antonio Dimingo</t>
  </si>
  <si>
    <t>Josefa Ra D Antonio Dimingo Poi</t>
  </si>
  <si>
    <t>Sixto L-purosa..................... i6:;0 4 D. VRente Ferrcr Carrera, por si, y D. Juan E-tébm Tiicio........................ -40 *4 como mari io de Doña Josefa Ra­ D Antonio Dimingo Poi.ier............... 5 2'6 ij pos ■"&gt; y Panlagua................................. 19845 D. Femando Fon!.................................. 4~- …</t>
  </si>
  <si>
    <t>PolicarD</t>
  </si>
  <si>
    <t>1.. D. Francisco López Ñoñez *«#*éW*4«***&lt; 2 4. D. Antonio Guillen;;V.V. O B Nicolás García Caballera;...».. V.., '-/w*;:25* Los hijos y herCdéiós^de D. PolicarD. Salvador Souiats..——...i.¡..... ■ -34.29. i7 po'de vt^uijojír........................... Vt D. Domingo de Gefe y Bueno.w..v.... .v dióf* i,7' D. Pedro Franep:;.;d;;…</t>
  </si>
  <si>
    <t>Policarpo, Ramón</t>
  </si>
  <si>
    <t>Ramón Policarpo</t>
  </si>
  <si>
    <t>la Quintana (D. Joaquín), alcalde de de ser con roda consideración, = Excmo. Sr.cc De Bilbao. V. E. su mas atento seguro servidor = WelliogVitoria ( D. Ramón Policarpo). ton. = A la junta suprema de la provincia de Ex­ Zarachaga (D. Florentino), intendente de Ciudad tremadura.” Real. art. it. Nuestros gran canciller y gran te…</t>
  </si>
  <si>
    <t>Polo, Ildefonso</t>
  </si>
  <si>
    <t>Ildefonso Polo</t>
  </si>
  <si>
    <t>Ignacio Joven......................... 73c 8 descalzo................................................. 44000 D. Ventura Gómez de laTorre....... 21600 D. Ildefonso Polo, id........................... 44000 D. Juan Manuel de Usategui.............. 10543 17 D. Marcos Ponce de León , ex agoni­ D. Josef de Cadano..................…</t>
  </si>
  <si>
    <t>Polo, Mariano Miguel</t>
  </si>
  <si>
    <t>Mariano Miguel Polo</t>
  </si>
  <si>
    <t>Ingenieros á D. José Gardillo , subteniente del regimien­ to de infantería imperial de Toledo, D. Manuel de Castilla, alférez de dragones de Aimansa, D. Mariano Miguel Polo, subteniente del de Amé­ rica, D. Francisco de Barraycua, de el del Príncipe, D. Domingo Luisdel Valle, del de España, D. Mariano de Gsycoechea, del de Af…</t>
  </si>
  <si>
    <t>Polo, Ramón</t>
  </si>
  <si>
    <t>Ramón Polo</t>
  </si>
  <si>
    <t>ntes. Ascendidos á Brigadieres. D. J osef Lardizabal , capitán del regi­ miento de reales guardias Españolas , y comandante general de la vanguardia. D. Ramón Polo , capitán del propio cuerpo , y comandante gene­ ral de la segunda división. Graduados de Coroneles. El teniente coronel X). Vicente Algarra, capitán del regimient…</t>
  </si>
  <si>
    <t>Pomatowski</t>
  </si>
  <si>
    <t>473</t>
  </si>
  <si>
    <t>ADRID DEL DOMINGO 2 y DE NOVIEMBRE DE 18 ro. GRAN DUCADO DE VARSOVIA. CIUDADES ANSEATICAS. Varsovia jo de setiembre. Hamburgo ti de octubre. S. A. el príncipe Pomatowski ha llegado aqnl Acaba de publicarse aquí un decreto de S. M. el día 27- v el Emperador, cuyo tenor es el siguiente: Los señores Grtzimla y Rembosvzki, comisa…</t>
  </si>
  <si>
    <t>Pombo, Baltasar</t>
  </si>
  <si>
    <t>Baltasar Pombo</t>
  </si>
  <si>
    <t>en dieta:,¡:5 o.. D. Juan Bautista Perez, 25. D. Mariano Do­ mínguez , 15. La cofradía del santísimo Sacramento de la parro­ quia do Santo Toma»; 50. D. Baltasar Pombo, 25. Ei administra­ dor de rentas unidas dei Fresnillo D. Manuel Fernandez , 50. El interventor deid. D. Francisco Xavier Valiejo, SO. El guarda de id. D.Tcíix…</t>
  </si>
  <si>
    <t>Pombo, Julián</t>
  </si>
  <si>
    <t>Julián Pombo</t>
  </si>
  <si>
    <t>io. D. Andrés Saiz Dnrango. Batallón del quartel de S. Francisco. D. Jo sef Antonio Molina. Capitanes. D. Josef Garai. D. Andrés Perez. Subtenientes. D. Julián Pombo. D. Fermín Alfaro. D. Francisco Xavier Toledano. I). Manuel Carrillo. D. Ignacio Abadía. D. Manuel Antonio Ibañez. D. Isidro Velazquez. D. Josef María Acosta. D.…</t>
  </si>
  <si>
    <t>Pomps, Antonio</t>
  </si>
  <si>
    <t>Antonio Pomps</t>
  </si>
  <si>
    <t>evenido en nuestro decreto colás Aparicio y D. Felipe Acuña : cu el 4.0 de la de i.° de mayo de 18&amp;9, hemos decretado 'y de­ misma arma subteniente á D. Antonio Pomps: en cretamos lo siguiente: los cazadores de montaña de Córdoba subteniente articulo i. ,,Se destituye á D. Josef Anto­ á D. Josef Alfaro. nio Garnica del obispa…</t>
  </si>
  <si>
    <t>Pon</t>
  </si>
  <si>
    <t>é la tarde, art. viil.. En la villa de Badolatoza se forma­ se executará la comedia en tres actos titulada'el Cató­ rá media compañía. Queda nombrado capitán Pon lico Recaredo, con todo su teatro, y.dos decoraciones nuevas pintadas por D. Antonio Tadei,'la.una de n&gt;on&lt; (t} Cerca de 31 pies de Burgos. te con varias figuras de …</t>
  </si>
  <si>
    <t>Pon, Ramón</t>
  </si>
  <si>
    <t>Ramón Pon</t>
  </si>
  <si>
    <t>D Fe­ lipe Amat por el principado de Cataluña; D. Antonio Olive­ ros por la provincia de Extremadura ; D. Antonio Sámper por el reyno de Valencia, y D. Ramón Pon ver por la isla de Puer­ to-Rico ; examinen estos seis procuradores y aprueben por si y en virtud de delegación expresa que hace S. M. los poderes de todos los procu…</t>
  </si>
  <si>
    <t>Ponce, Antonio</t>
  </si>
  <si>
    <t>Antonio Ponce</t>
  </si>
  <si>
    <t>antes de ayer de madrugada el batallón de Lemus en su corta fuerza de 300 hombres escasos , con 30 caballos , mandados por sus bizarros comandantes , D. Antonio Ponce , y D. Joa­ quín de Mera, auxiliados por la primera partida de patriotas castellanos, que manda D. José Armengol, capitán del regimien­ to de infantería de Fern…</t>
  </si>
  <si>
    <t>Ponce, Francisco</t>
  </si>
  <si>
    <t>Francisco Ponce</t>
  </si>
  <si>
    <t>ubteniente con grado de capitán del re­ gimiento de caballería de Montesa D. Lázaro Sierra, y eí de su cla­ se del regimiento de infantería de Alcalá D. Francisco Ponce , á la cabeza de 60 caballos montados por patriotas, y algunos soldados dis­ persos , atacaron los eneiwigos con tal denuedo, que los arrollaron , y persiguie…</t>
  </si>
  <si>
    <t>Ponce, Francisco de Cañaveral</t>
  </si>
  <si>
    <t>Francisco de Cañaveral Ponce</t>
  </si>
  <si>
    <t>ue cansó en Velez el porte marcial y la ins­ art. 11. -Nombramos para coronel de este re­ trucción militar de la guardia cívica de Málaga, gimiento á D Francisco de Cañaveral Ponce ; para no duda que aquella hará iguales progresos en su mayor á D Josef Gavilanes; para comandantes de organización. Pero en esta corta ausencia h…</t>
  </si>
  <si>
    <t>Ponce, Joaquín</t>
  </si>
  <si>
    <t>Joaquín Ponce</t>
  </si>
  <si>
    <t>ada, y el subteniente Don José Benitez : el oficial herido de voluntarios de Valencia , es ei capitán primero D. José Alque, y el contuso el teniente D. Joaquín Ponce. El. Consejo de Regencia en nombre del Rey nuestro Señor Don Fernando VII, que Dios guarde , se ha dignado promover á tenientes generales do sus reales exército…</t>
  </si>
  <si>
    <t>Ponce, Rafael</t>
  </si>
  <si>
    <t>Rafael Ponce</t>
  </si>
  <si>
    <t>o de aquí D. Francisco López. para Falmouth , y la TrSguti’Niémen y los bergan­ D. Francisco Riveros. tines North Star y Peacock tienen orden de mar­ D. Rafael Ponce. A char al mismo puerto para tomar á sti bordo y con­ D. Fernando Vadivia, ducir aquí tas rfpulaciones.de los paquebotes que hai en Falmouth, Ls quales manifiest…</t>
  </si>
  <si>
    <t>Poní</t>
  </si>
  <si>
    <t>aña. at completo ys con la misma fuerza que' teman EL señor Washington' ha sido nombrado grao antes. .. &gt; mariscal de la corte del. Príncipe Real, el conde Poní mayordomo mayor de la corte de la Princesa FRUSIA. Real, y madama; la baronesa Redwitz camarera 1 mayor de la Princesa. SS. AA. tendrán ademas va­ Btrlin *4 de octubr…</t>
  </si>
  <si>
    <t>Poniade</t>
  </si>
  <si>
    <t>. GRAN DUCADO DE VARSOVIA. Copenhague 17 de abril. Vare ovia iS de abril. En la noche del 26 de marzo último se vió des» Ayer llegó aquí de Dresde el príncipe Poniade el observatorio de esta capital un metéoro mui towski, y dentro de ocho dias marchará á Cra­ particular que tenia la figura de un globo de fuego. covia. Apareci…</t>
  </si>
  <si>
    <t>PoniarcWski</t>
  </si>
  <si>
    <t>iendan 'de los habitantes electores Se asegura que el objeto principal de las largas de Westminster, reunidos en Neivpalace el jy conferencias que el príncipe PoniarcWski ha tenido de abril de 1810 por orden del gran bailío con nuestro Soberano en Dresde, ha sido la orga­ Arturo Morris, escudero, d consecuencia del nización m…</t>
  </si>
  <si>
    <t>Poniatovvski</t>
  </si>
  <si>
    <t>e nuestro So­ cia , algunas lanchas cañoneras del enemigo que sa­ berano y de su augusta familia. lieron de Anholt han cogido seis buques dinamar­ El príncipe Poniatovvski salió de aqui para queses cargados, procedentes de la Noruega. Uno Varsovia el dia 10 del corriente. de ellos, que fue tripulado con tropas inglesas, se vi…</t>
  </si>
  <si>
    <t>Poniatowski</t>
  </si>
  <si>
    <t>oriosas. DINAMARCA. Se va á dividir en varios departamentos la parte de la Gallitzia incorporada al ducado de Varsovia. Copenhague j de diciembre. El príncipe Poniatowski llegó el 20 del pasado á Wiliczka para visitar las salinas de esta ciudad, Mr. Forster, encargado de Negocios de Ingla­ y se le ha recibido coa salvas de ar…</t>
  </si>
  <si>
    <t>paz , las órdenes directas del Rei Mr. Waithmann se levantó, y dixo: tengo la nuestro Soberano. honra de llamar la atención del ayaatamientt^ so­ Ei príncipe Poniatowski acaba de enviar al con­ bre uno de los puntos mas importantes qae jamas de Archur Potoki , tu ayudante, de correo á París. se han tratado. Quando se presenta…</t>
  </si>
  <si>
    <t>Poniatówski</t>
  </si>
  <si>
    <t>gida digna de la -buena conducta -que observarán, Según noticias de Dresde se espera en aquella y de que yo salgo desde luego por garante. capital al príncipe Poniatówski y á otros muchos ,,Dado en Breda á 28 de enero de 1810.= 61 oficiales polacos, y se cree que S.-M. el Reí de mariscal dnque de Recgio , comandante en gefií …</t>
  </si>
  <si>
    <t>e estaban en la 'Podaiia y en mui. ven t a josas para los dos. ipaucf. la Ukranla han tomado el camino de la Moldavia y de la Valaquia. DINAMARCA. El príncipe Poniatowski salió el 2 de este mes para Cracovia , donde recibirá á nuestros Sobera­ Copenhague 12 de mayo. nos , que llegarás allí mañana, y el 17 vendrán á Un convoi …</t>
  </si>
  <si>
    <t>eniente general DortorofF ha sido nombrado pañó al Rei desde Gerniakow hasta una legua de general de infantería, en recompensa de los servi­ aqui. El príncipe Poniatowski, que había vuelto cios que ha h.-cho con motivo del tratado de de­ de Cracovia hace quatro dias, el ministro residente marcación de límites ajustado coa el …</t>
  </si>
  <si>
    <t>-sa' debía quedar depositad a, y que estacópliFlie— s'iBtdtei* déSaxonia ¡Atuvo antes'de' ayer qdh el te tan erdet* qad tuviese los mismos rea^MMIA y príncipe Poniatowski á reconocer la ^fortaleza■ dé letras quetel original- La copia1 fue ’entrégadJ al Sierock', qué está .'crthsrruyéndose cerca de la bbngobernador, el qüal,-d…</t>
  </si>
  <si>
    <t>Poníatowski</t>
  </si>
  <si>
    <t>GAZETA DE MADRID .. , "DEL MARTES 6 DE NOVIEMBRE DE x8io. GRAÑ“'í)üCADO DÉ VARSOVIA. BA VIERA. Varsovia 2 Q de, setiembre. Munich 30 de setiembre. El príncipe Poníatowski llegó á esta capital el Xa gazeta del gobierno acaba de publicar de ofi­ dia 15 de vuelta de su ívugé' á Siedlice. En los cio ei estatuto de fami ia firmado…</t>
  </si>
  <si>
    <t>Poniatowski, Josef</t>
  </si>
  <si>
    <t>Josef Poniatowski</t>
  </si>
  <si>
    <t>volvió las iosignias de esta orden qoando Gustavo hau servido con tanta gloria en la últhna campaña.’ Adolfo devolvió las de Rusia y Prusia. S. A. el príncipe Josef Poniatowski » ministro Nada se dice en la gazeta de la corte sobre las de la Guerra &gt; y comandante en gefe del exército, operaciones de nuestro exército de Moldav…</t>
  </si>
  <si>
    <t>las dos compañías de mi­ Dresde 2 de marzo. nadores y la de pontoneros , que todavía subsisten, se formarán tres compañías de gastadores , que so El príncipe Josef Poniatowski llego i esta ca­</t>
  </si>
  <si>
    <t>Poniatowslci</t>
  </si>
  <si>
    <t>su país al remo de Báviera. Dicen que ces los brindis' al augusto Emperador de los fran­ trae también .el encargo de pedir á S. Al. que se ceses. El príncipe Poniatowslci celebró también es­ digne hacer un viage para visitar su provincia lue­ te dia con ah banqnere militar , doode se manifes­ go que lo permitan las circunstan…</t>
  </si>
  <si>
    <t>Poniatowtkí</t>
  </si>
  <si>
    <t>xd fqué^este dío^en’uno de los arrabales dé está Capí ral situados personage era tan elevado en' dignidad, - qtie tenia en la orilla del Vístula'. El príncipe Poniatowtkí permiso para Ver los pies de su 'Emperador, sin áendió á él con su ácttvidad ordinaria , y contripoder mirar mas arriba. - - buyó eon su asísténciá , y las-…</t>
  </si>
  <si>
    <t>Ponijtowski</t>
  </si>
  <si>
    <t>1509</t>
  </si>
  <si>
    <t>DE VARSOVIA. contrarle allí/* Vursovia J ¡ de octubre. AUSTRIA. Ayer, día aniversario, de la batalla de Jena, Vierta 2 o de octubre. pasó revista el príncipe Ponijtowski á las tropas que hai cerca de CztrnLkosv , y por la noche es­ Las cartas de Turquía.dicen que los ruso» van tuvo iluminada toda la ciudad. á principiar el si…</t>
  </si>
  <si>
    <t>Ponte</t>
  </si>
  <si>
    <t>s tropas francesas del general Bonnet abandonaron á Ovie­ do el 20 del pasado, dexándose sus heridos y enfermos. El moti­ vo fu é haber sabido que el general Ponte había mandado pasar el Nareea a 6D hombres con alguna caballería, y que trataba de atacarlas al dia siguiente. Los enemigos, en número de 4500, se dirigieron por l…</t>
  </si>
  <si>
    <t>Ponte, Llano</t>
  </si>
  <si>
    <t>Llano Ponte</t>
  </si>
  <si>
    <t>és de haberse informado S. M. rección al puente Porro, donde las tropas asturia­ de! estado de los individuos de dichos cuerpos, nas, mandadas por el general Llano Ponte, ocupa­ hablándoles con su natural afabilidad, dirigió á to­ ban una posición mui ventajosa , defendida por 40 dos un discurso, del que se han podido retener…</t>
  </si>
  <si>
    <t>Ponte, Martin Tovar</t>
  </si>
  <si>
    <t>Martin Tovar Ponte</t>
  </si>
  <si>
    <t>l de apela? ciones, establecieron un juzgado de policía, y nombraron un * gobernador militar. Los individuos de la junta son D. José de las Llamosas, D. Martin Tovar Ponte, D. Feliciano Palácip; D. Nicolás de Castro, D. Juan Pablo Ayala, D. José Cortés; D. Hilario Mora, D. Isidro Mendez, D. Francisco Rivas; D. Rafael González…</t>
  </si>
  <si>
    <t>Ponte, Pedro</t>
  </si>
  <si>
    <t>Pedro Ponte</t>
  </si>
  <si>
    <t>.„,..A........... 90720 B.Osbntl 9866 10* 15. Lntrda............... .439*9 D. Josef Luis Sape 6255I i2f; DoñaMargarita.JáuregUi^-.,............ 46080 D. Pedro Ponte................... 6095 .. Doña Mafia Teresa..Montero. d« la P. Miguel Herrero ■ ««•«•i* • «**&gt;**! 7569! 8- Concha-,...... . D. Fernando Font.................... …</t>
  </si>
  <si>
    <t>edo...................... . -'361 Dófia Gerónima López......................C •,-:48-7¿ í*^' , Rsltaiicitcp López»......................* 1085 ■•••&gt;• D. Pedro Ponte»,............... 5i4*ccn D. Julián Aparicio y Palacios........... ' - 1173 8f L&lt;&gt;s reales estudios de S. Isidro.........^ , ,90.614^^ • - DoñarMaria ‘ Josefa;A^»á…</t>
  </si>
  <si>
    <t>Poocc, Francisco Paula</t>
  </si>
  <si>
    <t>Francisco Paula Poocc</t>
  </si>
  <si>
    <t>alo Du*.&lt;Je RibjWa.-..-a^*;.vv 22500 1 D. Juan Rincón.».............. ................. 7OI4 *7 pona Abs ;■ ?5'4gco D, Francisco Xavier.-Martínez Re- D. Francisco Paula Poocc, ^2400 -1 mon............ ...........................“■*&gt;..... . M2?2 O. Francisco Zalvide-....-.».- ,- 312006 T D. Josef Rodríguez.*.. ..... ........ 9…</t>
  </si>
  <si>
    <t>Popondopoulo</t>
  </si>
  <si>
    <t>los turcos habían vuelto á tomar á Rudscbuk , y 10 hombres. Sobre todo sentimos la del bravo ma­ pasado á cuchillo á la guarnición rusa compuesta yor general Popondopoulo. La pérdida del enemi­ de 3© hombres; pero otras noticias mas recientes go debe de ser mucho mayor. hablan de las ventajas conseguidas por los rusos. ,,E1 m…</t>
  </si>
  <si>
    <t>Por</t>
  </si>
  <si>
    <t>junta superior con fecha de o de este mes : “Muy ilustres señores: Tengo el placer de informar á V. E. que en la tarde de antes de ayer desembarcó el general Por­ lier y toda su tropa con sus armas, municiones y bagages entre Planes y Rivadesella, sin que haya habido oposición al­ guna por parte del enemigo. Por la tarde marc…</t>
  </si>
  <si>
    <t>agüero de los buenos suce­ ro gracias al valor irresistible de las tropas rusas, sos que se deben esperar. y á las prudeutes disposiciones del edecán general Por otra parte el mayor general conde Zucato, príncipe Troubetskoi, fueron obligados los turco» que habia pasado el 5 de junio el Danubio por la i retirarse á sus trinch…</t>
  </si>
  <si>
    <t>cado durante la no­ che cerca de la villa de Sarriá, con orden de que luego que se empeña­ se la acción, acometiese al enemigo por su retaguardia. El coronel Por­ ras con el batallón de guardias Valonas de su mando, el resto de gra­ nadero? provinciales, regimiento de caballería seguido de Alcántara- ycázh&amp;ores de la Maestran…</t>
  </si>
  <si>
    <t>al estuvo ya en otro que hablaban algunas cartas particulares consegui­ tiempo encargado de esta comisión. das sobre los franceses por las tropas del general Por noticias de Constantinopla de 29 de agos­ Latci. La falta de armonía y concierto entre este to se sabe que el caimacan destituido se ha reti­ general y Gopons ha sid…</t>
  </si>
  <si>
    <t>restaron fidelidad y homenage á S. A. el Prín­ teociarios, á saber, S. M. el Emperador de los fran­ cipe Real. ceses &amp;c. á Mr. Juan Bautista Nompere, conde Por la noche se representó la ópera de Gusta­ Champagni, duque de Cadora &amp;c., su ministro dé vo Wasa. Relaciones exteriores; y S. M. el Emperador, de Los discursos del Reí…</t>
  </si>
  <si>
    <t>Por, Antonio López</t>
  </si>
  <si>
    <t>Antonio López Por</t>
  </si>
  <si>
    <t>e Argamasilla, regidor perpetuo; D. Antonio Diputación de la ciudad y clero de Gtiadix. Argamasilía , maestrante de Sevilla. Diputados por la ciudad :D. Antonio López» Por el clero: El Dr. D. Pedro Alvarez,digni­ síndico personero 6 procurador del común; D. Jo- dad de maestre-escuela; el Dr. D. Manuel Centc•ef ViJlanueva , ab…</t>
  </si>
  <si>
    <t>Por, Francis</t>
  </si>
  <si>
    <t>Francis Por</t>
  </si>
  <si>
    <t>e: los cazadores de montaña de Córdoba subteniente articulo i. ,,Se destituye á D. Josef Anto­ á D. Josef Alfaro. nio Garnica del obispado de Osma, a D. Francis­ Por decreto del mismo dia quedan nombrados co Mateo Agniriano y Gómez del de Calahorra, y oficiales cu los regimientos de infantería de línea y á D. Manuel Martínez …</t>
  </si>
  <si>
    <t>Por, Mariano Pa</t>
  </si>
  <si>
    <t>Mariano Pa Por</t>
  </si>
  <si>
    <t>á D. Pedro Josef mez , con precisa residencia en la aldea de Peñar- Solance, y para, subteniente á D. Josef Merlo. ípya r. vacante por promoción de. D. Mariano Pa­ Por otro decreto de la misma fecha, dado también riente , al presbítero, ex-iregular D. Josef Madrid; en Madridejos, ha ordenado la formación de una r’ . . -. i »■…</t>
  </si>
  <si>
    <t>Porcel, Joaquín</t>
  </si>
  <si>
    <t>Joaquín Porcel</t>
  </si>
  <si>
    <t>del zelo que anima á V. S por el mejor servicio del rey (2). Dios guarde á V- S. muchos años. Málaga 16 de mayo de 1810. — Pedro ele Qbre­ gon.— Sr. D. Joaquín Porcel, comandante militar de marina de la provincia de Motril. II. Del duque de Dulmacia d D Pedro de Obrcgon. Excmo. Sr.: Así que recibí la carta de V. E., di inmedi…</t>
  </si>
  <si>
    <t>Porlier</t>
  </si>
  <si>
    <t>564</t>
  </si>
  <si>
    <t>564 bres del brigadier Porlier y 300 paisanos vizcaínos, que le su­ plicaron los traxese consigo y no vino mayor número por fal­ ta 'de transportes; pues todos, sin distinción de edad ni clase, ansiaban por salir de la dominación del tirano. No</t>
  </si>
  <si>
    <t>zi de julio de 18io. = May.ilustres señores rrTave el ho­ nor de escribiros desde Sántoña con fecha de 6 del corriente, dándoos parte de habernos el general Porlier é yo posesionado de aquella plaza, suplicándoos’de:enviar inmediatamente los sozorros que juzgaseis neeesakos, si quisieseis defenderla: Apenas había el barco que…</t>
  </si>
  <si>
    <t>gratularos por el completo suceso de nuestra pequeña expedición, que ha costado al enemigo la pérdida de mas de 200 nombres, y agregó al exército del general Porlier unos 300 voluntarios: se han destruido unos 100 cañones de grueso calibre en diferentes baterías, y Santoña hecha incapaz de re­ sistir , si juzgaseis convenient…</t>
  </si>
  <si>
    <t>Porlier, Juan Díaz</t>
  </si>
  <si>
    <t>Juan Díaz Porlier</t>
  </si>
  <si>
    <t>que la elección recaeírácprobablemente en el prín­ cipe de Augustemburgo , hermanó? del difunto príncipe he­ redero. ESPAÑA. Castropol 1de setiembre. D. Juan Díaz Porlier desem­ barcó con las tropas de su mando en la ensenada de Cuevas el 3 de agosto á las siete de la tarde , k pesar de que los fran­ ceses habiam reforzado lo…</t>
  </si>
  <si>
    <t>Porras, José María</t>
  </si>
  <si>
    <t>José María Porras</t>
  </si>
  <si>
    <t>Lepe de Vega, 20. D. Miguel de la Huerta, 20. Doña Plácida Mingura, 12. D. Juan José Atenas, 50. D. Santiago Abren, 30. D. Juan Capistrano Zubia ,8. D. José María Porras ,8. D. Ber­ nardo Martínez 200. D. Francisco Jíuregui, roo. José Pablo Bracannonte, 39 y 3 rs. Ramón Hernández, 1 xa.--Valle de S. Bartolomé. Don Estéban Mat…</t>
  </si>
  <si>
    <t>Porras, Salvador</t>
  </si>
  <si>
    <t>Salvador Porras</t>
  </si>
  <si>
    <t>Ruiz de Bustamante, subdelegado, 250. Alcalde del primer voto D. Francisco del Valle. 12. Id. de segundo D. Pedro Vaíois, 50. Don Fanón de Ochoa, 65. D. Salvador Porras, 50. D. Eugenio Vizoso, 50. D. Martin Mariñelarena, 12. D. Pedro Ignacio Irigoyen , i&lt;&gt;. D. Juan Trillo. 8. D. Gerónimo Maeeira, 50. D. Sabino de la Pedrueza,…</t>
  </si>
  <si>
    <t>Porta</t>
  </si>
  <si>
    <t>e de 400 hombres que guarne­ cían dicho punto , solo han quedado 2 , y los demas muer­ tos, 6 prisioneros. Concluida esta acción lbgb la división del brigadier Porta , que por la cis sucia que había no pudo ve­ rificarlo ántes ; y acordamos ámbos atacar los que se halla­ ban en Mollet , executándolo el referido Porta por la i…</t>
  </si>
  <si>
    <t>Portenia, Dionisia</t>
  </si>
  <si>
    <t>Dionisia Portenia</t>
  </si>
  <si>
    <t>;.......... 3573 26, D. Melchor Cadenas.;........ 768 D. Juan Retz........................................ - 3000• Doña Angela Célva.;.'..;...... 480 Doña Dionisia Portenia..................... ' 157 5 : Doña Manuela Cólica y Soto....-......... 488 Doña María Valentina Salcedo.......... 11147‘19 Doña Feliciana Barra...;......…</t>
  </si>
  <si>
    <t>Portería, María Antonia</t>
  </si>
  <si>
    <t>María Antonia Portería</t>
  </si>
  <si>
    <t>498110.. 29 D. Miguel Pascual Dominici............. 85500 D. Vicente Ferrer Cabrera........ *.... 113400 Que á una suma importan 2.498110 reales y ao Doña María Antonia Portería por sn maravedís de vellón. marido D. Pedro Irigoyen y Al- art. 11. Se entregarán á estos interesados la* inansa.....................................…</t>
  </si>
  <si>
    <t>Portier</t>
  </si>
  <si>
    <t>s mis recurso* se ha-' acnb'dn , y luego no tendré ivi pira el puchero,.y algunos otros calafates sacan ui(1) Herías, wr/!Vf?r.« de Almenara. (2) éEL brigadier Portier.</t>
  </si>
  <si>
    <t>1057</t>
  </si>
  <si>
    <t>tiempo llegó un ayudante del general Renovales, ofreciendo auxilios para la toma de la plaza : las tropas se acamparon en Castiello; pasó á bordo él brigadier Portier, y se determinó el desembarco y ataque para el día siguiente. Hizo con efecto señal la esquadra , y entonces las tropas de Cantabria rompieren el fuego desde da…</t>
  </si>
  <si>
    <t>Portillo, José</t>
  </si>
  <si>
    <t>José Portillo</t>
  </si>
  <si>
    <t>ría á coroneles á "ios tenientes coroneles del propio cuerpo D. Juan Mu% narríz , graduado de coronel, al mariscal de campo D. Antonio de la Cruz , á D. José Portillo , graduado de coronel, á D. Juan García de Paredes, idem , y á D. Manuel Arnaiz : á tenientes coroneles á los capitanes D. José Andía , graduado de coronel , á …</t>
  </si>
  <si>
    <t>Posadas, Juan</t>
  </si>
  <si>
    <t>Juan Posadas</t>
  </si>
  <si>
    <t>Afontevideo. Deposito en Áfimtevideo y otros destinos. D. Juan Angel de Michelena, capitán de navio, 150. Id. de fragata, D. Juan de Vargas, 100 Id. D. Juan Posadas , 100. Id. D. José Laguna , 100. Id. D/Fernando de Soria Santacruz, 110. D. Diego Ponce de León, teniente de navio, 20.—Alféreces de navio. D. Domingo Mesa , 30. …</t>
  </si>
  <si>
    <t>Posé, Antonio</t>
  </si>
  <si>
    <t>Antonio Posé</t>
  </si>
  <si>
    <t>avispe , 4!) v 11 rs. Los de Buenavisla, 36 y *5 rs.—Eucurpe. D. Luis de Urrea, 25. D. 1 Romo, 25. Varios individuos , 48 y 2 rs. B. José Flores, 21. D. Antonio Posé , 30. Varios individuos, 23. — S. Antonio de la Huerta. I). José Tomas de Zuza, 200. D Rafael Lumbier, 100. El cura D. Diego García Celis, 100. D. Carlos La­ van…</t>
  </si>
  <si>
    <t>Potel</t>
  </si>
  <si>
    <t>UA * sido tan útiles', pelearon el regimiento 34.* de línea nuestros trabajadores, te vieron precisadas i des­ mandado por el capitán Potel, la compañía esco- viarse. Nuestras balas roxas alcanzaron á -un navio 'da del at.° dé catadores á caballo, su capitán de linea enemigo , y le pegaron fuego. Al instante Í asalle, y éll.* d</t>
  </si>
  <si>
    <t>Potlier, Antonio</t>
  </si>
  <si>
    <t>Antonio Potlier</t>
  </si>
  <si>
    <t>2000 nicada al exército por el señor general goberna­ Sr. Conde de Montarco..................... 6co dor de Madrid y Gastii/a la nueva ¿ se añaden á D. Antonio Potlier........................... 34811 17 la noticia de la entrada de S. M. en Sevilla las par» D. Francisco López Nuñez.............. 2&gt;co ticularidades siguientes:…</t>
  </si>
  <si>
    <t>Potocki, Uliditniro</t>
  </si>
  <si>
    <t>Uliditniro Potocki</t>
  </si>
  <si>
    <t>van y vienen del ducado de Varsovia , y se exami­ nan escrupulosamente. En el momento se dice, que el mismo go­ bierno ha secuestrado los bienes del conde Uliditniro Potocki, comandante de la artillería ligera polaca en la Ukrania. Hay tam­ bién noticias de que un cuerpo numeroso de tropas rusas marcha hacia las fronteras del…</t>
  </si>
  <si>
    <t>Potocki, Valdomiro</t>
  </si>
  <si>
    <t>Valdomiro Potocki</t>
  </si>
  <si>
    <t>n ya secuestrados por orden del go- por los ingleses en su último desembarco. «biétno ruso todos los bienes y posesiones que tie»jne ea la Ukrania el conde Valdomiro Potocki, BAVIERA. ngefe de la artillería polaca. Se dice también que Munich jo de febrero. ' &gt;j varios cuerpos considerables de tropas rusas se i&gt;adelahtan hácia…</t>
  </si>
  <si>
    <t>Povcr, Ramón</t>
  </si>
  <si>
    <t>Ramón Povcr</t>
  </si>
  <si>
    <t>a: el Marques de Viiíafranca, por el de Murcia: D. Felipe Amar/por el principado de Cataluña: D. Antonio Olivero?,' por la provincia de Extremadura : D. Ramón Povcr, por la isla de Puerto Rico: D. Ramón Saris , por la ciudad de Barce­ lona : D. Juan Valle, por Cataluña: D. Plácido de Moritolni, por la ciudad de Tarragona : D.…</t>
  </si>
  <si>
    <t>Poveda, Aiexandro</t>
  </si>
  <si>
    <t>Aiexandro Poveda</t>
  </si>
  <si>
    <t>el viento, que es demasiado Jaccarini: teniente del regimiento de cazadores á fuerte, y por la gran marea. Créese que SS. MM. caballo , nútn. 4..% á D. Aiexandro Poveda ; y sub­ estarán aquí dos ó tres dias, y que luego irán á tenientes á D. Martin Rodríguez, D. Josef GiralBrusélas, cayos habitantes los esperan con ausia. do …</t>
  </si>
  <si>
    <t>Povedano, Pedro</t>
  </si>
  <si>
    <t>Pedro Povedano</t>
  </si>
  <si>
    <t>cano. brimientos dé la última mitad dei siglo pasado ha­ Para la segunda de la ciudad de Santa Fe a cían indispensable: se acabó de convencer de esto D. Pedro Povedano, ex-agustino descalzo. asistiendo como discípulo á las célebres lecciones Para la de Jorayatar á D. Fernando Peñafiel, de las. escuelas normales, en donde rió …</t>
  </si>
  <si>
    <t>Power, Miguel Narciso</t>
  </si>
  <si>
    <t>Miguel Narciso Power</t>
  </si>
  <si>
    <t>isma compa­ tervención de una divinidad suprema en los nego­ ñía en la vacante de D. Jorge Ostman. cios del universo , quanto que todas las partes de D. Miguel Narciso Power á «obteniente de la este están, tegua él, dotadas de una innata acu-</t>
  </si>
  <si>
    <t>Power, Ramón</t>
  </si>
  <si>
    <t>Ramón Power</t>
  </si>
  <si>
    <t>rtes de la nación j cuyo congreso! ó reunión ha de ser en la Isla de Mallorca, siendo el eléctóícon el método insinuado en la misma regia disposición D. Ramón Power, teniente de navio de la real arma­ da, á quien ántes había tocado y cabido igual suerte para vocal de la junta central,„espensándolo para su navegación, y propor…</t>
  </si>
  <si>
    <t>Poxocii, Estanislao</t>
  </si>
  <si>
    <t>Estanislao Poxocii</t>
  </si>
  <si>
    <t>egado á Munich una diputación del In­ das las tropas gritando muchas veces viva el Em­ vierte! compuesta de los principales habitantes de perador. El conde Estanislao Poxocii. convidó í esta provincia para cumplimentar á S. M,, y ma­ un banquete enWilanow á la» aurondadles civiles, nifestarle la satisfacción que les ha causad…</t>
  </si>
  <si>
    <t>Pozzodivorgo, Carlos</t>
  </si>
  <si>
    <t>Carlos Pozzodivorgo</t>
  </si>
  <si>
    <t>Madrid; segunda tenencia de fu­ sileros- al alférez D. Ramón Solís; y empleos de Alféreces a los cadetes D. Buenaventura de Mena, D. Pedro Cabañas, y D. Carlos Pozzodivorgo,. y al teniente del batallón de voluntarios de . la Serena D. Vicen­ te Segurado. Asimismo ha concedido el Consejo tenencia en el batallón de vo­ luntario…</t>
  </si>
  <si>
    <t>Prats, Félix</t>
  </si>
  <si>
    <t>Félix Prats</t>
  </si>
  <si>
    <t>ué el 5 y no el 7 como se dixo equivoca­ damente) manifiesta ei distinguido mérito que contraxeron en aquella jornada los coroneles D. Pablo Morillo, D. Félix Prats, D. Estanislao Sánchez Salvador y D. Manuel Mirabas: hace particular memoria del soldado de caballería de Borbon Juan José León, que libertó al capitán de la Prin…</t>
  </si>
  <si>
    <t>Pre</t>
  </si>
  <si>
    <t>Gazeta de la Regencia de España e Indias n.º 23 (extraordinaria)</t>
  </si>
  <si>
    <t>, y ahora son almacenes de granos, ó caballeén« : os ha descargado de nobles, y ahoia se-eis todos plebeyos pa-a formar en 24 horas una conscripción. general Pre­ dica la sencillez y pureza del culto catól co, para reducido á tan sim­ ple apara-o y pobreza, que sea meaos sensible á lo.-» rieles su lenta desaparición. Tiene yo…</t>
  </si>
  <si>
    <t>Preilcr, Francisco</t>
  </si>
  <si>
    <t>Francisco Preilcr</t>
  </si>
  <si>
    <t>. Manuel Pde'Rivera, y subtenencias al sargento primero D. Gabriel Cardell y al’cadete Don Evaristo Fiallo: en el de, Murcia tenencia al subteniente; D. Francisco Preilcr : en el de 'Africa tenencias al teniente agregado D. Angel Car­ ril!, y a los subtenientes D. José García y D. Joaquín Larramendi y y subtenencias al sargen…</t>
  </si>
  <si>
    <t>Preising</t>
  </si>
  <si>
    <t>ntonio, que ha sido gran- execntó con todas las solemnidades acostumbradas maestre de la orden teutónica, sera nombrado af— el acto de la entrega. El conde Preising, comisa­ aobispo primado de Hungría. rio extraordinario báraro, el Iutendente trances j</t>
  </si>
  <si>
    <t>Presas, Geróoimo</t>
  </si>
  <si>
    <t>Geróoimo Presas</t>
  </si>
  <si>
    <t>841 sase al pueblo de Mola, donde se Te reuniría D. Geróoimo Presas , capitan de Id primera sección ligera catalana con ico hombres de ella, y que en seguida atacase á los enemigos: lo que se verificó á las 4 de ia tarde de dicho dia, con tanto denuedo que n</t>
  </si>
  <si>
    <t>Prieto, Domingo</t>
  </si>
  <si>
    <t>Domingo Prieto</t>
  </si>
  <si>
    <t>Agustín de la Canal. D. Domingo Villamil. D. Agustín del Mazo. D. Isidro Gutiérrez. Tenientes. D. Manuel González del Rio. D. Josef Ramón de Aguiar. D. Domingo Prieto. “•••i D. Pedro Soler. D. Fermín Lumbreras. Batallón del quartel de Maravillas. D. Josef Osteret. D. Manuel Zavala Espetillo. Capitanes. D. Rafael Fleuriot. D. …</t>
  </si>
  <si>
    <t>Primado</t>
  </si>
  <si>
    <t>y y reyna de VVestfalia, el rey y reyna de Nápoles (Mr. y madama Murat), el virey y vireyua de Italia, el principa y princesa de L-.ca y Piombino, el príncipe Primado , el de Baviera , y la muger de José , que se llama reyna de España. Tiene ademas el cónclave de cardenales, y dentro de sus estados en custodia al sumo Pontífi…</t>
  </si>
  <si>
    <t>ponen que se elegi­ rá un nuevo Papa, cuya residencia ha de ser en Aviñon ; pero que ántes será coronado Mr. Bonaparte emperador de oc idente, por el príncipe Primado. — Hablan también las cartas de Alema­ nia , de que la princesa augusta de Saxonia casará con el princi­ pe polaco Poiiiatovyiky , quien ascenderá á rey de Polo…</t>
  </si>
  <si>
    <t>la-guerra, de apos­ En las reservadas para los príncipes y embaidores tadero.» y .aumentar ei .número de víctimas.» mas estaban el Rei de Bavlera, el príncipe Primado , el no silbar c¡ país. Ademas desmoralizan la nación,, embaxador 4« Rusia vatios miembros díl cuerpo la habitúan Á la matanza y latrocinio, la h*~én «al- diplo…</t>
  </si>
  <si>
    <t>e Primado había hecho en el cardenal Fesch nombrándole por succesor suyo. Pero en con­ sideración de los grandes servicios hechos k la Francia por el príncipe Primado , quería que continuase en el dominio tempo­ ral con el título de Oran-ducado de Francfort hasta su fallecimien­ to ; y luego sigue : „ Al misino tienipo hemos …</t>
  </si>
  <si>
    <t>n Andnrco.................................. 12000 Por S. ti. el conde de Beust, ministro pleni­ Doña María de las Mercedes Aguilera , potenciario del Príncipe Primado, el barón de de Herran........................................... 15625 Fechenbach, gentilhombre. D. Luis de Goyeneche y Muzquiz..... 1012 5 Por S^ E. el bailío…</t>
  </si>
  <si>
    <t>Prin</t>
  </si>
  <si>
    <t>GRAN BRETAÑA. , I4°7 drá el mando superior militar de los círculos del Danubio superior, dd Uler y del Iser; y d Prin­ cipe de Iseuiburgo el de los círculos de Rezat, del Londres 2 de octubre. Mein y de Regen. Las capitales de estas tres gran­ Nuestros diarios contienen la lista siguiente de des divisiones militares serán Jas…</t>
  </si>
  <si>
    <t>Prín, Tomas</t>
  </si>
  <si>
    <t>Tomas Prín</t>
  </si>
  <si>
    <t>ua­ dalupe.; én que les mató 150 soldados , y cogió 5 prisioneros con ▼arios caballos y otros efectos. La partida intitulada de Borbon , al mando. de D. Tomas Prín­ cipe , ha interceptado en .las cercanías de Burgos un correo fran­ cés, haciendo prisioneros á 25 soldados que lo escoltaban.— La división de D. Pedro Villacampa …</t>
  </si>
  <si>
    <t>Principe, Tomas</t>
  </si>
  <si>
    <t>Tomas Principe</t>
  </si>
  <si>
    <t>do 05 4 !00 drago­ nes franceses de la guarnición de Patencia, que andaba exi­ giendo contribuciones de los pueblos, fue acometido por la partida de D. Tomas Principe, apellidada de Borbon, quedan­ do 39 de ellos muertos y 46, incluso un oficial, prisioneros. Estos fueron remitidos 4 la ciudad de Valencia donde entra­ ron el …</t>
  </si>
  <si>
    <t>Príncipe, Tomas</t>
  </si>
  <si>
    <t>Tomas Príncipe</t>
  </si>
  <si>
    <t>947</t>
  </si>
  <si>
    <t>947 unidos la partida de D. Tomas Príncipe , que discurre por las cercanías de esta ultima ciudad. Del 6. Ei 3 del corriente partió para Francia el convoy de que tanto se ha hablado. Salió por varias puertas , pero se reunió en el ca</t>
  </si>
  <si>
    <t>Pronunciado</t>
  </si>
  <si>
    <t>nos esperan ; y con una satisfacción mez­ clada de orgullo verá todas las felicidades que sus sacrificios ha­ brán producido para su patria y para su emperador Pronunciado este discurso se nombró para examinar el pro­ yecto del senado-consulto una comisión de 9 miembros , que se retiraron para deliberar. Los senadores comisio…</t>
  </si>
  <si>
    <t>Prouse, Luis</t>
  </si>
  <si>
    <t>Luis Prouse</t>
  </si>
  <si>
    <t>s de' Ar .njuez: a¡ señor ¿ Jl.-mos.decretado y decretamos lo siguiente:. St. Hilaire ayudante mayor del tercer bita.Ion del articulo i. Concedemos á-D Luis Prouse «1 retTimientor,de tiradores de la guardia ; y á Don retico.de profesor de nuestra .real escuela de Quí- Francisco tifi-Arce y Ramírez subteniente del re­ mica con…</t>
  </si>
  <si>
    <t>Providencia, Gar</t>
  </si>
  <si>
    <t>Gar Providencia</t>
  </si>
  <si>
    <t>dre tierna; también le deberé mi felicidad.Me cipe rice-grao dector. «considero dichoso en haber sido llamado por la El senado, por medio de S. E. el conde Gar— »&gt; Providencia para reinar sobre este pueblo afectuonier su presidente, puso á los pies del trono la re­ «so y sensible, que en todas las circunstancias de presentaci…</t>
  </si>
  <si>
    <t>Prudencia</t>
  </si>
  <si>
    <t>ital de loe literatos: pase vue- director general era el famoso £&gt;. Juicio; que su es­ samerced á las salas da los enfermos, si gusta, y allí le posa Doña Prudencia, y sus hijos D. Silencio, Doña darán razón de todo, que los porteros nunca sabemos las Modestia j Doña Crianza estaban pensionados por cosas de las casas tan biso…</t>
  </si>
  <si>
    <t>Prudencio</t>
  </si>
  <si>
    <t>s sentimientos que en ella se expresan son rar estas funestas consecuencias. los mismos que á él lo animan. «Y qué alma sensible ¡Y qué exemplo el de D. Prudencio para los mi­ puede ver con indiferencia las lágrimas de una niña nistros de la religión! Su moral es la de Jesucristo; su inocente, oprimida por el despotismo de un…</t>
  </si>
  <si>
    <t>ano Luis de mo, .desde,.hoi viernes 15 del corriente, y en los Uxquijo.”, . dia's sucesivos á las cinco déla tarde. vmds. algo que decir del papel de D. Prudencio. avisto apurado en este escabroso papel, ó para no liar „ No , señor, dixo el lector con prontitud. En mi « cerle monótono y desagradable , ó para no desmenti»op|ni…</t>
  </si>
  <si>
    <t>d. que bertar á la niña de semejante trabajo ? volviese á encajarnos otro sermón: Noseñor; no era ¡ Ahí es nada lo que cuesta el convertir á un padre D. Prudencio de aquellos eclesiásticos que se meten en del carácter de D. Pedro 1 ¡Con qué no lo pudo con­ loque no les importa; y luego que cumplió con los de­ vertir el .cura,…</t>
  </si>
  <si>
    <t>los caractéres de un cí-; te ha du dar á Ias;r;iaone*de aqucl. Asi as que quaedo celentq iecleriástjcov Kl traducter&gt;ha.:SU.piimido- cnlera- s'e que D. Prudencio aboga por su- hija',:salta ai instan­ niente qstai.circuastBncé» , y lo enas extraño.-es que dicen te con aquelío dc/éirtt&gt;Í«'el/titt yo:-fan:eso M.' I» alaba­ que l…</t>
  </si>
  <si>
    <t>PRUSIA, Ka</t>
  </si>
  <si>
    <t>Ka PRUSIA</t>
  </si>
  <si>
    <t>ito imperial habien­ Lubeck, ha salido hoi en posta para Paris. do dexado cerca de Schumta Una. parte de su exér­ cito á las órdenes de $u hermano el conde Ka— PRUSIA. tnenski, para observar al gran visir , se dirigió eu persona á Rudschuck con el resto dé sus fuerzas Berlín go de agostó. para estrechar el sitio, principiado …</t>
  </si>
  <si>
    <t>Ptyri, Salvador</t>
  </si>
  <si>
    <t>Salvador Ptyri</t>
  </si>
  <si>
    <t>neral de los reales exércitos. S. M. ha concedido en el propio real cuerpo la comandancia del 2 ° batallón al brigadier conde de Clovard ; compañía á D. Salvador Ptyri ; y empleos de alféreces á D. Ramón de Oro zoo y Zayas, D. Tomas de Heredia , D. Félix Gi man , D. Ramón de Parada, D. .Agustín María Salvador y Vidal, D. Manu…</t>
  </si>
  <si>
    <t>Pú, Gregorio</t>
  </si>
  <si>
    <t>Gregorio Pú</t>
  </si>
  <si>
    <t>e los que han querido establecerse en vuestro imperio imparcial; en fin, señor, parecía que esta academia, se­ i despecho de las leyes. Este se llama D. Gregorio Pú­ mejante á la de Alejandría, seriad emporio de Ja lite­ lame que á Palomilla. Habiendo le ¡do quatro versos fran­ ratura, del buen modo, y del mas cabal discernim…</t>
  </si>
  <si>
    <t>Puche, Josef</t>
  </si>
  <si>
    <t>Josef Puche</t>
  </si>
  <si>
    <t>rá á la Francia una cierta cantidad de cente Nieto, D. Lorenzo Navarrete, D. Alexandinero, y una renta anual al barón de Dalberg, que dro B-stamante, D. Josef Puche,D. Benito Del­ acaba de ser nombrado duque del Imperio francés, gado. y otra á Mr. Tascher de la Pagerie, futuro esposo art. iv. Nuestros ministros de lo Interior…</t>
  </si>
  <si>
    <t>Puech, Antonio</t>
  </si>
  <si>
    <t>Antonio Puech</t>
  </si>
  <si>
    <t>n­ ni i otros. De forma que los ingleses, que me da­ tes del pasmo regimiento á D. Agustin Gómez y rán partido, no creo dexaré de tomarlo, y esto se­ D. Antonio Puech , subteniente dei propio cuerpo, rá brevemente t si no hubiera sido por las instan­ y teniente del de caballería de Borbou respectiva­ cias y satisfacciones'que…</t>
  </si>
  <si>
    <t>Puente, Cayetano</t>
  </si>
  <si>
    <t>Cayetano Puente</t>
  </si>
  <si>
    <t>len*, el de igual clase D. Antonio Camargo, xefe de todas as goerri-Ias de irfanter'a, D. Julián Sánchez que manda, las de caballería, y el capi­ tán D. Cayetano Puente. El resultado de esta bril arrie acción que no nos costó mas que un sargento y 6 soldados heridos, los mas</t>
  </si>
  <si>
    <t>Puente, Francisco Rodríguez</t>
  </si>
  <si>
    <t>Francisco Rodríguez Puente</t>
  </si>
  <si>
    <t>ga Masip........ . 72000 Doña María Magdonell....... . 4JOQ : . F. D. Josef Sainz de. Raías.......... 26100 Doña Gerónim* .Magdonell.......... . 3000 D. Francisco Rodríguez Puente....... 2700o D. Carlos Aupetit...................... .......... 833111 D. Pedro Segando García Domínguez. 38:60 D. Miguel López....................…</t>
  </si>
  <si>
    <t>Puente, Juan</t>
  </si>
  <si>
    <t>Juan Puente</t>
  </si>
  <si>
    <t>uel Zavala Espetillo. Capitanes. D. Rafael Fleuriot. D. Francisco Xavier Berindoaga. D. Benito Angulo. D. Juan Oden y Meneses. D. Antonio San Germán. D. Juan Puente. D. Manuel Carranza. D. Jnan Verdes Montenegro. D. Nicolás María Bretnond. Subtenientes. D. Juan Francisco Pastor. D. Tomas Mari. D. Policarpo Saez de Tejada Herm…</t>
  </si>
  <si>
    <t>Puerta, Pedro Simón</t>
  </si>
  <si>
    <t>Pedro Simón Puerta</t>
  </si>
  <si>
    <t>D. Vicente Morelli D. Fermín Marquioa, D. Próspero Morrola. x *...... «a*« D. Benigno Brian..... D. Gregorio Gamboa, i........ D. M.rtin Azcué...... D. Pedro Simón Puerta. D. Antonio F.beirac. D. Camilo Gonsalex. $•"* El conde de Isla............. ....... D.,Manuel Gomes......... D. Marcos Pedrero, 6*. D. Francisco Monta leo …</t>
  </si>
  <si>
    <t>Puertolas, Ramón</t>
  </si>
  <si>
    <t>Ramón Puertolas</t>
  </si>
  <si>
    <t>pe al coronel D. Ignacio Sandoval, comandante de esquadron del de Caiatra▼a ; compañías en el de Borbon ai teniente D. Ha no i Fraach, y al ayundante D. Ramón Puertolas ; ayudantía al teniente Don Francisco González; tenencias b los alféreces D. Pedro de la Ro­ cha, D. Fernando de la Rocha, D. Juan Rivera y D. Juan Ai* tonio …</t>
  </si>
  <si>
    <t>Pues</t>
  </si>
  <si>
    <t>s injusta pue­ de expresiones poco acertadas, que fuerzao á ios de desconocer las bellezas de la tragedia de loí actores á expresarlos con impropied ¡d. Pues á pe­ Templarios. La comisión de íós premios decenales sar de todo , este esqueleto de la tragtdu de tos observó mui bien que esta tragedia no se parece á Templarios ha …</t>
  </si>
  <si>
    <t>Pugeo, Isidoro</t>
  </si>
  <si>
    <t>Isidoro Pugeo</t>
  </si>
  <si>
    <t>Pedro Sao Micbel............. D. Juliao Gajlcedo. D. Pedro Díaz López............ D. Antonio Gamarra. D. Juan Ezterripa D. Atexandro Leal Ib-trra.... D. Isidoro Pugeo. D. Manuel Gomes Alvaoeita. Tercer batallón. Pata ayudante primero él conde de Cancelada» para segundo D. Juan Manuel Montero» y para abanderado O, Francisco An…</t>
  </si>
  <si>
    <t>os. : . derado. . En el del Príncipe» 4 las quatro de la tarde, se re­ . • Tercer batallón, r - presentará pqr. la compañía española el drama en tres D. Isidoro Pugeo» subteniente » á teniente de acto.s titulado la Novicia, y el fin de fiesta titulado la la quinta compañía. - . ? ~T Hostería del buen gusto. . D. Antonio Pinto…</t>
  </si>
  <si>
    <t>Puglia, Pedro</t>
  </si>
  <si>
    <t>Pedro Puglia</t>
  </si>
  <si>
    <t>aciendas de ia jurisdicción de Acapulco, lili y 2 rs. y medio. D. Juan de Ara zaga , 100. El teniente retirado D. Juan Ncpomuceno Flores , 88. El Dr. D. Pedro Puglia, 50. D. José. Antonio Carbajal , tesorero interino de Veracruz , su esposa , hijos y cria­ dos , 250. D. José Antonio Escobar, 100. D. José Miguel de Musques, 20…</t>
  </si>
  <si>
    <t>Puich</t>
  </si>
  <si>
    <t>esen á Va­ lencia* “Consecuente á lo que dixe á V. S. el 7 del corriente, me dirigí aquel dia á atacar la guarnición que había en Teruel al mando del coronel Puich. A las 8 de la mañana me presente en aquella ciudad, di mis disposiciones j y el enemigo que se hallaba en el arrabal, fué atacado, batido, y obligado á encerrarse…</t>
  </si>
  <si>
    <t>Pulgar, Juan</t>
  </si>
  <si>
    <t>Juan Pulgar</t>
  </si>
  <si>
    <t>, 7. — Fusileros. Matías Girauta , 4. José Lamata , 4. Ramón Monton, 11. — Artillería de Marina. Juan de Tolosa, bombardero,, 7. , Falucho $. Martin. D. Juan Pulgar, alférez de fragata, comandan­ ta, 100. Manuel Sierra, patrón, 12. Jacinto Rodríguez, práctico, 30. — Artilleros de mar. Bernardo Somezo, i i. Juafi Alonso García…</t>
  </si>
  <si>
    <t>Punce, José María</t>
  </si>
  <si>
    <t>José María Punce</t>
  </si>
  <si>
    <t>ismo, se puso equivocadamente el apellido de Aljue entre los heridos al Capitán D. José Alguer, y entre los contusos el nombre de Joaquín al teniente D. José María Punce. Otra. Se advierte al público , que desde hoy se admiten las subscriciones á esta Gazeta para dentro del rey no á los mis­ mos precios anteriores , en el des…</t>
  </si>
  <si>
    <t>Pura</t>
  </si>
  <si>
    <t>da esta acción estuvo el i por el mayor Cuiaski, y dos piezas de artillería gran visir fuera de ia fortaleza presenciando con ligera dirigidas por el capitán Pura, con órd.-n da una numerosa comitiva desde una altura bastante alcanzar á los ba- cos turcos, y de situarse si po­ distante todos los ataques, en los quales el enem…</t>
  </si>
  <si>
    <t>Puthod</t>
  </si>
  <si>
    <t>varob pretenden que las ver­ iriáfáúltima coluna de lá divisíba Bóudet, maudadaderas fronteras del Tirotiulianoysegunla lengua, daéttiél'dia por el "'general Puthod. las co.istitu.ciones antiguas;, las costumbres,;y aun el modo de cultivar la tierra, pasan por.&lt;tb puente de Nesis á tres jornadas'.iha's áfeaxo de Botzen. Han .…</t>
  </si>
  <si>
    <t>Puy, Francisco</t>
  </si>
  <si>
    <t>Francisco Puy</t>
  </si>
  <si>
    <t>agarola , 50. D. Francisco Guer­ ra , 50. D. Francisco Torres y Juyol, 25. D. Bartolcmé Muriel, 25. D. José de las Plazas , 100. D. Manuel Calvo, 50. D. Francisco Puy, 50. D. Domingo Lagoa, 100. Señores Matorell , Pía y compañía. 100. D. Jorge la Cenia, ICO. D. Bruno Barnoya, 100. D. José Lagarda, 100. D. Antonio Celestino Na…</t>
  </si>
  <si>
    <t>Q'utierrez, Domingo</t>
  </si>
  <si>
    <t>Domingo Q'utierrez</t>
  </si>
  <si>
    <t>00. i&gt;.-Manuel Antonio de Tsasi , 200. D. Manuel Gil y Cosío, 100. D. José Ramón de Gorostiza , 100. D. Ignacio Albiní , 25. D. Alberto Herrero, 100. D. Domingo Q'utierrez , 100. D. Miguel Cabalen , 100. D. Cayetano Cana­ leta , 50. D. Gerónimo Q.uijano, 50. D. Faustino Rodríguez , Medico, 50. Don — ..........................…</t>
  </si>
  <si>
    <t>Q, Francisco de Paula</t>
  </si>
  <si>
    <t>Francisco de Paula Q</t>
  </si>
  <si>
    <t>la personas mas principales y blos de su partido, compuesta otl ir :n¡&lt;.trai de distinguidas del pueblo ; por la noche se represen­ aquella colegiata D. Francisco de Paula Q esada, taron en el teatro , que con tan plausible motivo D. Luis Mana de Menda , D. Joaquín M ñd&lt; nado estaba iluminado, valias piezas dei mejor gusto: y…</t>
  </si>
  <si>
    <t>Q, Gerónimo</t>
  </si>
  <si>
    <t>Gerónimo Q</t>
  </si>
  <si>
    <t>Gorostiza , 100. D. Ignacio Albiní , 25. D. Alberto Herrero, 100. D. Domingo Q'utierrez , 100. D. Miguel Cabalen , 100. D. Cayetano Cana­ leta , 50. D. Gerónimo Q.uijano, 50. D. Faustino Rodríguez , Medico, 50. Don — ........................... ~ — o---------- *-------------------------- y — Martin de Fubil , 25. 1). Francisc…</t>
  </si>
  <si>
    <t>Q, Josef</t>
  </si>
  <si>
    <t>Josef Q</t>
  </si>
  <si>
    <t>La principal causa de este mal pende de minación general , habiendo colmado el publico re­ la insufrible tiranía del antiguo gobierno español, gocijo D. Josef Q ieraldo, que dió un baile en su vi qual, abrumando baxo un cetro de plomo á te­ casa, á que concurrió infi uta grnte. En Jacú, ade­ das las ciases que constituyen la …</t>
  </si>
  <si>
    <t>Q, Juan López</t>
  </si>
  <si>
    <t>Juan López Q</t>
  </si>
  <si>
    <t>fe con ia división Lava! y los cora­ D. Joset de Luji......................................... 20160 ceros avanzó hácia Teruel, la que ocupó, envian­ D. Juan López Q jevtdo......................... 9369 19 do tropas á Rubieios, de donde la pretendida jun­ D. Pedro Giroud Je Viliet.................... 207250 ta de Aragón se di…</t>
  </si>
  <si>
    <t>Q, Tomasa</t>
  </si>
  <si>
    <t>Tomasa Q</t>
  </si>
  <si>
    <t>queño astillero á la parte calle de S. Pedro y S. Pablo, casa nim. 7 , quartn ter­ opuesta del muelle; y ^si se ha visto precisado á cero, que habita Doña Tomasa Q.iintillar y Abadía, en llevar arrastrando esta masa enorme por un gran cuyo poder se hallan empeñados desde el año de i7yp, trecho hasta la cata para poder lanzirJ…</t>
  </si>
  <si>
    <t>Qasanova, Tomas</t>
  </si>
  <si>
    <t>Tomas Qasanova</t>
  </si>
  <si>
    <t>2377—’*4‘ ‘ Dv Benito de la Mala Linares........ D. Manuel de Agreda....... ....... •. 9' D. Mariano Blanca,*.......................... -. • S857-.*9 D. Tomas Qasanova.,............................... 71,37.. 1 • D. Juan Gabriel J&amp;tfibcFHda—■ . 2833-27 D., Juan-Ditgonce........................ . 16740 í DC Franclíco Antonio P…</t>
  </si>
  <si>
    <t>Qjintano, Joaquio</t>
  </si>
  <si>
    <t>Joaquio Qjintano</t>
  </si>
  <si>
    <t>ntes del pueblo de Córdoba ! Acaso la com­ Segunda de ídem. Capitán D. Domingo Mar­ pasión de los males que padece la patria se des­ tínez , tejiente D. Joaquio Qjintano, subteniente pertaría en sus pechos, y restituirían á la nación D. Francisco Escaño, otro, D Femando Echandia. la paz y el sosieg que tanto necesita. Tercera…</t>
  </si>
  <si>
    <t>Qu, Pedro Fiorcz</t>
  </si>
  <si>
    <t>Pedro Fiorcz Qu</t>
  </si>
  <si>
    <t>cas, se pondrán á la/dispo­ D. Francisco Martínez Marina , canónigo de la real sición del ministro de lo Inferior 2«o¡3 francos iglesia de S. Isidro; D. Pedro Fiorcz Qu^vedo, para la compra dé las máquinas propias para hi­ juez.de la junta de negocios contenciosos; D. Lau­ lar algodón , lana &amp;c., las quales se. enviarán á rea…</t>
  </si>
  <si>
    <t>Quai, Teilopor</t>
  </si>
  <si>
    <t>Teilopor Quai</t>
  </si>
  <si>
    <t>blica deberá quedar organizada sin tado , entre otras cosas, uno de los motivos que alega No se puede dudar para sincerarse de su debilidad. Dice que D. Teilopor- Quai seria mi suceso , Jitf en decirla amores, finezas y rettái,atentos; y que ella Pues de vergüenza le explico en fin con tantas porlias se resolvió á un desacier…</t>
  </si>
  <si>
    <t>QUARTO, Tomas Quintanilla TITULO</t>
  </si>
  <si>
    <t>Tomas Quintanilla TITULO QUARTO</t>
  </si>
  <si>
    <t>fantería de línea; á D. Antonio cular por toda la extensión del imperio. Josef de Córdoba en el regimiento de Córdoba, 7.® de infante:ía de línea ; á D. Tomas Quintanilla TITULO QUARTO. en el regimiento de Infantes, io„° de línea, y á art. xi. Habrá en Atmterdan una administra­ D. N icasio Manzanares'en el regimiento i.° de c…</t>
  </si>
  <si>
    <t>Quauda, Pablo Ramos</t>
  </si>
  <si>
    <t>Pablo Ramos Quauda</t>
  </si>
  <si>
    <t>rquijo." por prQmocion de D. Juan Aloe Luis, á D. Ra­ món Moral Herranz , toosurado. Para el de VUlamohol, vacante por muerte de D. Gregorio Pacho, á D. Pablo 'Ramos Quauda, tonsurado. En la tarde de este día se ha execntado aqni la Para el de Quintanilla del Monte, vacante por décima y ú'tima corrida de toros en la plaza des…</t>
  </si>
  <si>
    <t>Querol, Esteban</t>
  </si>
  <si>
    <t>Esteban Querol</t>
  </si>
  <si>
    <t>s, esa porción de hombres el deanato de esta misma iglesia; y para la canon­ manejados por pequeños resoltes, incapaces de co­ gía que dexa vacante á D. Esteban Querol , eapc- nocer SU3 iltlCLeoes , jr a.), va-vulv algutjO páia pro— ll-n de honor: á D. Joaquín Cascan y á D. Anto­ nosticar el último suceso, estaban vacilantes …</t>
  </si>
  <si>
    <t>Quesnel</t>
  </si>
  <si>
    <t>ca y los súbditos, y que es necesario tener á qualquier precio dinero y Bayona i.° dé junto. paz. Asi pues la Inglaterra se halla en la alternati­ El general Quesnel llegó antes de ayer á esta va de tener un simulacro de libertad pública y de ciudad para reemplazar al senador Iledouville, ge­ representación nacional, ó de com…</t>
  </si>
  <si>
    <t>Quevedo, Pedro</t>
  </si>
  <si>
    <t>Pedro Quevedo</t>
  </si>
  <si>
    <t>726 mo señor presidente D. Pedro Quevedo, obispo de Orense, se pronun­ ció per mí por dos veces en alta voz la siguiente fórmula del juramento: ¿Juráis la santa religión católica, apostólica, romana, sin admitir otra alguna en est</t>
  </si>
  <si>
    <t>Quevedo, Pedro Flores</t>
  </si>
  <si>
    <t>Pedro Flores Quevedo</t>
  </si>
  <si>
    <t>...................................... IOCOOO D. Leandro Sar.dobal............................ 18579 1 D. Andrés Alfonso de Choya............. 2 2000 D. Pedro Flores Quevedo................... 39 í 9 1 D. Pedro Irigoen y Almansa............. 67200 D. Frutos de Alvaro Benito................. 99102 2 D. Antonio Leiral y Doña Ma…</t>
  </si>
  <si>
    <t>Quijada, Santos</t>
  </si>
  <si>
    <t>Santos Quijada</t>
  </si>
  <si>
    <t>;L- IJI D. Antonio de Lara Trillo, D. Antón!» de Castre «1, D. Joaqnla Paitor, D: fétef de loi itioy," Perez, D, Pedro Molina Gallardo, P. Joan Mati- D. Santos’ Quijada. • ; ■: r ‘ - r. 11a Rouriguez Linares, D. Maceo Borrego López, Asimismo se presentaron á S. M. lo* señores D. •Francisco de Paula Coca Cejalbo, D. Josef cura…</t>
  </si>
  <si>
    <t>Quijano, Agustín Pérez</t>
  </si>
  <si>
    <t>Agustín Pérez Quijano</t>
  </si>
  <si>
    <t>, 500. D. Manuel Francisco del Cerro, 500. El licenciado D. José Antonio del Cristo y Conde, 500. D. Ignacio de Ubieta, 500. El contador de la aduana D. Agustín Pérez Quijano, 300. D. Jocobo dé Villaufrutia, 300. D. Francisco Roblado, 300. Los dependientes subalternos de las oficinas de la administración general déla aduana y…</t>
  </si>
  <si>
    <t>Quin, Manuel</t>
  </si>
  <si>
    <t>Manuel Quin</t>
  </si>
  <si>
    <t>r k D. Joré Joaquín Colon , decano del Consejo de España é Indias ., los honores del Consejo de Estado. En atención a los méritos y circunstancias de D. Manuel Quin­ tana , ha venido el Consejo de Regencia en nombrarle secretario de la Interpretación de lenguas, concediéndole los honores y sueldo da- oficial primero déla secr…</t>
  </si>
  <si>
    <t>Quiñones, Pedro</t>
  </si>
  <si>
    <t>Pedro Quiñones</t>
  </si>
  <si>
    <t>, D. Xavier Uranga, 30. Ca­ pellán Fr. Francisco Buenavida, 50. Sargentos, cabos y soldados,405. — Príncipe. Capitán D. José Manrique , 150. Teniente D. Pedro Quiñones, 3. Alférez D. Joaquín Herrera, 30. Capellán Fr. Vicente Lechon , 25. Sar­ gentos , cabos y soldados , 1122. Los inválidos de dicha compañía, 35. S. Carlos. Ca…</t>
  </si>
  <si>
    <t>Quinrano, Juan</t>
  </si>
  <si>
    <t>Juan Quinrano</t>
  </si>
  <si>
    <t>Ferrer, y nombrar Estado. (remandante del tercer batallón del regimiento de En nuestro palacio de Madrid á 39 de mayo tiradores de la guardia real á D. Juan Quinrano; de i8to. capitanes de la tercera y quarta compañías del ex­ Don Josef Napoleón por la gracia de Dios y presado bata Ion á D. Diego María Novoa y Don por la cons…</t>
  </si>
  <si>
    <t>Quintana, Manuel José</t>
  </si>
  <si>
    <t>Manuel José Quintana</t>
  </si>
  <si>
    <t>ensar y la de escribir, y vuelta á restablecer en Cádiz baxo la salvaguardia de la ley que acaba de declarar la libertad de la im­ prenta. Lo publica D. Manuel José Quintana, fundador de este perió ti­ co en Madrid, baxo las mismas miras y principios, y con el mismo plan que tuvo el papel desde su nacimiento. Se admiten suscr…</t>
  </si>
  <si>
    <t>Quintanilia, Francisco</t>
  </si>
  <si>
    <t>Francisco Quintanilia</t>
  </si>
  <si>
    <t>Fr. Agustín Gó­ mez, 10. Sargentos, cabos y soldados, 818..— S. Buenaventura. Capi­ tán D. José Ronquillo, 100. Teniente D. José García Cano, 6. Idem D. Francisco Quintanilia, 46. Alférez D. José Medina, 20. Id. D. Pasqual Montano, 30. Capellán Fr. Juan Perez, 5*. Sargentos, cabos y sol­ dados, 1575. — Carrizal. Capitati1 D. …</t>
  </si>
  <si>
    <t>Quintanilla, Juan</t>
  </si>
  <si>
    <t>Juan Quintanilla</t>
  </si>
  <si>
    <t>untario* de Campo-mayor empleo de capitán primevo á D.Cristóbal Orboñez ; primera ayudantía á D. Francisco Fernandez; empleos de capitanes segundos á D. Juan Quintanilla, D. Cayetano Miranda, D. Francisco de Paula Miranda, D. Francisco Sacue, D. Juan Ma­ tos, y D. Claudio González ; segunda ayudantía, á D. Jacinto Inozal ; te…</t>
  </si>
  <si>
    <t>Quintano, Juan</t>
  </si>
  <si>
    <t>Juan Quintano</t>
  </si>
  <si>
    <t>.... 36666.. 16 drá , según dicen, en breve pifa Munich. Doña María Josefa de Agniiar........ 36666..16 - El príncipe de Schwartzenbérg, embaxador de D. Juan Quintano, por su padre Austria en París, da esta noche un giran baile, al D. Diego. .............................. 48403.-21 qual han sido convidados les principales pcr…</t>
  </si>
  <si>
    <t>Quintano, Juan Clímaco</t>
  </si>
  <si>
    <t>Juan Clímaco Quintano</t>
  </si>
  <si>
    <t>ca: D, José Zorraquin, • suplente por la de Madrid: D. Manuel García Herreros , suplente por la de Soria: D. José de Cea, suplente por la de Córdoba: D. Juan Clímaco Quintano , suplente por la de Palencia: Q. Gerónimo Ruiz, Suplente por la de Segovia: D. Francisco de la Serna, suplente por la de Avila: D. Fran­ cisco Eguía, j…</t>
  </si>
  <si>
    <t>Quintillar, Tomasa</t>
  </si>
  <si>
    <t>Tomasa Quintillar</t>
  </si>
  <si>
    <t>......... 30000 Doña María de las Mercedes Piñuela.. • D.,-Manuel;Sánchez Toscano.—~......... 50000 Doña Manuela Roca.............. ;....... . - 6498 Doña Tomasa Quintillar, viuda, y su D. Tomas Vázquez..... ............................ 460*..25^ hijo D. Lucas Gil de la Cámara...... 1240 D. Fulgencio de la Riva Agüero........…</t>
  </si>
  <si>
    <t>QuintüS</t>
  </si>
  <si>
    <t>ta caudalosos ríos ó hermosísima* un sueño), y sobr: todo nos pinta un amigo de la esfe­ fuentes de agua mas clara y limpia que los rayos d«l sol; ra d. QuintüS, qut puede ser la quinta ciencia da la á uQ hambriento le prepara mesas cubiertas de los más</t>
  </si>
  <si>
    <t>Quiróga, Antonio</t>
  </si>
  <si>
    <t>Antonio Quiróga</t>
  </si>
  <si>
    <t>Estado mayor general del exér­ cito los empleos de ayudante primero al teniente coronel D. Agustín Poncerot, y de ayudantes segundos á les capitanes D. Antonio Quiróga, graduado de teniente coronel, D. Joaquín Ezcario, D. Agustín Salazar , D. Luis Cepeda , D. Pedro Eguiá y D. José Revesr, al ayudan-' te D. Nicolás Sanz, y al …</t>
  </si>
  <si>
    <t>Quirós, Fernando</t>
  </si>
  <si>
    <t>Fernando Quirós</t>
  </si>
  <si>
    <t>AÑA. cadiz 3 de mayo. El capitán general del campo de S. Roque D.' Adrián Jácome ha remitido al Consejo de Regencia de España é Indias dos partes que D. Fernando Quirós dió á D. José Serrano Valdenebro , comandante en xefe de la Serranía, con fechas de 22 y 23 de abril : otro de D. Manuel Daban, gobernador de Tarifa , y una p…</t>
  </si>
  <si>
    <t>s qus tardó con su poca tropa, contuvo ai ene­ migo 2 horas dando tiempo al vecindario .para salvarse. Mientras esta tropa lé divertía por el frente, D. Fernando Quirós que se hallaba con su partida en la Sierra de Casares, no­ ticioso délo acaecido, baxó en diligencia al rio Genal, le pasó por mas arriba del camino real, y s…</t>
  </si>
  <si>
    <t>Quirós, Pedro</t>
  </si>
  <si>
    <t>Pedro Quirós</t>
  </si>
  <si>
    <t>nuel Cayetano Espinosa, 150 D. Antonio de Cevallos, 200. D. Manuel Campoy, 10. D. Jasé Ignacio Ruiz, 10. D. José Urquides, 10. D. Ignacio Campoy, 20. D. Pedro Quirós, 10. D. Bernardo Zarala, 15. D Manuel Valenzuela, 14. Varios individuos, 78 y 4 rs. Los vecinos é indios de las misiones de Sta. Cruz, Nabojoa y Camoa, 168 y 5 r…</t>
  </si>
  <si>
    <t>Quise, An</t>
  </si>
  <si>
    <t>An Quise</t>
  </si>
  <si>
    <t>el calor de mi primera cuna. menos, por malas que sean. ,, Están desarregladas (dice Con este pensamiento » D, Pedro en la Comedia nueva hablando con D. An­ Quise á mi igual en justo casamiento. tonio); pero aquellos disparates y aquel desarreglo son Alas como siempre yerra • hijos del ingenio, y no de la estupidez; tienen de…</t>
  </si>
  <si>
    <t>Quísote</t>
  </si>
  <si>
    <t>han come­ diano porque siempre se saca algo, v si es malo porque tido contra el autor y contra la nación, y decir lisa y aspe-o* que no faltará algún D. Quísote literario que llanamente, v ccn toda imnarcialidad , lo que me parees v-naa lanza en ristre á enderezar ios entuertos hechos de la tal piececita. No crean vmds. que v…</t>
  </si>
  <si>
    <t>Quixotc</t>
  </si>
  <si>
    <t>ba menos con los primores y elegancia del en la quái üabia un gran quiero, en que estaba pintado órden corintio de su arquitectura. Ac-rquéme, y pre­ D. Quixotc con la boca mui sumida, los ojos desencagunté al portero ;de quién era tan vistosa posesión! Y xados, y las cejas arqueadas, manifestando al ama y ¿ el buen hombre , …</t>
  </si>
  <si>
    <t>Quixote</t>
  </si>
  <si>
    <t>ado al Frayle ha representado á la imaginación poética del que ia anuncié, un exército, así como los rebaños de carneros parecieron grandes huestes á D. Quixote (1). La falta de quitrín trae al retortero al gobierno : no hay ni un ár. «lite: todas las semanas uno ó dos consejos de estado para poner reme­ dio á esto que diaria…</t>
  </si>
  <si>
    <t>Quíxsie</t>
  </si>
  <si>
    <t>bsistencia decente dias á nuestro ministro dé la Guerra un^ noticía de de les ministros del altar. Estas son verdades de «.nación que ha producido *1 D. Quíxsie yodjría pe- qup.desde le restauración de les letras, y particularmen­ - n«r su literatura á U par de la de las mas ricas de Eu- te desde quedos discípulos de Gallito …</t>
  </si>
  <si>
    <t>Quizóte</t>
  </si>
  <si>
    <t>erzas.” pobre hombre se despepita por mandar y ser gefe de ¡No es verdad, señor público, que los quo no tieneir partido........¿V serán los reino» de D. Quizóte? /Quan­ por que temer no niegan sil cara i nadie? Disfrazarse tum est in rebus inane! para herir es cota de asesinos. La república literaria tie­ De todos modos yo le…</t>
  </si>
  <si>
    <t>s genios son , en el sistema de Talés, unas co­ demas, á no ser que Taiés fuese como nuestro sas inefables , sin relación las unas con las otras , jr D. Quizóte, que siempre discurría bien , menos Sin sabordinacion á una causa primera superior á quando trataba de la caballería. Sin embargo de todas ellas: inefables, porque la…</t>
  </si>
  <si>
    <t>R'egnier</t>
  </si>
  <si>
    <t>ó. Sr. D. Miguel Percyra Forjaz, relativo á los dias anterioras á la acción de Busacó. „ •. El segundo cuerpo del exército enemigo, &amp; las órdenes del general R'egnier, paso Otra vez hacia la parte del norte y lle­ gó kSabugal y á Alfayátes t-1 12 y 13 del corriente. El ió , el euémigi se movió con grande fuerza de caballería*…</t>
  </si>
  <si>
    <t>R, Carios San</t>
  </si>
  <si>
    <t>Carios San R</t>
  </si>
  <si>
    <t>ntes. IMPERIO FRANCES. D. Manuei Gómez. D. Josef Diez Avilós. Angers 1 g de mayo. D. Gregorio Serralta. En la semana última han llegado sucesivamente D. Carios San R 'man., á esta ciudad , y han continuado su camino para D. Isidro M ere i o. Nantes , tres regimientos de caballería ; á saber: el 7.0, D. Andrés Choya. 9.0 y 20 …</t>
  </si>
  <si>
    <t>Ra, Andrés</t>
  </si>
  <si>
    <t>Andrés Ra</t>
  </si>
  <si>
    <t>ador y con­ to está nrpi puesto en razón. Los víveres van esca­ fesor. seando. Los desgraciados habitantes padecen de Para la de la villa de Collar á D. Andrés Ra­ parte de los qne los gnardan y de los que los aco­ mírez , ex-franciscano observante, predicador y meten. Muí pronto se- verán reducidos á la mayor confesor. miser…</t>
  </si>
  <si>
    <t>Ra, Francisco de Paula</t>
  </si>
  <si>
    <t>Francisco de Paula Ra</t>
  </si>
  <si>
    <t>os con las leyes 28 y, lít. B.°» nandez Cortacero, D. Vicente Villarealy D&lt; Juan part.,1).leyes que debea olvidarse para siempre de la Cruz Mendoza y D. Francisco de Paula Ra-* por ios-males qne causaron á (a nadón. £1 tal con­ da ; y los tet.ientes D. Josef Mariaoo Brun, D. dea trato está compuesto de las qualidades y atribu…</t>
  </si>
  <si>
    <t>Ra, Manuel</t>
  </si>
  <si>
    <t>Manuel Ra</t>
  </si>
  <si>
    <t>irre, bos y 40 soldados. D. Juan de Dios Morquecho , D. Josef de la Bar­ art. iu. La plana mayor de este esquadron se rera, D. Josef Rech y Ferrando, D. Manuel Ra- compondrá de un comandante, un ayudante, un quejo, D. Josef María Venene, D. Miguel Osor- porta y dos trompetas. no, D. Joaquín María de la Cueva, D. Antonio art. …</t>
  </si>
  <si>
    <t>Ra, Vicente</t>
  </si>
  <si>
    <t>Vicente Ra</t>
  </si>
  <si>
    <t>a el mayor entusias­ osa» para una caoongía de dicha catedral dé Bur­ mo por todos los concurrente*, y'seguido délas gos» vacantepor fallecimiento de D. Vicente Ra­ aclamaciones y los gritos unánimes de viva el Em­ mírez ; y á D. Julián Siglér, comendador qne fue perador ! viva la Emperatriz! que se renovaron dei extiogoido h…</t>
  </si>
  <si>
    <t>Rábago, Pedro</t>
  </si>
  <si>
    <t>Pedro Rábago</t>
  </si>
  <si>
    <t>. Cayetano López, 25. D. Juan Ba.rrera, 200. Don Tomas del Campo, 25. Don Juan Ventura Ga~ ray, ro. Varios pobres, 25 y 4 rs. D. Leonardo Flores, 20, D. Pedro Rábago 24 y 4 rs. D. Juan Femando Ceballos, 40. D. José Antonio Lorina, 50. D. Manuel Orendain, 25c D. Cirios de Arriaga, 100. Don Francisco Antonio de la Presa , 50. -…</t>
  </si>
  <si>
    <t>Rachcontra</t>
  </si>
  <si>
    <t>marchar el Schach hácia Rudschuck un refuerzo de algunos miliares dos exércitos, el ano contra la Georgia ¿ y el otro •de hombres, dió orden al mayor general Rachcontra las costas del mar Caspio, para atacar alli metieff de que marchase á su encuentro con un Jos establecimientos rusos. _ • fuerte destacamento: este general pa…</t>
  </si>
  <si>
    <t>Rada, Ramón</t>
  </si>
  <si>
    <t>Ramón Rada</t>
  </si>
  <si>
    <t>cisco Berdejo. D. Camilo Gamboa. D. Esteban Gómez. D. Pascual Santander. D. Mateo Norzagarai. D. Manuel de Cañas. I&gt;. J uan Picdrahica. Subtenientes. D. Ramón Rada. D. Antonio Robillar. D. Ramón Nocedal. . D. Eduardo Santiago Palomares. D. Fcrinin Carnerero Vela* D. Claudio Botelú. D. Tuan Valdivieso. D. J osef Navarro. Tenie…</t>
  </si>
  <si>
    <t>Radziwil</t>
  </si>
  <si>
    <t>s. Los fabricantes harán que los corregidores de bruck. Estos dos niños son educados con los del sus distritos certifiquen que las materias presenta­ príncipe Radziwil. Sus armas son un rosal con dos das por ellos son productos de sus fabricas. Se da­ botones. El escudo manifiesta por el anverso un rán hasta 3© francos de pre…</t>
  </si>
  <si>
    <t>Raechó, Pedro</t>
  </si>
  <si>
    <t>Pedro Raechó</t>
  </si>
  <si>
    <t>de la Croacia con ánimo de retenerlos; pero seles . ■ Relaciones exteriores , los señores conde Pedro Raechó de todos á viva fuerza. " ........ ■ sonmowski’,-consejero privado de S. M. el EmpeQuando el gobierno austriacp ha reconvenir- rador de Rpsia; el coñac^e.Lrewen; el príncipe de do de semejantes violencia! ál baxá</t>
  </si>
  <si>
    <t>Rafael</t>
  </si>
  <si>
    <t>D. Pedro Miguel Manzano. -D. Miguel Cañnelo, de Santa Marina; D'. Joan Ademas S. M. se informó mui por menor de del Pozo y Onievá , de S. Pedro; Dr. D. Rafael estos sugetos de tony io reiativo ai estado de esta Mantera, de Santiago; Dr. D. Josef Caballero V de villa , población , fabricas , indusrria , comercio &amp;c. S. Nicolás…</t>
  </si>
  <si>
    <t>fue en todo el camino á salir al encuentro de S M., - de la extinguida orden de Malta. han tenido la satisfacción de que se parase á hablar­ Caamaño (D. Rafael), caballero qne fue de la mis- les , y por todas partes 5». M. ha visto con agrado ■ ma árden. la celeridad con que los habitantes se han formado Castro (D. Joan Anton…</t>
  </si>
  <si>
    <t>Rafean, Benito</t>
  </si>
  <si>
    <t>Benito Rafean</t>
  </si>
  <si>
    <t>723 D. Benito Rafean.................................... 551? D. Miguel Lapena......-............ .............. 64500 5 D. Juan Manuel García Rubia............ 18042 14 14 Doña Josefa Piedra...................</t>
  </si>
  <si>
    <t>Raglowicb</t>
  </si>
  <si>
    <t>6 manufacturas, sino á fuer­ La primera división de tropas bávaras, manda­ za de dinero, cuya exportación ha sido tan consi­ da interinamente por el general Raglowicb, ha ex­ derable , que es de temer qae la falta de numera­ tendido mas sus acantonamientos, y ocupará una rio en la circulación ocasione gravísimos perjuicios pa…</t>
  </si>
  <si>
    <t>Raimundo, Josef</t>
  </si>
  <si>
    <t>Josef Raimundo</t>
  </si>
  <si>
    <t>Laponía , por Mr. Leopoldo de Buch , mienta Bodnar (D. Juan), soldado del regimiento suizo. bro de la academia real de Berlín , en dos volú­ Bordes (D. Josef Raimundo), capitán de infan­ menes en 8.° con mapas geológicos. tería. Una de las cosas qne mas agradan en esta obra Bumann ( D. Ignacio), capitán del regimiento es la d…</t>
  </si>
  <si>
    <t>Rain, Juan</t>
  </si>
  <si>
    <t>Juan Rain</t>
  </si>
  <si>
    <t>in los ciudadanos de todas cla­ var; ayudantes á D. Josef Pedrera y D. Ju¡n ses compiten en zelo y ardor para demostrar la sa­ OLog'.hui; tenientes á D. Juan Rain , D. Fran-. tisfacción y vivos deseos de ver y disfrutar de la cisco R-che, D. Juan Monta ni cr , D, Ventura amable presencia de sus augustos Soberanos. Jáuregui, D…</t>
  </si>
  <si>
    <t>Rama</t>
  </si>
  <si>
    <t>anuel Suarez y que con decoro, dignidad y zelo sirvan de consue­ Cid, clérigo de menores. lo al pueblo, proporcionándole en la administra­ Para el de Doña Rama á D. Vicente Albornoz, ción el orden, la economía y la abundancia, sin presbítero, ex-regular del orden de Trinitario* las trabas ni embarazos que felizmente'ha hecho …</t>
  </si>
  <si>
    <t>Ramaiski</t>
  </si>
  <si>
    <t>s loe habitantes. 4‘:P •‘'•\'y'-'Dresdeiiidemarzo. S. M. I.'-fue luego al teatro: la ciudad ha estad© -o-.. . •. . [• .‘ iluminada por la noche. - El conde Ramaiski , noble gaUitzia.no, na.sido , -- -Ea Emperatriz ha salido hoi i las nueve de la nombrado Venador palatino ‘.gran ducado de mañana. S. A R. el duque hereditario s…</t>
  </si>
  <si>
    <t>Rambla, José</t>
  </si>
  <si>
    <t>José Rambla</t>
  </si>
  <si>
    <t>en Ciudad Me al con 2 piezas de artillería, é hizo consi­ derable daño en el hospicio que tienen fortificado los franceses. En Cataluña la partida de D. José Rambla se ha distin­ guido en varias acciones que ha sostenido contra los destaca­ mentos enemigos. El S de setiembre peleó entre Chetta y el Pinell con 150 franceses qu…</t>
  </si>
  <si>
    <t>Ramf</t>
  </si>
  <si>
    <t>lio. -—El brigadier D. José Iha da­ do cuenta de que hallándose en Monasterio ei 29 de junio úl­ tima 1700 franceses de infantería con 300 dragones , D. Ramf n.Noriega con 12 caballos españoles se arrojó sobre el pue­ blo atropellando y acuchillando- en las bocacalles las guar­ dias y centinelas: que á consecuencia tocaron la…</t>
  </si>
  <si>
    <t>Ramí, Sebastian</t>
  </si>
  <si>
    <t>Sebastian Ramí</t>
  </si>
  <si>
    <t>l Emperador montó á Arellaoo, medio-racionero de la misma: para la caballo, y reconoció mui despacio los establecimien­ inedia-ración que este dexa á D. Sebastian Ramí­ tos y fortificaciones de la plaza. rez Blanco de Luna a para otra media-ración de la Se dice que mañana saldrán SS. MM. á las 7 de propia iglesia á D. Francis…</t>
  </si>
  <si>
    <t>Ramírez, Diego</t>
  </si>
  <si>
    <t>Diego Ramírez</t>
  </si>
  <si>
    <t>ibarren , conio Doña M¿W Jo&amp;fn de.AguiláriL...... 89X4Í/J t administrador‘délas memorias funDoña^íajía Magdoaell................ 97¿'i6! -j'dadas por D. Diego Ramírez y su La ditecciou íii4rogratica,. í?6*&gt;; 3 Doña -Leonarda Valleriola.. 32769 4 La re^aqademU. españala-~..... . ryófi^f"2f * IX Jósef Sancfrez, por sí, y como B…</t>
  </si>
  <si>
    <t>Ramírez, José</t>
  </si>
  <si>
    <t>José Ramírez</t>
  </si>
  <si>
    <t>a Miranda, D. Francisco Sacue, D. Juan Ma­ tos, y D. Claudio González ; segunda ayudantía, á D. Jacinto Inozal ; tenencias, á D. Eustaquio Cevaílos , D. José Ramírez, D. Joaquín Moreno, D. Juan Morales, D. José Benitez, D, José Va­ ra del Rey, D. José Joaquín Daureia, y D. José Tirso Carvajal; y subtenencias , á D. Juan Migue…</t>
  </si>
  <si>
    <t>Ramírez, María</t>
  </si>
  <si>
    <t>María Ramírez</t>
  </si>
  <si>
    <t>María....................................... ga , de 5 fanegas, que linda á oriente con 4S 990 Otra era contigua á la anterior, sin empe­ majuelo de Doña María Ramírez, y ¿ drar, linde á poniente con era de Francísponiente con tierra de Francisco Gonzá­ icb Prieto........................................................ lez de…</t>
  </si>
  <si>
    <t>de Roma , que. Otra en el Verdal, de 700estad......... 48 &gt;05* hace medianería con casa de la memo­ Otra á los Tordcsi! huios, cerca de ia ca- ria de Doña María Ramírez............... 477 57*4 silla de Diego Valtierra, de 290 id. *3 *8 6 Otra, calle de la Garrapata, que linda á Otra ¡¡ las arroturas de Aluden, de670 oriente t…</t>
  </si>
  <si>
    <t>Ramírez, Sebastian</t>
  </si>
  <si>
    <t>Sebastian Ramírez</t>
  </si>
  <si>
    <t>ser de la misma opi­ pas francesas en esta ciudad, estaba oprimido en nión, coiuia y paseaba coa los oficiales franceses, y una dura reclusión el Dr. D. Sebastian Ramírez trataba con sus generales ; sin advertir que todo esto Blarco, catedrático principal de artes y Lugares era efecto del cariño que profesaba á los españoles,…</t>
  </si>
  <si>
    <t>Ramón</t>
  </si>
  <si>
    <t>usto de tener noticias de sn seguridad y Sagasta { D. León de), juez de primera instancia. prosperidad. Creo que el exército británico no de­ Salas { D. Ramón de ), intendente de Guadalaxara. ba nada á esta provincia; pero si acaso, he manda­ Sánchez Rangel (D. Marcelino ) , canónigo de Sa­ do al comisario general pague quant…</t>
  </si>
  <si>
    <t>te coronel de arti- salteadores para auxiliarlos. No está lejos el dia en fleiía. que quando esta peste de la sociedad se presente Pineda y Arellano (D. Ramón), prebendado de ; en quaíquiera parte, sé ármen todos á porlia para Córd&lt; ba. exterminarla. Senudi Teran (D. Aionso), mayor del regimiento Una partida d*l tercer regimi…</t>
  </si>
  <si>
    <t>as de línea núm. 2.0 que interceptaban y robaban á los caminantes , y Mazarredo (D. Lope). saqueaban Jos mismos pucb os. De este modo des­ Mazarrcdo (D. Ramón). de el Campo de S. Roque hasta Sierra-Morena se Nuevas ( D. Juan de Dios de), caballero qne fue ha restablecido en todas las Andalucías la seguri­ de la orden extingui…</t>
  </si>
  <si>
    <t>fanado ción del drama trágico nueva en tres petos, titulado la el templo de Taifa, y han hecho bostezar I los especta­ Novicia, y el fin de fiesta de D. Ramón -de; la Cruz dores. Bien hubiera podido el que las ha elegido para titulado la Casa de lócame Roque. Actores «a Ja co-&gt; ser representadas haberlas dexado en la obscurid…</t>
  </si>
  <si>
    <t>qxi Doña Auíonia QuadradP........... 12 25 - ^ 1 I3i Antonio Barra................................ , xxo^ Doña. María jaciuta La^Casa.... -G. 2200 .t D. Ramón t xo2Q^&gt; ¡ .¿ j D; Ignacio" Menendez,^----------- '..»£.:./: l@4f . k t D., And res Gambeto. •......•••♦....Vf 7 ";7*^íh ¡ .Ci D. Guiíjelmo E|oi González...... ..Zt.4 -…</t>
  </si>
  <si>
    <t>l mejor Alcalde el Reí , adornada con una decoración qué no executan dos sainetes! En el teatro francés sé nueva, finalizando con el fin de fiesta de D. Ramón de representan por lo regular dos comedias en una misma la Cruz titulado la Academia de música. Actores en la noche. Querer hacer lo mismo en el español seria in­ comed…</t>
  </si>
  <si>
    <t>el mejor Alcalde el Rei, adornada con un3 decoración El poeta es quien debe proporcionar al músico los me­ nuera, finalizando con el fin de fiesta de D. Ramón de dios necesarios para que el canto no sea monótono: es­ la Cruz titulado la Academia de música. to lo conseguirá variando de un modo agradable la me­ dida de los vers…</t>
  </si>
  <si>
    <t>ra las consecuencias de la "guerra actual, de esta el mejor Alcalde el Reí, adornada cor. una decoración nueva,' finalizando con el fin de fiesta de D. Ramón dé guerra en que se niega á aventurar dus propias íá Cruz titulado la Academia de música. faerza*. La Inglaterra se fabrica un parapeto con En «1 de la Cruz, á las seis …</t>
  </si>
  <si>
    <t>ober­ «1 mejor Alcalde el Rei, adornada con una decoración nador de esta última ciudad ha muerto el.dia 13 nueva, finalizando con el fin de fiesta de D. Ramón d« por la mañana después de 15 días de enfermedad. la Cruz titulado la Academia de música. EN LA IMPRENTA REAL.</t>
  </si>
  <si>
    <t>l sitio actos titulada No he de permitir mi agravio del Reí del trabajo , y precisado á conducir sobre sus es­ abaxo á ninguno, y el fin de fiesta de D. Ramón de la paldas quanto reunió con sus manos, camina desde Cruz titulado Donde las dan las toman. Actores en la comedia : Señoras García , Virg y Lledó. Señores Maiun punto…</t>
  </si>
  <si>
    <t>icamente á impedir que-los condados dividirse la única que antes habla por ser su renta manifiesten abiertamente sus'deseos' y modo de de 5 «i rt. ,á D. Ramón: Puyol, ex- dominico, pensar; pero $1 .tiempo, que es ! mas poderoso qne prior qoe fra de su convento, y á D. Pedro Náninguna otra cosa del mundo; la miseria que cada x…</t>
  </si>
  <si>
    <t>Ramón, Antonio</t>
  </si>
  <si>
    <t>Antonio Ramón</t>
  </si>
  <si>
    <t>e volunta­ rios de Navarra, y el teniente de caballería de Borbon Don Sebastian Román. El brigadier España, que tuvo herido su caballo , recomienda á D. Antonio Ramón, ayudante del ge­ neral O-Donell, y al capitán D. Leonardo Sicilia. — En este estado: permaneció una y otra tropa desde el -28 hasta el SO, en que después de he…</t>
  </si>
  <si>
    <t>Ramón, Benito</t>
  </si>
  <si>
    <t>Benito Ramón</t>
  </si>
  <si>
    <t>rato magestuoso que requería el interes y sublimidad del objeto, habiéndose congregado en dicho pala­ cio y sala destinada para su recibo los Señores D. Benito Ramón de</t>
  </si>
  <si>
    <t>Ramón, Josef</t>
  </si>
  <si>
    <t>Josef Ramón</t>
  </si>
  <si>
    <t>úe las tropas de milicias son en cor­ Antonio de Urraza, se siguen los autos de testamenta­ to número, se restituirán á sus hogares después de ría de D. Josef Ramón de .Zuloaga y Axpe, nalural haber entregado sus armas, y no podrán servir du­ de la ante iglesia de Ceanuri, en Vizcaya, de estado rante la presente guerra contra…</t>
  </si>
  <si>
    <t>Ramón, Juan</t>
  </si>
  <si>
    <t>Juan Ramón</t>
  </si>
  <si>
    <t>aicia l’rieto.............. ......... 45 12 *7 D. M .mud Celestino Carrusel-........ . 6390 D. Manuel Moresqui.............................. 1I37l 17 D. Juan Ramón ele Etulain................... 22o;o Di.ña María Maed*!•.*«»'* López Ca­ D. Antonio Mriui i-o..... ....................... 37100 bré!. s, mu :er de D. Ramón de Po­…</t>
  </si>
  <si>
    <t>Ramón, Pedro</t>
  </si>
  <si>
    <t>Pedro Ramón</t>
  </si>
  <si>
    <t>endidos en el campo de chos efectos; nombramos’ á los mismos consejeros barada mas de zoo hombres, ademas de otros 50 de Estado D. Sebastian Piñuela, D. Pedro Ramón qne han sido cogidos, como también un gran nú­ de Echeverría y D. Josef Ignacio Joven de Salas, mero de armas , de efectos y municiones , que aban­ qne han estado…</t>
  </si>
  <si>
    <t>Ramones, Teresa Zeférina</t>
  </si>
  <si>
    <t>Teresa Zeférina Ramones</t>
  </si>
  <si>
    <t>........ . 26820 y Larregarro.;.......... .......... 92*58 28^ D. Josef Dionisio de Aguiiar............. 'y 1120 Doña Ana de la Camera....... 60*006 *Doña Teresa Zeférina Ramones......... 60060 DA MimTeresaMomorode-la Concha. 1719131 D. Domingo Antonio García...,........ ;28800 D K-réban de la Torre...-...•...V.i.;..i.. 94228…</t>
  </si>
  <si>
    <t>Ramos, Andrés</t>
  </si>
  <si>
    <t>Andrés Ramos</t>
  </si>
  <si>
    <t>í. Roque Novella. Firmado = YO EL REI. = Por S..M; su ministro 2.° D. Juan Antonio Montiel Bailón. secretario de Estado Mariano Luis de Urquijo.” 3.® D. Andrés Ramos, .. . 4.® D. Judas Tadeo González. , Extracto de las minutas de la secretaria de D« Fermín María Milla, fiscal. ; Estado. ARTICULO - IV. ‘ O*,En nuestro ■ palaci…</t>
  </si>
  <si>
    <t>Ramos, Antonio</t>
  </si>
  <si>
    <t>Antonio Ramos</t>
  </si>
  <si>
    <t>rano de infantería de Maracaibo ; de teniente coronel á D. Felipe de la Rocque , capitán del regi­ miento de infantería de Maceda; y de subteniente &amp; D. Antonio Ramos, sargento l.p del regimiento de infantería de Murcia. En el regimiento de infantería de la R^yna, compañías á D. José Amí, D, Joaquín Loyzaga , D. Juan Quesada …</t>
  </si>
  <si>
    <t>Ramos, Francisco Josef</t>
  </si>
  <si>
    <t>Francisco Josef Ramos</t>
  </si>
  <si>
    <t>la de Marinaleda se formará púWioor estaban casi suspensos; que rodas las gen­ media compañía. , tes estaban descontentas y tristes; que las últimas, D. Francisco Josef Ramos está nombrado sub­ noticias del continente habian causado suma agita­ teniente de ella. ción en el comercio, y que ios efectos públicos iban art. vi. Eu…</t>
  </si>
  <si>
    <t>Ramos, Litis</t>
  </si>
  <si>
    <t>Litis Ramos</t>
  </si>
  <si>
    <t>, D. Mamó 1 de la Vega, D. Domingo Molina, D. Cícmentí Lemüs, D. Tornas Gatída . *D. 'Santiago Blanco , y D. A«nt©nio Morí troya ■; y Whireneircias á D. Litis Ramos , D. Ma­ nuel Saez , ID. Francisco Hidalgo , D. Redro Oniz , D. Manueil Hidalgo , D. Joaquín Hidalgo, D. Francisco Dacosta , D. Fer­ nando Barbolla, IV José CansL…</t>
  </si>
  <si>
    <t>Ramos, Nicolás</t>
  </si>
  <si>
    <t>Nicolás Ramos</t>
  </si>
  <si>
    <t>iglesias de nuestro carell.ex franciscano descalzo: para la de Pinos ds real patronato; y vista la consulta que nos hace Genil y Ceñís al ex-gerónimo D. Nicolás Ramos nuestro comisario regio de Granada , previos los y León: para la de Monachil al ex-franciscano Don informes de aquel reverendo arzobispo y demas Rafael Navarro:…</t>
  </si>
  <si>
    <t>Ramoso, María del Rosario</t>
  </si>
  <si>
    <t>María del Rosario Ramoso</t>
  </si>
  <si>
    <t>e los volteadores y 15 coraceros bastó Sr. Marques Caballero.............................. 12312 30 para que los foragidos abandonasen su parcidajde- Doña María del Rosario Ramoso por xando 60 muertos y 15 prisioneros. Con esta vi­ sí, y como totora de sus hij &gt;s......... 22229 T4 veza deben ¡as tropas deí 3." cuerpo arrojars…</t>
  </si>
  <si>
    <t>Rancaño, Luis</t>
  </si>
  <si>
    <t>Luis Rancaño</t>
  </si>
  <si>
    <t>e ingenieros. . Estadp, ... • :v — Por varios decretos de 12 del corriente S. M. -■ En nuestro palacio de Madiid á 30 de mayo se ha dignado nombrar á D. Luis Rancaño coro­ de 1810. . . . .. nel del cuerpo de ingenieros! á D, Josef Gard co­ : Don Josef Napoleón por la gracia de Dios y mandante de batallo - de. infantería de li…</t>
  </si>
  <si>
    <t>Ranci, Manuel Antonio</t>
  </si>
  <si>
    <t>Manuel Antonio Ranci</t>
  </si>
  <si>
    <t>venideros, me ha pareci­ nio Anguita: capitanes del regimiento n. 2.°de ca­ do que seria, una cosa mui útil presentar á su vista zadores á caba lo á D. Manuel Antonio Ranci y un bosquejo de la conducta de Mr. Pitt y de sus D. Guillermo Perquts; y á D. Josef Larbanoi* secesores, y los efectos de esta misma conducta teniente de…</t>
  </si>
  <si>
    <t>Raneda, Hilario</t>
  </si>
  <si>
    <t>Hilario Raneda</t>
  </si>
  <si>
    <t>eral antes que llegue el vacante por promoción de D. Francisco Gutiérrez tiempo de las aguas , que será tan perjudicial para y Muñoz al de Comares, á D. Hilario Raneda, pres­ sus tropas como para las nuestras. Entre tanto bítero. lord Weilington toma todas las disposiciones ne­ Para la vicaría perpetua de la iglesia de (Lías,…</t>
  </si>
  <si>
    <t>Rapp</t>
  </si>
  <si>
    <t>temente el padre Eliseo, cirujano francés , discípulo del fa­ Francfort jo de mayo. moso frai Cosme de Paris, y nunca ha tenido la Ayer llegó aquí el general Rapp, y hoi sale menor sospecha de que perteneciese á otro sexó para tomar otra vez el gobierno de Dantzick. distinto de aquel á que pertenecía por decoración En las car…</t>
  </si>
  <si>
    <t>Raquejo, Manuel</t>
  </si>
  <si>
    <t>Manuel Raquejo</t>
  </si>
  <si>
    <t>onio Garai , D. Diego Sua- articulo i. ,, Está nombrado comandante del rez, D. Francisco Rodríguez, D. Francisco Esca- 4.0 batallón de milicia cívica D. Manuel Raquejo. rena , D. Francisco Xavier Guillen, D. Josef Ma­ art. 11. Nuestro ministro de la Guerra queda ría Pardo , D. Joaquín Moralez , D. Juan Marques encargado de la…</t>
  </si>
  <si>
    <t>Rase, Juan Antonio</t>
  </si>
  <si>
    <t>Juan Antonio Rase</t>
  </si>
  <si>
    <t>o. ,, El cuerpo principal del Para el de la de Olvera , vacante por muerte exércitq ingles se halla actualmente en esta. Goza de D. Cristóbal Maya, á D. Juan Antonio Rase­ de completa salud, y está lleno de ardimiento. ro , presbítero , teniente cara de Alhaurin. Massena concentra sus*fuerzas , y según parece se Para el de la…</t>
  </si>
  <si>
    <t>Rato, Caries</t>
  </si>
  <si>
    <t>Caries Rato</t>
  </si>
  <si>
    <t>líJcs.” — Concluye recomendando los oficiales y tropa. En P. D. dice: &lt;rA abo de saber que el. regimiento de Viiiaviciosa ai mando de su co­ mandante D. Caries Rato fué cortado per les enemigos, por cuya causa no pudo reunirse ayer j pero portándose del mismo modo que los demas cuerpos , se abrió paso á viva fuerza , y se dir…</t>
  </si>
  <si>
    <t>RatrintiPiteir, Agustín</t>
  </si>
  <si>
    <t>Agustín RatrintiPiteir</t>
  </si>
  <si>
    <t>s Meacorta y compañía..... 19133: .i Doña Xaviera de Yol ji.16S76 2 D. Josef Justo-Salcedo.,,4783’ 8f D. Nicolás de 4os Heros............... 424T 2^4 D. Agustín RatrintiPiteir*.*13700 8| Doña'Teresa Geferiua Ramonel....... 9009: 30’ D. Manad Eligió.»»............................ '2346 17 Doña Ana Brai.. Doña Juána Aogo'M-lea …</t>
  </si>
  <si>
    <t>Ravina, Nicolasa</t>
  </si>
  <si>
    <t>Nicolasa Ravina</t>
  </si>
  <si>
    <t>e la Peña Pódrigo, 10 piezas de listados, de tiro 200 varas, y una silla de montar. D.'Francisco Ignacio Arechahala, 7 camisas. Una madrileña , 4 id. Doña Nicolasa Ravina, 12 id. D. Juan Garraein una pieza de lienzo de 30 varas, y ademas una rebaja muy considerable en los paños que se le han comprado. D. F. F. G. 5^ varas de …</t>
  </si>
  <si>
    <t>Ravina, Tomas</t>
  </si>
  <si>
    <t>Tomas Ravina</t>
  </si>
  <si>
    <t>ía Josefa Ge i cochea y Melendez, 120. Marques de Astorga, 1500. Micheo, padre c hijo, 15CO. Doña Vicenta Velásco de Hue, 150. D. Cayetano Hüc,- I50. D. Tomas Ravina, 1000. D. Bernardo Nueve-Iglesias, 7C0. D. Amonio Suris , 400. D. Sebastian Antonio Garnica, 5C0. D. Juan</t>
  </si>
  <si>
    <t>Raya, Juan</t>
  </si>
  <si>
    <t>Juan Raya</t>
  </si>
  <si>
    <t>, y produce anual­ mente 139 rs. Quien qu'siere hacer postura acuda á la piedad s, y no se les inquietará por sus opiniones. escribanía del número de D. Juan Raya. art. iv. Las municiones de guerra Y I* arti­ llería qoedarán en poder del exército francés , y se­ rán entregadas ai comandante de-artillería. LIMO. art. v. Las ca…</t>
  </si>
  <si>
    <t>Razóla, Mateo</t>
  </si>
  <si>
    <t>Mateo Razóla</t>
  </si>
  <si>
    <t>I.»4®. t Para el de Mistóles, vacante por muerte jJe je* . clérigo de prima. ' D. Juafi Ximenez Madueño, á D. Mateo Razóla, Para el de Caudilla, vacante por ascenso de cora de Torija. D. Saturnino Carrillo al de Algete, á D. Pedro Para el de Calera, vacante por muerte de Don Amonio Areta , clérigo de prima. Fra</t>
  </si>
  <si>
    <t>Razoumawski, Alexis</t>
  </si>
  <si>
    <t>Alexis Razoumawski</t>
  </si>
  <si>
    <t>de la Guerra en el De dia y de noche están trabajando obreros de-to­ nuevo consejo del imperio. das clases en adornar la iglesia de los agustinos, El conde Alexis Razoumawski, protector de la donde ae efectuará la ceremonia del matrimonio. universidad de Moscou» ha sido nombrado minis­ El dia de esta solemnidad habrá iluminac…</t>
  </si>
  <si>
    <t>Re, Ramón</t>
  </si>
  <si>
    <t>Ramón Re</t>
  </si>
  <si>
    <t>n Soto, 20. D. José Ramón Luxan, 10. Fr. Juan Cnacon , 25. D. Eugenio Perez, 30. D. Marcos Vagues, 130. Varios individuos, ^4 y 4 rs. --- Gnuvizamey. D. Ramón Re villa, 50. Fr. Luis Salgado, 20. D. Juan José Cobos, 10. D. Martin Zubizar, 100. D. Juan Zubizar, 100. D. José Tomas Yañez, 10 Tres individuos, 15. — AÁapimi- D. Fra…</t>
  </si>
  <si>
    <t>Rea</t>
  </si>
  <si>
    <t>ienen actdalmínte una esquadra bas­ También se ha señalado ya e1 dia del «natirimb— tante considerable, con ia qual parece que. ño se toio de nuestro Príncipe Rea;, y S. M. ha nombra­ atreve la esquadra rusa. do las personas que deben componer sn corte. AUSTRIA. CONFEDERACION DEL RIN. Vierta iG de agosto. . Érfttrt no de agos…</t>
  </si>
  <si>
    <t>Gaceta de Madrid n.º 333</t>
  </si>
  <si>
    <t>1489</t>
  </si>
  <si>
    <t>f en el man­ puedan ocurrir á los gastos de la función con que ha do del cuerpo de observación ruso de Praowa, y de celebrarse allí el matrimonio del Príncipe Rea!. ha llegado ya á su destino. Como el cuerpo servio apostado en las márge­ GRAN DUCADO DE DARMSTADT. nes del Drina á las órdenes de los comandantes Ja­ Dartntadt 19…</t>
  </si>
  <si>
    <t>para concluir las sesiones de feld-mariícal conde Kalkreuth , gobernador de esta esta. ciudad, todos los oficiales superiores que se hallan Quando el Príncipe Rea! pasó desde Helsinghórg aquí, y otras muchas personas de distinción, asis­ á Drottningholm se había reunido en el camino mu­ tieron á esta solemnidad., en la que pr…</t>
  </si>
  <si>
    <t>Reajero, Josefa Igñácia</t>
  </si>
  <si>
    <t>Josefa Igñácia Reajero</t>
  </si>
  <si>
    <t>onio López................................. 4602 2 y y de Doña Alaría Josef; de Gareta. 22006 4 D. Manuel de la Cerda........................ 2181032 Doña Josefa Igñácia Reajero.4900 El mismo................................................. 10602 28 D. Plácido Piedra M!liéra,f.i.¡.r.':......... 31Í625 D. NLolas Barsanti......…</t>
  </si>
  <si>
    <t>RealeX</t>
  </si>
  <si>
    <t>a tarifa.-1 ’■ ' : :i.Habrá trti comandante particular para Saltzbur­ Si ios empleados- de nnestras" renta* - llegasen go y el circuló de Salzach. El Príncipe RealeX&lt;?f- á:sftá’pCúhíár' que son falsa* las declaraciones por lo cerá al miamoriempo las funciones de gobernador respectivo á las especies~órsus calidades,.enviarán g…</t>
  </si>
  <si>
    <t>Rebollo, José</t>
  </si>
  <si>
    <t>José Rebollo</t>
  </si>
  <si>
    <t>lon. — D. Sebas­ tian de Torres.— D., Bernardo Riega.—D. José Salcedo. — D. Luis Meíendez Bruna. — Canciller, D. Ramón María de Chaves..— Registrada, D. José Rebollo.— Es copia.de su ori­ ginal.— Esteban Varea* El Consejo de Regencia de los reynos de España é Indias, sorprehendidO' con la noticia de haberse impreso y distribu…</t>
  </si>
  <si>
    <t>Rebota, Jasé Francisco</t>
  </si>
  <si>
    <t>Jasé Francisco Rebota</t>
  </si>
  <si>
    <t>nte, 20. Varios individuos, 16 y 1 real. D. Juan José Yandiola, 10-- -Real del Oro. El subdelegado D. Tomas Diaz de Matos, 10. D. Gaspar Pereyra, 35. D. Jasé Francisco Rebota, 10. D. Tomas de Amezúa, 10. D. Juan de-Isasi, 12. D. Francisco Rubín de Celis, 12. D. Francisco Redondo, 10. D. Ignacio CeFerino Perez, 12. D. José Sar…</t>
  </si>
  <si>
    <t>Reboul, Carlos</t>
  </si>
  <si>
    <t>Carlos Reboul</t>
  </si>
  <si>
    <t>ado una Batallón del quartel de Maravillas. casa en París, y que vendrán á ver las funciones que han de celebrarse aqui en el presente mes. Capitán , D. Carlos Reboul. Teniente , D. Ramón Berrera. ESPAÑA. v Snbtenienre , D. Francisco Farsante. Madrid a a de mayo. Batallón del quartel del Barquillo, S. M. ha expedido los decre…</t>
  </si>
  <si>
    <t>Recio, Ternas</t>
  </si>
  <si>
    <t>Ternas Recio</t>
  </si>
  <si>
    <t>iSH?&gt; 8^ D-.-PftdíP. Cifuentes................... . 10649 , %7~ D Manuel Martin Rincón... *• 63^:2 54 Doñaj jauría del Rosario, Reinoso., • 1624 1 fx D. Ternas Recio.......... ............i5.....;.?79^']2S^ D.Sixto. Espinosa..»........;.,: .1 901 8® D. Miguel de Corres......................4.-; . .5400^,«. ÍX:J uá n¡ Ma u ti.…</t>
  </si>
  <si>
    <t>Recomiendo</t>
  </si>
  <si>
    <t>é inválido , pero con todo estoy siempre pronto á ser útil á la causa común , y á un querido y estimado general como su.yerdaderp amigo— Doy le. — P. D. Recomiendo á V. el subteniente, los cabos y el soldado de Zaragoza. II. Mi querido general : Con sumo gusto pa iicipo á V; que sus deseos ya quedan cumplidos con el mas feliz…</t>
  </si>
  <si>
    <t>Recuero, Josef</t>
  </si>
  <si>
    <t>Josef Recuero</t>
  </si>
  <si>
    <t>icia cí­ go*? alhpresbítero D. Joaquín Truxillo. vica de infantería, y ha nombrado para capitán í i , uV;.para- el segundo curato de la villa de Bel- D. Josef Recuero; para teniente á D. Pedro Josef mez , con precisa residencia en la aldea de Peñar- Solance, y para, subteniente á D. Josef Merlo. ípya r. vacante por promoción …</t>
  </si>
  <si>
    <t>Redondo, Francisco</t>
  </si>
  <si>
    <t>Francisco Redondo</t>
  </si>
  <si>
    <t>iaz de Matos, 10. D. Gaspar Pereyra, 35. D. Jasé Francisco Rebota, 10. D. Tomas de Amezúa, 10. D. Juan de-Isasi, 12. D. Francisco Rubín de Celis, 12. D. Francisco Redondo, 10. D. Ignacio CeFerino Perez, 12. D. José Saracho y otros individuos de la hacienda de Ramos, 54. El jus­ ticia y vecinos de S. Miguel de las Bocas, 33. V…</t>
  </si>
  <si>
    <t>Redondo, José María</t>
  </si>
  <si>
    <t>José María Redondo</t>
  </si>
  <si>
    <t>cusa, 100 Teniente D! Benito Espinosa, 20. Alférez D. Ignacio Elias, 10. Id, D. Juan José Villaescusa, 8, Capellán D. José María Herreros, 12. Cadete D. José María Redondo, ry. Id. D. Francisco ViÜaescusa, 5. Los sargentos, ca­ bos y soldados, 146. Babi&gt;pe. Comandante el teniente D. Ildefonso Bsimal, 20. Los sargentos y ópata…</t>
  </si>
  <si>
    <t>Reg</t>
  </si>
  <si>
    <t>por el camino de con la junta y con U Romané es cosa mui notable. Cartagena , y hasta Aibarera por el de Alicante; Después do esta victoria el señor general Reg- y ha dado parte de que los serranos de la sierra uier envió una numerosa partida i Badajoz, y lle­ que divide el reino de Murcia del de Jaén y la gó á tiro de cañón …</t>
  </si>
  <si>
    <t>Regaier</t>
  </si>
  <si>
    <t>screción al cxército francés su camino. que ia sitiaba. Genova 2 de junio. Madrid 14 de julio. La comisión central de sanidad de esta ciudad El señor general Regaier, comandante del segando ha abolido la quarentena de observación. q§je habia cuerpo del exército, ha dado cuenta de que el dia f impuesto á los buques procedenres…</t>
  </si>
  <si>
    <t>Regente</t>
  </si>
  <si>
    <t>il y abusivo? EJ, exemplo de ios que pondría en disposición de mantener su independen-* ya han sido víctimas de un celo irreflexivo, ¡ po cía; que el Príncipe Regente de Portugal ponía en debe escarmentar y hacer prqdéntes al mayor nú­ S. M. toda su coufianza en quanto á la protección mero, quienes huirán de los partidos para…</t>
  </si>
  <si>
    <t>— Ade­ mas se nos ha mandado comunicaros que los esfuerzos de S. M. para defender á Porcugal han sido poderosamente ayudados por la confianza que el príncipe Regente ha puesto en S. M. y por la cooperación ael gobierno local y del pueblo de aquel pais. La ex­ pulsión de los franceses de Portugal por las fuerzas de S. M. al ma…</t>
  </si>
  <si>
    <t>Regil, María</t>
  </si>
  <si>
    <t>María Regil</t>
  </si>
  <si>
    <t>, con el batallón del 64.“ y otro del D. Nicolás Estarripa.................................. 43320 114.0, dió con las bandas errantes y dispersas del Doña María Regil....................................... 722 salteador Sarasa en Baiil y cerca ce Ainsa , á las que D. A ¡berro Crem.¡delis............................. t‘3. 17 a…</t>
  </si>
  <si>
    <t>Regni</t>
  </si>
  <si>
    <t>ente coronel Hall, co­ mandante del regimiento 95 , uno de los oficiales mas dignos y beneméritos del exército. Aunque el cuerpo enemigo al mando del general Regni&lt;?r pasó hace dias á la derecha del Tajo, dexó sin embargó al­ gunos destacamentos sobre la orilla^ izquierda &gt; al parecer con el fin de observar nuestros movimient…</t>
  </si>
  <si>
    <t>Regnier</t>
  </si>
  <si>
    <t>ria. De Fía­ labrias , que mas bien conquistó por sus qnalidades me y de otros distritos, que ahora son franceses» que por la fuerza de las armas, el general Regnier, han llegado aquí muchos transportes de mercan­ se halla mandando las tropas que defienden vues­ cías. También llegan ahora las provisiones de al­ tras provincia…</t>
  </si>
  <si>
    <t>o. El memor ial militar y patriótico de antes de ayer contiene el artículo siguiente sóbrela acción de Xerex de los Caballeros. tc Poco satisfecho el general Regnier de la pérdida que el 2% de ju­ nio ultimo experimentaron sus tropas en el rincón de Zafra , de la que el 28 tuvieron en Burguilles (1), y dé la sorpresa en Monas…</t>
  </si>
  <si>
    <t>sitio de Ciudad*Rodriga que podrá dar lugar á una batalla ¿ y como el emperador ve que los ingleses son de temer, su intención es que V. M. ponga al general Regnier con el segundo cuerpo del exércúo baxo las órdenes del príncipe de Esiing, para maniobrar sobre Aícántara, y por la derecha del Tajo. II. DEL MISMO AL MARISCAL DU…</t>
  </si>
  <si>
    <t>. El general en xéfe ha recibido un parte del capitán D. Toribio de Bustamante que se halla destacado sobre el Tajo para observar los movimientos del general Regnier, con fecha del 19 en el Casar de Cáceres. En él refiere que noticioso de que los enemigos pasaban el rio por las barcas de Luria, Talaban y Alconetar, se dirigió…</t>
  </si>
  <si>
    <t>el Agueda. Todavía no ha abierto la trinchera de­ lante de Aimeida; ni tengo noticias seguras de que preten­ da hacer preparativos para sitiarla. El general Regnier que al principio se presentó en Navesfrias, y después en Salva­ tierra 5 envió el 31 de julio á Penamacor un destacamento de infantería y caballería á través de l…</t>
  </si>
  <si>
    <t>gido en esta ocasión, son, flotables las tres siguientes. I. I)el mariscal Mortier al-.mariscal Soalt., Cuartel general de Sevilla 13 de julio..—- El general Regnier ha operado con todo.su cuerpoy ha obtenido ventajas: esto es consiguiente. Del modoseñor mariscal ^ con que ha­ béis diseminado el 5.° cuerpo, no lograremos mas …</t>
  </si>
  <si>
    <t>Regníer</t>
  </si>
  <si>
    <t>sin concluir la negociación ea disparado todavía un tiro. El duque de Abrantes los términos que yo deseaba. Por tauio á las ocho está en Ledesma. El general Regníer, que chanda de la noche mandé que empezase otra vez el fue­ el segundo cuerpo, se halla en Zarza mayor. La go; y tre^ hora* después el gobernador de la plaza trop…</t>
  </si>
  <si>
    <t>cuerpo, y el centro por el sextoel octavo cuerpo quedó de reserva. Esta posición es ciertamente la mas fuerte de todo Portugal. A pesar de es­ to, el general Regnier ocupó la cumbre del monte y empezaba Restablecerse en eiía , quandoelgeneral HUI con un cuerpo de 20000 hombres atacó «n columna cerrada las tropas , que no pudi…</t>
  </si>
  <si>
    <t>Regnjecse</t>
  </si>
  <si>
    <t>iano el general Regnier, na conseguido ventajas'consi­ Luis de Urquijo." derables sobre una divtsioa de tropas inglesas al mando del general,Hiil. El general Regnjecse ha­ llaba.el dia ac de setiembre en Casceilo hráoco. VARIEDADES. Madrid 13 de octubre. Concluye el artículo de ayer. S. M. ha expedido éi-decreto siguiente: Re…</t>
  </si>
  <si>
    <t>Regnleí</t>
  </si>
  <si>
    <t>regimiento 51* de línea , y la caballe­ estos pueblos á qne se armasen, á pesar suyo, so ría del 26.0 de dragones. pena de abandonar sus hogares. El general Regnleí Las compañías francas de Córdoba se han por­ pe puso ayer noche en marcha con ánimo de sortado con un denuedo superior á qualquiera elogio, prehender este cuerpo …</t>
  </si>
  <si>
    <t>Regoier</t>
  </si>
  <si>
    <t>raciones, y aprendan el modo de sitiar ella los productos de la industria nacional. y tomar plazas. Hasta ahora no habíamos tenido mangas para los El general Regoier se ha apoderado de Peña incendios , y los grandes tesoros de producciones mayor y de Montsanto, que son dos fuertes de de las bellas artes qne hai en esta ciudad…</t>
  </si>
  <si>
    <t>Reguaud</t>
  </si>
  <si>
    <t>igor el artículo vil de nuestro decreto de 9 de poco pudieron conseguirlo el principe Borghese y junio de 1809, por él qual se previno que las cé­ ei conde Reguaud. Cansada de buscarla por espa­ dulas hipotecarias y los vales reales que se reco­ cio de un quatto he hora, no pudo sufrir mas, y gieran por medio de las ventas de…</t>
  </si>
  <si>
    <t>Reguera, Bartolomé</t>
  </si>
  <si>
    <t>Bartolomé Reguera</t>
  </si>
  <si>
    <t>uí tas rfpulaciones.de los paquebotes que hai en Falmouth, Ls quales manifiestan un espíri­ Subtenientes. tu de insubordinación y Je poca disdiplina, D. Bartolomé Reguera. ,,Se ha dado aqo¡ orden de preparar en el hos­ D. Diego Per. z. pital de marina camas para 2 $0 enfermos/' D. Juan G 'ozaiez. D. F&gt; añasco Martínez. IMPERI…</t>
  </si>
  <si>
    <t>Reguiion, Antoiin</t>
  </si>
  <si>
    <t>Antoiin Reguiion</t>
  </si>
  <si>
    <t>ha servido conferir el re­ gimiento de Caballería z.° de Aígarbe al brigadier D, Carlos Tasrsier5 teniente coronel del mismo cuerpo, y esta resulta á D. Antoiin Reguiion, comandante de escuadrón del. de caballería de voluntarios de Ciudad-Rodrigo: en el de Calatrava ia sargentía mayor á D; Juan Gra­ sa, capitán del propio cue…</t>
  </si>
  <si>
    <t>Reí</t>
  </si>
  <si>
    <t>e ÓRDES DEL DIA. ellos. Ha destraido ademas 4Í2) fusiles y 30 tone­ les de cartuchos. En su «elación elogia el valor El 15 de este mes atacó el señor general Reí, del cabo S&lt;»uv¡ y de los volteadores Federico del 4.0 cuerpo del exército,.]a quadrilb, de serra­ Voídinge , Perrot y Virgon del regimiento 9.0, nos, cuyo aefe era …</t>
  </si>
  <si>
    <t>Rei</t>
  </si>
  <si>
    <t>ores á las del enemigo, se compone de portugueses, gente de nueva leva, Madrid rj&gt; de noviembre. y con sospechas ademas de que no nos es mui fiel. El general Rei, al frente de los regimientos He aquí pues unos boenos motivos de consuelo. 3 2.0 y 58.0 y de los lanceros polacos , ha batido Pero aun en el caso que lord Wellingto…</t>
  </si>
  <si>
    <t>REI, Joaquín So</t>
  </si>
  <si>
    <t>Joaquín So REI</t>
  </si>
  <si>
    <t>nda quedan encargados. de la exeeoHemos decretado y decretamos lo siguiente *. cion del presente decreto. = Firmado = YO EL articulo i. „ Nombramos á D. Joaquín So- REI. Por S. M. su ministro secretario de Estado lís corregidor de esta ciudad. Mariano Luis de Urquijo.” art. II. Nuestros ministros de lo Interior y de Justicia …</t>
  </si>
  <si>
    <t>Reinalte, Rafael</t>
  </si>
  <si>
    <t>Rafael Reinalte</t>
  </si>
  <si>
    <t>os decretado y decretamos lo que sigue • D. A-ndres Bardon................................... 7310 articulo-1. ,,Se declaran acreedores al estado por D. Rafael Reinalte................. .......... 4653-»». créditos liquidados ya á . D, Francisco de las Barreras.................. 13 67.. 2 2 D. Domingo Ortiz de Zárate, por un …</t>
  </si>
  <si>
    <t>Reinoids</t>
  </si>
  <si>
    <t>lor 28 después de medio dia al palacio de Drotmingy resignación. S. M. reconoció inmediatamente al holm , y que por la tarde habla ido de incógnito á doctor Reinoids por el eco de la voz. Estos ?ínto- Estockolmo á visitar á SS. MM. Se le esperaba snas son favorables, y la tranquilidad y sosiego de también allí el 29, pero de …</t>
  </si>
  <si>
    <t>Reinosa, María del Rosario</t>
  </si>
  <si>
    <t>María del Rosario Reinosa</t>
  </si>
  <si>
    <t>areía; Fernandez........... • 9289-20 1 Doña,Isabel Cortés de Tabanco........... 8445.-27 . La marquesa de Brancitbi-né.-.............. - -*7S53-*4 . Doña María del Rosario Reinosa—í.. 1 5858.8,. 8 Doca Vrctoria Dumont—............—«. ■ 3365-19 D. Sebastian Ricos Altos................ . S3l7-**3 Doña María Joseta Acedo y Olaz…</t>
  </si>
  <si>
    <t>Reinoso, María del Rosario</t>
  </si>
  <si>
    <t>María del Rosario Reinoso</t>
  </si>
  <si>
    <t>............ D. Domingo de Vcntade', como apo­ D. Hipólito Serrano............................... 37672 22 derado de D. Francisco Elexaga ... 1985 J7 Doña María del Rosario Reinoso....... 23687 D. Bernardo Elexaga............................. 1453° 8f D. Cristóbal Olmedo.............................. 90068 17 D. Andrés Martín…</t>
  </si>
  <si>
    <t>Reissig</t>
  </si>
  <si>
    <t>el mismo día al ministerio competente. S. A. I. el archiduque Rodolfo ha enviado ana carta muí lisonjera „ con una caxa primorosa de oro, Del 18. al coronel Reissig, que fe ha dedicado sus poesías. Ayer vino de Badén S. M. para asistir á Tas audiencias de estilo, y á un consejo de Estado ex­ ’WURTEMBERG. traordinario , del qu…</t>
  </si>
  <si>
    <t>Renato</t>
  </si>
  <si>
    <t>ídem. Bosc ( D. Josef Aiexandro), gefe deesquadron de Giraud (D. Juan Antonio), tirador, ídem. cabal le.ía ligera de nuestra guardia real. Godanis ( D. Renato ) , sargento primero de arti­ Bouchet (D. Luis), capitán, ayudante mayor de llería, ídem. granaderos, ídem. Gómez (D. Joaquín), sargento de húsares, idem. Boode (D. Fra…</t>
  </si>
  <si>
    <t>Renaud</t>
  </si>
  <si>
    <t>to sobre esta ma­ en la altura de Viareggio de quatro buques de co­ teria y asi en la península como fuera de ella: sa mercio: la goleta Antílope, su capitán Renaud, autor D. Joaquín de Villalba, licenciado en medi­ teniente de navio , y la cañonera los Dos Amigos_, cina y cirugía, individuo de la real academia mé­ mandada po…</t>
  </si>
  <si>
    <t>Renouvicrs</t>
  </si>
  <si>
    <t>to, cerca de a a® hombres * _____^ habían formado sobre las fronteras del territorio de Valencia con 10 pieza» Je artillería y 1200 Ei 20 de abril el comandante Renouvicrs, go­ Cabrios. E&gt; ta envié al general Harispe con aoo bernad r de Jaca, mediante una marcha de 14 ho­ c ballos para sostener al general B »usart. Cié» ca­ r…</t>
  </si>
  <si>
    <t>Renovales</t>
  </si>
  <si>
    <t>746</t>
  </si>
  <si>
    <t>s-bienes. Del 13. Acaba de entrar un bergantín ingles con 1000$ fusiles é inmensa cantidad de cartuchos, y pronto se hará á la vela la expedición del general Renovales, reforzada por nu­ meró* considerable de tropas inglesas. — Hace pocos dias que en las. inmediaciones de Leoh se cogieron á lps franceses 84 cargas de suela, y…</t>
  </si>
  <si>
    <t>1056</t>
  </si>
  <si>
    <t>ol 16 de, noviembre. Extracta del parte comunicado por los brigadieres Porlcerry Cástaiion. sobre lo que. execuf aren para proteger el desembarco del general Renovales en Cijon el 18/19 y il0 del ‘pasado.. “El 15 de-octubre se reunieronnuestras tropas en Cezo£p, y en ia misma: tarde partieron hacia Gijon, aunque muy escasas d…</t>
  </si>
  <si>
    <t>ndo en nuestro poder 5 prisioneros y 18 muertos , y llevando ademas muchos heridos , entre éllos á su comandante. A este tiempo llegó un ayudante del general Renovales, ofreciendo auxilios para la toma de la plaza : las tropas se acamparon en Castiello; pasó á bordo él brigadier Portier, y se determinó el desembarco y ataque …</t>
  </si>
  <si>
    <t>Rentero, Luis Antonio</t>
  </si>
  <si>
    <t>Luis Antonio Rentero</t>
  </si>
  <si>
    <t>D. Pedro Baena , capitán de la S. M. en Andújar, constaba de D. Pedro Acucio primera de infantería, y á D. Francisco Munarriz, Choza, aL-j'de mayor; D. Luis Antonio Rentero, comandante de todas ellas: cambien se ha servido alcalde ordinario, y D. Andrés García Sob.nzo , es­ el REI confirmar el nombramiento que habia he­ criba…</t>
  </si>
  <si>
    <t>Repiso, Gerónimo</t>
  </si>
  <si>
    <t>Gerónimo Repiso</t>
  </si>
  <si>
    <t>o, prehender este cuerpo de tropas españolas, y lo ha sobre todo la caballería mandada por el teniente logrado completamente. Don Carlos España se ha D. Gerónimo Repiso. El comandante Boni asegura salvado refugiándose en las sierras con la poca gen­ en su relación da oficio que han rivalizado digna­ te que le ha quedado, á la…</t>
  </si>
  <si>
    <t>Repiso, Jostf</t>
  </si>
  <si>
    <t>Jostf Repiso</t>
  </si>
  <si>
    <t>taban ocupados- S. M. atravesó la D. Pablo Carbonell , ayudante D. Josef María Bu» ciudad á caba’lo ea medio de repetidas aclamacio­ rel , abanderado D. Jostf Repiso, cirujano D Juan nes de sus moradores: todos los semblmies mani­ Jarzuelo. festaban la expresión del júbilo y la confianza ge­ . Compañía de granaderos. Capitán …</t>
  </si>
  <si>
    <t>Repjso, Francisco</t>
  </si>
  <si>
    <t>Francisco Repjso</t>
  </si>
  <si>
    <t>rsos ? te D. Toma* Pérez., Para la de Rio Gordo al ex- carmelita descalzo SUIZA. D. Julián de Gaet».„ Lattsans x.° desetiembre. Para la de Colmenar á D. Francisco Repjso, ex-trinitario calzado. ? Nuestro consejo académico trata de. elegir un Para la de Aíhiaurtn de la Toree á D. Juan de prefífor ,d.« literatura francesa. Se h…</t>
  </si>
  <si>
    <t>Repnin</t>
  </si>
  <si>
    <t>as cortes deBadea, de Wartemberg y;de Baviera. Anunció al mismo tiempo.que todo Del 14. lo decretado por la dieta el año anterior sobre esta S. E. el príncipe Repnin, enviado extraordi­ punto habia sido executado exactamente; que las nario de S. M. el Emperador de Rusia , ha tenido negociaciones con Badén estaban ya adelantad…</t>
  </si>
  <si>
    <t>ES. fácil la explicación det privilegio odioso que priva­ ba de un beneñcio acreditado á los comerciantes Parts to de agosto. de la corte. ' S. E. el príncipe Repnin, ministro de Rusia En vano recurrieron estos para su inclusión en cerca de S. M. el Reí de España, llegó el dia 6 á el sistema al tiempo en que parecía unirse co…</t>
  </si>
  <si>
    <t>iverpool, fecha en Alverca solemnidad la fiesta del Emperador. el 11 de julio de 1810. El nuevo ministro de Rusia barón de Jacowleff,que reemplaza al príncipe Repnin cerca de nuestra „E1 enemigo pasó con mucha gente el Ague­ corte, ha llegado aquí coa el señor Fahnemberg, y da el dia 4 del mes último, y obligó al brigadier an…</t>
  </si>
  <si>
    <t>mayor ardor, dirigiendo nuestra príncipe K-’urakin, emb^xador de S. M. el Empe­ ruta al pueblo del Noalejo, adonde con precipita­ rador de Rusia, el príncipe Repnin, enviado ex­ ción caminaban con el comisionado; y estando in­ traordinario, y ministro plenipotenciario de S. M. mediato á él, quando los de la partida estabaa el…</t>
  </si>
  <si>
    <t>Repnio</t>
  </si>
  <si>
    <t>en Pilnitz. Al salir de la galería S. M. su­ También pasó ayer por aquí una parte de la bid al coche» y fue á comer á Pilnitz, y por la comitiva del príncipe Repnio, embalador de Ru­ noche asistid á una dpera representada por los ac­ sia cerca del Rei de España. tores del teatro italiano de la corte. La Emperatriz salid de Pi…</t>
  </si>
  <si>
    <t>Repuia</t>
  </si>
  <si>
    <t>endo con la misma pre­ el señdr Gesrier, agregado á la legación, y el ca- cipitación, según se advirtió, y él mismo ha ma­ plrao Brosdini, edecán del príncipe Repuia. nifestado, asegurando que por este motiva no le ofendieron, caso que tuviesen ánimo de hacerlo, ' ESPAÑA. el que firma haber sido asi; no pudiendo dexár ea sile…</t>
  </si>
  <si>
    <t>Restrebada, Víctor</t>
  </si>
  <si>
    <t>Víctor Restrebada</t>
  </si>
  <si>
    <t>udantía, k D. Vicente Alvarez ; tenen­ cias, á D. José Arechaga , D. Francisco Galan , D. Bernardo Cobian , y D. Francisco San Pedro ; subtenencias á D. Víctor Restrebada, D. Nicolás Marino, D. Miguel Souto, D. Francisco Urdapilleta, D. Hilario Naveyra , y D. Ramón Vasadre : en el se­ gundo de la Princesa , subtenencia k D. J…</t>
  </si>
  <si>
    <t>Resumen, Diego</t>
  </si>
  <si>
    <t>Diego Resumen</t>
  </si>
  <si>
    <t>la calle de S. Juan» que secretario de Estado=Firmado sMariano Luis de Urquijo. habita Miguel Perez................... 396 47 í2 Otra en la catle de D. Diego» Resumen. Urales vellón. arrendada á Rosendo Ruiz........ 264 3168 Otra en la calle Aguilar, arren­ Valor de las fincas del primer estado. 738514..28 dada á Pedro Erena.…</t>
  </si>
  <si>
    <t>Rethberg</t>
  </si>
  <si>
    <t>. El general Compans pasará de Ratisbona á Cassel 20 de mayo. Baireuth para entregar aquella provincia al conde El general de división Morio, antiguo ministro Rethberg. de Guerra, y comandante de nuestras tropas en el El general Ragtowich ha ido á Botzen con los exército francés de Cataluña , acaba de llegar aquí comisarios b…</t>
  </si>
  <si>
    <t>Retropas</t>
  </si>
  <si>
    <t>s acos­ Cziapan-Oglow y Kara- Osman~ Oglow , que son tumbradas^ . partidarios del sistema de Mustalá-Bairactar. Sus Un correo despachado por el señor conde Retropas debían reunirse en Andrinópoli con el cuer­ ding ha traído la noticia de qne el ex-Rei de Sue­ po de Veli-baxá, hijo del famoso Ali-baxá, y cia se ha embarcado pa…</t>
  </si>
  <si>
    <t>Retz, Juan</t>
  </si>
  <si>
    <t>Juan Retz</t>
  </si>
  <si>
    <t>......... 1825 D. Mariano Iiundain..'..... ..ÍV...1.......... 1983 28 Doña María Andrea Moreno..;.......... 3573 26, D. Melchor Cadenas.;........ 768 D. Juan Retz........................................ - 3000• Doña Angela Célva.;.'..;...... 480 Doña Dionisia Portenia..................... ' 157 5 : Doña Manuela Cólica y Soto.…</t>
  </si>
  <si>
    <t>Reunía, Simón</t>
  </si>
  <si>
    <t>Simón Reunía</t>
  </si>
  <si>
    <t>= Firmado ^YO EL REI.es terino D. Manuel Mier; al teniente primero de Por S. M., como encargado de la gran cancillería asistente D. Joaquín Solis; á D. Simón Reunía» en ausencia del señor duque del Campo de Alanregente de la real audiencia ; D. Joaquín de Go- ge , =el conde de Montarco, miembro del grao con­ yeneta, procurado…</t>
  </si>
  <si>
    <t>Revuelta, Juan Manuel</t>
  </si>
  <si>
    <t>Juan Manuel Revuelta</t>
  </si>
  <si>
    <t>ibano de real hacienda , 100. D. Juan Antonio Serra­ no , 200. D. Juan Felipe Laurnaga , 100. D. Gregorio García Corral, 100. O. .Juan Irigoyén, 100. D. Juan Manuel Revuelta, 200. D. Pedro de la Puente;‘20Q. B. Isidro Zulueta , 200. D. Bartolomé García y García, 100. Don Diego Barren , *200. D. Pedro José Caraso , 200. D. Jul…</t>
  </si>
  <si>
    <t>Rey</t>
  </si>
  <si>
    <t>su inteligencia.— Dios guarde á V. E. mu­ chos años. — Quartel general de Casares 2 de junio de 1810, — Excmo. Sr.— José Serrano Valdtnebro. Nota. El general Rey entró en Ronda gravemente herido, y los dos hermanos Villarreales , traidores señalados^ de Málaga que servían de guias ai enemigo, fueron muertos en* ia acción.” . …</t>
  </si>
  <si>
    <t>arazos. — J)ios.guarde &amp;c.. NUM. XXI. S. Roque 19 de julio. Excmo. Sr. — Ten­ go la satisfacción de participar á V. E. que la división fran­ cesa del general Rey que ¡ocupaba á Marbella é intenta­ ba contra su castillo ,; se ha retirado con dirección á Má­ laga el 17- Este es quizá el resultado del: movimiento que</t>
  </si>
  <si>
    <t>s­ tiani se limita á hacer preparar en Málaga un pequeño tren de sitio para atacar en regla el fuerte de Marbella , delante del qual se hallaba ya él general Rey, y á eiiviar gruesas par­ tidas sobre Huesear, Velez el Rubio y Vera. Por lo demas todo está perfectamente tranquilo en el reyno de Granada (o). Los pueblos de la se…</t>
  </si>
  <si>
    <t>neros ,, inclusos 17 oficiales. Este cuerpo ha sido, dispersado enteramente (1) y y el general Verges ha en­ trado en Teruel (2)^ „E1 15 de julio, el general Rey atacó á un cuerpo de insurgentes en la ser cania de Ronda, mató 4000 de ellos , dis­ persó los restantes é hizo algunos prisioneros (3). — El cuerpo q**e habiá desem…</t>
  </si>
  <si>
    <t>mo ESPAÑA. Madrid 18 de noviembre. Con los 3 correos que llegaron el 12 de Andalucía vino im oficial francés, y con este motivo divulgaron que el general Rey habia derrotado el 29 de octu­ bre al general Blake en Baza, matándole 2000 hombres, y haciéndole 6000 prisioneros (1), añadiendo que la caballería habia huido vergonzos…</t>
  </si>
  <si>
    <t>Reyelo, Antonio</t>
  </si>
  <si>
    <t>Antonio Reyelo</t>
  </si>
  <si>
    <t>Gaspar Soiiveres. Subtenientes. D. Juan Ncpomuceno Rosales. D. Josef Vargas. D. Julián Castañou. D. Diego Giraldo. D. Juan Crespo. D. Andrés Almarza. D. Antonio Reyelo. D. JnrefTubó. D. Joaquín Pacheco. D. Pedro Josef Mayora. D. Esteban Bains. D. Modesto faLcios. Tenientes. D. Juan Paredes. D. Agustín Ugarte. D...............…</t>
  </si>
  <si>
    <t>Rhemvald</t>
  </si>
  <si>
    <t>echo á S. A. de adoptar las providen­ mando de la fortaleza de Glogao por el falleci­ cias generales contra el contercio prohibido, ha to­ miento del general Rhemvald. mado las disposiciones siguientes: En una carta de nna casa de comercio de las aUT. i.° T. idas las providencias^tptpadas bas­ orillas del Veser se confirma qu…</t>
  </si>
  <si>
    <t>Ribera, Jo-ef Díaz</t>
  </si>
  <si>
    <t>Jo-ef Díaz Ribera</t>
  </si>
  <si>
    <t>Agustín Ab«rjctc¿r.i. articulo T. ,,Se abrirá inmediatamente una 3.0 A D. Gonzalo de H. r.dio calle detrás del antiguo convento de S. Felipe el 4.0 A D. Jo-ef Díaz Ribera , todos tres alcal­ Re -1 de Madrid , que comunique de ia plazuela de des del crimen en dicha co-n i!¿ rio S. Esteban á la de la Paz. Y' á D. Manuel Mana de…</t>
  </si>
  <si>
    <t>Ribera, Josef Diez</t>
  </si>
  <si>
    <t>Josef Diez Ribera</t>
  </si>
  <si>
    <t>dados dispersos y paisanos de Romero Valdes, y alc-ddes del crimen de la chan- los lugares de la sierra. Los hombres de bien se cillcría de Granaba á D. Josef Diez Ribera y á lamentan de los monstruos que incitan asi á la ca­ IX Mariano Lafu.nte , y p_ra la plaza de alcalde nalla, y de que ellos son víctima. mayor, que tvsu't…</t>
  </si>
  <si>
    <t>Ríbes, Ramón</t>
  </si>
  <si>
    <t>Ramón Ríbes</t>
  </si>
  <si>
    <t>y Goazalez. D. Mariano García de la Cruz. D. Autonio María Rodríguez. D. Antonio Uribarri D. Tomas Arenillas..;... D.' Josef Manuel López baña­ bas. D. Ramón Ríbes........... D. Antonio Tomas Dicgues. D. Francisco B mi^;„. D. Juan Antonio Medina. lo.• a • «••••» D. Diego Josef de Vi.la D. Mauricio Palla. Décimo batallón. Para…</t>
  </si>
  <si>
    <t>Ribote, Teodoro</t>
  </si>
  <si>
    <t>Teodoro Ribote</t>
  </si>
  <si>
    <t>n ■ ¡ de Etu-ain................. ! VÓ 37 Doña María Aievrlo, por su re­ 13. Ata h.ísi * Vmt aria ........................ . i 263 17 presentad.i.- -D. Teodoro Ribote.... 422)2 6 D. Ju- n R¡e-.:o...................................... 6:2 D. Julián Josef Gancedo...................... 1107 16 Daña ínc Ortiz de Zirate...........…</t>
  </si>
  <si>
    <t>Ric, Pedro María</t>
  </si>
  <si>
    <t>Pedro María Ric</t>
  </si>
  <si>
    <t>deRioboo, por la provincia de San­ tiago : D. José Cerero, por la de Cádiz : D. Manuel Ros, por la de San­ tiago : D. Francisco Papiol, por Cataluña: D. Pedro María Ric, por ía junta superior de Aragón : D. Antonio Abadin y Guerra, por la pro­ vincia de Mondoñedo: D. Antonio Payan, por la de la Coruña: Don Juan Bernardo Quiro…</t>
  </si>
  <si>
    <t>Richards, Tomas</t>
  </si>
  <si>
    <t>Tomas Richards</t>
  </si>
  <si>
    <t>2©. El señor D. Duncan Shavv, 3©. El señor D. Tomas Goddard, t®. El señor D. Jacobo Glass, 3©. Él se­ ñor D. Guillermo EJlwand, menor, 1 ®. El señor D. Tomas Richards, i®. El señor D. Federico Grellet, 3©. El señor D. Archibaldo Turnbull, 10. El honorable J. H. Frere, 5©. El Excmo. señor D. B. Frere, $®. El se­ ñor D. Francis…</t>
  </si>
  <si>
    <t>Ríchter, Antonio</t>
  </si>
  <si>
    <t>Antonio Ríchter</t>
  </si>
  <si>
    <t>Esteban del Castillo pata capitán de la pri­ milicia cívica que á cada uno se detallan. mera compañía. ART. II. En la, villa de Escepapse aumentarán D. Antonio Ríchter para teniente de la mí^ma. dos compañías, formando un batallón con las otras D. Pedro Tineo para.subteniente de la dicha. , dos ya formadas. : D. Ignacio Grana…</t>
  </si>
  <si>
    <t>Rico, Fernando Perez</t>
  </si>
  <si>
    <t>Fernando Perez Rico</t>
  </si>
  <si>
    <t>ttf Peña 1 ver.-.v.......................... '120Ó 1 Doña Paulina GilTerreros......;,78082:126 D. Manpfel María Tovar...........;».‘..:Lí. - 75c 3 2| D. Fernando Perez Rico^...... 46..... 88000 •' Doña Catalina Fornier............ ....... ...i - t$? D. Manuel Sixto Espinos»....w.......... 45060 '■ . D. César González.........…</t>
  </si>
  <si>
    <t>Rico, Joaquín</t>
  </si>
  <si>
    <t>Joaquín Rico</t>
  </si>
  <si>
    <t>ón, ác D. Jo:é Orcmí, ayúdame de dragones de Lusitania, que en uno de los ataques dados al enemigo dentro de Aracena quedó muerto ó prisionero , y de D. Joaquín Rico, cadete del regimiento de Candás y Luanco , que murió en la acción. É-i teniente coronel D. Cayetano Al­ cocer, sargento mayor del provincial de León, á pesar de…</t>
  </si>
  <si>
    <t>Rico, Pedro</t>
  </si>
  <si>
    <t>Pedro Rico</t>
  </si>
  <si>
    <t>o de la guardia cívica de Al­ tación ni.llamamiento, sc^leterminará con arregloá de­ recho sustanciando lo que ocurra en estrados, lo que le caudete. D. Pedro Rico, capitán de escopeteros y el sargento Alonso, de la misma compañía, son &amp; parará entero perjuicio. dignos de particular mención. TBATKOS. Madrid 2&lt;f de junio. En e…</t>
  </si>
  <si>
    <t>Rico, Tomas</t>
  </si>
  <si>
    <t>Tomas Rico</t>
  </si>
  <si>
    <t>s, 40. D. José Vazqu z, 40. D. Manuel Sistiaga, 20. D Juan Valenzuela, 20. D. Fran­ cisco Valenzuela, 10 D. Francisco García, 20 D. Reyes García, 20. D. Tomas Rico, 10. D. José de Oscosa, 10. D. Francisco Córdoba, 12: D. Vicente H¡aojoso, 10. Varios individuos, 104. — Orcasitas. D. Ma­ nuel del Campillo, 20. D. Victor Aguilar…</t>
  </si>
  <si>
    <t>Ricoté, Agustín</t>
  </si>
  <si>
    <t>Agustín Ricoté</t>
  </si>
  <si>
    <t>mos' para capitaner, Al lado dé la epístola cstaba la municipalidad, téhiefites y subtenientes de las séís compañías' del presidida por cu corregidor D. Agustín Ricoté ; en péopto batallón los-oficiales que ¿ continuación sé: sidos inmediatos las demas autoridadfes, ¿efes de expresan: . V ; contadurías y administraciones, los…</t>
  </si>
  <si>
    <t>Riéc, Juan</t>
  </si>
  <si>
    <t>Juan Riéc</t>
  </si>
  <si>
    <t>o. ,, No puedo ser mas largo» porque estoi po­ Sargento mayor del cuerpo de inválido' de Ma­ niendo muchos oficios para retirarme de esta gen­ drid á D. Juan Riéc, capitán primero del mismo te , pero pronto; pues por lograr esta satisfacción cuerpo; capitán segundo á D. Martin de T irre*, me detengo aqui , y como estoi tan di…</t>
  </si>
  <si>
    <t>Riego, José</t>
  </si>
  <si>
    <t>José Riego</t>
  </si>
  <si>
    <t>nem igos desde las emboscadas, y para sostener la. retirada-marqué fas posiciones mas ventajosas, ha logrado ofenderpuestra tropa sin ser . ofendida. D. José Riego &gt; comandante del cuqrp*»</t>
  </si>
  <si>
    <t>Riesco, Francisco María</t>
  </si>
  <si>
    <t>Francisco María Riesco</t>
  </si>
  <si>
    <t>astellarnau por ídem: D. Antonio María de Parga, por la pro­ vincia de Santiago : D. Francisco Pardo por idem: D. Vicente Ter­ rero, por la de Cádiz: D. Francisco María Riesco, por la junta supe­ rior de Extremadura: D. Gregorio Laguna, por la ciudad de Badajoz: D. Vicente de Castro Lavandeyra * por la provincia de Santiago ,…</t>
  </si>
  <si>
    <t>Riesco, Miguel</t>
  </si>
  <si>
    <t>Miguel Riesco</t>
  </si>
  <si>
    <t>. Vicente Morales, suplente por idem: D. Ramón Feliu, suplente por idem: D. Antonio Suazo, su­ plente por idem: D. Joaquín Leyba, suplente por Chile: D. Miguel Riesco, suplente por idem: D. Francisco López Lisperguer, suplente por el vireynato de Buenos-Ayres: D. Luis Veiasco, suplente por idem: D. Manuel Rodrigo, suplente po…</t>
  </si>
  <si>
    <t>Riesco, Rafael</t>
  </si>
  <si>
    <t>Rafael Riesco</t>
  </si>
  <si>
    <t>á. D. Narciso B.*sia. Capitanes. D. Francisco López de Moya. Marques de Canillejas. D. Manuel Barraltes. D. Francisco Marchámalo. D. Rafael de Yarce. D. Rafael Riesco. D. Clemente Meibicl. D. Manuel Palomino Lozano. cuela del hombre sensible, donde se aprenden las ver­ tiene á la verdad defectos mui reparables; pero á pesar d…</t>
  </si>
  <si>
    <t>ados Firmado=Mariano Luis de D. Manuel Montalvan........................ 98778.. 8 Ur quijo.” D. Josef del Corral...................... ....... 42720 D. Rafael Riesco...!............................ 84000 Extracto de las minutas de la secretaría de D. Vicente de Anduaga, como ma­ Estado. rido de Doña Gervasia García de En nue…</t>
  </si>
  <si>
    <t>Rífzei</t>
  </si>
  <si>
    <t>: * Compañía dé lá villa de Torré* de d 50plazas. Compañía de Valdentorillo de d:j¡ 0 plazas. ■ j- ’ • ■” ■ ■ ; ‘ Capitqn, D. Tadeo Salcedo. Capitán, D. Rífzei El»ira Duraa. • . , Teniente , D. Juan de Vera. Teniente,ID. FéiiZf Láis. .1 . Subteniente,’D, Lili*.* Ventora Moralfcí..... . Subteniente y D. josef Corrali ; turaí? …</t>
  </si>
  <si>
    <t>Riiz, Francisco</t>
  </si>
  <si>
    <t>Francisco Riiz</t>
  </si>
  <si>
    <t>l corregidor de Velez délo anterior llamó á la partida volante de Arenas, y quando ésta villa se halló sola con su a’calde y un encargado de policía -D. Francisco Riiz, entró el desconocido-D. Pedro, se llevó al alcalde D. Bartolomé García, y qui­ so poner preso al D. Francisco Ruiz, el que huyó. —El alcalde de Ojtibar, según…</t>
  </si>
  <si>
    <t>Rincón, Juan</t>
  </si>
  <si>
    <t>Juan Rincón</t>
  </si>
  <si>
    <t>ñas...... ................. 5234 *7’ P-. Josef Masart D. Juau Pablo.Malnero,...... ............... 7S8i D. Gonzalo Du*.&lt;Je RibjWa.-..-a^*;.vv 22500 1 D. Juan Rincón.».............. ................. 7OI4 *7 pona Abs ;■ ?5'4gco D, Francisco Xavier.-Martínez Re- D. Francisco Paula Poocc, ^2400 -1 mon............ ...............…</t>
  </si>
  <si>
    <t>Rincón, Manuel Martin</t>
  </si>
  <si>
    <t>Manuel Martin Rincón</t>
  </si>
  <si>
    <t>-ídemia de-iS-:Fernando...... ióódó ; .vi. Dona Micaela Zorra^uin..........,^..,,.. , iSH?&gt; 8^ D-.-PftdíP. Cifuentes................... . 10649 , %7~ D Manuel Martin Rincón... *• 63^:2 54 Doñaj jauría del Rosario, Reinoso., • 1624 1 fx D. Ternas Recio.......... ............i5.....;.?79^']2S^ D.Sixto. Espinosa..»........;.,: .…</t>
  </si>
  <si>
    <t>Ríos, Antonio</t>
  </si>
  <si>
    <t>Antonio Ríos</t>
  </si>
  <si>
    <t>pies. la propiedad y del orden social toa Baeza , Linares, Comandante, el maques de Perales. Vilches, Baños y Guarrotnan. El Excmo. Sr. go­ Ayudante, D Antonio Ríos. bernador general los felicita en nombre de las ie- Abanderado, D. Manuel Choya. yes, por cuyos adalides sus valientes moradores se han constituido. Batallón del …</t>
  </si>
  <si>
    <t>Ríos, Pedro de Ls</t>
  </si>
  <si>
    <t>Pedro de Ls Ríos</t>
  </si>
  <si>
    <t>su división. ñas y de las Indias. Esperamos los demas de un momento á otro. ,, Oido nuestro ministro interino de Negocios eclesiásticos, nombramos á D. Pedro de Ls Ríos, . • " , Del ,3O. presbítero y racionero dé ia catedral de Avila, El 29 de junio un convoi que venia á Scilla para una canongía de la de Palencia , vacante po…</t>
  </si>
  <si>
    <t>Ripol, Valero</t>
  </si>
  <si>
    <t>Valero Ripol</t>
  </si>
  <si>
    <t>infantería, una mugar, 7 caballos y 50 fusiles con sus cananas y bayonetas. Distinguiéronse rrmy particularmente en esta bizarra acción el te­ niente D. Valero Ripol, y el sargento 2.Q Joaquín Anadón. Del 24. Eí 13 del que rige atacó y batió el general Villacampa entre el Frasno y Calatayud á 650 franceses. Murieron en la acc…</t>
  </si>
  <si>
    <t>Riquelme, Agustín</t>
  </si>
  <si>
    <t>Agustín Riquelme</t>
  </si>
  <si>
    <t>AS. Ci rindes, litares. oidor del propio tribunal. t . 2.0 A D. Manuel Becerril, oidor de Sevilla. , 1 Madrid, "F iado, Gu-dalavara. Madrid. 3. ?,. A D. Agustín Riquelme, alcalde del cri­ 2 Cuenca, Valencia , Alicante...... Videncia. men de Granada. ‘ ¡ Teruel , Z ragoza , Tarragona.... Zaragoza. 4.“ A D. Josef Omulrian , alc…</t>
  </si>
  <si>
    <t>Riston</t>
  </si>
  <si>
    <t>ta escuta en bre ellos los dispersó, dexando 30 muertos y mu­ Marbella el 7 de julio de e&gt;:e año, y publica !a en ia chos caballos sobre el campo. El capitán Riston y gazeta de Madrid dei 24 del corriente. A la verdad el teniente Hupair se distinguieron por su buena que no será fácil ú las quadriilas de insurgentes la re­ dis…</t>
  </si>
  <si>
    <t>5.11 dirigió sobre ellos, los dispersó , dexando 30 muertos y muchos caballas sobre el campo. El capitán Riston y el teniente Hupair se distinguieron por su buena disposición en este ataque. . Al mismo tiempo Mr. Gaud, ¿efe de batallón del regimiento, ióo de línea que manda una coluna móvil en las fronteras de Extremadura, at…</t>
  </si>
  <si>
    <t>Rites, Ramón</t>
  </si>
  <si>
    <t>Ramón Rites</t>
  </si>
  <si>
    <t>..... Ej?Josef González. D. Tomas Arenillas. í?. Gaspar de Losas Hidalgo. D. Josef lbárreta. D. Pedro Batelú. D. Manuel Negueruela. D. Antonio Bailo. D. Ramón Rites. D. Manuel Toro. D. Josef Castro. D. Antonio Rubio. D. Andrés Saiz Dnrango. Batallón del quartel de S. Francisco. D. Jo sef Antonio Molina. Capitanes. D. Josef Ga…</t>
  </si>
  <si>
    <t>Riva, Miguel</t>
  </si>
  <si>
    <t>Miguel Riva</t>
  </si>
  <si>
    <t>Elejalde, 1000. D Lorenzo Rodrí­ guez Sánchez, 1000. Costello, hermanos, iooo. D. Manuel Ortiz de Muga y su muger 60. D. Pasqual Moreno de Mora, 600. D. Miguel Riva, 500.. D. Miguel Maten é hijos, 400. D. Francisco Berrio, 500. D. Manuel Ros, 1000. D. Tomas Isturiz, 4000. D. Ildefonso Ruiz del Rio, 4000. Duque del Infantado, …</t>
  </si>
  <si>
    <t>Rivacoba, Gregorio</t>
  </si>
  <si>
    <t>Gregorio Rivacoba</t>
  </si>
  <si>
    <t>Camila de Arriaga..................... . 10800 D. Simón Gutiérrez.............................. 5 297 8f Doña Juana de Muga y Acha............. 6300 D. Gregorio Rivacoba......................... 2895 81 Doña María Ignacia de Recalde......... 10800 Doña Juana de Urquijo, como totora D.a Rita de Vivero y Cabeza, por ma­ y curad…</t>
  </si>
  <si>
    <t>Rivacoba, Minué</t>
  </si>
  <si>
    <t>Minué Rivacoba</t>
  </si>
  <si>
    <t>acitsilos, linde la vereda que va i de Morcillo, de una'fanega y i00 la Cantona al mediodía, y con, fier­ estadales........ ........... So libo ra de D. Minué Rivacoba., 107..!/ 2SáS Otra etl‘Tbrrcgrillos, de una fanega, . *4. í • -ri. Qlra,de una /anega y ó estadales en la que linda con otra de Josef Zabala.. *3-*7 V *97 'At…</t>
  </si>
  <si>
    <t>Rivas</t>
  </si>
  <si>
    <t>es, cada uno llevándose el fruto de sus ra­ bet oido un tiro, iíl otro se contentó coa llamar­ piñas , desapareció, mofándose en su interior de se el coronel Rivas, su segundo apellido, por no que los pueblos quedasen expuestos por ellos á las quererse confundir con otro que tenia el suyo , y contribuciones extraordinarias im…</t>
  </si>
  <si>
    <t>Rivas, Francisco</t>
  </si>
  <si>
    <t>Francisco Rivas</t>
  </si>
  <si>
    <t>Llamosas, D. Martin Tovar Ponte, D. Feliciano Palácip; D. Nicolás de Castro, D. Juan Pablo Ayala, D. José Cortés; D. Hilario Mora, D. Isidro Mendez, D. Francisco Rivas; D. Rafael González, D. Valentín Rivas, D. José Félix Sosa; D. José María Blanco, D. Dionisio Palacios, D. Juan Ger­ mán Rossio, D[ Juan Ascanío, D. Pablo Gonz…</t>
  </si>
  <si>
    <t>Rivas, José Félix</t>
  </si>
  <si>
    <t>José Félix Rivas</t>
  </si>
  <si>
    <t>nisio Palacios, D. Juan Ger­ mán Rossio, D[ Juan Ascanío, D. Pablo González , D. Fran­ cisco Xavier Ustariz, D. Silvestre Tovar, D. Nicolás A usóla,' D. José Félix Rivas, D. Fernando Key, D. Linó dementé. Los ministros son los individuos: de"la misma Rossio, Key, Ansola y Clemente, el primero de estado, el segundó de ha^, cie…</t>
  </si>
  <si>
    <t>Rivas, Josef</t>
  </si>
  <si>
    <t>Josef Rivas</t>
  </si>
  <si>
    <t>Saz, Deogracias López Adan...................,...... .. 18 39* de una fanega, linde i poniente y norte Otra en dicho sitio, junto al camino real, con D. Josef Rivas..................................... &lt;S..i7 *43 que llaman de Carboneros, de 2 l'inegas, Otra en el can ino baxerde Cobeña , de 2 fan. linde á oriente con fietra …</t>
  </si>
  <si>
    <t>Rivas, Josef Antonio</t>
  </si>
  <si>
    <t>Josef Antonio Rivas</t>
  </si>
  <si>
    <t>de la Paloma. D. Mariano Mari. D. Estéban Corones Alberola. D. Joaquín Manuel de Villalba. Tenientes. D. Juan Manuel Valenzuela. D. Francisco Flores. D. Josef Antonio Rivas. D. Ramón Fernandez. D. Manuel Duro. D. Manuel Andrés. D. Francisco Lefebre Daraur. D. Juan de S. Juan. D. Josef Aleson. D. Matías López de Para. Batallón…</t>
  </si>
  <si>
    <t>Rivas, Julián</t>
  </si>
  <si>
    <t>Julián Rivas</t>
  </si>
  <si>
    <t>— Cuencamé. El subdelegado D. José María Du­ ran., 50. D. José Esparza, 100. D. José Horna, 6. D. Juan Bautista Bonifaq, 5. D. José Joaquín Lugo, 5. D. Julián Rivas, 5. Manuel Frayre, 5. D. Vicente Valdes, 10. Silverio Fabela, 10 Antonio Abad y Nungaray, 5. Varios individuos, 20 y 3 rs. Los vecinos de Cinco Se­ ñores, 26. Los…</t>
  </si>
  <si>
    <t>Rivas, Valentín</t>
  </si>
  <si>
    <t>Valentín Rivas</t>
  </si>
  <si>
    <t>iciano Palácip; D. Nicolás de Castro, D. Juan Pablo Ayala, D. José Cortés; D. Hilario Mora, D. Isidro Mendez, D. Francisco Rivas; D. Rafael González, D. Valentín Rivas, D. José Félix Sosa; D. José María Blanco, D. Dionisio Palacios, D. Juan Ger­ mán Rossio, D[ Juan Ascanío, D. Pablo González , D. Fran­ cisco Xavier Ustariz, D…</t>
  </si>
  <si>
    <t>Rivera, Miguel</t>
  </si>
  <si>
    <t>Miguel Rivera</t>
  </si>
  <si>
    <t>ios individuos , 21 pesos y 4 reales. •—- Barot/eca. El cura D. José Villegas, 50. D. Bernardo Veloz200. j&gt;. José López, 100. D. Tiburcio Toledo, 50/ D. Miguel Rivera , 25. El pres­ idien) B. Miguel Encinas, 20. B, Nicolás Mesías , 19 .y 4 rs. B. Mariano Campa , 10. B. .Miguel Rodríguez , 10. Varios individuos , 54 y 4 rs. Id…</t>
  </si>
  <si>
    <t>Riverés, Nicolás</t>
  </si>
  <si>
    <t>Nicolás Riverés</t>
  </si>
  <si>
    <t>gicsen á tres puntos. D. Nicolás Riverés (d Colachó) marchó con 40 ca­ ballos á la parte de Oliete, el comandante interino D. Vicente García con 200 de infantería y 20 caballos hácia Esterquel, y los comandantes D. Roque Lafuente,</t>
  </si>
  <si>
    <t>Rivero, Josef</t>
  </si>
  <si>
    <t>Josef Rivero</t>
  </si>
  <si>
    <t>cada compañía tendrá un capitán , un te­ Clemente Tolesano, D. Josef Marmolejo, D. Juan niente , on subteniente, dos sargentos , quatro ca-. Carguet» D. Josef Rivero, D. Antonio Aguirre, bos y 40 soldados. D. Juan de Dios Morquecho , D. Josef de la Bar­ art. iu. La plana mayor de este esquadron se rera, D. Josef Rech y Ferran…</t>
  </si>
  <si>
    <t>Rivero, Pedro</t>
  </si>
  <si>
    <t>Pedro Rivero</t>
  </si>
  <si>
    <t>tranquilo espectador de las derrota?, ce. =r Francisco María Riesco. = Josef Naranjo, s de sus caros aliados, sino qne apenas las sabe, se Excmo. Sr. D. Pedro Rivero.” pone en retirada para el norte del Tajo, es decir, Copia de la carta de lord Wellington á la junta que abandonando la provincia de Extremadura, de Extremadura.…</t>
  </si>
  <si>
    <t>Riveros, Francisco</t>
  </si>
  <si>
    <t>Francisco Riveros</t>
  </si>
  <si>
    <t>ente j ; -...j:. . * Tenientes. ,. El brick armado el Orestes ha salido de aquí D. Francisco López. para Falmouth , y la TrSguti’Niémen y los bergan­ D. Francisco Riveros. tines North Star y Peacock tienen orden de mar­ D. Rafael Ponce. A char al mismo puerto para tomar á sti bordo y con­ D. Fernando Vadivia, ducir aquí tas r…</t>
  </si>
  <si>
    <t>Rives, Jóséf</t>
  </si>
  <si>
    <t>Jóséf Rives</t>
  </si>
  <si>
    <t>ai Josefa Tavira..—. a /»•*!••&lt;*#' ;901^17' D.Ramón y D.? Micaela Merino, y en ! Dpña .María Bracha 8.a rinñññabre D. Gárlos Milne , ttitór.. 200 , j D. Jóséf Rives.v.v..v;.;.............J.i..;..., 13446 19Í, j ]^« J[o^F Apffli^»*»»»»i*»**ji»»*l«»**»&lt;iií**iMi» -pw Lbi herederos de D; Francisco San- , D, Fatfiao^dc la,Hoz.....…</t>
  </si>
  <si>
    <t>Rníz, Amonio</t>
  </si>
  <si>
    <t>Amonio Rníz</t>
  </si>
  <si>
    <t>ha tenido que trabajar; pero en el mo­ ex- franciscano • predicador y guardia». do de presentar estos mismos hechos ha quedada Para la de Fetreira á D. Amonio Rníz, ex­ mui inleríor 4 sas modelos. Le falta la energía ori­ franciscano descalzo, lector, guardián y examina­ ginal de San-Simón, la elevación natural y sabro­ dor s…</t>
  </si>
  <si>
    <t>Rniz, Antonio</t>
  </si>
  <si>
    <t>Antonio Rniz</t>
  </si>
  <si>
    <t>ues encargado de la execucion del presente.decreto.s: Barroso, D. Candido González, D. Ramón de Ar­ Firmadi.= YO EL REl. = Por S. ,M. su ministro ce, D. Antonio Rniz, D. Antonio Meneses, Don secretario de Estado Mariano Luis de Urquijo.” Jotef Cepeda, D. Cayetano de Várgas, D. Josef Extracto de las minutas de la secretaría de…</t>
  </si>
  <si>
    <t>Ro, Anselmo</t>
  </si>
  <si>
    <t>Anselmo Ro</t>
  </si>
  <si>
    <t>ótico, que no Capmani , redactor del periódico la Centinela , y es­ supo emplearlo con tiempo aquella junta central, critor bien conocido , escrita á D. Anselmo Ro­ que creía reconquistar la España con las proclamas dríguez de Rivas , intendente del exército del cen­ académicas trágico-poético-gdlohíspanas del pantro que está…</t>
  </si>
  <si>
    <t>Ro, Gabriel</t>
  </si>
  <si>
    <t>Gabriel Ro</t>
  </si>
  <si>
    <t>- ' mo -íe Cazvijar. Para el de la iglesia parroquial del lugar de Nuestro ministro intermo de Negocios eclesiás-. Cogollo*-, vacante por muerte -de D. Gabriel Ro- ticos queda encargado del cumplimiento de este vira y Teruel, 4-D. Francisco de Paula Sun. Pe-' decreto. == Firmados:YO EL REI.saPor S. M., Uro, cura de^A.hama. , …</t>
  </si>
  <si>
    <t>Ro, John</t>
  </si>
  <si>
    <t>John Ro</t>
  </si>
  <si>
    <t>undo. El polo que se El cors-rio el Reí de Ñapóles ha apresado la. eleva sobre nuestro horizonte es ei boreal, septen­ embarcación inglesa Draper, su capitán John Ro­ trional ó antartico: el opuesto, que se imagina haben, cargada de *ino de Oporto, de magnesia y - xo el horizonte, es el austral, ártico ó meridio­ de papel, qu…</t>
  </si>
  <si>
    <t>Ro, Josef</t>
  </si>
  <si>
    <t>Josef Ro</t>
  </si>
  <si>
    <t>ación de la deuda del estado. El conde de Monurco.......................... 4Í (Va- 15 D. Fernando l’crtz Rice...................... 3^5 Rs. vn. Mrs. D. Josef Ro.-l-s........................................ J' - ,3 14 D. Josef Pelaez...,............. ..................... 3475 D. xM'auuel Sixto L-purosa..................... i…</t>
  </si>
  <si>
    <t>Ro, Manuel María</t>
  </si>
  <si>
    <t>Manuel María Ro</t>
  </si>
  <si>
    <t>ecucion del presente decre­ de Reina y D. Francisco de Sales Rodríguez, me- to. = Firmada = YO EL REI.es Por S. M. su mi­ rdios-racioneros de ella; á D. Manuel María Ro­ nistro secretario de Estado Mariano Luis de Urdríguez , capellán mayor, y á D. Josef María Blan­ „ quijo.” co, capellán de ia capilla real de S. Fernando; á …</t>
  </si>
  <si>
    <t>Ro, Martin</t>
  </si>
  <si>
    <t>Martin Ro</t>
  </si>
  <si>
    <t>mitad de nerlo para su despacho en las boticas’ de D. Pedro aceite, y de dos te ceras partes de empleados, co­ Salgado , calle de Alcalá, y en la de D. Martin Ro­ mo asimismo la ventaja de poder encenderlos y dríguez, en la subida de S. Martin, al precio de apagarlos sin tener que emplear el auxilio incó­ qua tro reales cada …</t>
  </si>
  <si>
    <t>Robert</t>
  </si>
  <si>
    <t>inguido de para criar y fomentar el cultivo del algodón , no ün modo honorífico. solo en Nápoles y en España , sino también en El i.° de diciembre el coronel Robert, á la Francia, haciendo venir la simiente, y poniéndola frente del regimiento 117.0 y el 4.0 de húsares, á la disposición de los propietarios ( ha prevalecido fue…</t>
  </si>
  <si>
    <t>Robertson</t>
  </si>
  <si>
    <t>. clavitud. Los habitantes de Caracas han retenido por Del 25 de julio. largo tiempo Ja expresión de estos sentimientos: se Extracto de una carta del coronel Robertson, se­ creía que la unión de todos los estados españoles cretario del gobierno en Curazao, al teniente sería el único medio de preservar la monarquía de coronel …</t>
  </si>
  <si>
    <t>Robillar, Antonio</t>
  </si>
  <si>
    <t>Antonio Robillar</t>
  </si>
  <si>
    <t>D. Camilo Gamboa. D. Esteban Gómez. D. Pascual Santander. D. Mateo Norzagarai. D. Manuel de Cañas. I&gt;. J uan Picdrahica. Subtenientes. D. Ramón Rada. D. Antonio Robillar. D. Ramón Nocedal. . D. Eduardo Santiago Palomares. D. Fcrinin Carnerero Vela* D. Claudio Botelú. D. Tuan Valdivieso. D. J osef Navarro. Tenientes. D. Josef …</t>
  </si>
  <si>
    <t>Robín</t>
  </si>
  <si>
    <t>gidor de la c:ud.d de Baza. cicio: ót'os 50 hacen sin ceiár la ronda en derre­ Córdoba 4 de abril. dor de Rute, los mas armados con fusiles de mu­ El capitán Robín escribe de Espíe!, con fecha nición. Estas providencias" son debidas al zelo del de !.° de abril, que habiendo sabido que 200 ban- alcalde mayor D. Josef Alarcon T…</t>
  </si>
  <si>
    <t>Robira, Jaime</t>
  </si>
  <si>
    <t>Jaime Robira</t>
  </si>
  <si>
    <t>ia en tres actos titulada las Víctimas del Hería ligera de la p.optaguardt. „r¡mer0 y amor, en la que hará la oarte de barba el señor Rafael Laudri y D. Jaime Robira. y R.«M- r'J Pérez, y un sainete por fin de fiesta. CONCLUYH</t>
  </si>
  <si>
    <t>Roblado, Francisco</t>
  </si>
  <si>
    <t>Francisco Roblado</t>
  </si>
  <si>
    <t>é Antonio del Cristo y Conde, 500. D. Ignacio de Ubieta, 500. El contador de la aduana D. Agustín Pérez Quijano, 300. D. Jocobo dé Villaufrutia, 300. D. Francisco Roblado, 300. Los dependientes subalternos de las oficinas de la administración general déla aduana y el resguardo , 676 ylf rs. El capitán retirado D. Francisco Bl…</t>
  </si>
  <si>
    <t>Robledo, Felipe</t>
  </si>
  <si>
    <t>Felipe Robledo</t>
  </si>
  <si>
    <t>de la villa de Aguas-calientes, l9. barios vecinos del Real de .Asientos, 10. D. José Joaquín de Iurvide, vecino de Valladolid , 10, y anuales , 500. D. Felipe Robledo, vecino de Valladolid, 10 , y otros 1© anuales. Eí conde de Regla , 10. D. Tomas Pasarin , 10. El brigadier D. Manuel Agustin Masca­ rá , 10. La religión de S.…</t>
  </si>
  <si>
    <t>Robledo, Francisco</t>
  </si>
  <si>
    <t>Francisco Robledo</t>
  </si>
  <si>
    <t>. Francisco Escobosa, 20. D Juan Contreras, 12. Varios in­ dividuos , 16$. Altar. El teniente coronel D. José Saenz Rico, 24. D. Francisco Ortiz, 30. D. Francisco Robledo, 25. Varios individuos, i.8 y 4 rs. Los vecinos de Ocuca, 27= Las de Oquitoa, 35 y 4 rs. Los de Atil, 15 y 4. Los deTeutlama, 30 y 4. Los de Caborca y Pltic…</t>
  </si>
  <si>
    <t>Robles, Manuel González</t>
  </si>
  <si>
    <t>Manuel González Robles</t>
  </si>
  <si>
    <t>estimonio de *u solicitud paternal, ha abierto á su A D. Simón Cob Buelves para el de Alc^bon. ministro de lo Interior un crédito aoudl, y especid- A D. Manuel González Robles para el de P¡menie destinado para ocurrir X ¡os gastos necesarios nilla riel Valle. para la ^propagación de la vacuna , y ha mandado Y á D. Juan Crisós…</t>
  </si>
  <si>
    <t>Roca, Juan</t>
  </si>
  <si>
    <t>Juan Roca</t>
  </si>
  <si>
    <t>j D. J&lt;vef Fernandez Caso. D. Antonio G.rcía Vargas. D. Higinio Zazo de Lares. D. J ulian de Fuentes. D. Francisco Bezares. D Julián Saez. Tenientes. D Juan Roca. D. Tomas C.mpillo. D. Manuel López. D Ramón J ver. D Francisco S.tenz Rufz.' Batallón del quartel del Barquillo. D. Gaspar B usá. D. Narciso B.*sia. Capitanes. D. F…</t>
  </si>
  <si>
    <t>Roca, Manuela</t>
  </si>
  <si>
    <t>Manuela Roca</t>
  </si>
  <si>
    <t>...... *444 D; Joaquirr Ronuúa............................. 30000 Doña María de las Mercedes Piñuela.. • D.,-Manuel;Sánchez Toscano.—~......... 50000 Doña Manuela Roca.............. ;....... . - 6498 Doña Tomasa Quintillar, viuda, y su D. Tomas Vázquez..... ............................ 460*..25^ hijo D. Lucas Gil de la Cámara…</t>
  </si>
  <si>
    <t>Rocdmora</t>
  </si>
  <si>
    <t>É INDIAS DEL, MARTES 27 DE NOVIEMBRE DE 18JO. PORTUGAL. Rio Janeyro 29 dé julio. En una gazeta de Buenos-Ayr es de primeros de junio se decia, que el coronel Rocdmora parti­ cipaba desde la Invernada con fecha de 7 de mayo , que las tropas portuguesas habian pasado el rio Ibicui, y se habian apo-' dorado'de todo el territorio…</t>
  </si>
  <si>
    <t>Rocín</t>
  </si>
  <si>
    <t>ho término en el cerro de la Ca­ dero que va hácia el Mootsrron,................ P~i 7 *0# baña , de 2 fin.. 7 celem. y 11 estad.. que Otro en Val de Doña Rocín, de 2 olivos, linda á oriente y mediodía cpn D. Josef linde otros del vínculo que poseen Manuel Benito Salcedo.......... ................ «4 8*8 Alonso y Nicolás Sane…</t>
  </si>
  <si>
    <t>Rod'rigaez, Alfonso Gabriel</t>
  </si>
  <si>
    <t>Alfonso Gabriel Rod'rigaez</t>
  </si>
  <si>
    <t>atnti, clérigo de prima. D. Pedro Torres y Colomet, á D. Juan Luengo Para el de Perales de Milla , vacante por ascen­ Mayoral, cura de Techada. so de D. Alfonso Gabriel Rod'rigaez al de ValdiPara el dé Yuncos, vacante por muerte de Don lecha, á D. Saturio García Casanova, clérigo de Francisco Vigil y Quiñones , á D. Isidro Ar…</t>
  </si>
  <si>
    <t>Rodaliega, José María</t>
  </si>
  <si>
    <t>José María Rodaliega</t>
  </si>
  <si>
    <t>r D. Miguel Bataller, 300. D Rafael Fernandez, dei comer­ cio áe Tula, 2 50 ; y ademas «¿tros 250 anuaímente. El presbítero D. Alexaudru.Joroan, 200. D. José María Rodaliega, 200. Ei al­ calde del ciíoien D. MauueL del Campo y Riv:&amp;$,, 200. Los em-</t>
  </si>
  <si>
    <t>Rodrí, Francisco</t>
  </si>
  <si>
    <t>Francisco Rodrí</t>
  </si>
  <si>
    <t>nativos de la provincia de Sonora. Cieneguilla. D. Francisco Vázquez, lio. D. Lázaro Serrano , ty. Di Francisco Sánchez, 10. D. Pedro de la Sema, 25. D. Francisco Rodrí­ guez, 100. D. Jacinto del Pino, 20. D Julián Romero, 25 D. Antonio Vázquez , 1$. D. José María Noriega, 25. D. Vicente Moreno , 10. Don Bernarda GiStellum, 1…</t>
  </si>
  <si>
    <t>Rodrí, Lorenzo</t>
  </si>
  <si>
    <t>Lorenzo Rodrí</t>
  </si>
  <si>
    <t>n Palau, 1000. D. Esteban Fernan­ dez de León, 1000. D. P. M. V., 100. Doña Rosalía de Córdoba, 20. D. Benito de Labra, 40. D. Lázaro Elejalde, 1000. D Lorenzo Rodrí­ guez Sánchez, 1000. Costello, hermanos, iooo. D. Manuel Ortiz de Muga y su muger 60. D. Pasqual Moreno de Mora, 600. D. Miguel Riva, 500.. D. Miguel Maten é hij…</t>
  </si>
  <si>
    <t>Rodrigo</t>
  </si>
  <si>
    <t>or 3.0 A D. Justo Martínez de Baños, alcalde ascenso de D. Antonio Josef Cortés á juez del tri­ mayor de Málaga. bunal criminal de la misma ciudad, á D. Rodrigo 4.0 A D. Salvador Vidal, alcalde mayor de María de Moscoso, abogado en Sevilla: para la al­ Antequera. caldía mayor segunda de Granada, vacante por as­ Y á D. Romuald…</t>
  </si>
  <si>
    <t>100 1200 xilio............................... 2006 24000 Otra haza ó suerte de 8 celemi­ La dehesa de Suerte gratidé de nes., partido de Agua nevada, D. Rodrigo, en el propio- tér- •Itérmufo de Lucéna..’................... 146 J7í2 mino de Truxillo........... i 6oo« 72000' Otra haza, partido de la'Herri- • ' ; La dehesa de la…</t>
  </si>
  <si>
    <t>Rodrigo, Manuel</t>
  </si>
  <si>
    <t>Manuel Rodrigo</t>
  </si>
  <si>
    <t>e: D. Miguel Riesco, suplente por idem: D. Francisco López Lisperguer, suplente por el vireynato de Buenos-Ayres: D. Luis Veiasco, suplente por idem: D. Manuel Rodrigo, suplente por idem: D. Andrés de Llano, su­ plente por Goatemala: Don Manuel de Llano, suplente por. idem: D. José Aivarez de Toledo, suplente per la isla de S…</t>
  </si>
  <si>
    <t>Rodrigu, Antonio</t>
  </si>
  <si>
    <t>Antonio Rodrigu</t>
  </si>
  <si>
    <t>e á D. Agustín Jaebete: para el de decir Teniente, Lf. Gervasio López Pando. las Arrimadas I D. Pedro Francisco del Pozo: pa­ ta el de las Grañeras á D. Antonio Rodrigu z Her­ moso: para el de Morilla á D. Francisco Quadri- TB ATROS. llero: para el de Valdes-z á IL Eusebio Gircía En el del Príncipe, i las sets de la tarde, se…</t>
  </si>
  <si>
    <t>Rodríguez, Autonio María</t>
  </si>
  <si>
    <t>Autonio María Rodríguez</t>
  </si>
  <si>
    <t>Roldan, D. Francisco Verdejo Paez.... D. Gabriel Leoneli. D. Josef González Oyuela.... D. Francisco Peirou y Goazalez. D. Mariano García de la Cruz. D. Autonio María Rodríguez. D. Antonio Uribarri D. Tomas Arenillas..;... D.' Josef Manuel López baña­ bas. D. Ramón Ríbes........... D. Antonio Tomas Dicgues. D. Francisco B mi^;…</t>
  </si>
  <si>
    <t>Rodríguez, Beinardo</t>
  </si>
  <si>
    <t>Beinardo Rodríguez</t>
  </si>
  <si>
    <t>s Requena................................ i49&gt;8 los Dolores de Belandia su muger. 46907 2 D. Antonio Arboré................................. 6784 5 O D. Beinardo Rodríguez....................... 207200 D. Mariano Alonso................................. 21 M D. Blas Martínez.................................... 44095 30 D. Ferm…</t>
  </si>
  <si>
    <t>Rodríguez, Bernardo</t>
  </si>
  <si>
    <t>Bernardo Rodríguez</t>
  </si>
  <si>
    <t>.............. .13079.. 10 ' D. Ramón de Posada, como marido / D. Fernando de Beingochea.................. 4542..14 de Doña María López Cabrejas, por D. Bernardo Rodríguez...................... 49210 acciones y réditos................................. a/ipSS"1® D. Domingo Torrecilla.......................... 27525.-22 D. Andr…</t>
  </si>
  <si>
    <t>mentario de Doña Juana Macarti..... *1054..25$ D. Estebad Corones Alberola....,........ ■ 3697-17 ’ Doña María de Vivero y Cabeza........ .2797..25! D. Bernardo Rodríguez....................... 202 293-27 D. Bernardo Rodríguez......... . 6317-17 B* A6atias Cano....... ............. .... poidiy O.020062.. 15! D. Francisco de l…</t>
  </si>
  <si>
    <t>Rodríguez, Cristóbal Gaiban</t>
  </si>
  <si>
    <t>Cristóbal Gaiban Rodríguez</t>
  </si>
  <si>
    <t>la villa de Zaocejo se .formará bre de 1810. . . media compañía. Para capitán de ella está nombra­ . Don Josef Napoleón por la.gracia de Dios y , do D. Cristóbal Gaiban Rodríguez, y D. Josef por la constitución.del estado» REI de las Espa­ García para subteniente. . , : ña* y de las Indias. art. xui. En el batallón de milicia…</t>
  </si>
  <si>
    <t>Rodríguez, Faustino</t>
  </si>
  <si>
    <t>Faustino Rodríguez</t>
  </si>
  <si>
    <t>io Albiní , 25. D. Alberto Herrero, 100. D. Domingo Q'utierrez , 100. D. Miguel Cabalen , 100. D. Cayetano Cana­ leta , 50. D. Gerónimo Q.uijano, 50. D. Faustino Rodríguez , Medico, 50. Don — ........................... ~ — o---------- *-------------------------- y — Martin de Fubil , 25. 1). Francisco Antonio * ’ de la Sierr…</t>
  </si>
  <si>
    <t>Rodríguez, Fernun</t>
  </si>
  <si>
    <t>Fernun Rodríguez</t>
  </si>
  <si>
    <t>ar aeueUesde' d 50 plazas* Compañía de Vtllamantilla de d ¡O platas. ' 0'v' -v... . 4, .,g -d .i-, i Capitán, Pt Juan Erraoz, '' - v;,T r v- Capitán, D. Fernun Rodríguez. , -...Teniente, D. Alfonso Aguado.’ _‘ ’ Teniente D. Antonio Vargas. - . . &gt; Subteniente, D. CuÍlYeunptIJerez V^Jásco* Subteniente, D. Gaspar G’atveJt''1" t…</t>
  </si>
  <si>
    <t>Rodríguez, Francisco</t>
  </si>
  <si>
    <t>Francisco Rodríguez</t>
  </si>
  <si>
    <t>sco Mar­ Hemos decretado y decretamos lo que sigue: tínez de Morel, D. Antonio Garai , D. Diego Sua- articulo i. ,, Está nombrado comandante del rez, D. Francisco Rodríguez, D. Francisco Esca- 4.0 batallón de milicia cívica D. Manuel Raquejo. rena , D. Francisco Xavier Guillen, D. Josef Ma­ art. 11. Nuestro ministro de la Gue…</t>
  </si>
  <si>
    <t>ento de D. Vicente Sardina, los derrotó completamente, matando mas de 60:.de ellos , y persiguiéndolos hasta el mismo puente dé Guadalaxara, donde el soldado Francisco Rodríguez motó a 2 franceses de un trabucazo. Aibuir ha perdido de un sablazo que recibió en la refriega el dedo pequeño de la mano derecha, que.es la única qu…</t>
  </si>
  <si>
    <t>Rodríguez, Francisco Manuel</t>
  </si>
  <si>
    <t>Francisco Manuel Rodríguez</t>
  </si>
  <si>
    <t>rían cada año 100 medallas en. todo servidero de k parroquial de Santiago de ia ciudad el imperio entre los sugetos que se dedicasen con de Guadix: á D. Francisco Manuel Rodríguez, mas zelo á la práctica de la vacuna, aunque no1 cura ecónomo de Hueneja, para el de Sta. María cumplan todas las condiciones necesarias para ob­ d…</t>
  </si>
  <si>
    <t>Rodríguez, José</t>
  </si>
  <si>
    <t>José Rodríguez</t>
  </si>
  <si>
    <t>dida fue de 18 hombres entre muertes y heridos*, y 3 caba­ llos muertos. — Todos los oficiales y tropa se portaron con bi­ zarría, y particularmente D. José Rodríguez , distinguido del regimiento de húsares deS, Narciso, que arrojándose á 4 ene­ migos que conducían una acémila hacia el foso, mató á 2 , y se traxo la acémila y…</t>
  </si>
  <si>
    <t>Rodríguez, José Hilario</t>
  </si>
  <si>
    <t>José Hilario Rodríguez</t>
  </si>
  <si>
    <t>^lio. D. Freií-; ci$co Antonio Saenz, 25*. D. Bernardo Fernandez ,-2-5". DrPedro Colfófftes, 10. D. Juan Miguel Lavayen, 25. .D. Berharcío «Mires, 3a D. José Hilario Rodríguez, 10. D. Andrés de írazabal, 30-. D. Francisco Iturbe, 25.</t>
  </si>
  <si>
    <t>Rodríguez, José María</t>
  </si>
  <si>
    <t>José María Rodríguez</t>
  </si>
  <si>
    <t>Ligera, D. Gaspar AUué, y D. Atilano Basurti ; y subtenencia, á D, Mariano Tabuenca, O. Francisco Asura , JD. Francisco Aiastey, D. José Salvador , y D. José María Rodríguez. Por el Ministerio de la Guerra se ha circulado al exército la real vrdni siguiente; Jy Entre los abusos y males que ha observado con sumo dolor el Consj…</t>
  </si>
  <si>
    <t>Rodríguez, José Mariano</t>
  </si>
  <si>
    <t>José Mariano Rodríguez</t>
  </si>
  <si>
    <t>nte coronel al capitán I). Je sé Espinóla ; en el Inmemorial del Rey, el empleo de sargento ma­ yor a D. Luis de Alfaraz ; en el de León , compañía á D. José Mariano Rodríguez ; ayudantía, k D. Vicente Alvarez ; tenen­ cias, á D. José Arechaga , D. Francisco Galan , D. Bernardo Cobian , y D. Francisco San Pedro ; subtenencias…</t>
  </si>
  <si>
    <t>Rodríguez, Josef</t>
  </si>
  <si>
    <t>Josef Rodríguez</t>
  </si>
  <si>
    <t>artínez Re- D. Francisco Paula Poocc, ^2400 -1 mon............ ...........................“■*&gt;..... . M2?2 O. Francisco Zalvide-....-.».- ,- 312006 T D. Josef Rodríguez.*.. ..... ........ 9°2S - D. Francisco Marqucü . y: «i' muger D, Benito García •■»*&lt; »#»Mf*A**.**v i 3799 »7&gt;- Doña Josefa. Ramírez sfí*» , * .58665 36 D. Ram…</t>
  </si>
  <si>
    <t>Rodríguez, Josef'Domingo</t>
  </si>
  <si>
    <t>Josef'Domingo Rodríguez</t>
  </si>
  <si>
    <t>ecarias correspondientes con arreglo á cado..................................................... 77*4' nuestro decreto de 9 dé junio del año. pasado. D. Josef'Domingo Rodríguez............ 6740' ART. ni; Nuestro ministro de Hacienda queda en­ D. Melchor Cadenas............................. 7028 cargado de la execuéion del pre…</t>
  </si>
  <si>
    <t>Rodríguez, Juan</t>
  </si>
  <si>
    <t>Juan Rodríguez</t>
  </si>
  <si>
    <t>ntiago de las Villas, vacante por D. Juan García Miranda,, á D. Froilan Cancela promoción de D. Bruno Montes al de Grulleros, González , tonsurado. á D. Juan Rodríguez , cura de Pembes. Nuestro ministro interino de Negocios eclesiás­ Para el de Lario t vacante por moerte de Don ticos queda encargado del cumplimiento de este A…</t>
  </si>
  <si>
    <t>Rodríguez, Manuel</t>
  </si>
  <si>
    <t>Manuel Rodríguez</t>
  </si>
  <si>
    <t>cía •■»*&lt; »#»Mf*A**.**v i 3799 »7&gt;- Doña Josefa. Ramírez sfí*» , * .58665 36 D. Ramón Monroy.............. 27°7’17 D. J*an Vicente .Pete*..—,29199 14 D. Manuel Rodríguez.......... . 8121 Sf D. Francisco Vázquez , ex-regular dp D. B as López Castrillo......... ........1.. 361 b. Cay c t a no,... ...... .... 60006 ■ ■ D. Jo cf …</t>
  </si>
  <si>
    <t>Rodriguez, Manuel</t>
  </si>
  <si>
    <t>Manuel Rodriguez</t>
  </si>
  <si>
    <t>e igual cabida en Valdchernando. 109 *398 Otra en el Esparragal junto á otra de la Una viña de 5 aranz. en los Codvillos. 340..17 749 * capellanía de D. Manuel Rodriguez, Otra de la misma cabida con 33 mem­ ele fanega y media............................... 47" &gt;7 1045 brillos al mismo sitio.......................... 350 55°° …</t>
  </si>
  <si>
    <t>oya.............................. 14856..3» ‘ ' D. Josef Antonio de Escoval.......-..... • 1083 D. Benito de', la Mata-Linares..,„u...... . ■- 30000* D. Manuel Rodríguez............................ 180..17 D.' Juan Bauiista Condestable....................... 20880 D. Rodrigo Zorrilla............................... 722 D. Fran…</t>
  </si>
  <si>
    <t>imoteo Franco, 14. Mariano Morales, 32. Mariano Carabajal, 14. Varios vecinos, 132 y 6 rs. Los naturales del Mezquital, 13 — S Andrés. El subdelegado D. Manuel Rodríguez, 20. D. Diego de la Puente, 20. Varios individuos, 16 y 1 real. D. Juan José Yandiola, 10-- -Real del Oro. El subdelegado D. Tomas Diaz de Matos, 10. D. Gasp…</t>
  </si>
  <si>
    <t>e Ocuca, 27= Las de Oquitoa, 35 y 4 rs. Los de Atil, 15 y 4. Los deTeutlama, 30 y 4. Los de Caborca y Pltic, 54 y 2. Los de Sta. Cruz, 31 y 3 —Pitic. D. Manuel Rodríguez, 100; D. José Buelna, 25. D. Xavier Díaz, 25. D. Ignacio León, 25. D. Ig­ nacio Araíza, 25. D. Ignacio Serrano, 10. D. Tomas Valencia, 10. D. José López, 10.…</t>
  </si>
  <si>
    <t>Rodríguez, Manuel Antonio</t>
  </si>
  <si>
    <t>Manuel Antonio Rodríguez</t>
  </si>
  <si>
    <t>......................... looao D.. Pedro Fernando Tavira..................... - 4474*-. 3 ‘ ; D._Frutos de Alvaro Benito................. 500001. *: D. Manuel Antonio Rodríguez........—4» * ayió.. 7 ' * La casa de Aguirrp. é hijos...................... idoodo D. Ramón Ruiz........ ..........-v.....—•—;,i'» ■ * • ; .565-29 J …</t>
  </si>
  <si>
    <t>Rodríguez, Manuel María</t>
  </si>
  <si>
    <t>Manuel María Rodríguez</t>
  </si>
  <si>
    <t>o y Garro, ra­ cioneros d* ia sn&gt;ama ; á D. Miguel LuL González, D. Joaquín de Reyna y D. Francisco de Saits Rodríguez, medios racionero* de ella ; k D. Manuel María Rodríguez , capellán mayor, y-.i D. José María Blanco , capellán de ía capilla real de S. Fernan­ do ; y á D. José Gaseo, prior, y D. Leonardo Santander, ma­ gis…</t>
  </si>
  <si>
    <t>Rodríguez, Martin</t>
  </si>
  <si>
    <t>Martin Rodríguez</t>
  </si>
  <si>
    <t>or la gran marea. Créese que SS. MM. caballo , nútn. 4..% á D. Aiexandro Poveda ; y sub­ estarán aquí dos ó tres dias, y que luego irán á tenientes á D. Martin Rodríguez, D. Josef GiralBrusélas, cayos habitantes los esperan con ausia. do y D. León Villegas: capitán segundo del cuer­ po de artillería al marques de Paterna : su…</t>
  </si>
  <si>
    <t>Rodríguez, Nicolás</t>
  </si>
  <si>
    <t>Nicolás Rodríguez</t>
  </si>
  <si>
    <t>au­ 4.® tí. Iñigo de Casanova. diencia de Navarra , presidente. D,, Ignacio Roale^., fiscal. , , ¡ . Jueces. 1.® D. Manuel Buedo. ARTICULO, XII. 2.® D. Nicolás Rodríguez. Gitadalaxara. 3.® D. Josef González Varela. * D. Roqne Moyna y Mazarredo, oidor de la 4.0 D. Fermín Cosío.; -c audiencia de Navarra, presiente.&gt;, D. Antonio…</t>
  </si>
  <si>
    <t>Rodríguez, Pedro León</t>
  </si>
  <si>
    <t>Pedro León Rodríguez</t>
  </si>
  <si>
    <t>el de la Rocha » ad­ En nuestro palacio del alcázar de Sevilla i 6 ministrador principal de correos de esta ciudad y de febrero de 181 o. su partido; D. Pedro León Rodríguez; D. Josef Gran cancillería de la Orden Real de España. Osorio de los Ríos; D. Francisco de Castro , ca­ Don Josef Napoleón por Ja gracia de Dios y pitán …</t>
  </si>
  <si>
    <t>Rodríguez, Ramón</t>
  </si>
  <si>
    <t>Ramón Rodríguez</t>
  </si>
  <si>
    <t>a el castillo de la Fuengirola; fue una ver­ D. Pedro Burillo, D. Pedro Denovi, D. Miguel güenza qaanto sé execuió; nos volvimos ignominio­ Coronado, D. Ramón Rodríguez, D. Mariano samente, dexaodo mal puesto el honor de las ar­ Layes, sargentos primeros que fueron de los regi­ mas; y lo que he sentido únicamente es que el mi…</t>
  </si>
  <si>
    <t>Rodríguez, Vicente López</t>
  </si>
  <si>
    <t>Vicente López Rodríguez</t>
  </si>
  <si>
    <t>...... 6510 : El mismo.......... .................. 21749 24: D. Juan Bautista Albertos.................. 15019 DA Rosa de la Peña, y en su nombre su D. Vicente López Rodríguez...... . 171902' • marldoD. Manuel Pico Santístébán. 1312'y D. Ignacio Jáuregui....... ..................... 20020 D. Manuel Sánchez Toscaño, pór sí y …</t>
  </si>
  <si>
    <t>Rodrigurz, Francisco</t>
  </si>
  <si>
    <t>Francisco Rodrigurz</t>
  </si>
  <si>
    <t>ñ 1 M^ria Manuela O-liz Je Azorin. 2 64c o Doña María Concepción Echevarría. 4i3 8| D. Frutos Alvaro Benito..................... 16:07- 5 Memori s de D. Francisco Rodrigurz. 180 17 Doña Manuela Durañona.................... 4202 2 5 D. T-m&lt;s Reguyer................................ 20272 17 D. Si non del Villar.................…</t>
  </si>
  <si>
    <t>RodriVu, Antonio</t>
  </si>
  <si>
    <t>Antonio RodriVu</t>
  </si>
  <si>
    <t>lo Luis de Urquijo." , Resraval y Saleras. Para esta resulta .al-e'X-gerónimo' D. Pedro Muñoz. THATB.OS. PaVa la de' Caentar ai ex carmelita descalzo D. Antonio RodriVu&lt;-z. En el del Príncipe, í las siete y media de la no­ che^ se representará por la compañía española la co­ Para la de b Zuvia al ex-mercenarío calzado media a…</t>
  </si>
  <si>
    <t>Rogelio</t>
  </si>
  <si>
    <t>decir una palabra de los útiles teoremas y bella* Agustín del Pito. fórmulas de Euler: su álgebra no es mas que una Para la de Gadiar al ex-capuchtno D. Rogelio mala práctica de algunas operaciones, sin entrar en Ruiz Tejero. la esencia de ellas, y sin desentrañar las ideas qué Para la de Nigííela* al ex-domtnico D. Faus­ enc…</t>
  </si>
  <si>
    <t>Rogter, Miguel</t>
  </si>
  <si>
    <t>Miguel Rogter</t>
  </si>
  <si>
    <t>ón de semejante obra en España , eí Para la segunda de la misma iglesia al eX- innegable * en donde por desgracia las ciencias ma­ carmelita descalzo D. Miguel Rogter. temáticas están tan atrasadas y tan mal enseñadas. Para la de Veas al eX-geróoimo D. Manuel En efecto los eiementos de D. Benito Bails no tie­ de Mata. nen ni …</t>
  </si>
  <si>
    <t>Rojr, Alfonso Gcbriel</t>
  </si>
  <si>
    <t>Alfonso Gcbriel Rojr</t>
  </si>
  <si>
    <t>o para el de Arcete. recibía de vuestras conversaciones. D. Si nou C *b Suelves para el de CaSa gordo. „ ii alguna cosa puede suavizar este pesar, es D. Alfonso Gcbriel Rojr guez para ci oe Valla idea de que en esta ocasión doi co.t mi „bs la­ dilecha. ta resignación á la voluntad de V. M. ¡a prueba D. Tom as M rtinez Alonso …</t>
  </si>
  <si>
    <t>Roldad, Juaá Higinio</t>
  </si>
  <si>
    <t>Juaá Higinio Roldad</t>
  </si>
  <si>
    <t>le. := Señor corregidor de......" {Correo polí­ Para el de la parroquial de Znheros, vacante tico? militar de Córdoba del &lt;T de mayo. } por muerte de D. Juaá^ Higinio Roldad, ál pres­ ■ Madrid iS'de mayo. .. bítero ex-regularD. Francisco Rienda. .! Piira el «joarto cgcato de.la parroquia de la v¡- , Por decretos de ti de mayo…</t>
  </si>
  <si>
    <t>Roldan, Eugenid</t>
  </si>
  <si>
    <t>Eugenid Roldan</t>
  </si>
  <si>
    <t>S. Isidro. Gueira, hemos decretado y decretamos lo que sigile : Capitán, D. Juan Mahuel Moya. articulo 1. ,,Ei regimiento nú.ti. i.° de in- Teniente, D. Eugenid Roldan. fanictí.i iig- r;i tendrá la denominación de regimien­ Subteniente, D. Josef Palafox. to de Ca tilla en su clase respectiva. Batallón del quartel de S. Franci…</t>
  </si>
  <si>
    <t>Roldan, Eugínio</t>
  </si>
  <si>
    <t>Eugínio Roldan</t>
  </si>
  <si>
    <t>te primero D. Feliciano Gaizaburuagá, y‘para abanderado D. Manuel Moresqui; D. JoseF Palafói...'.................. D.‘ Bernardo Espioalt y Co­ llado. D. Eugínio Roldan, D. Francisco Verdejo Paez.... D. Gabriel Leoneli. D. Josef González Oyuela.... D. Francisco Peirou y Goazalez. D. Mariano García de la Cruz. D. Autonio María …</t>
  </si>
  <si>
    <t>Roldan, Francisco</t>
  </si>
  <si>
    <t>Francisco Roldan</t>
  </si>
  <si>
    <t>inas dt D. Francisco Santa Cruz, fiel de la puerta rentas reales de esta capital, que actualmente Nueva. existimos en ella desempeñando nuestros res­ D. Francisco Roldan, interventor ídem. pectivos destinos, juramos cumplir las obliga­ D. Alfonso Tamajou, fiel de la puerta del Rin­ ciones anexas á ellos con el solo objeto de …</t>
  </si>
  <si>
    <t>Roldan, Francisco Miguel</t>
  </si>
  <si>
    <t>Francisco Miguel Roldan</t>
  </si>
  <si>
    <t>cho señor gobernador; el capitán D. Juan Francisco Pe­ reza y D. Joaquín de Amadeo, alcaldes ordinarios; el capitán de mili­ cias D. Felipe Quintana, D. Francisco Miguel Roldan, D. Diego de Meló, D. José Antonio de Almarza y D. José Ignacio Baralt, regido­ res; el primer alférez real; el segundo alcalde provincial; el tercero…</t>
  </si>
  <si>
    <t>Roldan, José</t>
  </si>
  <si>
    <t>José Roldan</t>
  </si>
  <si>
    <t>D. Nicolás Meñaca, 110. El teniente de fragata D. Pedro Hurtado de Corcuera, 160. El teniente de navio D. Domingo Allende, 50. El teniente de fragata D. José Roldan, 80. Id. D. Manuel Borras, 40. Id. D. Benito Lago, 35. El alférez de fragata I). Mateo Mozo, 25. Id. D. Lorenzo Sotomayor, 2$. Id. D. Eugenio Loño, 25^ Oficiales …</t>
  </si>
  <si>
    <t>Roldan, Jusef</t>
  </si>
  <si>
    <t>Jusef Roldan</t>
  </si>
  <si>
    <t>orregidor; D. Nicolás de ao eran , por el clero D. Jacinto Josef Perales, cu­ León y Di 'Nicolás de Mena , regidores. ra párroco; por el ayuntamiento D. Jusef Roldan La diputación de'Morente, que no se habia po­ y Porras, regidor decano, y por el pueblo D. FranA dido presentar á S. M. por haber llegado tarde, lo cisco Amador …</t>
  </si>
  <si>
    <t>Roma, Pedro Ar</t>
  </si>
  <si>
    <t>Pedro Ar Roma</t>
  </si>
  <si>
    <t>tínez de Vicente, ex-mercenario calza­ do , comendador, maestro de teología y examina­ dor sinodal. IMPERIO FRANCES. Para la de la villa de Castril á D. Pedro Ar­ Roma 2j) de agosto. redondo, de la misma órden, confesor y predi­ cador. El dia 15 de este mes se hizo la distribución Y para la de la villa de Cortes de Baza á Don…</t>
  </si>
  <si>
    <t>Romagnioli, Labiñío</t>
  </si>
  <si>
    <t>Labiñío Romagnioli</t>
  </si>
  <si>
    <t>,. 8 Doca Vrctoria Dumont—............—«. ■ 3365-19 D. Sebastian Ricos Altos................ . S3l7-**3 Doña María Joseta Acedo y Olazabal. - 6961- 6 D. Labiñío Romagnioli........................... *S°5^ Dr JosefLacrouts—- —.—................ *44 Señores Rivas, Peña y compañía.......... 35°2-**7 F.1 convento de religiosas-de…</t>
  </si>
  <si>
    <t>Román, Francisco San</t>
  </si>
  <si>
    <t>Francisco San Román</t>
  </si>
  <si>
    <t>el Mar. Nuestro ministro interino de Negocios eclesiás­ Para otro; de la misma,'vacante por muerte de ticos? queda encargado del cumplimiento de este D. Francisco San Román, á O. Francisco Tienda decreto. = Firmado =e YÓ. EL REI. = Por S. M.,y Muñoz, presbítero, ex-regular. el miaisrró secretario: de: Estado = Firmado = Ma­ P…</t>
  </si>
  <si>
    <t>Romanillos, Antonio Ranz</t>
  </si>
  <si>
    <t>Antonio Ranz Romanillos</t>
  </si>
  <si>
    <t>iones de Indias , derogando por con­ siguiente todas las providencias que las extinguieron $ cuya junta ha de componerse de los ministros del consejo D. Antonio Ranz Romanillos, D. Ciríaco González Carbajal, del secretario del mismo consejo y cáma­ ra D. Esteban Varea , y del intendente de exércitó D. Mateo Diez Du­ ran. Pero…</t>
  </si>
  <si>
    <t>Romano, Manuel</t>
  </si>
  <si>
    <t>Manuel Romano</t>
  </si>
  <si>
    <t>2 &gt;88 estadales, linde la vereda del Otra junto i la anterior; linde tiernas de . y vt' Esparragal.............................. ....... .... 9* *024 D. Manuel Romano, de f O fanegas. 4S4-17 '■9999 Qíja en el sendero, que pasa per la cr* Otra' camino nuevo de Parla , á la Subi­ de Artalej'1, de'2 lelen.incs....... . 2 44 da d…</t>
  </si>
  <si>
    <t>Romanzovv</t>
  </si>
  <si>
    <t>ikoff. -— Júzguese pues si la marina está contenta. La marina es la parte militar mas exasperada contra el emperador , y contra su indigno favorito ó ministro Romanzovv.” Landres 13 de diciembre. En el discurso de Bonaparte á su cuer­ po legislativo (1), observamos que guarda , respecto al emperador (I) Véase la gazeta del Go…</t>
  </si>
  <si>
    <t>Romanzow</t>
  </si>
  <si>
    <t>447</t>
  </si>
  <si>
    <t>IO DE 1810. ALEMANIA. Uamburgo 10 de junio. Ei conde de St. Julien, embaxador austríaco en Petersburgo, recibió con fecha de 18 de abril una nota del conde Romanzow , en que este ministro le de­ cía, que debiéndose considerar en lo sucesivo como parle del imperio ruso las provincias de Valaquia y Moldavia , cesaban los derech…</t>
  </si>
  <si>
    <t>Romeral, Marcelino</t>
  </si>
  <si>
    <t>Marcelino Romeral</t>
  </si>
  <si>
    <t>la Alameda de la Sagra, vacante por ro, clérigo de prima. ascenso de D. Josef Binuesa al de Carabaña, á Para el de S. Andrés de Talavera, vacante por D. Marcelino Romeral, cura de Coveja. muerte de D. Ramón Romero Caballero, á Don Para el de Perales de Tajona, vacante por Matías Alonso Villalobos, clérigo de prima. Muerte de …</t>
  </si>
  <si>
    <t>Romero, Benito García</t>
  </si>
  <si>
    <t>Benito García Romero</t>
  </si>
  <si>
    <t>Baños se componía nos , la qual es tal que en ningún otro pueblo de de D. Manuel Antonio Romero, alcalde mayor; la península puede ser mas completa. D. Benito García Romero, escribano de ayunta­ S. M. se ha dignado nombrar caballeros de la miento; D. Diego Manuel López, comandante de Orden Real de España á D. Francisco Alonso…</t>
  </si>
  <si>
    <t>Romero, Don Ramón</t>
  </si>
  <si>
    <t>Don Ramón Romero</t>
  </si>
  <si>
    <t>19. Los sargentos, cabos y soldados, 416 y 5 rs. Segunda id. Capitán D. Antonio Rodríguez, 47 y 4- rs- Tehiente D.JSÍanuel de Jesús Cruz, 22 y 6 rs. Alférez Don Ramón Romero, 10. Los sargentos, cabos y soldados , 445 y 1 real — . 7(.7'7.l,' ‘ (Se continuar di) En algunos ejemplares de los dos números anteriores, pág. 956, lín…</t>
  </si>
  <si>
    <t>Romero, Francisco</t>
  </si>
  <si>
    <t>Francisco Romero</t>
  </si>
  <si>
    <t>tas de la secretaría de te D. Diego Martin. • Estado. Para la de Cañar y Barji al ex-franciscano En nnestro palacio de Madrid á y de setiem­ descalzo D. Francisco Romero. . bre de i8io.- Para Ir de Torviscon al ex-franciscano descal­ Don Josef Napoleón por la gracia de Dios y zo D. Agustín Rovira y Teruel. por la constitución…</t>
  </si>
  <si>
    <t>Romero, José</t>
  </si>
  <si>
    <t>José Romero</t>
  </si>
  <si>
    <t>ndo que la retaguardia enemiga había pasado el Salado, se internó con la infantería y-caballería en- la villa, donde encon­ tró á su heroico ¡alcaide D. José Romero', á quien había ju2gado muerto por estar todo el puebla ardiendo: pero este- p&amp;t iota se defendió de 1300 hombres , pues á 6 somatenes qae estaban en la torre.de …</t>
  </si>
  <si>
    <t>? D. Ra­ món Espinosa, 5. Los sargentos, cabos y soldados, 297 y 2 rs — Turson. Capitán tí. José Zóñiga, 50. Teniente D. Manuel Árbizu, 25. Al­ férez D. José Romero , 10. Capellán D. Pedro Ariquivás, 15:. Los sarentos, cabos y soldados, ?70sy 2 reales. —Altar. Capitán Ó. Mariano f frréa, 200. Álfére^ D. José Antonio Peña, 20.…</t>
  </si>
  <si>
    <t>Romero, Juan</t>
  </si>
  <si>
    <t>Juan Romero</t>
  </si>
  <si>
    <t>za, que dada á Juan Romero..;....... .. 484 387a vive Juan Avilés........ . 55° 7 4400 Otra, calle Mayor, arrendada Otra en id., arrendada á Andrés á D. Juan Romero................ 473 3784 Guerrero..................... . ■ ' 264-" - 2112 Otra en el Altillo de los HerOtra/calle de la: Vitoriarj -que t reros, arrendada á Doña …</t>
  </si>
  <si>
    <t>Romero, Juan Josef</t>
  </si>
  <si>
    <t>Juan Josef Romero</t>
  </si>
  <si>
    <t>aría Venene, D. Miguel Osor- porta y dos trompetas. no, D. Joaquín María de la Cueva, D. Antonio art. iv. Esta tropa no* hará parte de nuestra Mier y D. Juan Josef Romero. guardia en los dias que señalemos. Tenientes. art. v. Los individuos de esta guardia se cos­ D. Vicente Villavicencio, D. Josef María Gar­ tearán su vestua…</t>
  </si>
  <si>
    <t>Romero, Julián</t>
  </si>
  <si>
    <t>Julián Romero</t>
  </si>
  <si>
    <t>isco Vázquez, lio. D. Lázaro Serrano , ty. Di Francisco Sánchez, 10. D. Pedro de la Sema, 25. D. Francisco Rodrí­ guez, 100. D. Jacinto del Pino, 20. D Julián Romero, 25 D. Antonio Vázquez , 1$. D. José María Noriega, 25. D. Vicente Moreno , 10. Don Bernarda GiStellum, 10. D. Damian Segrega, 1 o. D. Juan Mendez, 13* D Manuel …</t>
  </si>
  <si>
    <t>Romero, Lúeas</t>
  </si>
  <si>
    <t>Lúeas Romero</t>
  </si>
  <si>
    <t>s Ponce de León , ex agoni­ D. Josef de Cadano............................... 4000 zante............ ......................... ................ 44000 D. Lúeas Romero........................ 20000 D. Josef Barrio, ex-inercenario des­ D, Marcos Ponce................................... 4084 calzo.................................…</t>
  </si>
  <si>
    <t>Romero, Manuel</t>
  </si>
  <si>
    <t>Manuel Romero</t>
  </si>
  <si>
    <t>os en 3 carros á Astorga. * El mismo dia 2 , la compañía de tiradores del regimiento de Cem póstela yuca partida de húsares, mandadas por el teniente D. Manuel Romero y el alférez D. Patricio Alonso, cogieron 6 carros cargados de previsiones que iban de Benavente á Astorga., y arrestaron al corregidor galo-hispano de Astorga …</t>
  </si>
  <si>
    <t>Romero, Manuel Antonio</t>
  </si>
  <si>
    <t>Manuel Antonio Romero</t>
  </si>
  <si>
    <t>va prueba de la general confianza de los ciudada­ La diputación de la villa de Baños se componía nos , la qual es tal que en ningún otro pueblo de de D. Manuel Antonio Romero, alcalde mayor; la península puede ser mas completa. D. Benito García Romero, escribano de ayunta­ S. M. se ha dignado nombrar caballeros de la miento; …</t>
  </si>
  <si>
    <t>Romero, Pedro</t>
  </si>
  <si>
    <t>Pedro Romero</t>
  </si>
  <si>
    <t>tivos dados en arren­ agustino descalzo I). Francisco Poyato: para la de damiento , y contra los medios de corrupción de to­ S. Miguel al ex gerónimo D. Pedro Romero: para do género autoriz dos en el gobierno para grangear- la de S. Nicolás ai ex- trinitario descalzo D. Cir­ le el influxo necesario para la tranquilidad de( es…</t>
  </si>
  <si>
    <t>Romero, Santiago</t>
  </si>
  <si>
    <t>Santiago Romero</t>
  </si>
  <si>
    <t>persona, el pronombre se llama personal; quando tado, presidente de la comisión de liquidación) uo , impersonal. Yo, tú, él ó aquel son los tres qua D. Santiago Romero. usarnos regularmente: el primero, en lugar de U persona que habla: el segundo, en lug.r de la con quien hablamos; y el tercero, en vez de una que está distant…</t>
  </si>
  <si>
    <t>Romero, Tomas María</t>
  </si>
  <si>
    <t>Tomas María Romero</t>
  </si>
  <si>
    <t>D. Gonzalo, Jauja, Benamexí, Montctnapjfa 'as do9 resultas ha nombrado á D. Marcos yor. Espejo y Rote, y las ciudades de Montiila ..rtin Ovi d&lt;&gt; y á D. Tomas María Romero. y Lucena. En todas p,rres ha quedado mui satis­ Igualmente ha promovido á fi'cal de lo civil de la fecho el espíritu público, y del zeio de los mamima audi…</t>
  </si>
  <si>
    <t>Romerq, Juap Capo</t>
  </si>
  <si>
    <t>Juap Capo Romerq</t>
  </si>
  <si>
    <t>es,4,e~Éecamp hatv cogido cerca. de . aRt. ix.” En la villa de^Casariche; se formará aquel puerto un pescado de una magnitud enorme.; media compañía. D. Juap Capo Romerq ejstá nom­ Tiene de largo t o metros (*)» y pesa $2&gt; kiliógfa- brado .capitán, y D. Juan, Romero Rodríguez sub­ más.(»). . ; r. ' í ■ teniente. . . art. x. .…</t>
  </si>
  <si>
    <t>Ron, Vicente</t>
  </si>
  <si>
    <t>Vicente Ron</t>
  </si>
  <si>
    <t>e junio un convoi que venia á Scilla para una canongía de la de Palencia , vacante por fue atacado por la flotilla inglesa, quando ya habia muerte de D. Vicente Ron: á D. Juan Rodriasado de Palnti, y estaba á la altura dé B gnara. gnez de Soto , presbítero y ex-gerónimo , para la E o flotilla del Rei renia contrarios el vient…</t>
  </si>
  <si>
    <t>Ronda, Antonio</t>
  </si>
  <si>
    <t>Antonio Ronda</t>
  </si>
  <si>
    <t>á dia se quitará, y será líbre la comunicación de la D. Ramiro Bobadilla ; subteniente'! D. Josef Gon-v Holanda con el imperio. zalez ,&lt; y cirujano á D. Antonio Ronda. En el re­ art. X. Los géneros coloniales que se encuen­ gimiento de Castilla, i.° de infantería Jigeiá , ca­ tren actualmente en Holanda quedarán en poder pitá…</t>
  </si>
  <si>
    <t>Ronda, Eiías Pascual</t>
  </si>
  <si>
    <t>Eiías Pascual Ronda</t>
  </si>
  <si>
    <t>i z Manteca.................... 11010 17 D. Fernando de Beingoechea............... 10479 17 Doña Juana Elexaga.............................. 12003 «f D. Eiías Pascual Ronda..... .................. 8700 D. Fulgencio de la Riva Agüero........ 2597 D. Euscbio Pareja.................................. 1190 D. Nicolasa Utiel.......…</t>
  </si>
  <si>
    <t>Ronqui, José</t>
  </si>
  <si>
    <t>José Ronqui</t>
  </si>
  <si>
    <t>. Teniente D. Lúeas Valenzuela, 5. Id. D. Gregorio Blanco, 10. Alférez D. Fermín Tarbe, 25. Id. D. Gorgonio Olivas, 3. Capellán D. Rafael Nevares, 3. D. José Ronqui­ llo, 15. Sargentos, cabos y soldados , 197.— Segunda Volante. Capitán D. José María del Rivero , 100. Teniente D. Miguel Ortiz, 46. Alférez D. José Moreno, 4. Id…</t>
  </si>
  <si>
    <t>Ronquillo, José</t>
  </si>
  <si>
    <t>José Ronquillo</t>
  </si>
  <si>
    <t>D. Pedro Armendariz, 10. Alférez D. Fermín Uribe, 8. Capellán Fr. Agustín Gó­ mez, 10. Sargentos, cabos y soldados, 818..— S. Buenaventura. Capi­ tán D. José Ronquillo, 100. Teniente D. José García Cano, 6. Idem D. Francisco Quintanilia, 46. Alférez D. José Medina, 20. Id. D. Pasqual Montano, 30. Capellán Fr. Juan Perez, 5*. …</t>
  </si>
  <si>
    <t>Ronvillard, Antonio</t>
  </si>
  <si>
    <t>Antonio Ronvillard</t>
  </si>
  <si>
    <t>.......... 2140 D. Manuel Sánchez Tcseano.• 8c'Cob* D. Francisco Viaña............................ . 245,70 Doñá Gqrónima Aguiiar.....'.UVA.¡i 11240. D. Antonio Ronvillard..................... 1708: i8! D.'Pedro Madrid.................ñe/../.......1 2cS t 8; Doña María-Ana Ramírez de Estenoz. 22JOO D. Francisco Tiburcio de It…</t>
  </si>
  <si>
    <t>Roque</t>
  </si>
  <si>
    <t>tomar las providencias Una coluoa, que había partido de Jaca el 16 que su sabiduría juzgue útiles para el bien pú­ de noviembre baxo las órdenes del capitán Roque blico." Morell, se componía del batallón del Ó4.°y de los cazadores de Arriage: después de haber arrollado IMPERIO FRANCES. el 18 y 19 á las bandas de Sarasa y de A…</t>
  </si>
  <si>
    <t>Roqueái, Estiban María</t>
  </si>
  <si>
    <t>Estiban María Roqueái</t>
  </si>
  <si>
    <t>resbítero. decreto. = Firmado=YO EL REI. = Por S. M. el Para el de Talamanca , vacante por muerte de ministro secretario de Estado=:Firmado = Mariano D. Estiban María Roqueái, i D. Marcelino Pe­ Luis de Urquijo.” Tillo.... ¿Que el Rei las manos osadas tadamente de los recursos del arte, ha representado con Ponga en tan nobles…</t>
  </si>
  <si>
    <t>Ros, Manuel</t>
  </si>
  <si>
    <t>Manuel Ros</t>
  </si>
  <si>
    <t>Alonso y López , por la junta superior de Galicia: D. José María Suarez deRioboo, por la provincia de San­ tiago : D. José Cerero, por la de Cádiz : D. Manuel Ros, por la de San­ tiago : D. Francisco Papiol, por Cataluña: D. Pedro María Ric, por ía junta superior de Aragón : D. Antonio Abadin y Guerra, por la pro­ vincia de M…</t>
  </si>
  <si>
    <t>D. Manuel Ortiz de Muga y su muger 60. D. Pasqual Moreno de Mora, 600. D. Miguel Riva, 500.. D. Miguel Maten é hijos, 400. D. Francisco Berrio, 500. D. Manuel Ros, 1000. D. Tomas Isturiz, 4000. D. Ildefonso Ruiz del Rio, 4000. Duque del Infantado, 4000. D. Blas del Hierro, 500. Don Manuel Saez A y lien, igo D. José Ignacio Ec…</t>
  </si>
  <si>
    <t>Rosa</t>
  </si>
  <si>
    <t>tnás los otros dos 'parientes D. Ambrosio , negociante toda* las prendas que necesita una muge, para hacerse quéTfOiconoce mas.Dios que su ínteres, y Doña Rosa, querer: oriunda de países ¿xtrangeros está yi nifuraH- hsíhnjha de Doña Gertrudis , que no es tan inda como zada en España; y si tiene algún defecto, 'vierie de sus l…</t>
  </si>
  <si>
    <t>Rosa, Cándido María</t>
  </si>
  <si>
    <t>Cándido María Rosa</t>
  </si>
  <si>
    <t>ascoso , D. José Andrés , D. Anastasio Navas , D. Juan Senovilla, D. M anuel Rodríguez, D. Pedro González, D. Fer­ nando López , D. Santiago Pereyra, D. Cándido María Rosa­ da ; y para mayor estímulo les recordé al mismo tiempo las obligaciones que les imponía tan singular distinción. . Los sabios generales que han mandado y …</t>
  </si>
  <si>
    <t>Rosales, Joaquín Mariano</t>
  </si>
  <si>
    <t>Joaquín Mariano Rosales</t>
  </si>
  <si>
    <t>icente D z en 1770, esta­ súplicas ; y en su consecuencia han sido nombrado* bleciendo también el punto de Vcracrua, y dedu­ d-.pi-t.idos"los s.ñores D. Joaquín Mariano Rosales ciendo que las caitas aumentaba.) la distancia entro y D. Miguel Sánchez Henriquez. ambos lugares la enorme cantidad de 40 leguas. ,,Esta ciudad, que …</t>
  </si>
  <si>
    <t>Rosales, Juan Ncpomuceno</t>
  </si>
  <si>
    <t>Juan Ncpomuceno Rosales</t>
  </si>
  <si>
    <t>. Isidro de Mata y Serna. D. Joaquín Onis. D. Josef Fernandez Zúñiga. D. Josef María Monserrat. D. Ramón Echaetea. D. Gaspar Soiiveres. Subtenientes. D. Juan Ncpomuceno Rosales. D. Josef Vargas. D. Julián Castañou. D. Diego Giraldo. D. Juan Crespo. D. Andrés Almarza. D. Antonio Reyelo. D. JnrefTubó. D. Joaquín Pacheco. D. Ped…</t>
  </si>
  <si>
    <t>Rosalía</t>
  </si>
  <si>
    <t>heridos. Se les mataron asimismo seis do con el defensor judicial de los mismos acreedores, y caballos, se les ha tomado 22 , y se les ha cogido con Doña Rosalía deChei, titulada condesa viuda del ademas el botín que teuiau, y casi todos sus ba- propio título, parte actora, y seguido sobre preferen­ gages. cia en el cobro des…</t>
  </si>
  <si>
    <t>Rosen</t>
  </si>
  <si>
    <t>g i las órdenes del almirante. fiscaciones hechas en otros países, ó por presas he^ Stedingk. •' chas en el- mar« pudieran introducirse mercancías El conde Rosen, que habia sido enviado i:Pa­ inglesas y coloniales de todas clases en el comercia rís con la acta ¡de eleccioo de la dicta, ha llegada ^ de nuestros estados, hemos …</t>
  </si>
  <si>
    <t>Rosenkrone</t>
  </si>
  <si>
    <t>puesto al caimacao por las princesas realesj Se han dignado en estos últi­ faltarle energía f aunque era hombre de mucha mos dias hacer una visita al conde Rosenkrone en probidad, y ha dado su destino á Pakir-akmed— el palacio que tieue en el camino de Friedrichsberg. baxá , que era director de la casa de la moneda. El dia 23…</t>
  </si>
  <si>
    <t>Rosetti</t>
  </si>
  <si>
    <t>nsiderablemente las contri­ «brixburgraf A&amp; Praga, que es él mismo qae tenia buciones para sostener ia guerra actual contra In­ el conde Wallis; y el barón Rosetti ha sido nont-- glaterra, los súbditos de aquel reino continúan ha­ brado presidente de ia regencia de Austria en lu­ ciendo donativos patrióticos considerables;'dé…</t>
  </si>
  <si>
    <t>Rosillo, Juan Ximencz</t>
  </si>
  <si>
    <t>Juan Ximencz Rosillo</t>
  </si>
  <si>
    <t>ro ,ex-regalar..: ... ... ... í II Arriate y vacante por-muerte de D.'Martí«r More­ Para el medio beneficio de la nmma., :vac4rHfl, no Montenegro , á D. Juan Ximencz Rosillo , pres­ por muerte de D. Manuel León, á D. Antonio bítero- • Verdugo ¿ prefiero ,lexííréjfulír.T. I M 31 I^tl el medio beneficio dé la parroquial de la P…</t>
  </si>
  <si>
    <t>Roso, Francisco</t>
  </si>
  <si>
    <t>Francisco Roso</t>
  </si>
  <si>
    <t>nto los oficiales como las tripulaciones de nues­ Q edan nombrados para capitán de esta com­ tra división estaban animados- del mejor espíritu, pañía D. Francisco Roso, para teniente D. Fran­ y ansiosos por llegar á las manos con el oemigo. cisco Mida, y para subteniente D. Miguel de las „ Procuraré hacer preseñtes i "V. A. l…</t>
  </si>
  <si>
    <t>Rossi</t>
  </si>
  <si>
    <t>Animado de tales sentimientos , y deseando va disminuyendo el número de guardias. 1 acelerar la elección, ha oido S. M. con satisfacción La causa del doctor Rossi está ahora pendiente la voz de la nación , la qual se ha declarado á fa­ en el consejo del Rei. Se han recibido reciente­ vor del príncipe de Pontecorvo. Las brilla…</t>
  </si>
  <si>
    <t>■’Estockohno 25 de agosto. los recursos que esta tiene pará'defenderse. Se acaba de publicar el siguiente extractó de I. Ila sentencia dada contra el doctor Rossi. El doctor Rossi, médico de S. M., de resul­ AUSTRIA. tas de la noticia de que S. A. el Principe Real se Viena 29 de agosto. había.indispuesto en el viage, recibió …</t>
  </si>
  <si>
    <t>l de Bamberg. La ciudad de Schweinforth es pe á mi casa. Aunque no daba señal alguna de vi­ la mas considerable de las comprehendidas en esta da , el doctor Rossi hizo inútiles tentativas para cesión. reanimarle, frotándole los pies y el pecho con ser­ -’Ya han principiado en Prusia y en Saxonia los villetas calientes. Se le …</t>
  </si>
  <si>
    <t>Rosslin</t>
  </si>
  <si>
    <t>doptado la opinión de es­ cámara de los lores, á fin de pedir á sus señorías tos parientes suyos para el desempeño de su comi­ el permiso para que el conde Rosslin asistiese á sión , y que habla obrado conforme á su peculiar ana junta ei mártes próximo. Estas dos propuestas política y modo de pensar , y no con arreglo á la fu…</t>
  </si>
  <si>
    <t>Rostan, Jaime</t>
  </si>
  <si>
    <t>Jaime Rostan</t>
  </si>
  <si>
    <t>.. D. Luis Le Clair........... , D. Pedro Luis Napoli. D. Mariano Herranx........... . D. Josef Gamarra........... . D. Juan Valenchana.............. D. Jaime Rostan. •#•-»••«•* ••*•••••»«••■»•« D. Josef Paniagua. D. fíustaqnio Villaseftor....... D. Manuel Gamarra. D. Pedro Sao Micbel............. D. Juliao Gajlcedo. D. Pedro…</t>
  </si>
  <si>
    <t>Roten</t>
  </si>
  <si>
    <t>por la viuda del valiente ayudante de Almería D. José Haag, que con tanto valor se portó siempre, y murió ayer asaltando el parapeto á la vista de su capitán Roten. — Asimismo pongo en la consideración de V. F. c-1 zelo y actividad con que han contribuido á los tra­ bajos que te hicieron de atrincheramientos en las puertas y …</t>
  </si>
  <si>
    <t>Roucali, Josef</t>
  </si>
  <si>
    <t>Josef Roucali</t>
  </si>
  <si>
    <t>de Ha llegado el momento en que debeis oir la • Gorma, doctoral ; D. Francisco Armenia , emó- verdad; os la debo: me lisonjeo de que será con nizos: D. Josef Roucali , D. Pedro García , Don utilidad. Josef M izuelo, D. Josef C:v dios , racioneros: Saben los hombres que piensan que la imperio­ D. Luís-de Córdoba, D. Fe ipe Esc…</t>
  </si>
  <si>
    <t>Roulei</t>
  </si>
  <si>
    <t>rgo seJian enviado las llería. [ correspondientes órdenes para principiar inmedia­ Y al general de brigada Allix que mandaba la tamente el ataque. El capitán Roulei, que tiene artillería. - ¡ un exáeiro conocimiento Je aquellas costas , ten­ El coronel de Zurwesten , ¡edecán del Rei i, es­ drá el mando de las fuerzas de mar ;…</t>
  </si>
  <si>
    <t>Rous</t>
  </si>
  <si>
    <t>Mr. el ma­ kens dio audiencia á las autoridades civiles y mi­ risca] OuJiiiot, duque de Reggio, se ha puesto litares ; y conversando con ei valiente general Rous­ ya en camino para Ainsterdan. seau , comandante de la isla de Ciúsaod, y que Un soberbio regimiento de coraceros, que for­ tanta reputación se ha granjeado en el ve…</t>
  </si>
  <si>
    <t>Rousseau</t>
  </si>
  <si>
    <t>va á España. cursión en esta parte del impeno, le dixo S. M.: ESPAÑA. General, ¿ estáis contento con la cohorte del Escal tai Sí señor, respondió el general Rousseau. Granada 12 de junio. Z)e esa manera* continuó el E aperador, decid de Francisco Antonio D &gt;rntet y Crisróbal de Ve­ mi parte d esos valientes guerreros que jo t…</t>
  </si>
  <si>
    <t>Rouyer</t>
  </si>
  <si>
    <t>ingente del príncipe Hohenla legión polaca, zollera-Sígmaringen hace parte de la división ale­ Eos comisionados del gobierno del grao ducado mana del general Rouyer, coa la qual marcha á recibieron el dia 14 en Cracovia el juramento de España. fidelidad á S. M. el Reí, nuestro duque, de todas las autoridades civiles y milirar…</t>
  </si>
  <si>
    <t>Rovillar, Antonio</t>
  </si>
  <si>
    <t>Antonio Rovillar</t>
  </si>
  <si>
    <t>ADRID DEL.LUNES I 8 DE JUNIO DE l8l 0. Extracto de las minutas de la secretaría de JEs** P. Gregorio Sánchez.................... . 78540 lado. ■ ■&lt;!_ D. Antonio Rovillar........................... 8014126 En nuestro palacio de Madrid. á a de juufci D. Manuel; Moresqui......................... 263200 de 1810. .r ... Cí 15- Mig…</t>
  </si>
  <si>
    <t>Rovira</t>
  </si>
  <si>
    <t>uartel general, que el dia anterior se había trasladad© desde Tarrasa á Esparraguera, para unirse á las divisiones de O-Do­ nell y Porta , y á la del coronel Rovira, que se halla en San Bar­ tolomé. Las circunstancias de tener los enemigos ioD hombres de fuerza,’ que se ha empleado en batir á la de 4200 de que se componen so­…</t>
  </si>
  <si>
    <t>Rovira, Francisco</t>
  </si>
  <si>
    <t>Francisco Rovira</t>
  </si>
  <si>
    <t>as gracias en su real nombre,y que se ponga en la gazeta dél gobierno. Con fecha de 19 de diciembre último ha dado parte desde Darnius el coronel Dr. D. Francisco Rovira al general en xefe del exército de Cataluña marques de Portago , que con noticia de que el 18 pasaba el general Augereau de la Junquera á Figueras con 32 hom…</t>
  </si>
  <si>
    <t>Roxo, Bartolomé Gómez</t>
  </si>
  <si>
    <t>Bartolomé Gómez Roxo</t>
  </si>
  <si>
    <t>a. presbítero, ex-regular., , : - : Para .el dé la villa de Monda , vacante por fa­ Para el beneficio de lai parroquia de S. Juan de llecimiento • de D. Bartolomé Gómez Roxo, i la ciudad de Velez-Málaa^, , vacante por muerte D. Miguel Otero, tenieóte de cora dé la misma. de D. Josef d¿ Martos , alDr. D. Fernando Vara, Y para …</t>
  </si>
  <si>
    <t>Rozniecki</t>
  </si>
  <si>
    <t>do 15 de nuestros ba­ ques de las Indias orientales, que han .‘ido destrui­ Posen 19 de diciembre. dos por las borrascas, ó que han caído «a poder SI general Rozniecki ha dirigido una proclama del eaemigo. £ los habitantes de los círculos de Zolkiew y de Todos estos baques ascendían á 11560 tone­ Zloczow, anunciándoles que de…</t>
  </si>
  <si>
    <t>Ru, Josef</t>
  </si>
  <si>
    <t>Josef Ru</t>
  </si>
  <si>
    <t>ues; qoe han - Para capitán de la segunda compañía I D. Ma­ ■Ido rescatados otros 14 üítícos ,' italíaoos y napo­ nuel López Tinoco , par? teniente á D. Josef Ru­ litanos ; que 2 j franceses , entre ellos cinco artille­ bio Barbero t:y para subteniente ¿ D. Josef Mo­ ros , que estabao prisioneros , han recobrado sn li­ ran. b…</t>
  </si>
  <si>
    <t>Ruano, José</t>
  </si>
  <si>
    <t>José Ruano</t>
  </si>
  <si>
    <t>, del mariscal de campo D. Tomis Moreno^ del brigadier D. Francis­ co Xavier de Ahadí i9 -del teniente general D. Salvador Pereliós, y el subteniente D. José Ruano ; y con presencia de lo que ha con-</t>
  </si>
  <si>
    <t>Ruano, Manuel García</t>
  </si>
  <si>
    <t>Manuel García Ruano</t>
  </si>
  <si>
    <t>tro" ministro interino deNegocios eclesiástico* /nom­ Pata el de Valle y Villar deTPaerto, datante bramos: or muerte de D. Manuel García Ruano, á Don Para e! carato deTrobajo del Camino, vacante S .eonardo del Barrio y Reyero, tonsurado. por muerte de D* Láziio Avecilla, a D. Mitui Para el de Santiago de Villalpando, vacante …</t>
  </si>
  <si>
    <t>Rubia, Juan Manuel García</t>
  </si>
  <si>
    <t>Juan Manuel García Rubia</t>
  </si>
  <si>
    <t>723 D. Benito Rafean.................................... 551? D. Miguel Lapena......-............ .............. 64500 5 D. Juan Manuel García Rubia............ 18042 14 14 Doña Josefa Piedra.................................. 691 24 D. Gabriel Rodríguez de Ccbrian...... 1Ó860 IÓ860 13 Q D. Andrés García deRoxas...............…</t>
  </si>
  <si>
    <t>Rubiilard, Antorio</t>
  </si>
  <si>
    <t>Antorio Rubiilard</t>
  </si>
  <si>
    <t>el de la Garma....................... 10830 D. Andrés Ai t nio Fernandez.......... 43920 D. Felipe A’ba Ruiz................................ S4S3 1?, D. Antorio Rubiilard.............................. 66905 30 La real Calcografía................................. 451 Sv 1). Joset de Oro- y Gutiérrez............ 70920 D. Franci…</t>
  </si>
  <si>
    <t>Rubiliard, Antonio</t>
  </si>
  <si>
    <t>Antonio Rubiliard</t>
  </si>
  <si>
    <t>xa......................................... 391 580.-28 D. Pedro Madrid..................................... 644 La real academia de S. Fernando, por D. Antonio Rubiliard....................... .... 10073.. 24 uno id................................................... 177000 Doña Francisca de Paula García, có1 El conde de Mont…</t>
  </si>
  <si>
    <t>Rubín, Antonio</t>
  </si>
  <si>
    <t>Antonio Rubín</t>
  </si>
  <si>
    <t>, D. Mtnuel Martinez , D. Pió Moron , D. Francisco Alonso , D. Bernab S María de Faez , D. Angel Salazar y Aldao, D. José Pereyra, D. Blas Peinador, D. Antonio Rubín, D. Ra­ món Momeo , D. José Benito Perez , D. Faustino Diez , D. To­ mas Rodríguez, D. Bernardo Guallar, D. Antonio Carril, Di Cos­ me Sancho, D. Alonso Sanjurjo…</t>
  </si>
  <si>
    <t>Rubio, Antonio</t>
  </si>
  <si>
    <t>Antonio Rubio</t>
  </si>
  <si>
    <t>D. Diego 1 opez, el conde de la Quinte­ ñas y de las Indias. ría, el conde de Guadiana, D. Manuel Brc«ca, Hemos decretado y decretamos lo siguiente': D. Antonio Rubio, D. Juau Ahumada, D. Fran­ articulo i. ,,Hemos nombrado y nombramos cisco Vargas, D. Jcsef Echavarri, D. Andrés Or­ á nuestro consejero de Estado y teniente gen…</t>
  </si>
  <si>
    <t>Gaspar de Losas Hidalgo. D. Josef lbárreta. D. Pedro Batelú. D. Manuel Negueruela. D. Antonio Bailo. D. Ramón Rites. D. Manuel Toro. D. Josef Castro. D. Antonio Rubio. D. Andrés Saiz Dnrango. Batallón del quartel de S. Francisco. D. Jo sef Antonio Molina. Capitanes. D. Josef Garai. D. Andrés Perez. Subtenientes. D. Julián Pom…</t>
  </si>
  <si>
    <t>Rubio, Cirios</t>
  </si>
  <si>
    <t>Cirios Rubio</t>
  </si>
  <si>
    <t>. Vi­ cente Sitveira, 20. D. Fernando de la Cimpa y D. Francisco Noriega, 100. Doña Ignacia de León, 20. D. Teodoro Csneros, 18 D. Martin Barron, 2$. D. Cirios Rubio, 12. D. José Simón Birraza, 8 D. Atanasio Urbina, 10. D. Camilo Peynado, 10. D Juan José Salcedo , 6. D. Faustino Peynado, 6. Varios individuos 53 y 4 reales.---…</t>
  </si>
  <si>
    <t>Rubio, Gil</t>
  </si>
  <si>
    <t>Gil Rubio</t>
  </si>
  <si>
    <t>, de 6 fa­ con el vínculo de Antonio Hernández, negas, linde i oriente y mediodia con y al mediodia con el camino bazo de tierras de la capellanía de D. Gil Rubio. 109 2398 Cobeña............ .'........................................... *59 3498 Una cerca con olivos.en el camino que va í Otra donde llaman la Callejuela , de …</t>
  </si>
  <si>
    <t>Rubio, Juan</t>
  </si>
  <si>
    <t>Juan Rubio</t>
  </si>
  <si>
    <t>sta y permitieron qoe los músicos la execntasen. Mr.&lt; corte á la villa de Hortaleza Esteban Rodríguez Mehnl, miembro del instituto, había compuesto y D. Juan Rubio, dUcalde-y escribano en §ste pue­ la música.' 1 blo, fueron igualmente sorprehendidos, y amena­ Concluida la cantata , permitid S. M. que em­ zados con las armas i…</t>
  </si>
  <si>
    <t>Rubio, Manuel María Rodríguez</t>
  </si>
  <si>
    <t>Manuel María Rodríguez Rubio</t>
  </si>
  <si>
    <t>y empleos de alféreces á D. Ramón de Oro zoo y Zayas, D. Tomas de Heredia , D. Félix Gi man , D. Ramón de Parada, D. .Agustín María Salvador y Vidal, D. Manuel María Rodríguez Rubio, D. Fernando Juan de Zurita y D. Luis María Montero. Igualmente se ha servido $. M. conferir la tenencia coronela</t>
  </si>
  <si>
    <t>Rubio, Pedro</t>
  </si>
  <si>
    <t>Pedro Rubio</t>
  </si>
  <si>
    <t>Francisco Zuñiga. D. Mariano Trevíño. Tenientes:, D. Pedro M-ría Brost. D. Pedro San Miguel. I&gt;. Josef Perez Azofra. Batallón del quartel de Avapies. D. Pedro Rubio, hijo. Capitanes. D. Angel Machado. D. Antonio Fuentes. El marques de C &lt;mpo Villar. D. Bernabé Fuentevila. El marques de Cevados. D. Agu stin Chavarri. D. Mari, …</t>
  </si>
  <si>
    <t>Rufino, Francisco</t>
  </si>
  <si>
    <t>Francisco Rufino</t>
  </si>
  <si>
    <t>igadier D. César Balbiani. El 2 del corriente se extravió un vale de 150 pesos, de la creación de setiembre, señalado con el núm. 190,873, endosado á D. Francisco Rufino. El sugeto en cuj^o poderse hallare, se servirá entregarlo en el almacén de D. Domingo Cacho, en la recoba. Desenfado patriótico, ó diálogo entre un Emisario…</t>
  </si>
  <si>
    <t>Ruiz, Antonio</t>
  </si>
  <si>
    <t>Antonio Ruiz</t>
  </si>
  <si>
    <t>s Hospicios de esta corte y Ribera......................................... 12815-17 S. Fernando...... -..... ................................. 33333 D. Antonio Ruiz.de Castilla............. . ^SS-^Si Los señores D- Pedro Baille y compañía. 42 59 D. Pantaleón Zavala.............................. 1088 D. Rafael Martínez de Ari…</t>
  </si>
  <si>
    <t>endo al mérito y circunstancias de los Benatúa, vacante por. mnerte.de X&gt;.Eitébau Val-! opositores á ios caratos vacantes en el arzobispado- verde, i D. Antonio Ruiz, ex regular del órdea de Granada por lo respectivo al concurso, qne de S. Francisco! ' finalizó to ó de julio último; oído nuestro minis­ Para el de la iglesia p…</t>
  </si>
  <si>
    <t>nteres de la narración nace casi siempre Y para' la de Pedro Martínez al ex-francisca­ de los pormenores ; pero toca al gusto escoger los no descalzo D Antonio Ruiz. mas necesarios para producir el efecto. art. ii. Si de la liquidación del valor de di­ El señor Lacretelle gusta mucho de anécdotas chas sacristías resulta que e…</t>
  </si>
  <si>
    <t>Ruiz, Felipe Aiba</t>
  </si>
  <si>
    <t>Felipe Aiba Ruiz</t>
  </si>
  <si>
    <t>62435 2a D. Domingo Perez S. Julián................. 4602 2 5 Los señores Dutari hermanos............... 6202 - 5 D. Josef Ignacio de Mendia , por su D. Felipe Aiba Ruiz , como padre y apoderado D. Lorenzo de Palacio administrador re D. Josef y D. Cay Gorbea........... :.................................... 160293 4 si miro...…</t>
  </si>
  <si>
    <t>Ruiz, Francisco</t>
  </si>
  <si>
    <t>Francisco Ruiz</t>
  </si>
  <si>
    <t>decoraciones y Torre , D. Rafael de Entrena, D. Josef de Au-tria, la riqueza de los trages son superiores á todo elo­ D. Josef Martínez de Castejon , D. Francisco Ruiz gio. Los pintores del teatro imperial se han mani­ Blanco de Cea , D. Miguel de Morales , D. Manuel festado dignos sucesores de los célebres G biliari. Mariano…</t>
  </si>
  <si>
    <t>can &gt; como igualmente los dos prisioneros franceses. No puedo menos de recordar á V. S. el mérito de este pueblo, y en particular el del Coman­ dante D. Francisco Ruiz, que ha contribuido á la di­ rección de la acción principal, como igualmente el de D. Juan Becerra, por quienes se han conseguido unas acciones tan gloriosas a…</t>
  </si>
  <si>
    <t>s ahora, da á entender que el quartel general Para otro de la misma parroquial, vacante por estaba todavía el 21 en Celorico. Debe de haber muerte de D. Francisco Ruiz, á D. Francisco de error en la fecha de úna de estas dos cartas ; pero los Ríos, presbítero, teniente de cura de la parro­ no obstante tenemos por mas segura l…</t>
  </si>
  <si>
    <t>’calde y un encargado de policía -D. Francisco Riiz, entró el desconocido-D. Pedro, se llevó al alcalde D. Bartolomé García, y qui­ so poner preso al D. Francisco Ruiz, el que huyó. —El alcalde de Ojtibar, según parte de la misma ciudad de Velez , nombrado Juan Fer­ nandez, después de haberse posesionado de Almuñecar y su cas…</t>
  </si>
  <si>
    <t>Ruiz, Francisco Saenz</t>
  </si>
  <si>
    <t>Francisco Saenz Ruiz</t>
  </si>
  <si>
    <t>a real ásodacton de caridad ’de las • D. Joaquín Sierra,................... *978 ^cárceles....... .v.v....v.v.....;...v.v.......... 472.2 6., mp(s'*7 D. Francisco Saenz Ruiz............. 126541 t6, D; Melchpr Km ■794a; D» Tomas Vázquez Cevallos....... 2509 D. fFraqcisco XavierdeAmestoilléeaasae :;74oo v17 1 D,Sebastian deOtae…</t>
  </si>
  <si>
    <t>Ruiz, Gabriel</t>
  </si>
  <si>
    <t>Gabriel Ruiz</t>
  </si>
  <si>
    <t>oreros de las provincias Ortega: para la segunda de la misma iglesia al ex - no po.ira.-i hacer pago alguno sin efue procela de fr.¡.e scaño descalzo D. Gabriel Ruiz: para la de libramientos expedidos por los respectivos minis­ S. Gabriel de la misma ciudad ai ex franciscano tro': } en virtud de los presupuestos que aprobemos…</t>
  </si>
  <si>
    <t>Ruiz, Isidro</t>
  </si>
  <si>
    <t>Isidro Ruiz</t>
  </si>
  <si>
    <t>la Veredilla de San viña, camino de Valdemoro, y linda Roque, de uná fanega y 74 estadales, con Ja vereda y tierra de Manuel que linda con tierra de D. Isidro Ruiz...................................................... 118 2595 Cabello............. .................. ............... 45 990 Una viña en Cabezas fuertes, que Jind…</t>
  </si>
  <si>
    <t>Ruiz, Jasé Ignacio</t>
  </si>
  <si>
    <t>Jasé Ignacio Ruiz</t>
  </si>
  <si>
    <t>z, 300. D. Antonio Aunada, 150. D. Toribio de Mateo y Ramos, 300. D. Manuel Cayetano Espinosa, 150 D. Antonio de Cevallos, 200. D. Manuel Campoy, 10. D. Jasé Ignacio Ruiz, 10. D. José Urquides, 10. D. Ignacio Campoy, 20. D. Pedro Quirós, 10. D. Bernardo Zarala, 15. D Manuel Valenzuela, 14. Varios individuos, 78 y 4 rs. Los ve…</t>
  </si>
  <si>
    <t>Ruiz, Josef</t>
  </si>
  <si>
    <t>Josef Ruiz</t>
  </si>
  <si>
    <t>io de la Riva Agüero........ 2597 D. Euscbio Pareja.................................. 1190 D. Nicolasa Utiel.................................... 2888 D. Josef Ruiz.......................................... D. Pedro Scheropp................................ 631 D, Antonio Zazo.................................... D. Domingo de V…</t>
  </si>
  <si>
    <t>e D. Francisco Martinez Gil, á D. Josef Para el de Fontanar, vacante por muerte de Celedonio de Cea , cura de FuencemUlan. D. Diego Félix Pioilla , á D. Josef Ruiz, clérigo Para el de R o macones, vacante por ascenso de de prima. D. Mariaoo Lázaro de la Cuerda al de Romeral, Para el de Navas y Cinco-Villas, vacante por i D. R…</t>
  </si>
  <si>
    <t>Ruiz, Juan Gómez</t>
  </si>
  <si>
    <t>Juan Gómez Ruiz</t>
  </si>
  <si>
    <t>203</t>
  </si>
  <si>
    <t>os de Parauta, los nuestros no pudieron contenerlos, y en ei mejor órden se fueron retirando sin dexar de hacer vivo fuego; en cuyo tiempo mi segundo D. Juan Gómez Ruiz cayó sobre ia iz­ quierda, acometió con valor extraordinario dando aliento á los de Parauta, y haciendo prodigios de valor se estuvieron los nues­ tros hacien…</t>
  </si>
  <si>
    <t>Ruiz, Ramón</t>
  </si>
  <si>
    <t>Ramón Ruiz</t>
  </si>
  <si>
    <t>aro Benito................. 500001. *: D. Manuel Antonio Rodríguez........—4» * ayió.. 7 ' * La casa de Aguirrp. é hijos...................... idoodo D. Ramón Ruiz........ ..........-v.....—•—;,i'» ■ * • ; .565-29 J D. Pedro Franco.................... ................ *3843* *3 Dr Cipriano Josef Salinero........ ........ ■ I …</t>
  </si>
  <si>
    <t>ga—*............................... 1083 r quelozzi...................................... 4680 D. Pedro Baille y .compañía...;............. 14977- 8! D. Ramón Ruiz...... ............................. ' -5805 Doña Josefa Vázquez Silva...;.............. 1444 D. Manuel de Moya.............................. 14856..3» ‘ ' D. Josef…</t>
  </si>
  <si>
    <t>Ruiz, Tomas</t>
  </si>
  <si>
    <t>Tomas Ruiz</t>
  </si>
  <si>
    <t>ería de mari­ na. JuanBernat, primer cabo, 12. Romualdo Santiago Rodríguez, bom­ bardero, 20. Partida de marina en este puerto y el de Buenos-Ay res. D Tomas Ruiz, sargento primero graduado de alférez de fragata, 32. Id. D. Gre­ gorio Mota, 8. Cirios San José, cabo primero, 17. Id. segundo Caye­ tano Arroyo, 4. — Fusileros. F…</t>
  </si>
  <si>
    <t>Ruiz, Vicente</t>
  </si>
  <si>
    <t>Vicente Ruiz</t>
  </si>
  <si>
    <t>et de Oro- y Gutiérrez............ 70920 D. Francisco de ia Quitiiaua............. 3g437 *7 D. Di UO T- i lesiílas............................. 900 0 D. Vicente Ruiz.................................... 90 Sí D J ost'f Mif.ue! Vázquez.................... 60000 D. juan Battti ta írriharen................... 302111 H Sor Is b I …</t>
  </si>
  <si>
    <t>Run-v</t>
  </si>
  <si>
    <t>ú'cteucia; ¡o , yr ininediatanientj remitidas ai presóle.¡te de ¡os E.- pue'to en execucion no solo liguresa sino ¡rrererni tados-Unidos por Mr. D»v';d Run-v./ , que presi­ e.iblementc por ¡a otra parte, el tratado mismo de*-. dia la asamblea, con ¿a carta siguiente: bñ¡ por su naturaleza exigir una sanción inmediata, Charles…</t>
  </si>
  <si>
    <t>Ruppel</t>
  </si>
  <si>
    <t>stfalia, y á las gido, con fecha de 7 del corriente, el reglamento quatro han llegado á Wilbroeck, donde tiene co- siguiente: .mumcacion el ¿anal con d Ruppel. El ministro de ,, La situación del mediodía de España exige la Marina el almirante Mijfiesi y el prefecto de los imperiosamente que se tomen medidas vigorosas dos Nejh…</t>
  </si>
  <si>
    <t>Rut</t>
  </si>
  <si>
    <t>tera­ El general Dupont-Chaumont, inspector de in­ mente so fuego. fantería , ha llegado á Nápoles para pasar revista á / A las quatro de la tarde el general Rut! , colos regimientos franceses que forman parte del exér­ ' mandante de la artillería de sitio, el gefe de batar cito napolitano. I Ion de ingenieros Couche, comanda…</t>
  </si>
  <si>
    <t>Criado de la artillería, ha dirigido coa grande acierto to­ fingido. Actores en la comedia: Sras. García y Virjj. das las operaciones de so arma. El general Rut!, Sres. Ponce, Avecilla, Contador y Oros. EN tÁ IMPRENTA REAL.</t>
  </si>
  <si>
    <t>Ruttíman, Josef</t>
  </si>
  <si>
    <t>Josef Ruttíman</t>
  </si>
  <si>
    <t>el. mariscal duque de Castiglione. En varios cuerpos, mayor del regimiento de Granada , 5.° de línea , á D. Juan O rei li: mayor del batallón suizo á D. Josef Ruttíman: teniente ESPAÑA. del regimiento de rezadores á caballo r.iím. a ° á Madrid 3 de junio. D. Josef de Iruegas: subteniente fiel regimiento núm. t.° de cazadores …</t>
  </si>
  <si>
    <t>S'la</t>
  </si>
  <si>
    <t>oticia de haberse - principiado -la*: htosiilidadés -ér» Al. día siguiente por la mañana y .por la tarde el Danubio. - - ’ J *. ¿ 1 - : J- ásistióél ‘Emperador S'la fuirícion de Iglesia de la ■ • -r i V7 - AUSTRIA; ••-■■■ ' „ catedral, y por la ño¿hf Foe otra vez á pie al puente ■ }¿ ib v .-..i - '1 4'fíacér’oracjouea él alta…</t>
  </si>
  <si>
    <t>S, A DrE</t>
  </si>
  <si>
    <t>A DrE S</t>
  </si>
  <si>
    <t>,S9* V A RIE D A DrE S. -r La fácil' cdtflttíucoion dé los primeros, y id poco coste&gt; no siempre indemniza tn corta duración. Pa­ Reflexiones sobre la construccian-de puentes, y sorecía que el hierro reunía en io</t>
  </si>
  <si>
    <t>S, Carlos T</t>
  </si>
  <si>
    <t>Carlos T S</t>
  </si>
  <si>
    <t>ilde de S;.ro y Lro-'ij -... 8c-eo D. M■" Antonio Pertira................... 2707 17 El marques je Muz.juiz........................ j 9 ' •&gt; s 8 6 16 D. Carlos T’S ■rcíaer............................... 6859 Doña María Leopoldina de us lleras. Doña Xa viera de O h &gt;a........................ 1S0 17 Doña Xaviera de Yoldi.......…</t>
  </si>
  <si>
    <t>S, Domingo Perez</t>
  </si>
  <si>
    <t>Domingo Perez S</t>
  </si>
  <si>
    <t>..... 28816 14 «ora de sus !¡ij s D.Wenceslao, D.a D. Melchor de Muxica........................... 4402 25 Micaela y D.a Eustaquia Heredia.. 62435 2a D. Domingo Perez S. Julián................. 4602 2 5 Los señores Dutari hermanos............... 6202 - 5 D. Josef Ignacio de Mendia , por su D. Felipe Aiba Ruiz , como padre y a…</t>
  </si>
  <si>
    <t>S, Fran</t>
  </si>
  <si>
    <t>Fran S</t>
  </si>
  <si>
    <t>l qual había un si­ de Felix de; Mior; conde de Haddich, teniente llón cubierto con un paño de o;o destinado para f«lÜ-Mariscal; conde de Wurmbrand ; conde Fran­ S. M. A la izquierda del dosel, eutr.ndo por el cisco de Zichipríncipe ZinzendoifF; príncipe Pa­ lado de Braunau, había una gran mesa cubierta con blo Esterluzi * y …</t>
  </si>
  <si>
    <t>S, Francisco</t>
  </si>
  <si>
    <t>Francisco S</t>
  </si>
  <si>
    <t>Zazo de Lares. D. J ulian de Fuentes. D. Francisco Bezares. D Julián Saez. Tenientes. D Juan Roca. D. Tomas C.mpillo. D. Manuel López. D Ramón J ver. D Francisco S.tenz Rufz.' Batallón del quartel del Barquillo. D. Gaspar B usá. D. Narciso B.*sia. Capitanes. D. Francisco López de Moya. Marques de Canillejas. D. Manuel Barralt…</t>
  </si>
  <si>
    <t>S, Francisco Pedrpsa Tor</t>
  </si>
  <si>
    <t>Francisco Pedrpsa Tor S</t>
  </si>
  <si>
    <t>a quedan encargados de Ja ex£cucÍon¿ . art. v. En el lugar de Sierra de Yeguas se de este decreto. = Firmado = YO ÉL. REI. = Por formará una compañú. D. Francisco Pedrpsa Tor­ S. M., el ministro secretario de Estado== Firma­ res está nombrado capiran; D. Diego Becerra te­ do =Maiano Luis de Urquijo.” niente, y D. Josef de Tor…</t>
  </si>
  <si>
    <t>S, Gerónimo</t>
  </si>
  <si>
    <t>Gerónimo S</t>
  </si>
  <si>
    <t>l Emperador: »&gt; S. M. el Emperador y Rei Napoleón que está Madama madre de S. M., el príncipe Luis Na­ *&gt;aqci presente?" poleón , Rei de Holanda , el príncipe Gerónimo S. A. I. y R. responderá: Napoleón, Rei de Westfalia, el príncipe Borghe- ,, DecLro qae recibo en matrimonio á S. M. el se, duque de Guastala, el príncipe Joaq…</t>
  </si>
  <si>
    <t>S, Josef</t>
  </si>
  <si>
    <t>Josef S</t>
  </si>
  <si>
    <t>ta á tenientes. AVISOS. En las compañías de cazadores de montaña de Todas las personas que diesen memoriales á , Xucena, D. Pedro Ferrero á ayudante: D. Josef S. M. sobre asuntos pertenecientes al ministerio de - Barrilado á teniente; y D. Juan del Marmol á sub- Policía general, sabrán su resolución en la secreta­ ■ teniente.…</t>
  </si>
  <si>
    <t>ableci­ D. Cárlos -Nog.les , éx agustino reco- dos y IrfS teóricas mejor admitidas, para deducir por aquellos efectos las causas generales ó particu­ D. Josef S ope*, ex-basilio....................... 44000 lares que los producen, y f¡cilitar de e tc modo 1&gt;.,Francisco Teixera , tx- basilio......... 440C0 *.u pn fundo estudio…</t>
  </si>
  <si>
    <t>S, Josef Itero</t>
  </si>
  <si>
    <t>Josef Itero S</t>
  </si>
  <si>
    <t>capí que fue del hospital de Patencia, para ^Madrid y de julié. una capellanía fie,coro y.número de aquella cate­ dral, vacante por fallecimiento de D Josef Itero S. M. ha expedido el decreto siguiente: . Retes; y á, D. Martin Sancho Arroyo , presbítero, Exmeto d*l&gt;ias minutas de la secretaría de y secretario de la catedral d…</t>
  </si>
  <si>
    <t>S, Josef María</t>
  </si>
  <si>
    <t>Josef María S</t>
  </si>
  <si>
    <t>regimiento de rezadores á caballo r.iím. a ° á Madrid 3 de junio. D. Josef de Iruegas: subteniente fiel regimiento núm. t.° de cazadores á caballo á D. Josef María S. M. ha expedido el decreto siguiente: Barreiro: subteniente del regimiento de Murcia Extracto de las minutas de la secretaría de núm. 2.0 de infantería ligera á …</t>
  </si>
  <si>
    <t>S, Juan</t>
  </si>
  <si>
    <t>Juan S</t>
  </si>
  <si>
    <t>iog. El obispo de Arequipa D. Pedro José Chaves de la Rosa,.500. D. Se* bastían Antonio^ Gamiea , 500. Duque de Hijar, y conde de Salvatier­ ra, 640. D. Juan S. Román , 100 D. Agustín Butler, 2000 D José Alvareda é hijos, 306* D: Juan Manuel S. Román, 100, D. M. D. D., 320. D. Fermín de Elizalde, 3000. D. Tomas de la Cuesta, …</t>
  </si>
  <si>
    <t>S, Lope Valdcrrama</t>
  </si>
  <si>
    <t>Lope Valdcrrama S</t>
  </si>
  <si>
    <t>dado Ls órdenes correspon­ D. L.ízaro Boniiia está nombrado espitan; Don dientes en Qosport para preparar hospitales para Luis de la Rosa teniente, y D. Lope Valdcrrama 9S) enfermos y heridos: que Ta enfermedad del Reí subreriente. daba paja día mayor cuidado; que ios negocios art. v. En la villa de Marinaleda se formará púWi…</t>
  </si>
  <si>
    <t>S, Manuel</t>
  </si>
  <si>
    <t>Manuel S</t>
  </si>
  <si>
    <t>el general en gefe de que se dirigía S?. Duque de C'itadiila............................ ¿8263 17 por Sigíienzi y Molina un cuerpo de expedición, Sr. D. Manuel S xto Espinosa............... 6750 partido de Atadrid baxo las órdenes dei general Doña Xaviera de Osma............................ 45025 10 conde Milhaud , marchó hác…</t>
  </si>
  <si>
    <t>S, María Uribe</t>
  </si>
  <si>
    <t>María Uribe S</t>
  </si>
  <si>
    <t>uela Barrera............................ 270 2jf D -uta Mana Fe-i;-.» de Llano.............. 1624 37 D. M'geel Sancho Lanera.................... 5l44 Doña María Uribe S lazar.................... -7797 D. M neo de O-bregon............................ 2346 17 D. Jacinto Gómez, apoderado de D. Francisco Mauricio.................…</t>
  </si>
  <si>
    <t>S, Maximi</t>
  </si>
  <si>
    <t>Maximi S</t>
  </si>
  <si>
    <t>al se detiene tratada con una distinción mui particular la joven muchas veces á hablar con los oficiales y soldados. princesa María Amalia , hija del príncipe Maximi­ S. M. ha declarado que en lo sucesivo será respon­ liano , y que no liega a 16 añoO sable el comandante de cada regimiento de las in­ Sus Ernas, los cardenales …</t>
  </si>
  <si>
    <t>S, Miguel</t>
  </si>
  <si>
    <t>Miguel S</t>
  </si>
  <si>
    <t>e­ blezas. diente servidor y fi.l vasal.o.= Rirmado=el duque D. Juan Francisco Gómez para el de Cadalso. de Otranto.trEn París á 3 de junio de 1810." D. Miguel S.nchez Rubio para el de Pelayos. P,.ra reemplazar al señor duque de Otranto, D. M iriano Aguado para el de tíi-joj js. nombrado gobernador general de Roma, y de los D…</t>
  </si>
  <si>
    <t>S, Na Por</t>
  </si>
  <si>
    <t>Na Por S</t>
  </si>
  <si>
    <t>ros tro plenipotenciario que era de S. M. católica ea coloniales , exige que las providencias , adoptadas Holanda. en «1 imperio francés por S. M. el Emperador Na­ Por S. E. el conde de Entiedel» ministro de Sa« poleón en su decreto dado enTrianon el 5 de agos­ xonia, to último, sean generales en los estados de la con­ El señ…</t>
  </si>
  <si>
    <t>S, Por</t>
  </si>
  <si>
    <t>Por S</t>
  </si>
  <si>
    <t>y con "Parts t de julio. ellos han ganado los jugadores 96550 rs. de vn. El domingo 17 de junio han sido presentados i prestar juramento en manos del Emperador Por S. A. S. el principe archicanciller del im­ 273X03. perio , Cartas atenienses, ó correspondencia de un agento Mr. de Cormelissea, gentilhombre de S. M. del Reí de …</t>
  </si>
  <si>
    <t>S, Salvador</t>
  </si>
  <si>
    <t>Salvador S</t>
  </si>
  <si>
    <t>125 co Manilla, suplente por idem: D. Andrés Savariego, suplente por idem : D. Salvador S. Martin , suplente por idem : D. Octaviarlo O bre­ gón , suplente por idem: D. Máximo Maldonado, suplente por idem: D. José Maria Gutiérrez de Terán , suplente por idem: D. Pedro Tagíe, sup</t>
  </si>
  <si>
    <t>Sa, Francisco</t>
  </si>
  <si>
    <t>Francisco Sa</t>
  </si>
  <si>
    <t>209 Extracto de fas minutas'de la secretaría de Abanderados. Estado. D. Antonio Contreras:Rocat, D. Francisco Sa­ Real alcázar de Sevilla á 6 de febrero de 1810. ña y D. Miguel de Barrí. Don Josef Napoleón por la gracia de Dios y art. iv. Nuestros ministros de lo Interior y por la constitncton del estado, REI d&lt;t las Espa-» d…</t>
  </si>
  <si>
    <t>Sa, José Nicolás</t>
  </si>
  <si>
    <t>José Nicolás Sa</t>
  </si>
  <si>
    <t>cabalas D José Mariano de Arce, 100. D. Ildefonso Aivarez dei Cbsmío, vecino del Valle de Santiago , 100. D. Ignacio Valle, escribnno de S. M, , 100. D. José Nicolás Sa gado, cobrador de la ju­ risdicción Je Tasco , 100. Ei teniente de milicias sueltas D. José María Infanzón-, 100 ; y tía cedido sus sueldos durante la guerra.…</t>
  </si>
  <si>
    <t>Sa, Juan Andrés Nieto</t>
  </si>
  <si>
    <t>Juan Andrés Nieto Sa</t>
  </si>
  <si>
    <t>Gerona con el título de memorial histórico de los sucesos mas notables de armas y estado de salud pública durante el sitio de la plaza de Gerona: por D. Juan Andrés Nieto Sa inaniego, cirujano en gefe de su guarnición. Los enemigos que atacaron el 8 del corriente la villa de Tibisa con fuerzas considerables de infantería y al…</t>
  </si>
  <si>
    <t>Sa, Manuel</t>
  </si>
  <si>
    <t>Manuel Sa</t>
  </si>
  <si>
    <t>o de Cárdenas , D. Antonio Labrandero , y D. Francisco Federic ; ayudantes, á D. Diego Zapata y D. J¡ a i Diestre; tenencias, á D. Fernando de Prado, D. Manuel Sa­ ladar, D. Félix Aznar , D. Dionisio Angulo , D. Enrique Huelen, D. Agustín Cabrera, D. Manuel Ibarroia , D. Gregorio Arroyo, D. JuanMuguiro , D. Ramón Sánchez , D.…</t>
  </si>
  <si>
    <t>Saa, Manuel</t>
  </si>
  <si>
    <t>Manuel Saa</t>
  </si>
  <si>
    <t>ón de milicia cívica de Para capitán de la tercera compañía á D. An­ Xerez de la Frontera D. Josef Mendoza, abande­ tonio Caballero; .para teniente á D. Manuel Saa- rado, queda nombrado ayudante segundo del mis­ vedra, y para subteniente á D. Josef María Ca­ mo batallón. ballero. • art. xv. En la villa de la Puebla de Cazalla…</t>
  </si>
  <si>
    <t>Saar</t>
  </si>
  <si>
    <t>¿fe las. Pal ti , la casa de la ciudad , la actúan? y el puentes; mas vistosas, y formaban una perspectiva mui ma­ que está enfrente, Jas ;casas del consejero Saar*/ jestuosa, á pesar de que un viento mui- fuerte, de. los Sres. Gue.i.muUer, Baltftuf, , Ffcppjer'&amp;c.. Seb que duró toda la noche, impidió ia execuciw com-, vetan …</t>
  </si>
  <si>
    <t>Saave, Juan María</t>
  </si>
  <si>
    <t>Juan María Saave</t>
  </si>
  <si>
    <t>rao con­ yeneta, procurador mayor de la ciudad ; al pro­ sejo de la Orden." visor eclesiástico D. Joaquín de Torres; al mar­ ques de Tous y la Cueva; D. Juan María Saave- ■ Madrid IJ&gt; de febrero. dra y D. Juan Manuel de Cárdeoas Fernandez de El Excmo. Sr. general gobernador de esta vi­ Villavicencio» comandantes de la milicia…</t>
  </si>
  <si>
    <t>Saavedra, Cornelio</t>
  </si>
  <si>
    <t>Cornelio Saavedra</t>
  </si>
  <si>
    <t>ecesito citar mas qne un hecho para probar esta junta provisional, y cuya presidencia se confió á miserable envidia. Hace algunos años que se recibió D. Cornelio Saavedra , hombre mui popular , co­ aqui órden de destruir todos los olivares y viñas ronel de un cuerpo de los naturales de Buenos- de estas colonias, por el injust…</t>
  </si>
  <si>
    <t>Saavedra, Francisco</t>
  </si>
  <si>
    <t>Francisco Saavedra</t>
  </si>
  <si>
    <t>s suficientemen­ te recompensados.— Dios guarde á V. E-. muchos años. Mataré 20 de diciembre de 1609. — Exento. Sr.— Carlos de Beramendi. — Excmó. Sr D. Francisco Saavedra.” Con fecha de 25 de diciembre escribe desde Vich el mismo D. Carlos Beramendi noticiando que'se había presentado en el quartei general , distante una^Iqgu…</t>
  </si>
  <si>
    <t>Saavedra, Joan María</t>
  </si>
  <si>
    <t>Joan María Saavedra</t>
  </si>
  <si>
    <t>l del Sal­ Hemos decretado y decretamos lo siguiente? vador D. Manuel de Cárdenas. articulo i. ,, Quedan nombrados secretarios Jdem del de S. Vicente D. Joan María Saavedra. generales de prefectura los sugetos que á continua­ Idem del de S. Román el marques de Tous. ción se expresan. . Idem del de la Magdalena el conde de Vil…</t>
  </si>
  <si>
    <t>Saavedra, Josef Yañez</t>
  </si>
  <si>
    <t>Josef Yañez Saavedra</t>
  </si>
  <si>
    <t>tren actualmente en Holanda quedarán en poder pitán á D. Josef Martínez Toledano, y subtenien­ de sos p1"*'» pie tolospagando un 50 por loo del te á D. Josef Yañez Saavedra. En el regimiento valor de estas mercancías. Los propietarios decla­ rúm. r.° de la brigada irlandesa subteniente á Don raran Ls que tengan antes del i.° …</t>
  </si>
  <si>
    <t>Saavedra, Juan María</t>
  </si>
  <si>
    <t>Juan María Saavedra</t>
  </si>
  <si>
    <t>itanes. minado guardia de honor de Sevilla. D. Ignacio de Roxas» D. Mannel Cepeda» Don art. 11. Este esquadron constará de dos com­ Miguel de Zafra , D. Juan María Saavedra,, Don pañías, y cada compañía tendrá un capitán , un te­ Clemente Tolesano, D. Josef Marmolejo, D. Juan niente , on subteniente, dos sargentos , quatro ca…</t>
  </si>
  <si>
    <t>Sabana</t>
  </si>
  <si>
    <t>dido á los sentimien­ cercar aquella plaza, y u.i fuerte destacamento á tos de humanidad , y cada uno de los miembros Rasgrad á las ordenes del mayor general Sabana— del consejo ha tomado parte en las nobles y bené­ yew. En un combate mui obstinado que hubo el ficas disposiciones del lord teniente; y todos han dia t.° de juni…</t>
  </si>
  <si>
    <t>Sabanayew</t>
  </si>
  <si>
    <t>ciente de paños finos para un pedido de los principales oficiales á pedir capitulación. El ma­ consideración; pero ¿ por qué nos hemos de limitar yor general Sabanayew se la concedió, con la con­ á los paños finos? Mírense en el dia como de moda dición de que ei comandante en geíe Terour-Mach- los paños comunes y ordinarios, …</t>
  </si>
  <si>
    <t>Sabaneyew</t>
  </si>
  <si>
    <t>general Auselms , le hi­ hizo doblar á Ruischuk por el teniente' general cieron desde luego señor de las costas marítimas, Zass, y dio orden al mayor general Sabaneyew mientras que el teniente general conde Laugeron que se dirigiese á las alturas de Rasgrad, donde se acercaba á Silistria, que debía «itiar. El geaeral sostdvo …</t>
  </si>
  <si>
    <t>Sabe</t>
  </si>
  <si>
    <t>ue se lo impida? ,, Pero lo que mas da i todos en que pensar es Ciencias----- Química. la dimisión que Blake ha hecho del mando por tres ve cas. Este general Sabe sin duda mas que los Fenómenos de la absorción ó combinación del car­ otr&lt; s, que lo son de ayer acá, y como dicen , no bón con los gases. quiere que el enfermo se …</t>
  </si>
  <si>
    <t>Sabeli, Francisco Ruiz</t>
  </si>
  <si>
    <t>Francisco Ruiz Sabeli</t>
  </si>
  <si>
    <t>ectiva. Batallón del quartel de S. Francisca. art. ir. Nuestro ministro de la Guerra qoeda encardado de la execucion de este decreto. = Fir- Capitán, D. Francisco Ruiz Sabeli. mado = YO EL R El. =: Por S. M. su ministro se­ Teniente, D. Juan Xaranv.llo. cretario de Estado Mariano Luis de Urquijo." Subteniente, D. Antonio Aqui…</t>
  </si>
  <si>
    <t>Sabiron, Domingo</t>
  </si>
  <si>
    <t>Domingo Sabiron</t>
  </si>
  <si>
    <t>cia Cariñena 150 franceses que conducían algunos car­ ros de trigo. Salí al encuentro en la venta del Angel, dirigido de los muchos conocimientos que D. Domingo Sabiron tenia de aquel terre­ no; y habiendo principiado el fuego en. dicho sitio la avanzada de 20 hombres del batallón de cazadores de Palafox ai cargo del sargento…</t>
  </si>
  <si>
    <t>Sabonnow</t>
  </si>
  <si>
    <t>to de tina carta del campo ruso en Silis— dar el asalto, que debía verificarse el 2 de ¡unió,' tria del m de Junio. pidieron'capitulación. ' £1 mayor general Sabonnow atacó el día 31 y ,, Nuestras tropas continúan sos operaciones con tomó á Razgrad , y han sido muertos ó Hechos pri­ toda felicidad. Varna ha pedido capitulacio…</t>
  </si>
  <si>
    <t>Sacristán, Juan Morales</t>
  </si>
  <si>
    <t>Juan Morales Sacristán</t>
  </si>
  <si>
    <t>cisco Alonso , ca­ la partida para persecución de malhechores, y Don pitán de la primera compañía franca de caballería Jorge de Ganera. de Córdoba; á D. Juan Morales Sacristán, capitán La diputación de Bailen, que Sí presentó á de la s.guoda ; á D. Pedro Baena , capitán de la S. M. en Andújar, constaba de D. Pedro Acucio prim…</t>
  </si>
  <si>
    <t>Sacue, Francisco</t>
  </si>
  <si>
    <t>Francisco Sacue</t>
  </si>
  <si>
    <t>primera ayudantía á D. Francisco Fernandez; empleos de capitanes segundos á D. Juan Quintanilla, D. Cayetano Miranda, D. Francisco de Paula Miranda, D. Francisco Sacue, D. Juan Ma­ tos, y D. Claudio González ; segunda ayudantía, á D. Jacinto Inozal ; tenencias, á D. Eustaquio Cevaílos , D. José Ramírez, D. Joaquín Moreno, D. …</t>
  </si>
  <si>
    <t>Saenz, Ignacio García</t>
  </si>
  <si>
    <t>Ignacio García Saenz</t>
  </si>
  <si>
    <t>Xavier de Borbon, 10. El oidor D. Círiaco Gómez Carvajal, 10. Ei conde de Medina y Tor­ res, 10. La congregación del oratorio de S. Felipe Neri, 10. D. Ignacio García Saenz , ademas de servir sin sueldo como espitan del regimiento provincial de infantería de Toluca, 10 El pres­ bítero D. Miguel Flores , vecino de Poto í , 10.…</t>
  </si>
  <si>
    <t>u cas , 100. Doña María Francisca de Urrutia, vecina de Cunduacau, 140. lid vecindario de las cjuatro villas del marquesado del Valle, 1650 y 1 real. D. Ignacio García Saenz , capitán del regimiento provincial dé Toluca , 1000 pesos v servir á sus expensas durante la guerra. El provisor D. Pedro de Ponte, 1500 ; y dos clérigo…</t>
  </si>
  <si>
    <t>Saes, Tullan González</t>
  </si>
  <si>
    <t>Tullan González Saes</t>
  </si>
  <si>
    <t>batallón. Pata ayudante primero D. Francisco Dufoo» para ugundo D. Manuel Alevio» y para abande­ rado D. Carlos Abancini. D. Tomas Garda Suelto...... D. Tullan González Saes, D. Ceferino Casas. El Marques de los Zoidos..... D. Luis Le Clair........... , D. Pedro Luis Napoli. D. Mariano Herranx........... . D. Josef Gamarra...…</t>
  </si>
  <si>
    <t>Saez, Andrés</t>
  </si>
  <si>
    <t>Andrés Saez</t>
  </si>
  <si>
    <t>. Eduardo Santiago Palomares. D. Fcrinin Carnerero Vela* D. Claudio Botelú. D. Tuan Valdivieso. D. J osef Navarro. Tenientes. D. Josef Ortiz Herboso. D. Andrés Saez. D. Gabriel de Alearáz. D. Santiago Sedaño. D. Juan de Adanero. D. Francisco Cabañas. D. Juan de la Peña Melendez. D. Pedro Sedaño. D. Joaquín Sojo. D. Antonio de…</t>
  </si>
  <si>
    <t>Saez, Antonio Lucas</t>
  </si>
  <si>
    <t>Antonio Lucas Saez</t>
  </si>
  <si>
    <t>ro Regalado Saez................................................................................... 644 77*8 Otra inmediata á la anterior, que habita D. Antonio Lucas Saez......................................................................... 856 1027* Otra á la libera del rio, que habita Miguel Prieto..... ................…</t>
  </si>
  <si>
    <t>Saez, Francisco</t>
  </si>
  <si>
    <t>Francisco Saez</t>
  </si>
  <si>
    <t>677 D. Francisco Nicolás de la Torre. D. Francisco Saez. D. Diego del Rio. D. Francisco Acevedo. D. Luis Bordeta. D. Roque Bunio, hijo. D. Vicente Marañen. D. Agustín de la Canal. D. Domingo Villamil. D. Agustín del Mazo. D. Isidro Gutiérrez. Te</t>
  </si>
  <si>
    <t>Saez, Gnillelmo González</t>
  </si>
  <si>
    <t>Gnillelmo González Saez</t>
  </si>
  <si>
    <t>uan Manuel Montero. D. Fausto Foronda. D. Estéban Moreno. D. Fermín María Uria y Nafarrondo. D. Jacinto Perez de la Torre. D. Josef de las Barcenas., D. Gnillelmo González Saez. D. Claüdio Larrañaga. D. Santiago Larramendi. D. Manuel Sánchez del Valle. D. Manuel Ramos Zafra. D. Manuel Celestino Carrasco. D. Francisco Zuñiga. …</t>
  </si>
  <si>
    <t>Saez, Julián</t>
  </si>
  <si>
    <t>Julián Saez</t>
  </si>
  <si>
    <t>mera. D. Vicente Navajas. j D. J&lt;vef Fernandez Caso. D. Antonio G.rcía Vargas. D. Higinio Zazo de Lares. D. J ulian de Fuentes. D. Francisco Bezares. D Julián Saez. Tenientes. D Juan Roca. D. Tomas C.mpillo. D. Manuel López. D Ramón J ver. D Francisco S.tenz Rufz.' Batallón del quartel del Barquillo. D. Gaspar B usá. D. Narci…</t>
  </si>
  <si>
    <t>Saez, Pedro Regalado</t>
  </si>
  <si>
    <t>Pedro Regalado Saez</t>
  </si>
  <si>
    <t>le de las Mazas , que habita D. Benito González, presbítero................................................ 370 4440 Otra, frente al puente, que vive D. Pedro Regalado Saez................................................................................... 644 77*8 Otra inmediata á la anterior, que habita D. Antonio Lucas Saez…</t>
  </si>
  <si>
    <t>Saez, Rafael</t>
  </si>
  <si>
    <t>Rafael Saez</t>
  </si>
  <si>
    <t>m. Extracto de unos pliegos remitidos Primera compañía de fusileras. Capitán Don al secretario de Estado Mr. Canning por Mr. Joaquín Romero, teniente D. Rafael Saez, otro, Benjamín Bathurst, enviado de Inglaterra, en la D. Florencio Barcena , subteniente D. Tomas Ga­ corte de Vierta, su fecha en Buda a 20 de setiem­ lludo, ot…</t>
  </si>
  <si>
    <t>Sagasta, Lorenzo</t>
  </si>
  <si>
    <t>Lorenzo Sagasta</t>
  </si>
  <si>
    <t>á 13 de junio guardia , á saber: de tSio. En el regimiento núm. i.° de cazadores á ca­ Don Josef Napoleón por la gracia de Dios y ballo subteniente á D. Lorenzo Sagasta : en el 3.0 por la constitución dei estado, REI de las Espa- de la expresada arma teniente á D. Joaquín Con­ ñas y de las Indias. de ; y subtenientes á D. San…</t>
  </si>
  <si>
    <t>Sai, Francisco</t>
  </si>
  <si>
    <t>Francisco Sai</t>
  </si>
  <si>
    <t>. Manuel Alvares; empleo de capitán 2.° á D. Antonio Silgado; segunda ayudantía a D. Juao Saravia ; tenencia á D. Antonio Munarriz; y subte­ nencia á D. Francisco Sai j urjo. S. M. se ha servido conferir la sargentía mayor del batallón de voluntónos de Valencia al coronel D. José de Viliaba; compafi a. en el regimiento de inf…</t>
  </si>
  <si>
    <t>SaíanoAprobado, Josef</t>
  </si>
  <si>
    <t>Josef SaíanoAprobado</t>
  </si>
  <si>
    <t>l coronel de ingenieros comisionado por el gene­ res á caballo á D. Francisco Xavier Zaldarri ga: ral en gefe Haxo. teniente de infantería de línea á D. Josef SaíanoAprobado por nos, comandante en gefe del ▼a: teniente de infantería de línea á D. Juan Mi­ tercer cuerpo del exército imperial en España, go­ guel Espronceda: sub…</t>
  </si>
  <si>
    <t>Saíazar, Lorenzo</t>
  </si>
  <si>
    <t>Lorenzo Saíazar</t>
  </si>
  <si>
    <t>Pedro VValfcer, 15. Capellán D. José María Tirado, 25. --Primera compartid. Capitán Mateo Ortega, 47 y 4 rs. Teniente Faustino Váz­ quez, 22 y 6 rs. Alférez Lorenzo Saíazar , 19. Los sargentos, cabos y soldados, 416 y 5 rs. Segunda id. Capitán D. Antonio Rodríguez, 47 y 4- rs- Tehiente D.JSÍanuel de Jesús Cruz, 22 y 6 rs. Alf…</t>
  </si>
  <si>
    <t>Saint</t>
  </si>
  <si>
    <t>la* Alambra, se terminará con arreglo á los mismos ciencias de Turin, compuesta del senador conde planes y dibuxos. Lagrange, presidente; del senador conde Saint— art. m. No se emplearán en estas obras otros Martin I.amotte; del abate D.mina , bibliotecario géneros que los productos de Jo inrerior de nues­ del Emperador; del …</t>
  </si>
  <si>
    <t>Saínt</t>
  </si>
  <si>
    <t>S. M. salió al dia siguiente por la mañana acompañado del señor Del %. Forckhano á recorrer la ciudad^ y sus. contornos. La división de coraceros del general Saínt.Ger- No sabemos quanto tiempo se detendrá aquí S. M. main, que está acantonada en el condado de Hajiau, ha principiado á ponerse en movimiento para CERDEÑA. volver…</t>
  </si>
  <si>
    <t>Saint-Gérínáin</t>
  </si>
  <si>
    <t>era. jr el pats de Saltzburgo- Han puesto 300 colanas Toda la división de coraceros mandada por el ó mojones., cada una d.e la» quales tiene dos ins­ general Saint-Gérínáin se halla en el día en el mar- cripciones t la del uó lado dice Confederación del graviato de Baireut.h, y espera de un momento a Rin, y la del Otro Austri…</t>
  </si>
  <si>
    <t>Saint-Germaln</t>
  </si>
  <si>
    <t>, y entre otras la de la maoutoocion de las tro­ La división de coraceros franceses, mandada pas que hai aun en ellos. Se asegura también que por el general Saint-Germaln, no' ba pasado aun al nuestro Soberano ha cedido por su parte el Tirol AVEN DICE A. XA GAZETA. DI MADltt. to es tan exacto, que merece ser visto. A nadie ha…</t>
  </si>
  <si>
    <t>Saint-March</t>
  </si>
  <si>
    <t>101</t>
  </si>
  <si>
    <t>ó a este punto el comandante que se ha desti­ nado á este cantón . conocimos sus talentos, resolución y activi­ dad, y que era un digno discípulo del general Saint-March. La ex-? pericncia nos lo acaba de manifestar, y las acciones del 10 y del 1 1, quando con un corto número de tropas nuil armadas batió y per­ siguió á una d…</t>
  </si>
  <si>
    <t>Sainte-Croix</t>
  </si>
  <si>
    <t>nos para cada regimiento, y los sóida tos han de depósito del exército, y se la está fortificando. recibido diariamente su ración de pan. Al miimo El general Sainte-Croix, despnes de haber en­ tiempo hemos formado almacenes de granos, y en trado á las quatro de la tarde del dia 12 en su alo­ Samaren se cocía galleta. El exérc…</t>
  </si>
  <si>
    <t>Sainz, Josef</t>
  </si>
  <si>
    <t>Josef Sainz</t>
  </si>
  <si>
    <t>oficinas por.....-..,.-................ ........*. 1.050684 ,31 Doña Antonia Dominga Masip........ . 72000 Doña María Magdonell....... . 4JOQ : . F. D. Josef Sainz de. Raías.......... 26100 Doña Gerónim* .Magdonell.......... . 3000 D. Francisco Rodríguez Puente....... 2700o D. Carlos Aupetit...................... .......... 8…</t>
  </si>
  <si>
    <t>Sainz, Manuel</t>
  </si>
  <si>
    <t>Manuel Sainz</t>
  </si>
  <si>
    <t>Juan Doz, D. Jayme Perj, D. Juan Nioa , D. Juan Vasadre, y D. Pablo Baliñani; ayudantías, á D. Francisco Valdés, y D. Félix Camarasa ; te­ nencias, á D. Manuel Sainz, D. Juan Conde, D. Francisco Carrion, D. Miguel Valbuena, D. Rafael Sánchez Saravia, D. Mi­ guel Guajardo, D. José Arechaga, D. Antonio López, D. Juan Arango, D.…</t>
  </si>
  <si>
    <t>Sainz, Patricio</t>
  </si>
  <si>
    <t>Patricio Sainz</t>
  </si>
  <si>
    <t>resentará por Ja compañía italiana la ópera D. Antonio Vanhaleo...................... 13086 19 bufa »n dos actos titulada el Príncipe de Taranto, in­ D. Patricio Sainz............................... 200 termediada del bolero á tres. SUPLEMENTO</t>
  </si>
  <si>
    <t>Saiot-Hilaire</t>
  </si>
  <si>
    <t>ia de los em­ el tiempo que han estado aqui ios cadáveres del ma­ pleados de las aduaoas y de los militares. riscal Lannes duque de Montebelio, y del general Saiot-Hilaire. Ai otro dia de haber llegado aquí la SUIZA. comitiva, había ya en la ciudad una gran multitud de padres, madres y hermanos de los soldados na­ Lausana aG …</t>
  </si>
  <si>
    <t>Sais</t>
  </si>
  <si>
    <t>te general cOhde Langeron para que con­ con fió eí -mando de las tropas del sitio» y: el te­ tinuase el sitio » y el $ dé setiembre- marchó en niente general Sais fue á acometer á Giurgewo» persona contra el enemigo. El 6 por la tardé llegó y á atacar á Rudschuck por el lado-de las islas. - á:!as inmediaciones del exército tu…</t>
  </si>
  <si>
    <t>Saiut-Marcli</t>
  </si>
  <si>
    <t>il­ que, de paehado p r el conde de Suohet en solicitud del cange del general de división Franceschi, prisionero de guerra en España, por el te dente general Saiut-Marcli , hecho prisio­ nero en Zaragoza , y dos,edecanes del mismo Franceschi por otros dos oficiales de igual graduación. El general Caro le res­ pon lió que no e…</t>
  </si>
  <si>
    <t>Sal</t>
  </si>
  <si>
    <t>lla­ nero de la santa iglesia metropolitana de Granada, madas guerrillas ó quadrillas de bandidos. 2° Ase­ para una canongía de la propia catedral: i D. Sal­ sinato , robo en camino &lt;5 con fuerza armada. vador Reina, ex-regular de los Terceros de San 3,0 Uso de rejón ó puñal, y de armas de faego Francisco, para la media-ració…</t>
  </si>
  <si>
    <t>Sal, Josef Benito</t>
  </si>
  <si>
    <t>Josef Benito Sal</t>
  </si>
  <si>
    <t>lem. y 11 estad., que linda á oriente Otro-donde tiáiríah el Pimiento, de i o oli- • ‘■con tierra de iá Iglesia; y al mediodía con vos, linde otro de D. Josef Benito Sal­ tierra de Santiago Vicente....’.........V........ ;. *$■•*7 34* cedo................................................................ *43 Otra"-al cerrillo* …</t>
  </si>
  <si>
    <t>Salánava, Francisco</t>
  </si>
  <si>
    <t>Francisco Salánava</t>
  </si>
  <si>
    <t>cada uno en la parte que le toca , de la ejecu­ Los Sres. Albert 6 hijos.................. 12093 16 f' ción del presente decreto. ss Firmado — YO EL D. Francisco Salánava...................... 125099 4 REI.= Por S. M. su ministro secretario de Estado Doña Antonia Quadrado................ 2000 Mariano Luis de Urquijo.” D. Pedr…</t>
  </si>
  <si>
    <t>Salas</t>
  </si>
  <si>
    <t>a­ na de RmsííH-, y fue muerto durante la acción en Brihut ga. Se le encontraron papeles múy importantes, entré ellos varias ór­ denes reservadas del intendente Salas. En una de estas se le pre­ venía que había de arrebatarse todo el ganado vacuno , mudar, lanar y cabrío de los partidos de Sigüenza, Atienza \ Jadraqtie: y en …</t>
  </si>
  <si>
    <t>Salas, Antonio</t>
  </si>
  <si>
    <t>Antonio Salas</t>
  </si>
  <si>
    <t>, exlanda, leal y seloso de su .independencia , vencerá domÍQÍCO. -í'J ?: ; 'todos los obstáculos, y llenará de confusión.á sus Para la de Bácares á D. Antonio Salas, ex./enemigo*.y calumniadores: conseguirá por medios franciscafio observante. ^ ' legales y pacíficos el restablecimiento de aquella so Para la de TjmiUat á D. J…</t>
  </si>
  <si>
    <t>Salas, Ciríaco</t>
  </si>
  <si>
    <t>Ciríaco Salas</t>
  </si>
  <si>
    <t>lanco, 16. Varios individuos 157. — Ciénega de los Olivos. El subdelegado D. Atanasio Loya, 283. D. José Antonio Loya, 125*. D. Pablo Villalobos, 50. D. Ciríaco Salas, 20. D. Juan de Dios Rodríguez, 2 4. D. Francisco Obregon, 27. Varios individuos, ;r. Los naturales de Sta. Cruz de Valerio, 13. Id. de S. Pablo, 11 y 6 rs. Id.…</t>
  </si>
  <si>
    <t>Salas, Lorenzo</t>
  </si>
  <si>
    <t>Lorenzo Salas</t>
  </si>
  <si>
    <t>Jesé Zapiola , 25. Id. D Juan María Navar­ ro , 50, D. Pedro de Zamalloa, oficial quarto de la contaduría, 30. D- Bartolomé Cerda, capellán , 20. Id. D. Lorenzo Salas, 20. D. José María Cordero, segundo piloto, 50. Id. tercero j D. Vicente Manso, 15. Id. D. Felipe Losada ,15. (\5&gt; continuará.) CADIZ : EX LA IMPRENTA REAL.</t>
  </si>
  <si>
    <t>Salas, Ramón</t>
  </si>
  <si>
    <t>Ramón Salas</t>
  </si>
  <si>
    <t>399</t>
  </si>
  <si>
    <t>399 nmiaw&gt; SUPLEMENTO A LA GAZETA DE LA REGENCIA DEL VIERNES 13 DE JULIO DE 1810. CARTAS INTERCEPTADAS. /■ I. De D. Ramón Salas, intendente de Guadalaxara , d iY. Guadalaxara \6 de abril de 1810. — El intendente. — En la noche del dia 14 dei corriente hizo el gobernador militar de esta provincia arrestar y conducir</t>
  </si>
  <si>
    <t>Salazar, Agustín</t>
  </si>
  <si>
    <t>Agustín Salazar</t>
  </si>
  <si>
    <t>l teniente coronel D. Agustín Poncerot, y de ayudantes segundos á les capitanes D. Antonio Quiróga, graduado de teniente coronel, D. Joaquín Ezcario, D. Agustín Salazar , D. Luis Cepeda , D. Pedro Eguiá y D. José Revesr, al ayudan-' te D. Nicolás Sanz, y al teniente D. Angel García de Borunda. Prospecto del Diario de Cortes q…</t>
  </si>
  <si>
    <t>Salazar, José María</t>
  </si>
  <si>
    <t>José María Salazar</t>
  </si>
  <si>
    <t>a gazeta con la relación nominal expresiva de la cantidad coa que cada uno ha contribuido, para satisfacción dé los interesados. Oficiales de guerra. D. José María Salazar, comandante general del apostadero, 500 pesos fuertes. El capitán de fragata D. Joaquín Ruiz Huidobro, 100. El teniente de navio D. Miguel Iriarte, no. El …</t>
  </si>
  <si>
    <t>Salazar, Josef</t>
  </si>
  <si>
    <t>Josef Salazar</t>
  </si>
  <si>
    <t>Juan Vicenoz Esca­ baxo de palio hasta el presbiterio, asistió baxo el lona, médico. dosel al solemne Te Deum, que entonó el prelado, Por lo militar: D. Josef Salazar, mariscal de y cantó la capilla de la santa iglesia. El señor ma­ campo de los reales exércitos , caballero de la orden gistral D. Pablo Andeiro pronunció despu…</t>
  </si>
  <si>
    <t>Salazar, Pedro</t>
  </si>
  <si>
    <t>Pedro Salazar</t>
  </si>
  <si>
    <t>los sargentos ma­ yores de brigada D. Francisco Serrallac , D. José Veiarde, y D. Joaquín Grandona ; á sargentos mayores de brigada, los capita­ nes D. Pedro Salazar, D. M :r. iel Arschav&amp;la, D. Melchor Sil­ vestre , y D. Nicolás Verdejo ; á capitanes, los tenientes D. An­ drés Rodríguez, D. Félix de Toda, D. Juan Pablo Sebas…</t>
  </si>
  <si>
    <t>Salced, María Dolores</t>
  </si>
  <si>
    <t>María Dolores Salced</t>
  </si>
  <si>
    <t>Jorge Simitier....................................... ^017 Doña Teresa García Ximenez..».»...... 1940 27 D. F rancisco Xavier Landes...i....6;.; 9386 Doña María Dolores Salced6,-viuda ■••-* D. Francisco Aceñero»........... icioS: * de Hormaza.*.*.-............................ 34656 j ■¡ La colegiata de Si lldefonso...........…</t>
  </si>
  <si>
    <t>Salcedo, Andrés</t>
  </si>
  <si>
    <t>Andrés Salcedo</t>
  </si>
  <si>
    <t>a y media, en dicho sitio........... 8^5 lem. y 2a estad., que linda á oriente y Otra de una fin. y 7 ceiera., enlá Hijosa..... id S5a.. mediodía con D. Andrés Salcedo........ . 286 Otra de 2 fan. y un celem., en lo» Quintales. 11 241 *8 Otra en el llano de las Gangas, de 7 celem, Otra de 3 fan. y 9 celem., al sendero de las …</t>
  </si>
  <si>
    <t>Salcedo, Francisco</t>
  </si>
  <si>
    <t>Francisco Salcedo</t>
  </si>
  <si>
    <t>de 13 caballos, se puso al mando de D. Gaspar Tardío , hombre de acendrado valor y patriotismo ; y la infantería , en número de 60, á las órdenes de D. Francisco Salcedo, comandante de armas de esta villa por aclamación. Luego que Tardío llegó á Puerto-Serrano, penetró hasta las ab­ turas del chaparral de Morejon , donde enco…</t>
  </si>
  <si>
    <t>Salcedo, José</t>
  </si>
  <si>
    <t>José Salcedo</t>
  </si>
  <si>
    <t>. Esteban Varea, secretario del Rey nuestro señor, lo hice escribir por su mandado. — D. José Colon. — D. Sebas­ tian de Torres.— D., Bernardo Riega.—D. José Salcedo. — D. Luis Meíendez Bruna. — Canciller, D. Ramón María de Chaves..— Registrada, D. José Rebollo.— Es copia.de su ori­ ginal.— Esteban Varea* El Consejo de Regenc…</t>
  </si>
  <si>
    <t>Salcedo, José Justo</t>
  </si>
  <si>
    <t>José Justo Salcedo</t>
  </si>
  <si>
    <t>6666 y dos tercios que importan los dos meses enunciados. Seiscientos mil rs. se han entregado á disposición del teniente gene­ ral de la real armada D. José Justo Salcedo, para el armamento de la esquadra sutil * y 350$ para las reparaciones de vatios fuertes y repa­ ración ó construcción del camino que va desde Sanluear al …</t>
  </si>
  <si>
    <t>Salcedo, Josef</t>
  </si>
  <si>
    <t>Josef Salcedo</t>
  </si>
  <si>
    <t>e la misma Doña-Doróteá MácdoneiK.......í;!.;..V;. i'6 ; religión........................... . 44®®^ ' Doña Francisca Xaviera de Ochoa.r.J- • 2'oéó : D. Josef Salcedo, de id. id.* ........... 44000'' Dóña-María Cecilia de;Arrieta^...¿ D Juan Martin .de Urda, id......’.;.;.... '4496*0 Doña Leonor de Torres y Arrieta..... i9tg …</t>
  </si>
  <si>
    <t>xa de la Caña­ Oirá en dicho termino de Torres y vega re­ da , y mediodía con tierra de los herede­ ferida , de 2 fan., 5 celem. y 3 2 estad., ros de D. Josef Salcedo................................ **S *53° linde á mediodía con el arroyo.................... US 2486 Otra al propio sitio dé la Fuentecilla, de una Otra ‘mas arr…</t>
  </si>
  <si>
    <t>Salcedo, Josef Éénito</t>
  </si>
  <si>
    <t>Josef Éénito Salcedo</t>
  </si>
  <si>
    <t>17 da ccn D. Andrés Díaz de ■ Yela;............ 22 ■ 484 estad., que linda á oriente con" herederos Otro en el sitio del Reí, de !42 olivos, que •dé D. Josef Éénito Salcedo.............. ....... 71..17 473 linda con yermos, y los atraviesa el cami­ Otra en la Cambronera de Gonzalo, de 10 no de Pozuelo........... .............…</t>
  </si>
  <si>
    <t>Salcedo, Juan José</t>
  </si>
  <si>
    <t>Juan José Salcedo</t>
  </si>
  <si>
    <t>e León, 20. D. Teodoro Csneros, 18 D. Martin Barron, 2$. D. Cirios Rubio, 12. D. José Simón Birraza, 8 D. Atanasio Urbina, 10. D. Camilo Peynado, 10. D Juan José Salcedo , 6. D. Faustino Peynado, 6. Varios individuos 53 y 4 reales.--- Sta. Bár­ bara. El subdelegado D. Manuel Herdiz, 15- D. C riaco Salas, 20. D. Antonio Armend…</t>
  </si>
  <si>
    <t>Salcedo, Margarita Díaz</t>
  </si>
  <si>
    <t>Margarita Díaz Salcedo</t>
  </si>
  <si>
    <t>nega y media en el Llano al Otra de una fan. , 4 celem, y 16 estad., dar vista á la Aldehuela, linde á ábre­ camino de Valdeabero, pasados los go con Doña Margarita Díaz Salcedo. *S-*7 *97 Espártales, linde tierra de Gerónimo . Oirá al camino de Fresno, de 6 fanegas, Martínez............................................... IZ …</t>
  </si>
  <si>
    <t>Salcedo, María Valentina</t>
  </si>
  <si>
    <t>María Valentina Salcedo</t>
  </si>
  <si>
    <t>....... - 3000• Doña Angela Célva.;.'..;...... 480 Doña Dionisia Portenia..................... ' 157 5 : Doña Manuela Cólica y Soto....-......... 488 Doña María Valentina Salcedo.......... 11147‘19 Doña Feliciana Barra...;............... 864 Doña Francisca de Ocaña.........i...... 5825)27 Doña Claudia Antuñano............... …</t>
  </si>
  <si>
    <t>Salcedo, Tadeo</t>
  </si>
  <si>
    <t>Tadeo Salcedo</t>
  </si>
  <si>
    <t>iente, Di Ezeqúi¿YC»adtí.n : * Compañía dé lá villa de Torré* de d 50plazas. Compañía de Valdentorillo de d:j¡ 0 plazas. ■ j- ’ • ■” ■ ■ ; ‘ Capitqn, D. Tadeo Salcedo. Capitán, D. Rífzei El»ira Duraa. • . , Teniente , D. Juan de Vera. Teniente,ID. FéiiZf Láis. .1 . Subteniente,’D, Lili*.* Ventora Moralfcí..... . Subteniente y…</t>
  </si>
  <si>
    <t>Salido, Bartolomé</t>
  </si>
  <si>
    <t>Bartolomé Salido</t>
  </si>
  <si>
    <t>s * ico. El presbítero D. Eüas Zayas, 50. Idem D. José María Campoy* 20. Idem D. Pedro Campoy , 10. El administrador de rentas D. Manuel Zuloaga, 50. D. Bartolomé Salido, 300. D. Bruno de Palacio, 150. D. Nicolás Alfaro, 10. D. Manuel Anguiz, 50. D. Joan Manuel de Ortiz, 300. D. Antonio Aunada, 150. D. Toribio de Mateo y Ramo…</t>
  </si>
  <si>
    <t>Salinero, Cipriano</t>
  </si>
  <si>
    <t>Cipriano Salinero</t>
  </si>
  <si>
    <t>López.................... 6120 D. Nicolás Barsami................................ 180.. 17 D. Manuel de Moya.............................. 4772.. 15 D. Cipriano Salinero................. ............. 711 D. Manuel de Ramos Zafra , apoderado D.' Manuel de Moya.............................. 1Ó24..17 de Doña Vicenta Perez Eseo.…</t>
  </si>
  <si>
    <t>Salvador, José</t>
  </si>
  <si>
    <t>José Salvador</t>
  </si>
  <si>
    <t>enencias, &amp; D. Pedro Ligera, D. Gaspar AUué, y D. Atilano Basurti ; y subtenencia, á D, Mariano Tabuenca, O. Francisco Asura , JD. Francisco Aiastey, D. José Salvador , y D. José María Rodríguez. Por el Ministerio de la Guerra se ha circulado al exército la real vrdni siguiente; Jy Entre los abusos y males que ha observado co…</t>
  </si>
  <si>
    <t>Salvoechea, Casimiro</t>
  </si>
  <si>
    <t>Casimiro Salvoechea</t>
  </si>
  <si>
    <t>nde de Fernan-Nuñez, 6co. D. Dionisio Antomío de Ugarte, 2000. Cardenal de Barbón, 4000. Condesa de Chin­ chón, 20CO. D. Tomas Linacero Fuertes, 300. D. Casimiro Salvoechea, 400. El padre y madre de r6 hij$s, 200. Conde de Noblejas, 94. El mismo, en una letra á cargo de la dirección de reales provisiones, que aun no se ha cob…</t>
  </si>
  <si>
    <t>Samado</t>
  </si>
  <si>
    <t>a , sin que El consejo de administración se reun;ó por el enemigo haya podido desalojarlo por mas que lia primera vez el t.° d; setiembre de 1810. Ei barón Samado su atención á otros puntos. La ocnpacion dejanet, intendente del tesoro, y presidente, abrió de la citada villa fue pacífica: la población recibió la sesión con el …</t>
  </si>
  <si>
    <t>Samoiski</t>
  </si>
  <si>
    <t>Y y., el á fin de que S. M. le nombrase pan alguna de las otro de Bruchsal á Cassel.«--,{ 7 1 plazas del ministerio. Ei Rei parece. que ha respon­ El conde Samoiski llego ayer á esta ciudad de dido; que estaba resuelto á ao.admdir.eu su conse­ vuelta de Polonia. 7' ja sino á aquellos sugeios que fuesep d^I agrado de Alr.Perce…</t>
  </si>
  <si>
    <t>Sámper, Antonio</t>
  </si>
  <si>
    <t>Antonio Sámper</t>
  </si>
  <si>
    <t>a; el marques de Villafranca por el de Murcia; D Fe­ lipe Amat por el principado de Cataluña; D. Antonio Olive­ ros por la provincia de Extremadura ; D. Antonio Sámper por el reyno de Valencia, y D. Ramón Pon ver por la isla de Puer­ to-Rico ; examinen estos seis procuradores y aprueben por si y en virtud de delegación expres…</t>
  </si>
  <si>
    <t>Samper, Antonio</t>
  </si>
  <si>
    <t>Antonio Samper</t>
  </si>
  <si>
    <t>María de Sierra. A consecuencia de este real decreto, examinados los pode­ res de los señores diputados en él referidos, hallándose que el Excmo. Sr. D. Antonio Samper, procurador por el reyno de Valencia, todavía no recibió los suyos, se acordó que entre tanto los cinco señores restantes, evacuasen la comisión puesta á su cu…</t>
  </si>
  <si>
    <t>Samper, Francisco</t>
  </si>
  <si>
    <t>Francisco Samper</t>
  </si>
  <si>
    <t>3 de mayo. El 29 del pasado por la tarde llegó á esta ciudad la v:nguardia de la división de tropas urbanas del reyno de Valencia , á Jas órdenes de D. Francisco Samper , mayor general de las partidas de guerrilla de dicho reyno. El vecindario la recibió con un júbilo proporcionado al susto que experimentó al acercarse en dia…</t>
  </si>
  <si>
    <t>Samr, Pafírtcio</t>
  </si>
  <si>
    <t>Pafírtcio Samr</t>
  </si>
  <si>
    <t>.... .;,.; 5470 aó ‘ D.Francisco SaenzRuiz loórr atf Dí Gregorio Petir.'.-.v.:.v..;.v....v....;...;. '959 Lt D.Aptonio González Yebra.¿.¿...... *J 81 D. Pafírtcio Samr.-...-.........................., *074,. rf D. Juao Aótonio Melón............. ..i... El conde dé Montaren.............. ”34:4^ Doña María IgnaciadeAptaia. «f B…</t>
  </si>
  <si>
    <t>San, Agustín González</t>
  </si>
  <si>
    <t>Agustín González San</t>
  </si>
  <si>
    <t>o , 100. Ei teniente de milicias sueltas D. José María Infanzón-, 100 ; y tía cedido sus sueldos durante la guerra. D. José González'Castañeda,- 159. D. Agustín González San abría, vecino de Queretaro, 100. D. José Antonio de Andra.de, capitán de dragones de España , una paga, que son 100. Ei Licenciado D. Basilio Arrillíga ,…</t>
  </si>
  <si>
    <t>Sán, Frayicisco</t>
  </si>
  <si>
    <t>Frayicisco Sán</t>
  </si>
  <si>
    <t>villa, y tuvieron que retirarse 4 Benabarre, con pérdida de 5 muertos y 14 heridos, entre estosjed comandante. Con fecha de 4 de setiembre dió parte D. Frayicisco Sán­ chez al gobernador de Cartagena, que el día anterior había acometido en el Tomilloso 4 200 franceses de infantes ía y 40 caballos. El enemigo tenia un violento…</t>
  </si>
  <si>
    <t>San, Hipólita</t>
  </si>
  <si>
    <t>Hipólita San</t>
  </si>
  <si>
    <t>... 264 21x2 Otra en id., num. ...................... 374 2992 Otra, calle Je Fuente vieja, arOtra en id., núm. 1........ 7..... — 264 2112 rendada á Doña Hipólita San. Otra, calle del Queso, num. 3.. 110 880 chez 275 2200 Otra , dormitorio de S. Agustín, Otra, 542714 calle de Pedro Angulo, núm. ..............................…</t>
  </si>
  <si>
    <t>San, José</t>
  </si>
  <si>
    <t>José San</t>
  </si>
  <si>
    <t>, Manuel Perez, Mariano López, Jorge Perez, Mariano Buran y Pablo Hernández, del batallón de Cariñe­ na; y el capitán D. Zacarías Ortega, el ayudante D. José San&lt; ho, el alférez D. Miguel Boras, el sargento primero Pe­ dro Borrel, y los soldados Julián Matro y Antonio Lanza del escuadrón de caballería-. Entre los prisioneros …</t>
  </si>
  <si>
    <t>Sanche, Francisca</t>
  </si>
  <si>
    <t>Francisca Sanche</t>
  </si>
  <si>
    <t>t .menra ía del conde de Arboré. 38*17 22 D. Cristóbal de los........ y Vivero...... 18048 24 D. T-.jrtO Hs.éh&gt;n de 1 ricio.................. 1!925 M Doña Francisca Sanche/, del Vahe... t T 6 ,3 28 lil duque de Campo de A.'ange, co­ D. jacinto de !&gt;. Quintana.................. 3481 1 *7 mo h-redero-de su lujo D. Agustín D. An…</t>
  </si>
  <si>
    <t>Sánchez, Bernabé</t>
  </si>
  <si>
    <t>Bernabé Sánchez</t>
  </si>
  <si>
    <t>la, D. Ra­ món de Melgarejo, D. José de las Cuevas, D. Ramón de Zuluaga, D. José María de Vergara , D. Francisco Xavier Villarino, D. Juan de Vargas, D. Bernabé Sánchez, y D. Antonio Fació. En el batallón de infantería de gastadores de Aragón, la comandancia al teniente coronel D. Juan Sánchez Cisneros; la sargentía ma­ yor D…</t>
  </si>
  <si>
    <t>Sánchez, Diego</t>
  </si>
  <si>
    <t>Diego Sánchez</t>
  </si>
  <si>
    <t>l de Elizalde, capellán de la real Ventura Martínez Reinon. capilla de Granada, para una canongía. Por decretos del mismo día se ha servido S. M. Y á D. Diego Sánchez para una media-ración. nombrar inspector de la milicia cívica de la pri­ También se ha dignado S. M. nombrar á Don mera división militar al duqne de la Cotadill…</t>
  </si>
  <si>
    <t>Sánchez, Dionisio</t>
  </si>
  <si>
    <t>Dionisio Sánchez</t>
  </si>
  <si>
    <t>s para el curato rectoría de la individuos nombrados para la nueva municipalidad parroquia de Santiago de la ciudad de Córdoba á el oficio siguiente: D. Dionisio Sánchez, presbítero, ex-iegular del ,, Las niur.icipalidades han de ser en adelante dtden de S. Francisco. confórme á las intencione* de S. M. Católica en to­ Pa:a e…</t>
  </si>
  <si>
    <t>Sánchez, Feliciano Molina</t>
  </si>
  <si>
    <t>Feliciano Molina Sánchez</t>
  </si>
  <si>
    <t>e Burgos. El REI ha venido en nombrar para quatro pre­ ESPAÑA. bendas vacantes en la catedral de Málaga los sugetos siguientes: Madrid 16 de junio. A D. Feliciano Molina Sánchez, canónigo de Por decretos de t6 descorriente S. M. se ha ella , para la dignidad de tesorero. servido nombrar asistentes del consejo de Estado A D. D…</t>
  </si>
  <si>
    <t>Sánchez, Fernando</t>
  </si>
  <si>
    <t>Fernando Sánchez</t>
  </si>
  <si>
    <t>moson , 50. — Cuerpo de pilotos. D. Joaquín Cundin , 70. D. José de la Peña, 70. D. Domingo Ugalde, 200. D. Juan de Heredia, 140. D. Juan Triana, 15. D. Fernando Sánchez, alterez de fragata graduado, con­ tramaestre de- construcción, 25. D. Gaspar Botets, primer cirujano , 4c. D. Lúeas Obbes, asesor, 3$ y 4 rs. D. Manuel de C…</t>
  </si>
  <si>
    <t>Sánchez, Francisco</t>
  </si>
  <si>
    <t>Francisco Sánchez</t>
  </si>
  <si>
    <t>oficinas de rentas reales de esta ciudad han presentado La acta siguiente de Fieldades. su juramento de fidelidad y obediencia al REI ouestro Señor. D. Francisco Sánchez , fiel del puente. D. Antonio de Torres , interventor idem. Jos infrascritos empleados en las oficinas dt D. Francisco Santa Cruz, fiel de la puerta rentas r…</t>
  </si>
  <si>
    <t>’ descalzos......... ...................4.. ~ *44®®® ■, * D. Pedro Carrera y Lauchareij: id.,;-.1 44-^60 D. Alexandro Martínez'García , ’de *j : i .— D. Francisco Sánchez.......... . ..;;;.í£..v ’' 44660 [ agustinos recoleros.u...¿iJw..v.i»;c;...., .44006 • D. Julián Martínez Gatalan.... -1 -44660^ ‘ D. ModestoPerez Mtd»a«9V …</t>
  </si>
  <si>
    <t>sus heridas. A principios de setievíbre discurrían por la Mancha las partidas de Laso , Giralda , Huertas , Claraco, Fernandez, Mir , Orobio y Abad. D. Francisco Sánchez había cogido un cañón al enemigo en el Lugar nuevo. D Camilo Gómez entró ei 3 en Ciudad Me al con 2 piezas de artillería, é hizo consi­ derable daño en el ho…</t>
  </si>
  <si>
    <t>Sánchez, Joan Manuel</t>
  </si>
  <si>
    <t>Joan Manuel Sánchez</t>
  </si>
  <si>
    <t>pidez en la narración; facili­ agustino calzado» prior y examinador sinodal. dad y corrección en el estilo, y nn caudal de ins­ Para la de Lanteira á D. Joan Manuel Sánchez» trucción suficiente, dada de na modo agradable, y ex-franciscano observante • lector y guardián. algunas veces interesante, tales son Jas prendas que Par…</t>
  </si>
  <si>
    <t>Sánchez, Joaqurn</t>
  </si>
  <si>
    <t>Joaqurn Sánchez</t>
  </si>
  <si>
    <t>............................... D. Josef Vive*. 7.* ........ D. Josef Cabredo........ D. Pedro González Scpúlveda. 8.*.......... D. Bartolomé Gómez,. D. Joaqurn Sánchez. 9.a.......... D. Josef Chacón.......... D. Ventura Cordero. 10.a................................................ D. Juan de la Fuente. N.'estío ministro de l…</t>
  </si>
  <si>
    <t>Sánchez, José</t>
  </si>
  <si>
    <t>José Sánchez</t>
  </si>
  <si>
    <t>entía mayor del regimiento de voluntarios de'León á D. Cayetano deT iá.Cálle, capitán de vclúntarios de Madrid , tenencias en este á los subtenientes D. José Sánchez, D. José María Sierra y D. Antonio Gomfez dé la Torre , y subtenen­ cias al graduado D. Clemente Bueno y D Nicolás la Madrid, sargen­ to primero y cadete del mis…</t>
  </si>
  <si>
    <t>Sánchez, José María</t>
  </si>
  <si>
    <t>José María Sánchez</t>
  </si>
  <si>
    <t>errera, 10. Varios pobres, 95. — Guanacevi. El subdelegado D. Pedro Carrete, 25. El cura D. Igna­ cio Colon, 15. El teniente cura Fr. Juan Bórica, 10 D. José María Sánchez, 12. D. Rafael Franco, 15 D. Manuel Camarero, 25. Don Pedro Barraza, 12. D. Rafael Lara, 5. D Rafael Sánchez A varez, 12. V^ios individuos, 63. — Cuencamé.…</t>
  </si>
  <si>
    <t>Sánchez, Josef</t>
  </si>
  <si>
    <t>Josef Sánchez</t>
  </si>
  <si>
    <t>i...................... 19862 17 D. Bernardo Iriarte............................... I7:4 ““-&gt;ia D Francisco Mugan................................ 945 D. Josef Sánchez..................................... '2 49 D. Francesco Criado..... ......................... 2200 El marques de Bajamar.............. ........... 8212 2 ÍT D. …</t>
  </si>
  <si>
    <t>......................... - *509*-*4 D. Josef Pelaez..................................... . - S-&gt;49 J D. Basilio.Ramón Fernandez............... ¿54 ^ D. Josef Sánchez...... .”............................. 1805 ■&gt; • Dr Manuel Sánchez Toscano........ 20000 1 D. Joaquín Lerga..................................... 7aa - L» marquc»…</t>
  </si>
  <si>
    <t>trava, ' Prefectura de Malmoe 142056 hablantes; de 'de iá misma drdén. j . ¡ Cristiaustadt 116681 (estas dos ptéfédtoras for­ Para ia de Frigiliana á,D. Josef Sánchez , de la man laScaoia) ¡ de Cárlscrona, ó-eiBlekinge, 62402; referida órden." ■ . . de Álanda 71599; de Cronsberg 87604-; de GalPara la de Competa á D. Bartolomé…</t>
  </si>
  <si>
    <t>Sánchez, Josef Martínez</t>
  </si>
  <si>
    <t>Josef Martínez Sánchez</t>
  </si>
  <si>
    <t>eotó Ortíz, corregidor; D. Martia Miguel Cebos, re­ 4 S. M. en Jaén el dia 2 de abril, se componía de gidor decano; D. Antonio Estrada Navarrete, al­ D. Josef Martínez Sánchez, alcalde primero; Don guacil mayor, y D. Bernardo Laborda. Francisco Xavier Grai, alcalde segundo; D. Juan Por Montemayor D. J uan Nepomuceno Bligni, T…</t>
  </si>
  <si>
    <t>Sánchez, Juan</t>
  </si>
  <si>
    <t>Juan Sánchez</t>
  </si>
  <si>
    <t>ajuelo, D. Antonio P.mentel , D. Andrés Martinez Pínillcs, D. Joan f ran­ cisco Salido, D. Juan Corral, D. Francisco Corral, D. Pedro An­ drés Gómez, D. Juan Sánchez, D. Jo;é Segovia, D. Marcos Jáuregai, D. Femando Negra, D. Joaquín Antonio Navarro y D. Antonio Ximenez; y á subtenientes, a D. Manuel Moreno y Vá­ rela, D. Gabr…</t>
  </si>
  <si>
    <t>Sánchez, Juan Antonio</t>
  </si>
  <si>
    <t>Juan Antonio Sánchez</t>
  </si>
  <si>
    <t>n la fiesta de toros del lunes 9 hubo un in­ Cristóbal María de Anguita, teniente de cura pár­ menso concurso de gente: S. M. con los minis­ roco , y D. Juan Antonio Sánchez, por el clero; Don tros y toda la corte asistió á este espectáculo na­ Juan Valero y D. Fernando Aguilera, por los ve­ cional. Cada concurrencia es en Có…</t>
  </si>
  <si>
    <t>Sánchez, Julián</t>
  </si>
  <si>
    <t>Julián Sánchez</t>
  </si>
  <si>
    <t>al de campo D. Francisco Ballesteros para cargar la re­ tirada de los franceses. Igual bizarría y denuedo han manifestado las guerrillas mandadas por D. Julián Sánchez, capitán de caballería de vo­ luntarios de Ciudad-Rodrigo, en el encuentro que ha tenido con los enemigos el dia ó del corriente á las inmediaciones de Boada y…</t>
  </si>
  <si>
    <t>tropas. Durante la marcha y en el resto del dia se continuó el tiroteo sin dexarles nunca adelantar por ningún punto, y &amp; las 5 de la tarde salieron, D. Julián Sánchez con 120 hombres de sus guerrilla^ por una parte, y una gran guardia de 44 del regimiento de caballería de Ciudad-Rodrigo por otra á reconocer el campo, y recor…</t>
  </si>
  <si>
    <t>epasaron el rio con precipitación. La artillería de la plaza mató á muchos d® ellos en las huertas. — El 4 tuvieron va­ rias acciones la guerrilla de D. Julián Sánchez , la de Mera y las avanzadas inglesas en el camino de Gallegos. — El 5 los franceses fueron batidos por las avanzadas inglesas , que ios obligaron k retirarse …</t>
  </si>
  <si>
    <t>migos dexaron en el campa 18 muer­ tos : por nuestra parte murió el teniente de Vitoria D. Juan Díaz , y quedaron heridos 4 soldados. El 27 del mismo D. Julián Sánchez derrotó en la casa de la Robliza, no lejos de Cuidad-Rodrigo, á 160 dragones fran­ ceses , matando 50 de ellos, y cogiendo varios caballos y efectos. Eas notic…</t>
  </si>
  <si>
    <t>449</t>
  </si>
  <si>
    <t>gilancia los vados del Agueda. En la ma­ ñana de este dia estaban ya apagados los dos incendios que hubo por la noche en la ciudad. — El 28 se acercó D. Julián Sánchez con su partida hasta las inmediaciones de CiudadRodrigo. El mismo dia por la noche se adelantaron los ene­ migos hasta los fosos de la plaza; pero sufrieron mu…</t>
  </si>
  <si>
    <t>iento' dehl trígonas de Granada \ y'ha -concedido agrados de coronel á IX José Villalobos, capitán del regimiento primero -de húsares-de Extremadura, D. Julián Sánchez, capitán dei de caballería de Ciudad-Rodrigo y IX Antonio Camargo, comandante del tercer ba­ tallón del de infantería de Avila ; grados de teniente coronel á l…</t>
  </si>
  <si>
    <t>lington ha ofrecido* auxilios de armas, vestua­ rio y dinero á todas las partidas de patriotas que se le presen­ ten, y ya io ha verificado con la de D. Julián Sánchez.— Castilla está llena de guerrillas que incomodan por todas par­ tes a los franceses. En Villalon han pasado á cuchillo á 80 de ellos: en Sea. María de Nieva h…</t>
  </si>
  <si>
    <t>959</t>
  </si>
  <si>
    <t>00. El mismo dia l.° de octubre entró en Badajoz un carro de plata de iglesias cogido 4 los-franceses por la partida del Médico 4 3 leguas dé Madrid. D. Julián Sánchez reunido con otra partida entró 4 prime­ ros del mismo mes en el 'Barco dé Avila ; arrojó del pueblo 4 los franceses que había de guarnición , y lo mismo hizo e…</t>
  </si>
  <si>
    <t>ado y 70 franceses perecieron abrasados en una ermita, por no querer entregarse. ' Se halla en Ledesma perfectamente vestida y equipada la partida de D. Julián Sánchez compuesta de 400 caballos y 200 inmutes. El quartel general del exército de la izquierda que salió iquí el 18 del corriente, ha avanzado hasta Zafra, donde de …</t>
  </si>
  <si>
    <t>culares de Castilla, no pasan de 10000 hombres los que en él estado actual de las cosas pueden pasar á.Portugal á socor­ rer á Massena. La partida de D. Julián Sánchez, á que se hañ agregado la de Olivera y otra llamada del Frayle, derro­ tado en pocos dias cerca de 900 franceses de infantería y ca­ ballería, en tres distinto…</t>
  </si>
  <si>
    <t>Sánchez, Manuel</t>
  </si>
  <si>
    <t>Manuel Sánchez</t>
  </si>
  <si>
    <t>estro ministro interino de Negocios y D. Josef Garai: en el de Sevilla, 3.0 de línea, eclesiásticos queda encargado de la execucion de subtenientes á D. Manuel Sánchez, D. Bernardo este decreto. = Firmado = YO EL REI. = Por Valdivia , D. Josef Martínez , D. Gregorio Corral, S. M. su ministro secretario de Estado=Firmadc= D. J…</t>
  </si>
  <si>
    <t>Sánchez, Manuel Josef</t>
  </si>
  <si>
    <t>Manuel Josef Sánchez</t>
  </si>
  <si>
    <t>as. Asimismo nombramos á D. Vicente Menchéro Para el de S. Pedro de Talavera, vacante por y D. Manuel Morales, curas que fueron de las par­ muerte de D. Manuel Josef Sánchez, ¿ D. Loren­ roquias de S. Vicente y de ia Magdalena de la ciu­ zo Josef Gomes, cora del Casar. dad de Toledo para los curatos de Guadamur y Para el de S…</t>
  </si>
  <si>
    <t>Sánchez, Manuela</t>
  </si>
  <si>
    <t>Manuela Sánchez</t>
  </si>
  <si>
    <t>......... 44100 D. Francisco Viaña...... ............Tójsó D. Domingo Torrecilla....................... 21780 D. Julián Diaz M^reho......... 73'rr 16 Doña Manuela Sánchez.......... .............. 72900 iDoña'Cipiriana Martínez Dáviía........ 2199 30, Doña Gerónima Aguiiar......... ............. 90000 D. Luis Gerardi.v.iñi’...…</t>
  </si>
  <si>
    <t>Sánchez, Márcos</t>
  </si>
  <si>
    <t>Márcos Sánchez</t>
  </si>
  <si>
    <t>balas roxas , que íe causaron fuertes averías, y de D: Juan Alexaudre, Al -presbítero ex-regular le incendiaron tres veces. La artillería francesa en D. Márcos Sánchez. estas circunstancias ha dado una nueva prueba de Para la segunda capellanía de nneva erección su agilidad, de su valor y de su sangre fría. La to­ de la Real …</t>
  </si>
  <si>
    <t>Sánchez, Ramón</t>
  </si>
  <si>
    <t>Ramón Sánchez</t>
  </si>
  <si>
    <t>uel Sa­ ladar, D. Félix Aznar , D. Dionisio Angulo , D. Enrique Huelen, D. Agustín Cabrera, D. Manuel Ibarroia , D. Gregorio Arroyo, D. JuanMuguiro , D. Ramón Sánchez , D. José Goyti, D. Domingo Angulo , D. Andrés Martínez y D. Antonio Valderas ; y subte­ nencias , á D. José Perez , D. Jorge Bertolld , D. José Fernandez, D. M…</t>
  </si>
  <si>
    <t>Sánchez, Ramón Vestid y di Eulogio</t>
  </si>
  <si>
    <t>Ramón Vestid y di Eulogio Sánchez</t>
  </si>
  <si>
    <t>el de las Ordenes militares, compañía al capitán agregado Di Gregorio Arana, tenencias al teniente agregado D. Nemesio K:uiz , y á Iqs sub^ tenientes D. Ramón Vestid y Di Eulogio Sánchez, y subtenencias al sargento primero D. Teodoro Martínez, al cadete D. Pedro.Carmona y ál soldado distinguido D. Francisco Carrillo., Asimism…</t>
  </si>
  <si>
    <t>Sánchez, Rodrigo</t>
  </si>
  <si>
    <t>Rodrigo Sánchez</t>
  </si>
  <si>
    <t>.............. 98447 10 T3. Jaime D r........................................... 29264 D. Jo-ef Girard........................................ 1582 6 D. Rodrigo Sánchez.............................. t-'OÍ D. Juan Berteviu.................................... 2606 8} D. Juan Esteban 1 ricio........................ 160 JI 37 D. …</t>
  </si>
  <si>
    <t>Sánchez, Urbano</t>
  </si>
  <si>
    <t>Urbano Sánchez</t>
  </si>
  <si>
    <t>0 y 2 rs. — Quinta id. Capitán Honorato In­ da , 16. Teniente Juan Ureña, 14. Alférez Vicente Hernande z, 10. Los sar­ gentos, cabos y soldados, 158. D. Urbano Sánchez, 23. D. Antonio Ure11a, 9 y 4 rs.—Ciudad de Crispe. El tesorero interina .D. Ignacio B ;s.rmante, 100. El interventor D. Lázaro Morales , 45. El subdelegado D.…</t>
  </si>
  <si>
    <t>Sánchez, Vicente Diez</t>
  </si>
  <si>
    <t>Vicente Diez Sánchez</t>
  </si>
  <si>
    <t>o se ha servido S. M. conferir en el prepio cuerpo compañía de cazadores á D. Pasqual Liñan id. de fusileros á D. Pedro Eseovedo, I). Rafael Meneos y D. Vicente Diez Sánchez ; primera ayundantía mayoF á D. Ignacio Morales; primeras tenencias de granaderos al marques de Casatreviño y ai coronel L&gt;. Fernando Salamanca; id. de c…</t>
  </si>
  <si>
    <t>Sancho</t>
  </si>
  <si>
    <t>Gaceta de Madrid n.º 207 (suplemento)</t>
  </si>
  <si>
    <t>ezo ai camino de Ca­ en.la plazuela del Rollo, cbn la­ lera , con 2 27 olivas y 2 tocones. 7® 5--17 17281 gar, bodega y demas necesario El que llaman D. Sancho, pago de para la labor. Una planta nueva enxertillos, con 150 olivas.......... 688 15136 de olivas y viña al sitio del Gui­ Una viña, pago de Mengahija, coa jo con 120…</t>
  </si>
  <si>
    <t>Sandels</t>
  </si>
  <si>
    <t>otro contra otra frigáfá también inglesa. Se sabe positivamente que a no Estockfiímo 25 de mayo. haber favorecido el temporal para la retirada de El.general Sandels ha sido nombrado presiden­ esta ultima r habría caído infaliblemente en poder te del ministerio de la Guerra, en lugar del céle­ de ouestros valientes marinos, pu…</t>
  </si>
  <si>
    <t>Sandoval, José Antonio</t>
  </si>
  <si>
    <t>José Antonio Sandoval</t>
  </si>
  <si>
    <t>. José ..Suarez, 13. D. Vicente: Rodríguez , 10 Dájosé Áná3nib? Gil , 12. D. Francisco Gagiola, 10. D* Secundino Gil ,18 D. José Ma.riá Viniegra, 12. D José Antonio Sandoval , 79. D Hermenegildo Perez, 25. Va:ios vecinos, 60.--S. Dimas- D. Franc'sco -Al ian Génzalez^; 105V Varios individuos, ..yo. — Parral. El subdelegado D G…</t>
  </si>
  <si>
    <t>Sane, Julián</t>
  </si>
  <si>
    <t>Julián Sane</t>
  </si>
  <si>
    <t>Para ayudante primero t&gt;. Bernardo de Ara, para segundo D. Gregorio Choya, y para abanderado D. Pablo Noriega. i*. D. Francisco Besa tes............. D. Julián Sane. 3*. »«•........Le....... D. Pedro P.bio Perez Arrieta. D. Gregorio García. B D. Manuel Gaviria.................. 3 a D. Josef Ecbeoique* 4- D. Diego de Castro, D…</t>
  </si>
  <si>
    <t>Sangenis, Joseí</t>
  </si>
  <si>
    <t>Joseí Sangenis</t>
  </si>
  <si>
    <t>brigadier de in­ genieros, y comandante de Tortosa ; D. Felipe Pe- En el de los Caños del Peral, á las ocho de la no­ rena , brigadier de infantería; D. Joseí Sangenis, che, se executará por la compañía italiana la ópera ti­ tulada Nina, ó la Loca por amor, en prosa, música brigadier de artillería; Crist, coronel propietario …</t>
  </si>
  <si>
    <t>Sangran, Navarro</t>
  </si>
  <si>
    <t>Navarro Sangran</t>
  </si>
  <si>
    <t>aballos y un canon para reforzar la guarnición de Navalcarnero. El 2 de este salieron por el camino de Arganda 400'infantes y; 2 cañones. El teniente general Navarro Sangran , que se halla en. el? Puerto deSanta María, tiene orden , según se asegura, de voiver aquí , no habiendo producido su viage el efecto que de­ seaban, y …</t>
  </si>
  <si>
    <t>Sanjuan</t>
  </si>
  <si>
    <t>846</t>
  </si>
  <si>
    <t>ría de unos 100 hombres y 32 coraceros, que venían de !a parte de Torruella en socorro de los de la Bisbal ; pero en el momento que se divisaron , el brigadier Sanjuan los hizo cargar por les dragones de Numancia (que eran el cuerpo de reserva): lo que descubierto por los coraceros, hu­ yeron precipitadamente á Gerona, abando…</t>
  </si>
  <si>
    <t>Sanjurjo, Alonso</t>
  </si>
  <si>
    <t>Alonso Sanjurjo</t>
  </si>
  <si>
    <t>Rubín, D. Ra­ món Momeo , D. José Benito Perez , D. Faustino Diez , D. To­ mas Rodríguez, D. Bernardo Guallar, D. Antonio Carril, Di Cos­ me Sancho, D. Alonso Sanjurjo ,y D. Fulgencio Ayalai También se ha servido S. M. conferir los empleos de Coro­ neles , del regimiento de infantería de Burgos á D. Juan José de .Olazabal; y …</t>
  </si>
  <si>
    <t>Sanjurjo, Ramón</t>
  </si>
  <si>
    <t>Ramón Sanjurjo</t>
  </si>
  <si>
    <t>roix , co­ mandante del primer b?. tai Ion del mismo. En el prinivr batallón de voluntarios de Barcelona ha conce­ dido S. M. empleo de capitán 2.° á D. Ramón Sanjurjo; tenen­ cias, á D. Francisco Nieva y D. Francisco Vaildosura ; y subte­ nencias , a D. José Pueyo y D. Meíiton Ramos. En el de volunta­ rios de Gerona, segunda…</t>
  </si>
  <si>
    <t>Sanran</t>
  </si>
  <si>
    <t>de los nue­ número de ventas y de contratas, y la concurren­ vos ministros. cia de tantos extrang-ros, hacen á esta ciudad ddi También se dice que el conde Sanran, qne fue de las principales plazas del comercio oe Europa. nombrado poco tiempo há gobernador del Austria, Pero es de notar que el mayor comercio se hace irá á reem…</t>
  </si>
  <si>
    <t>Sans, Ignacio</t>
  </si>
  <si>
    <t>Ignacio Sans</t>
  </si>
  <si>
    <t>138</t>
  </si>
  <si>
    <t>veres, que nos había proporcionado la junta de Gerona, es­ tablecida en Arenys, con sus activas diligencias, y en especial con el infatigable zelo de D. Ignacio Sans, otro de su» vocaler. Eran continuas las bombas, granadas, y bala rasa que arrojaban las baterías que tiene el enemigo en las casas de Hostalrich : sin embargo, …</t>
  </si>
  <si>
    <t>SantaelJa, Francisco Marcos</t>
  </si>
  <si>
    <t>Francisco Marcos SantaelJa</t>
  </si>
  <si>
    <t>. Puerto-Rico r 6 de abril de i'Bro. —- Señor. — Salvador Melendez. — Fernando Dávila. — Juan José de Llobes. — Vicente Piz2rro. —Ma­ nuel Hcrnr.1. — Doctor Francisco Marcos SantaelJa. — Doctor Joa­ quín de Torres Duran. — Licenciado Juan Antonio Mexia. — Vicen­ te Becerra. — José María Dávila. — Francisco Sauri.” En el real …</t>
  </si>
  <si>
    <t>Santander</t>
  </si>
  <si>
    <t>del 14 de agosto refiere, que había á vista del puerto de S. Sebastian un convoy anglo-hispano de 50 velas, escoltado por varios buques de guerra. El obispo Santander ha pedido al general francos Musnier pasaporte y escolta para salir de taragoza: esta última no se le ha concedido por la escasez de la guarnición. El 4 del cor…</t>
  </si>
  <si>
    <t>Santander, Leonardo</t>
  </si>
  <si>
    <t>Leonardo Santander</t>
  </si>
  <si>
    <t>ano Luis de Urdríguez , capellán mayor, y á D. Josef María Blan­ „ quijo.” co, capellán de ia capilla real de S. Fernando; á D. Josef Gaseo, prior, y D. Leonardo Santander, Real alcázar de Sevilla á 21 de abril de 1810. magistral dé la colegiata ael Salvador de esta ciudad. Don Josef Napoleón por la gracia'de Dios y art. IX. …</t>
  </si>
  <si>
    <t>k D. Manuel María Rodríguez , capellán mayor, y-.i D. José María Blanco , capellán de ía capilla real de S. Fernan­ do ; y á D. José Gaseo, prior, y D. Leonardo Santander, ma­ gistral de la colegiata del Salvador de esta ciudad. Sus bienes pa­ trimoniales, y demas que les pertenezcan , quedan confiscados: sos empinos, prebend…</t>
  </si>
  <si>
    <t>Santander, Pascual</t>
  </si>
  <si>
    <t>Pascual Santander</t>
  </si>
  <si>
    <t>é Gómez. Capitanes. D. Josef Chacón. D. Agustín Gamell. D. Tomas Perez. D. Bernardo Barril. D. Francisco Berdejo. D. Camilo Gamboa. D. Esteban Gómez. D. Pascual Santander. D. Mateo Norzagarai. D. Manuel de Cañas. I&gt;. J uan Picdrahica. Subtenientes. D. Ramón Rada. D. Antonio Robillar. D. Ramón Nocedal. . D. Eduardo Santiago Pa…</t>
  </si>
  <si>
    <t>Santiago</t>
  </si>
  <si>
    <t>por acreedo­ marzo de 1810 = EI consejero de Estado, presi­ res de este á las personas y por las cantidades si­ dente de la comisión de liquidación , D. Santiago guientes: 1 &gt; : Romero. . O va-as des mots nouseaux-qui reglez le destín, tia de-los remordimientos.-£1 sabio legislador Licurgo ¿ Ne s'auríez vous cmprunter du latí…</t>
  </si>
  <si>
    <t>724 Los señores Dendoat hermanos......... 36911 17 D. Santiago y .D. Simón déla Gallarde. 2cc:cn D. Luis de Goyeneche y Muzquiz... *9*3 2 ñ Doña María Andrea Moreno David... 36000 D. Frutos de Alvaro Benitos.......... 6148 26 D. Manuel Sánchez Toscano:...</t>
  </si>
  <si>
    <t>euk (D.Gregorio), artillero de nuestra goar- Faiponlt (D. Cárlos), consejero de Estado, di­ dia real. ... rector general del tesoro público. Antoioe (D. Santiago), «argento de tiradores, ídem. Favier ( U. Claudio), capitán de artillería de núes* Arpin (D. Pedro), cabo de la gendarmería esco­ tra guardu real. gida ) ídem. Faxa…</t>
  </si>
  <si>
    <t>argento de húsares de nues­ Moneda (D. Joaquín de la ) , eapitao retirado. tra guardia real. Montaibo y Ta bares (D. Joaquín), capitán de ca­ Scheün (D Santiago), granadero., ídem. ballería. Sedaño (D. .Eustaquio .Xavier) , director espiritual Moi.ralbo y Tabaré* (D. Francisco Xavier), ayudan­ de nuestros caballeros pages. te…</t>
  </si>
  <si>
    <t>Santiago, Alonso</t>
  </si>
  <si>
    <t>Alonso Santiago</t>
  </si>
  <si>
    <t>difícil proporcionar­ tero ex-regolar. se'víveres. Para el de la de Sayalonga, vacante por muer­ Las cartas particulares mas recientes son del te de D. Alonso Santiago, á D. Antonio Hurtado, 21 de agosto. Una de ellas dice que lord WeUing- presbítero. ton había hecho un movimiento y puesto su quar- Para el de la iglesia parro…</t>
  </si>
  <si>
    <t>Santiago, Sánchez</t>
  </si>
  <si>
    <t>Sánchez Santiago</t>
  </si>
  <si>
    <t>Gaceta de Madrid n.º 234</t>
  </si>
  <si>
    <t>aban en la corte : á so voz las chancilletías y comunes, al ordinario regí, y á lo eclesiástico. El audiencias se ocupaban en los abastos, elecciones abogado Sánchez Santiago pudo llenar dos tomos .y qtros artículos del poder judicial, aplicándoles en 4.0 con sola la idea de los tribunales de la cor­ ía forma y las dilaciones…</t>
  </si>
  <si>
    <t>Santistéban, Manuel Lnp-z</t>
  </si>
  <si>
    <t>Manuel Lnp-z Santistéban</t>
  </si>
  <si>
    <t>nistro interino de ero descubrí al mismo tiempo una fra¿.ta y otro Negocios eclesiá titos, nombramos uque de guerra hacia O.bo, con lo que volví á. A D. Manuel Lnp-z Santistéban, presbítero be— reunirme al cooyoi, que entró felizmente «a el neñeiado de la parroquia de S. Miguel de aquella puerto de Arbe. ciudad,para el curato…</t>
  </si>
  <si>
    <t>Santistéban, R-fael García</t>
  </si>
  <si>
    <t>R-fael García Santistéban</t>
  </si>
  <si>
    <t>ano Cordon y Robles. Madrid 4 de noviembre. S. M ha expedido los decretos siguientes: Subtenientes. Esrracto de las minutas dé la secretaría de Es­ . D. R-fael García Santistéban. tado. D. Marcelo H.-rraiz y Romero. &gt; En nuestro palacio de Madrid á 30 de octubre D Juan de Dios Zafra. de 1810. D. Fernando Estéban de Talavera. …</t>
  </si>
  <si>
    <t>Santos</t>
  </si>
  <si>
    <t>. Manuel Vicente de), canónigo de la la guardia cívica de Madrid. santa iglesia de Toledo. Caballero (D. Félix ), eapitao de inválidos hábiles Idrac (D. Santos), trompeta de artillería á caba­ de Sevilla. llo de nuestra guardia xeal. Chacón (D. Josef), capitán de miqneletes de Na­ Yollier (D. Francisco),'tirador, idem. varra.…</t>
  </si>
  <si>
    <t>Santos, Santiago</t>
  </si>
  <si>
    <t>Santiago Santos</t>
  </si>
  <si>
    <t>desa viuda de Sanafé................. 136846 D. Tomas García Serrano................... 9566 *7 D. Gregorio de Anguita...................... 11503 28 D. Santiago Santos................................. 090 81 D. Jaime Casanova................................. 6249 20 D. Manuel Tiburcio Martínez de No­ D Juan Teran............…</t>
  </si>
  <si>
    <t>Sanz</t>
  </si>
  <si>
    <t>linda Otra donde dicen el Arroyo, de4 fanegas, con tierras del concejo de Algete, y Clau­ linde á oriente con tierras del curato de ALdio López y el licenciado Sanz.......... -..... 11 34a getc, y á mediodia con el camino y tierra Oír* que fue también del mismo licenciado de Claudio Galan............... ......... ............…</t>
  </si>
  <si>
    <t>Sanz, Nicolás</t>
  </si>
  <si>
    <t>Nicolás Sanz</t>
  </si>
  <si>
    <t>onio Quiróga, graduado de teniente coronel, D. Joaquín Ezcario, D. Agustín Salazar , D. Luis Cepeda , D. Pedro Eguiá y D. José Revesr, al ayudan-' te D. Nicolás Sanz, y al teniente D. Angel García de Borunda. Prospecto del Diario de Cortes que se ha de publicar laxo de la sobe­ rana5 autoridad é inspección del congreso nacion…</t>
  </si>
  <si>
    <t>Sapé, Josef Luís</t>
  </si>
  <si>
    <t>Josef Luís Sapé</t>
  </si>
  <si>
    <t>eonde Ándreosi. Los reales hospicios de Madrid y El conde Efe jean, primer inspector de ingenie-' ros, el conde Fontanes, grao maestro de la univer­ D. Josef Luís Sapé.................. 129000 sidad , el vice-almiranteThevcnard, los consejeros ; Sr. Marques Caballero...................... 79100..18 de Estado-condes-PLedón y d…</t>
  </si>
  <si>
    <t>Sapena, Francisco</t>
  </si>
  <si>
    <t>Francisco Sapena</t>
  </si>
  <si>
    <t>nfantería l.° de la Princesa el empleo de tenien­ te coronel á D. José María Bonieelli ; el de sargento mayor, k D. Juan de Dios Alguer ; compañías á D. Francisco Sapena, D. Cristóbal Dócio, D. Manuel Bausa, D. Juan Doz, D. Jayme Perj, D. Juan Nioa , D. Juan Vasadre, y D. Pablo Baliñani; ayudantías, á D. Francisco Valdés, y D…</t>
  </si>
  <si>
    <t>Sapitba, Francisca</t>
  </si>
  <si>
    <t>Francisca Sapitba</t>
  </si>
  <si>
    <t>esgoardo.de á pie detesta ciudad uo ron el conde de Pac. coronel del excrcito del do-: poeta , que sin haber recibido instrucción ninguna, cado, y la princesa Francisca Sapitba. tiene «Mi talento sobresaliente para la poesía, talen­ - &gt; "! ■SUECIA. • .. . to que no ba podida sufocar la miseria en que vi** ve. Llámase Egens; p…</t>
  </si>
  <si>
    <t>Sar, Leandro</t>
  </si>
  <si>
    <t>Leandro Sar</t>
  </si>
  <si>
    <t>abad y cabildo del real sitio de D. Estéban de Agreda........................... 2 i 39 S. Ildefonso......................................... IOCOOO D. Leandro Sar.dobal............................ 18579 1 D. Andrés Alfonso de Choya............. 2 2000 D. Pedro Flores Quevedo................... 39 í 9 1 D. Pedro Irigoen y Alm…</t>
  </si>
  <si>
    <t>Saracho, José</t>
  </si>
  <si>
    <t>José Saracho</t>
  </si>
  <si>
    <t>o Rebota, 10. D. Tomas de Amezúa, 10. D. Juan de-Isasi, 12. D. Francisco Rubín de Celis, 12. D. Francisco Redondo, 10. D. Ignacio CeFerino Perez, 12. D. José Saracho y otros individuos de la hacienda de Ramos, 54. El jus­ ticia y vecinos de S. Miguel de las Bocas, 33. Varios individuos, 58.— Indee. El cura D. Diego Bruno, 25.…</t>
  </si>
  <si>
    <t>Saravia, Bernibé</t>
  </si>
  <si>
    <t>Bernibé Saravia</t>
  </si>
  <si>
    <t>D Josef Lucena , comandan­ les del r si ado mayor general. te de ia mí ida cívica; D. Juan i’orcel , sargento; Los gefes y oficiales de la casa real. D Bernibé Saravia , sargento ; Juan Gómez , ca­ £1 consejo de Estado. bo; Rafael de Góngora, Antonio Ximenez , Josef Los generales y fictales de la guarnición. León, Josef Cipot…</t>
  </si>
  <si>
    <t>Saravia, Juao</t>
  </si>
  <si>
    <t>Juao Saravia</t>
  </si>
  <si>
    <t>Sniglesias. Y en el de voluntarios J.p de Borbast.ro, cornosíiía á D. Manuel Alvares; empleo de capitán 2.° á D. Antonio Silgado; segunda ayudantía a D. Juao Saravia ; tenencia á D. Antonio Munarriz; y subte­ nencia á D. Francisco Sai j urjo. S. M. se ha servido conferir la sargentía mayor del batallón de voluntónos de Valenc…</t>
  </si>
  <si>
    <t>Saravia, Martin</t>
  </si>
  <si>
    <t>Martin Saravia</t>
  </si>
  <si>
    <t>r la re­ D. Joaquín de Goyoneta. vista ha venido admirado de la gallarda presen­ Procurador mayor. cia , y de la habilidad y destreza de estas tropas D. Martin Saravia. ca hacer las evoluciones militares. Regidores. París 7 de junio. Marqués de Lorcro. Se acaba de publicar un senado-consulto or­ D. Andrés de Coca. gánico , cu…</t>
  </si>
  <si>
    <t>Saravia, Rafael Sánchez</t>
  </si>
  <si>
    <t>Rafael Sánchez Saravia</t>
  </si>
  <si>
    <t>ni; ayudantías, á D. Francisco Valdés, y D. Félix Camarasa ; te­ nencias, á D. Manuel Sainz, D. Juan Conde, D. Francisco Carrion, D. Miguel Valbuena, D. Rafael Sánchez Saravia, D. Mi­ guel Guajardo, D. José Arechaga, D. Antonio López, D. Juan Arango, D. José Herrera, D. Clemente Grima, D. Bautista Vila, D. Casimiro Brodet, D.…</t>
  </si>
  <si>
    <t>Sarceada, Juan López</t>
  </si>
  <si>
    <t>Juan López Sarceada</t>
  </si>
  <si>
    <t>9* D. Salvador Palomeque D. Juan Clavel* Quinta batallan. Para ayudante primero él balón de Horit , para segundo D. Agostía Tavira, y para abanderad* D. Juan López Sarceada. i“.......... .... D. Rafael de las Doblas......... D. Santiago Martínez. 3.*.............. ................................................. D. Felipe la…</t>
  </si>
  <si>
    <t>Sardina, Francisco</t>
  </si>
  <si>
    <t>Francisco Sardina</t>
  </si>
  <si>
    <t>cinto de Urria Nazaronduéhijos. : ■ 8coo de Madrid.................... ........... ....... . 4164'12 D. Ftáncisco de la Quintana...........;.' 50006. D. Francisco Sardina........................ 2140 D. Manuel Sánchez Tcseano.• 8c'Cob* D. Francisco Viaña............................ . 245,70 Doñá Gqrónima Aguiiar.....'.UVA.¡i …</t>
  </si>
  <si>
    <t>Sardina, Vicente</t>
  </si>
  <si>
    <t>Vicente Sardina</t>
  </si>
  <si>
    <t>y mucha .infantería, se retiró hacia Fontanar; pero viendo/á los húsares separados de los infantes , volvió.cara, y auxiliado por el destacamento de D. Vicente Sardina, los derrotó completamente, matando mas de 60:.de ellos , y persiguiéndolos hasta el mismo puente dé Guadalaxara, donde el soldado Francisco Rodríguez motó a 2…</t>
  </si>
  <si>
    <t>ga, pasaba la mayor parte á tierra de Caracena á cobrar las contribuciones. Sin ¿perder momento, di orden á las 3 compañías de caballería al mando de D. Vicente Sardina , D. Saturnino Albuiry Don José Mondedeu y á los tiradores de Sigüenza que comanda D. Nicolás de Isidro, acantonados en e-ta villa , que al amane­ cer de hoy …</t>
  </si>
  <si>
    <t>Sargentos</t>
  </si>
  <si>
    <t>s, se llamarán en lo sucesivo notarios im­ Teniente...................... 40a periales. Subteniente......... 300 En atención á sstas disposiciones el ministro Sargentos.................... 90 intima á todas las personas á quienes puedan com— Cabos........................... 75 prehender se conformen á ellas rigurosamente. Sol…</t>
  </si>
  <si>
    <t>Saris, Ramón</t>
  </si>
  <si>
    <t>Ramón Saris</t>
  </si>
  <si>
    <t>ia: D. Felipe Amar/por el principado de Cataluña: D. Antonio Olivero?,' por la provincia de Extremadura : D. Ramón Povcr, por la isla de Puerto Rico: D. Ramón Saris , por la ciudad de Barce­ lona : D. Juan Valle, por Cataluña: D. Plácido de Moritolni, por la ciudad de Tarragona : D. José Alonso y López , por la junta superior…</t>
  </si>
  <si>
    <t>Sarraille, Juan María</t>
  </si>
  <si>
    <t>Juan María Sarraille</t>
  </si>
  <si>
    <t>se representará por la compañía italiana Ja ópera D. Josef Concha , subprefecto de Córdoba. bufa en dos actos titulada las Cantoras aldeanas, inter­ D. Juan María Sarraille, de Lucena. mediada con el bolero. D. Juan Antonio del Campo Mazon , de Ecija. En el de la Cruz, á Es cinco de la tarde, se exccutará la comedia antigua d…</t>
  </si>
  <si>
    <t>Sarrazin</t>
  </si>
  <si>
    <t>nal de Douvres nn bote que conducía un general francés con su uniforme* acompañado de un negro, y lo enrió al almirante que manda en las Dunas. Es el general Sarrazin, segundo comandante de las tropas francesas acantonadas en Boloña, el mismo qüe en «1 año de 1798, sirviendo a las órdenes del general Humbert* desembarcó en la…</t>
  </si>
  <si>
    <t>Sartd</t>
  </si>
  <si>
    <t>143</t>
  </si>
  <si>
    <t>Mi­ na, comandante de las guerrillas de* Navarra , en los dias 6 , 11 y 16 del corriente , consta; que el dia 6 atacaron sus voluntarios, con los del comandante Sartd, á 100 franceses en Lumbiel, á quienes obligaron á encerrarse en una casa que habían provisto de víveres para seis dias , hasta que pudieran socorrerlos las gua…</t>
  </si>
  <si>
    <t>Sass</t>
  </si>
  <si>
    <t>les los añedios mayor Mischau se han distinguido particularmen­ para executar esta nueva especie de construcción. te en la cortquista de Farlukai. El general Sass ba A lo menos siendo las casas de piedra los incen­ mandado echar un puente sobre e¡ Danubio, cuya dios que puedan experimentarse no serán generales» custodia y def…</t>
  </si>
  <si>
    <t>un maná tan bueno como el de la Ca­ espera que ambas fortalezas (cuyas comunicaciones labria del fraximus ornus, que abunda en los mon­ ha cortado el general Sass) se rendirán mui pron­ tes de la Croacia. Varios cuerpos de medicina han to. Entonces.resta Widdin, donde manda el baxá examinado este maná de orden del g bierno , …</t>
  </si>
  <si>
    <t>ste es un punto Sobre el qaal tría el geneTal en gefe del exércíto envío el cuer­ no debe haber diferencia de opiniones eo el estado. po del teniente general Sass á Rudscbuck para Todo espíritu de partido ha cedido á los sentimien­ cercar aquella plaza, y u.i fuerte destacamento á tos de humanidad , y cada uno de los miembros…</t>
  </si>
  <si>
    <t>és ha habido varios altercados entre Ha.¡i- inmediaciones de Schumla entre raso? y turcos. agá y sus subalternos sobre ¡a pronta sumisión El teniente general Sass ha encontrado &lt;.n Turcon que habia cedida á las órdenes del bultan, tuke una lápida con una inscripción del tiempo pero no han seguido adelante estas desavenencias.…</t>
  </si>
  <si>
    <t>espa­ cheramientos que ocupaban de Praosva, y se han cioso anfiteatro. retirado á VVidin. S. M. ha mandado distribuir'entre los pobres de El teniente general Sass ha sido nombrado para Saltzburgo la cantidad de to© florines para que reemplazar al difunto general Zukatoff en el man­ puedan ocurrir á los gastos de la función co…</t>
  </si>
  <si>
    <t>ima paz general, y al mismo ta de las posesiones tarcas. La corte de Petersbur- tiempo el olvido y resarcimiento de los sacrificios go ha confiado al general Sass el mando de dicho pasados. También es cierto que en el día se nota exército, cuya ala derecha se ha adelantado con­ alguna escasez de numerario en la Früsia. ¿Pero …</t>
  </si>
  <si>
    <t>. Algonos sabios y vedad. literatos de distinción han obtenijo igualmente Habiendo recibido el dia 4 varios refuerzos el condecoraciones ó pensiones. general Sass, que estaba cerca de Praosva y de Parece que se ha decidido ya que en la pri­ Ragotries, se puso en marcha con su cuerpo de mavera próxima se juntara en Presburgo l…</t>
  </si>
  <si>
    <t>del regimiento del Reí ha ido Los rusos han principiado el bloqueo de Widínr de Potsdam á Leuzen para ocupar la aduana que á las órdenes del teniente general Sass , que ha te­ hai en esta última ciadad. Se asegura que ya han nido el mando de las tropas que han rendido á empezado á marchar otros muchos destacamentos Rudschuck.…</t>
  </si>
  <si>
    <t>madas aquí contra las mer­ cuerpo bastante considerable de tropas rusas , man­ cancías inglesas y coloniales se han ejecutado en dado por el teniente general Sass, acampado en las todas partes á mismo tiempo, y de esta mane­ inmediaciones de-Widdin, continúa sus operado-? ra se han evitado ios fraudes. Este ha sido un gol­ □e…</t>
  </si>
  <si>
    <t>1609</t>
  </si>
  <si>
    <t>rilla del Danubio junto á la confluencia del Tinock y Peters burgo 3 de noviembre. del Artzar. La leva de 3 hombre* por cada $00, mandada El teniente general Sass llegó el 29 del pasado hacer este año, es la menor que se ha hecho de al gran campamento de DeligranJ con nn refuerzo mucho tiempo á esta parte. de 14® hombres. Las…</t>
  </si>
  <si>
    <t>tuarse esta precisa men­ d n .nublo por orden del general en gefie para re- te en el térmico de seis año* , contados desde i.® icizcr el exe cito del general Sass , que es ya mui de, enero de 1810. Si se txecútare por, vents , las mimer- s-&gt;. bus destacante -..tos han limpiado de ene­ posesiones se nos ofrecerán primero á Nos…</t>
  </si>
  <si>
    <t>Sastre, Miguel</t>
  </si>
  <si>
    <t>Miguel Sastre</t>
  </si>
  <si>
    <t>Xiquilpan , 200. D. Antonio Serra y Aalet , vecino dé Villahermosa de Tabásco , 400, y 110 al año. Los sirvientes de la hacienda de Teoloyuc«Ui , 7$. D. Miguel Sastre , veeian</t>
  </si>
  <si>
    <t>Sastre, Santiago</t>
  </si>
  <si>
    <t>Santiago Sastre</t>
  </si>
  <si>
    <t>5. D. Juan Antonio Aguilera , su esposa é hija , 1500. 1). Miguel de Arizmendi , 1000. D. José Gregorio de Calera , 100. D. Bartolomé Caballero , 25. D. Santiago Sastre, 50 pesos y otros tantos cada ano. D. José María Fernandez del Cam­ po , cura de Huastuco , y varios de sus feligreses , 37*1 pesos y 5 rs. Va­ rios vecinos d…</t>
  </si>
  <si>
    <t>Satnt-Hilaire</t>
  </si>
  <si>
    <t>r, Sitas se había ocultado eo los aposentos nia otro coche , también tai-vitado, con el cadáver interiores inmediatos i la alcoba donde duerme el del general Satnt-Hilaire, y Juego las autoridades duque, y quandoestc estaba.y a dormido entredós y magistrados de la ciudad con la guardia de ho­ y tres de da mañana , se echó sob…</t>
  </si>
  <si>
    <t>Satur</t>
  </si>
  <si>
    <t>tropa enemiga y grueso convoy que escoltaba , pasase el puente de Mirabueno, á cujo tiempo rompí el fuego ; y saliendo de su emboscada la compañía de D. Satur­ nino Albuir, que ocupaba la espalda del enemigo, las de D. Ma­ riano Navas y D. Vicente Sardina ocuparon el frente y flanco iz­ quierdo, y se trabó una acción de las m…</t>
  </si>
  <si>
    <t>Saturnino</t>
  </si>
  <si>
    <t>a­ riano Navas y D. Vicente Sardina ocuparon el frente y flanco iz­ quierdo, y se trabó una acción de las mas reñidas y sangrientas. „ La compañía de D. Saturnino se batió largo tiempo sable en mano con 200 franceses de caballería. El fuego acertado del pak*anage é infantería hizo estragos tan considerables, que apénas se des…</t>
  </si>
  <si>
    <t>Saumárez</t>
  </si>
  <si>
    <t>ostas de concurro que por no caber en el templo se había Alemania f á consecuencia de una órden que ha re­ quedado afuera. cibido del almirantazgo el comandante Saumárez. La comitiva volvió de la iglesia en el mismo Se presume esto sea con el fin de executar alguna orden «¡ue había venido, al colegio que fue de los nueva empr…</t>
  </si>
  <si>
    <t>Saüquet, Francisco</t>
  </si>
  <si>
    <t>Francisco Saüquet</t>
  </si>
  <si>
    <t>de Márbella; y mis partidas han extendido sus reconocimientos hasta el castillo ,de Fuengirola, ocupando las poblacio­ nes de Coin, Alaurin y Alijas. D. Francisco Saüquet, sargento mayor del regimiento de caballería de voluntarios de Madrid , ha sido de los que mas se han esmerado y distinguido en quanto se ha puesto á su cui…</t>
  </si>
  <si>
    <t>Sauquillo, Raimundo</t>
  </si>
  <si>
    <t>Raimundo Sauquillo</t>
  </si>
  <si>
    <t>a qqe el mió me desprecia : son tantos los que han de caballería de cazadores de montaña de Madrid hecho por tní,que basta con decirte rae suminis­ á D. Raimundo Sauquillo; y teniente de infantería tran quantos dineros les pido para la subsistencia de línea á D. Francisco Baliester, subteniente del de mi familia y mia &amp;c. de …</t>
  </si>
  <si>
    <t>Saurau</t>
  </si>
  <si>
    <t>® flori­ El príncipe de Hatzfeld acaba de poblicar la nes___ Dícese que le sucederá en su destino el siguiente declaración con motivo de la carta que conde Saurau. S. M. se dignó eicribirle poco tiempo hace. Esta ALEMANIA. declaración se diferencia algo de la que han publi­ Stuttgardt 14 de letiembrt.. cado afganos periódicos…</t>
  </si>
  <si>
    <t>Sauz, Laureano</t>
  </si>
  <si>
    <t>Laureano Sauz</t>
  </si>
  <si>
    <t>ero ; ayundamía , á D. Martin Sierra ; tenencias, á D. Eduardo Velase»; D. Vicente Cabañas , D. Manuel Laget, D. Miguel Navarro, D. Antonio Aznar , y D. Laureano Sauz; y subtenencias, ? X). Bruno Soaso, D. Antonio Llamas, D. Lorenzo Adelantado D. Juan Sotelo , D. Gregorio Aívarez Carbalio , D. Ramón Min guillen , y D. José Pi…</t>
  </si>
  <si>
    <t>Savariego, Andrés</t>
  </si>
  <si>
    <t>Andrés Savariego</t>
  </si>
  <si>
    <t>125 co Manilla, suplente por idem: D. Andrés Savariego, suplente por idem : D. Salvador S. Martin , suplente por idem : D. Octaviarlo O bre­ gón , suplente por idem: D. Máximo Maldonado, suplente por idem: D. José Maria Gutiérrez de Terán , sup</t>
  </si>
  <si>
    <t>Savary</t>
  </si>
  <si>
    <t>ón como uno de los principales agentes del partido de Josefina, y sus relacio­ nes con esta han sido probablemente la causa de sil desgra­ cia. — É.1 general Savary, duque de Rovigo, ie sucede en el ministerio de policía, que será siempre el primero en la corte de un tirano.</t>
  </si>
  <si>
    <t>Sawers, Éstuardo Nesbit</t>
  </si>
  <si>
    <t>Éstuardo Nesbit Sawers</t>
  </si>
  <si>
    <t>por mano del se­ ñor D. Diego Guillermo Glass, 2000. La Sra. Doña Josefa Gamo ríe. da y Lavaggé , 200. El Sr. D. Proto Alvavez Manilla, 1000. El Sr. D. Éstuardo Nesbit Sawers , 1000. El Excmo. Sr. conde de Fernan-Nuñez , 320. El sé- ñor conde de Cumbre-Hermosa , 400. El limo. Sr. obispo de Arequipa Don Pedro José Chaves de la…</t>
  </si>
  <si>
    <t>Sbtelo</t>
  </si>
  <si>
    <t>tíénen ai enemigo en continuo sobresalto , obligándole á precau­ ciones que debilitan sus fuerzas en lo interior del reyno. Ay amonte 28 de julio. El prefecto Sbtelo quiso levantar en Xerez una compañía montada para rondar por el término de aquella ciudad, y lio le ha sido posible, aunque ha llegado á ofrecer 16 rs. diarios d…</t>
  </si>
  <si>
    <t>Scarpellini</t>
  </si>
  <si>
    <t>inexpugnable; pero al sulta extraordinaria ha ordenado la construcción acercarse nuestras tropas los portugueses le han de las mangas , y el célebre profesor Scarpellini es-, abandonado diciendo: ¡ De que sirve que nos en­ tá encargado de construirlas. Ademas de esto se cerremos en las plazas, si los ingleses nos aban­ ba for…</t>
  </si>
  <si>
    <t>Scba</t>
  </si>
  <si>
    <t>corona (seis trancos). De engañar al pueblo; p*ra esto e«.p.:r..vn ?a voz, ñor e;te modo deben encarecerse también las carnes , y exemplo, de que el general Scba-.tL'ii ha capitula­ tráigase el trigo que se traiga. Suelen decir que un do: estas voces son deMnir.ii-.Ls al instante, p ra mal esperado no incomoda ; pero yo no ve…</t>
  </si>
  <si>
    <t>Scbas</t>
  </si>
  <si>
    <t>costearán por bre es venerado en el reino de Granada , ha segui­ cuenta de los propios y arbitrios el vestuario y do desde Andújar la expedición der general Scbas— correage á los individuos de la milicia cívica qne tíani, y ha contr.buido con sus consejas paternales no puedan hacerlo por sí: el armamento se dará de á atraer á…</t>
  </si>
  <si>
    <t>Scbastiani</t>
  </si>
  <si>
    <t>á esto, ni de donde se. sacará para pagar lo mas preciso después de 8 meses que á nadie pagan. — Pcreyra ha tenido un gran disgusto en Granada con ei general Scbastiani: dicen que ha caído mucho de resulta en el concepto del rey. — Romero despacha interinamente el ministerio de lo interior , y Ar gnlo que todavía no ha llegad…</t>
  </si>
  <si>
    <t>Schájwkjij</t>
  </si>
  <si>
    <t>e 6’ á'7^ Hombres f pero temió Scr rodeado,¡ blanca. y echó á huir.-También ha entradd en Negotia et En la gazeta ministerial se ha publicado una re­ coronel Schájwkjij sitj embargodeqne no había i lación de ofició sobre latónía de Szistow, de Baño, ido mas que ¿observar esta plaza ; pero-loa ene—' de PraoWa ji Negotim En la …</t>
  </si>
  <si>
    <t>Scheitu</t>
  </si>
  <si>
    <t>e estáis penetrar para b oquear los atrincheramientos que aiii habia, dos de la moral cvanuéüej , que manda la ¿bmgtdos regimientos á .as órdenes del coronel Scheitu- cion de sí mismo, prestándoos on gusto á partici­ chin. Él baxa de Widio, informado de esto, capi­ par de las cargas, y gravámenes del estado, de que tuló la ev…</t>
  </si>
  <si>
    <t>Scheropp, Pedro</t>
  </si>
  <si>
    <t>Pedro Scheropp</t>
  </si>
  <si>
    <t>............................. 1190 D. Nicolasa Utiel.................................... 2888 D. Josef Ruiz.......................................... D. Pedro Scheropp................................ 631 D, Antonio Zazo.................................... D. Domingo de Vcntade', como apo­ D. Hipólito Serrano..................…</t>
  </si>
  <si>
    <t>Schilrz</t>
  </si>
  <si>
    <t>12 de junio.- ■ IMPERIO FRANCES. S. M. ha expedido los decretos StrasburgQ 18 de mayo. Extracto de la minutas de la secretaria de Estado. t" El señor conde Schilrz, embaxador de las cor­ En nuestro palacio de Madrid á mavo tes de MeckUmbargo-Schwerin y Meckíemburgo- de 1810. - . j . u Strelitz cerca del Emperador de los franc…</t>
  </si>
  <si>
    <t>Schitnmel</t>
  </si>
  <si>
    <t>b ervar mas de cerca to­ Por decreto del mismo dia ha sido nombrado das las particularidades de un fenómeno que tanto gran tesorero de dicha orden el conde Schitnmel- tiempo habi.n esperado; unos con el objeto de re­ penning. coger hechos observados por sí mismos, para for­ mar nuevas teorías sobre este panto importante de ES…</t>
  </si>
  <si>
    <t>Schlegel</t>
  </si>
  <si>
    <t>tro remedio que disolver el volvía de Flesir.ga, y entre esta ciudad y Middel- parlamento, ó desechar los bilis. Lo primero es un burgo sé hallaba el capitán Schlegel cort tres com­ remedio ineficaz, como lo ha demostrado la obsti­ pañías. El Emperador se detuvo con él, y te hi­ nación del condado de Middlesex en la elección …</t>
  </si>
  <si>
    <t>Schneider</t>
  </si>
  <si>
    <t>individuos domiciliados en Suiza han tenido con los insurgentes del Tirol y del Voralberg, están en el dia completamen­ te probadas por confesión del doctor Schneider, y de otros xefes de los insurgentes. —Se asegura que S. M. el emperador de los france­ ses , como mediador que es de la. confederación hcíbétka , ha hecho sabe…</t>
  </si>
  <si>
    <t>Schnell</t>
  </si>
  <si>
    <t>ión de propiedades, sino también de una protección títla dieta próxima el pian que ha concebido. caz contra el que se atreva á cometer qualq¡.:¡cr EL doctor Schnell, uuo de los profesores mas atentado. •misma atención; lo que evitando toda personalidad nos lo han definido sin convenirse jamas! ¡ Tantos en fin Lin serenidad y …</t>
  </si>
  <si>
    <t>Schoenborñ</t>
  </si>
  <si>
    <t>ados los males de la patria. conde de Cavriani, idem ; el conde de Thurn&gt; idem; El 19, con motivo del santo de'nuestro augusto. •1 conde Pininski; el conde Schoenborñ , hijo; el Monarca , fue advertido el señor gobernador de barón de Lcbzeltern ,* consejero de embaxada; el que la plaza debía celebrarle con salvas, y que el ba…</t>
  </si>
  <si>
    <t>Schoeofetd</t>
  </si>
  <si>
    <t>ano. Dícese que le ocuparán mui llamos quando se celebre él matrimonio del Prín­ luego algunos personages ilustre? ejtt'fangeros. í cipe Reali 1 * El conde Schoeofetd ha sido nombrado definiti­ S. M. ha concedido nuevos socorros á varios vamente ministro plenipotenciario, de nuestra .corte * pueblos del-Tirol que durante las …</t>
  </si>
  <si>
    <t>SchouWaloff</t>
  </si>
  <si>
    <t>odos los tribunales- como lo están los de Francia. Austria. PRUSIA. Vtena a &lt;T de junio. Koenigsberg rj) de junio. El enviado extraordinario de Rusia conde SchouWaloff continúa todavía en esta capital, donde tie­ Escriben de Fillau que un brick ingles, qüe ha­ ne con mucha frecuencia conferencias con el prín­ bla sido arrojad…</t>
  </si>
  <si>
    <t>Schrna</t>
  </si>
  <si>
    <t>s nuevos comisarios del príncipe Hemique, que es el local destinado generales de los nueve círculos del reino; y en to­ para este establecimiento. E¡ profesor Schrna.z pre- do el mes de octubre saldrán para tas ciudades de sidirá esta interesante ceremonia como primer rec­ su residencia. tor de la universidad. El Rei luego qu…</t>
  </si>
  <si>
    <t>Schropp, Pedro</t>
  </si>
  <si>
    <t>Pedro Schropp</t>
  </si>
  <si>
    <t>n­ D. Francisco García de Rozas........... . : 8438..II drés de Aransai,.......................... 120000 D. Andrés de Sam,al—«............ 4463-20 u D. Pedro Schropp-.................................. 30000 -.. •' = D. Francisco Antonio.de Briagas......... - -- 246-10 ' ‘ D. Blas Martínez.....................................…</t>
  </si>
  <si>
    <t>Schwaitz</t>
  </si>
  <si>
    <t>artz y oficiales el us© de su espada y equipages, cuya entrega se verificó en la misma noche del 14, quedando pri­ sioneros de guerra 650 hombres, el general Schwaitz un co­ ronel y 42 oficiales que al amanecer del 15 salieron para em­ barcarse en S. Fel o de Guixols. — L© ocurrido en los felices ataques de Palarnós y S. Feli…</t>
  </si>
  <si>
    <t>Schwartz</t>
  </si>
  <si>
    <t>Gazeta de la Regencia de España e Indias n.º 18 (suplemento)</t>
  </si>
  <si>
    <t>sanos armados á su alcance, al que se siguió un obstinado ataque, y á este la completa derrota de la división enemiga de X300 hombres, mandada por el general Schwartz, que después, de haber recibido dos heridas , debió la vida á la ligereza de un caballo, habiéndole muerto ántes el que montaba en la acción. Según los.;partes-…</t>
  </si>
  <si>
    <t>iembre. Un cuerpo de tropas nuestras que salió de este puerto y desembarcó en Blanes , ha batido á los francfcsesr en las inmediaciones de Pulamos El general Schwartz que se.habia refugiado al castillo de la Bis bal, se en­ tregó el dia 14 prisionero de guerra con 700 hombres, 42 ofi­ ciales , un cañón, muchos carros y equipa…</t>
  </si>
  <si>
    <t>iste muy particularmente en los movimientos rápidos y de lo mucho que convenia hacerlo así en el que iba á realizar de atacar aquella mañana misma al general Schwartz, que se hallaba en la Bisbal, no dándole lugar á que supiese nuestro movimiento, para impedir fuese á socorrerlos puntos de S. Felio de Guixols y Palamós, que d…</t>
  </si>
  <si>
    <t>847 militares, dexando á los soldados sus mochilas, y al general Schwartz y oficiales el us© de su espada y equipages, cuya entrega se verificó en la misma noche del 14, quedando pri­ sioneros de guerra 650 hombres, el general Schwaitz un co­ ronel y 42 oficiales que al amanecer del 15 salieron para em­ ba</t>
  </si>
  <si>
    <t>amino de la Bisbal An haber sido sentida del enemigo.— Poco antes ele llegar, encontré á un propio del enemigo que llevaba á toda priesa un pliego al general Schwartz, por el quál supe que h s enemigos habían desmontado y embarcado en la noche anterior los cañones del fortín de la izquierda del puerto, y el de S. Telmo. Estáb…</t>
  </si>
  <si>
    <t>Schwartzemberg</t>
  </si>
  <si>
    <t>terra algunas personas du­ daban de que fuese hombre: estas dudas dieren Stuttgardt 06 de mayo. motivo á grandes apuestas y á un proceso ridiculo, La princesa Schwartzemberg pasó ayer por en el qual se sentenció á Lvor de los que opinaban aquí: viene de Viena, y va á París. qoe el caballero Eon era muger; y en efecto lue­ Ya …</t>
  </si>
  <si>
    <t>onteras de la Croacia. El 20 de mar­ señor Metternich, ministro de Negocios excrange— zo las tropas francesas é ¡líricas principiaron á re­ ros, y al príncipe Schwartzemberg, tmbaxador de concentrarse en los parages hacia donde solian pre­ Viena. sentarse en gran número los turcos. El 23 los dos ESPAÑA. regimientos croato-ilí…</t>
  </si>
  <si>
    <t>SchWrírzenher</t>
  </si>
  <si>
    <t>a á cada lado, formadas con iemne, el señor embaxador se dirigió con su comí- el arma al hombro. La comitiva al salir dei palacio u\-a al palacio del príncipe SchWrírzenher^ * sitúa— atravesó un puente, que se había construido ,.-n do fuera de la puerta llamada de Cadmía. El conde poquísimo tiempo; paso después por el p-.seo …</t>
  </si>
  <si>
    <t>Sclr</t>
  </si>
  <si>
    <t>iró precipitad im lite , y fué \ en cerrarse en el casti­ llo. - Para observar e te de tacan2uto y oponerme á qualquiera otro que pu liera man lar el general Sclr*vurtz en au­ xilio de los del castillo que está situado desde la Bisbal á tres horas die él, dexé la3 dos terceras partes de mi gen e y me ade­ lanté hasta la Tuna,…</t>
  </si>
  <si>
    <t>Scpúlveda, Pedro González</t>
  </si>
  <si>
    <t>Pedro González Scpúlveda</t>
  </si>
  <si>
    <t>6.*.......... D. Ramón García Ximenez.......................................................... D. Josef Vive*. 7.* ........ D. Josef Cabredo........ D. Pedro González Scpúlveda. 8.*.......... D. Bartolomé Gómez,. D. Joaqurn Sánchez. 9.a.......... D. Josef Chacón.......... D. Ventura Cordero. 10.a.............................…</t>
  </si>
  <si>
    <t>Sdbastiani</t>
  </si>
  <si>
    <t>la ruina, siendo víctimas los que aman al gobierno. Dios guarde á V. E. muchos años. Míla« gt 8 de setiembre de 1810. — Enrique Disdier. — Excmo. Sr. conde Sdbastiani. (4) El Inignaue desaliñado y llene dé idiotismo* de estas cartas y partes qu4* se copian á la letra , indican ía patria y la rudeza de quien los escribe. CADIZ…</t>
  </si>
  <si>
    <t>Sebas</t>
  </si>
  <si>
    <t>te exército. huía áCádiz: ya eatraban ea las Alpujarras, quan­ jEí primer regimiento de húsares, los lanceros de la do habiendo hecho reunir el señor general Sebas­ •legión hannoveriatfa y el 17." de dragones cerraron tian! una parte del quarto cuerpo, marchó contra 'con el mayor brío, *y también dos compañías del ellas; pero…</t>
  </si>
  <si>
    <t>Regencia: Xavier de Castaños, presidente.— Yo D. Esteban Varea, secretario del Rey nuestro señor, lo hice escribir por su mandado. — D. José Colon. — D. Sebas­ tian de Torres.— D., Bernardo Riega.—D. José Salcedo. — D. Luis Meíendez Bruna. — Canciller, D. Ramón María de Chaves..— Registrada, D. José Rebollo.— Es copia.de su o…</t>
  </si>
  <si>
    <t>movimientos tomasen un poco mas carácter, y diesen esperanza de que aguardarían. Pero habiéndose di­ suelto aquellas reuniones por sí mismas (4)., el general Sebas­ tiani se limita á hacer preparar en Málaga un pequeño tren de sitio para atacar en regla el fuerte de Marbella , delante del qual se hallaba ya él general Rey, y …</t>
  </si>
  <si>
    <t>SebasEl, Horacio</t>
  </si>
  <si>
    <t>Horacio SebasEl</t>
  </si>
  <si>
    <t>l domingo 28 del corriente, á bs tres de la tarde , entraron en esta ciudad las tropas francesas Bilbao 7_9 de enero de 1810. al mando del Excmo. Sr. general Horacio SebasEl tribunal criminal extraordinario de Vizca­ ti?ni , quien á la cabeza de su exército fue recibi­ ya presenta delineados fielmente en este quadro los do po…</t>
  </si>
  <si>
    <t>Sebastia</t>
  </si>
  <si>
    <t>oncedido para las ur­ gencias de la marina. Si experimentase nuevas dilaciones ó dificultades sobre este particular, podrá V. E. quexarse de ellas al general Sebastia­ ni , que recibe órdenes sobre ese particular. La falta de fondos no debe de modo alguno trabar sus operaciones. Deben tomarse las embarcacio­ nes reconocidas a…</t>
  </si>
  <si>
    <t>Sebastiaiü</t>
  </si>
  <si>
    <t>roísmo; pero prefirió esperar á que el tiem­ gií irados de la ciudad de Granada , y entregaron al po hiciese lo que no se atrevió á emprender con las general Sebastiaiü la acta de sumisión de aquella armas en ia mano. capital. ,, Quando el gabinete de Madrid vió á la Fran­ Granada 29 de enero. cia empeñada en una guerra en pa…</t>
  </si>
  <si>
    <t>Sebastian</t>
  </si>
  <si>
    <t>boca con decirme que era para ir .i Francia ción pensaron de Otro modo que el común del pue­ á sacar á Fernando vu á fuerza de armas , y aca­ blo: el D. Sebastian dixo que el resultado de la ba­ bar con toda la casta de Napoleón , aunque ya hai, talla de Bailen era el origen de la perdición de Es­ según dicen , quatro ó cinco…</t>
  </si>
  <si>
    <t>** v» ~ - -“.r--—£&gt;•—— jr resultas de la dispersión acaecida en Montizon, se por la constitución del estado, R£I de las Espahabían refugiado aqui. Ei general Sebastian! los ata­ ñas y de las Indias. có , y en pocos instantes desaparecieron aquella* Vista la proclama fecha en Córdoba el dia 27 tropas con el mas espantoso desor…</t>
  </si>
  <si>
    <t>smero posible las ventanas, bal­ estas últimas provincias del mediodía déla Europa. cones y f cha Jas de las casas que se comerehtnden Ei Exento. Sr. conde Sebastian!, general en ge- en la carrera por donde ha de pasar el REI nuestro fe del qnarto cuerpo de! exército imperial y real, Señor hasta ei p¡lacio de la Chancilleria.…</t>
  </si>
  <si>
    <t>a, población y circulación ap hombres, .prendiendo á ono.y desando mq« to d« nuestro numerario éstao sufriendo pero idas con­ á otro. El Exorno.; Sr. conde Sebastian!, satisfecho siderables. de .tan loable .conducta , que.dgbe servir, de exern-,, La divina Providencia ha confiado á V. 'Mi pió. á todos ios dornas pueblos de «r…</t>
  </si>
  <si>
    <t>Gaceta de Madrid n.º 111</t>
  </si>
  <si>
    <t>466</t>
  </si>
  <si>
    <t>admiración á la persona ría Luisa. Desde el amanecer se anunció con salvas augusta del Emperador; y ios habitantes de Gra­ de artillóla. A ias 11 el general Sebastian!, acom­ nada alternaron con ei exército en demostracior.es pañado de su estado mayor y de todos los oficiales de alegría* mezclando con hu"aclamaciones de ¡os d…</t>
  </si>
  <si>
    <t>de la noche, se re­ Lope, confirma su sospecha, aunque de un modo muí presentará por la compañía española la comedia en tres indirecto; y aun el Re? D. Sebastian, i quien pide li­ •ctos titulada el Donado fingido, y ia opereta el Se­ cencia pari acompañarlo en la expedición de Africa, creto. le responde de un modo, que hace c…</t>
  </si>
  <si>
    <t>pone. Por esta regla lia faltado en esta ocasión al deco­ veces ios conocimientos que la adornan’, y el talento ro e: barquero, que en tiempo del Rei D. Sebastian su­ dramático que tiene tan acreditado. Por exemplo, quan­ pone ya introducida la invención del encerado. do habla con D. Luis disfrazado de joyero, lo hace de Pido…</t>
  </si>
  <si>
    <t>una numerosa quadri— municiones. También en Orihuela se han hallado' lia que habia juntado Antonio Morillo, miembro otras 60 piezas de artillería. El general Sebastian! de la jnnta de Badajoz. La correspondencia de este hizo perseguir á estas quadrillas por el camino de con la junta y con U Romané es cosa mui notable. Cartage…</t>
  </si>
  <si>
    <t>oncurso celebrado en el año de 1807 , oído acto á nombre del excelentísimo señor general en nuestro ministro interino de Negocios eclesiásticos, gefe conde Sebastian!, coyas ocupaciones no se lo nombramos : permitieron hacer personalmente, el Sr. D. Luis Para el curato de Bastar viejo, vacante.por pro­ Doguerao , gobernador d…</t>
  </si>
  <si>
    <t>iente. Quando en el desagüe de aguas Rocha ( D. Manqel), sargento de húsares, idem. encharcadas no han faltado á los obreros buenas Rodríguez Fcixoo (D. Sebastian), vecino de la carnes , pan, vino y aguardiente , dicen los señores villa de Mora. Lancísi, Lia, Príogle, Sidenbam y Grao que ja­</t>
  </si>
  <si>
    <t>e duda en que, Granada ai de octubre. por medio de estas, podemos mui bien valuar el mérito de los antiguos y el de los modernos, y dar El Excmo. Sr. conde Sebastian! entró ayer á las á anos y i otros el aprecio que les es debido.” tres de la tarde en esta ciudad de vuelta de su ex­ A esta objeción creo que se satisface con d…</t>
  </si>
  <si>
    <t>Sebastian, Juan Pablo</t>
  </si>
  <si>
    <t>Juan Pablo Sebastian</t>
  </si>
  <si>
    <t>Salazar, D. M :r. iel Arschav&amp;la, D. Melchor Sil­ vestre , y D. Nicolás Verdejo ; á capitanes, los tenientes D. An­ drés Rodríguez, D. Félix de Toda, D. Juan Pablo Sebastian, y D. Francisco Huarte; á tenientes , los subtenientes D. Francis­ co Ramírez , D. Ramón Mateo, D. Valentín Ampudia , D. José Ampudia, D. Tomas de Benavi…</t>
  </si>
  <si>
    <t>Sebastiani</t>
  </si>
  <si>
    <t>nes para ofrecer á Jos pies Nota. Como la ciudad y clero habían ya remi­ de S. M. la expresión de su fidelidad y sumisión. tido por una diputación al general Sebastiani la ac­ Con el plausible motivo de los dias de nuestro ta del juramento de fidelidad, esta diputación vie­ Soberano, se han presentado á cumplimentar á ne solo…</t>
  </si>
  <si>
    <t>es no se justilicao. mo brillante. Todos los oficiales de la guarnición se art. xxi. Las disposiciones del presente de­ reunieron después en casa del general Sebastiani y creto en ningún caso serán aplicables ¿ un delito del conde de Bouillé * ge fe del estado mayor gene­ posterior al 30 de marzo de este año. ral, donde se si…</t>
  </si>
  <si>
    <t>GENCIA DEL MARTES 5 DE JUNTO DE 1810. Murcia i.° de mayo. El dia 21 de abril llegó la noticia de que el cuerpo de exército francés , man­ dado por el general Sebastiani, después de haber penetrado en el reyno y pasado de Lorca, se dirigía á esta capital. El general del txército del centro que se ha­ llaba ea Alcantarilla, man…</t>
  </si>
  <si>
    <t>se trabajaba anteriormente con una actividad de que hay pocos exemplos. Lorca 8 de mayo. El 22 del pasado entró aquí el exército francés al mando del general Sebastiani,y pasó sin detenerse á Murcia. No se sabe á punto fixo su fuerza, pero se calcula que era de unos 8© hombres. El dia 26 retrocedió de Mur­ cia hasta Alhama, y…</t>
  </si>
  <si>
    <t>a conducir sus enfermos y heridos á Carmona y Ecija desde el hospital de la sangre de Sevilla , sin exceptuar los mas agravados. — Se asegura que al general Sebastiani se le hacen graves cargos por la conducta que observó en su expedición de Murcia. Dicen que última­ mente ha pedido refuerzos á Soult, y que este se los lia ne…</t>
  </si>
  <si>
    <t>a: que siempre los pri­ meros cálculos del valor de géneros aprehendidos suelen ser muy abultados , como oí haber sucedido en Málaga á la entrada del general Sebastiani, y no será mucho que el concepto formado por S. M. I. sobre ei importe de los de Sevilla estribe en las pri- i (6) Esto a pesar de haberse entregado sni hacer…</t>
  </si>
  <si>
    <t>e quaiido en quando algunas noticias acerca de las cosas de España. He aquí algunos pasages de la relación que conte­ nía el número de ayer (1). &lt;CE1 general Sebastiani ha dado cuenta del feliz suceso de su expedición contra los insurgentes de las Alpujarras. Los ingleses habían conseguido reunir en estas montañas un cuer­ po…</t>
  </si>
  <si>
    <t>ay güera; pero llegó tarde, y solo pudo ha­ cer Sqirisioneros y quitarles 200 cabezas de ganado. Cartagena 13 de setiembre. La segunda expedición del general Sebastiani al rey no de Murcia este mes de agosto, no le ha proporcionado mayores satisfacciones que la primera que verificó en abril próximo pasado. El exército del gen…</t>
  </si>
  <si>
    <t>s de pelear, y allí lo hubiera hecho con infinitas ven­ tajas. Generalmente, el vecindario abandonólos pueblos por donde pasaron los franceses 4 y al general Sebastiani no le pueden quedar dudas acerca de la disposición de los ánimos de toda la provincia. Nuestra caballería mandada por el general Freyre, se ha­ bía puesto en …</t>
  </si>
  <si>
    <t>,, En los dias 18, 19, 20 y 21 no ocurrió nin­ guna novedad particular. ORDEN DEL DIA. ,, El n se di¿ orden á la división Partouneaux El Exento, Sr. conde Sebastiani, general en y á la guardia real para embarcarse, y subir el gefé del qua rto cu erpo, ha visto con suma compla­ cana ; la primera hasta Bagn«ra, y la segonda has…</t>
  </si>
  <si>
    <t>Sebastúni, Horacio</t>
  </si>
  <si>
    <t>Horacio Sebastúni</t>
  </si>
  <si>
    <t>ntera mudanza en los mi­ do el general Bonet vo:vió sobre elios, y acome­ nisterios. tiéndoles el dia 14 en todos ios puntos de la ciu­ El Excmo. Sr. D. Horacio Sebastúni, general dad y en el puente Colloto , los derrosó completa­ en gefe del quarto cuerpo del exército imperial y mente, cogiéndoles 600 prEioneros, entre ellos…</t>
  </si>
  <si>
    <t>Second, Jaquier</t>
  </si>
  <si>
    <t>Jaquier Second</t>
  </si>
  <si>
    <t>ambien se'asegura que la Reina de Ñapóles D, Francisco Velestá........................ 493620..30I permanecerá en París-hasta después dé celebrado el D. Jaquier Second............................ 9274..!5 matrimonio de S. M. el Emperador, D. Pedro Baille y compañía............ 182105.. 2 i El Reí de Baviera estará‘todavía por…</t>
  </si>
  <si>
    <t>Secre-r</t>
  </si>
  <si>
    <t>La suerte de San Julián , que se Hacienda Firmadore Francisco Angulo. — Aprobado. ~ compone de 13 aranzadas, las Firmadod: YO EL R.ÉY — Por S. M. el Ministro Secre-r 6 de olivar, y las 7 de tier­ tario de Estados Firmado^: Mariano Luis de Urquijo. ra calma................................ 1615.. 3 19381 La arboleda en dicho si…</t>
  </si>
  <si>
    <t>Sedaño, Pedro</t>
  </si>
  <si>
    <t>Pedro Sedaño</t>
  </si>
  <si>
    <t>osef Ortiz Herboso. D. Andrés Saez. D. Gabriel de Alearáz. D. Santiago Sedaño. D. Juan de Adanero. D. Francisco Cabañas. D. Juan de la Peña Melendez. D. Pedro Sedaño. D. Joaquín Sojo. D. Antonio de Uribarri. Nuestros ministros de lo Interior y de la Guer­ D. Josef Binuesa. ra quedan encargados de la execucion de este de­ D. L…</t>
  </si>
  <si>
    <t>Sedaño, Santiago</t>
  </si>
  <si>
    <t>Santiago Sedaño</t>
  </si>
  <si>
    <t>n Carnerero Vela* D. Claudio Botelú. D. Tuan Valdivieso. D. J osef Navarro. Tenientes. D. Josef Ortiz Herboso. D. Andrés Saez. D. Gabriel de Alearáz. D. Santiago Sedaño. D. Juan de Adanero. D. Francisco Cabañas. D. Juan de la Peña Melendez. D. Pedro Sedaño. D. Joaquín Sojo. D. Antonio de Uribarri. Nuestros ministros de lo Int…</t>
  </si>
  <si>
    <t>fu M «rit Josefa Olarrima.............. 721 % D. Josef Manuel de izagurre............. 3°10 D. Juan Trsefde Ojanpnren.,........ ... 33,-3 -■s -% •j&gt; D. Santiago Sedaño................................. 992 2j2 D. Di&gt;:r.t;iu ' de UrrcnsyecFcM............ 1 -34 8x D F•'ancisco Navarro y Belluga........ 4873 17 D.*ña Pascuala de …</t>
  </si>
  <si>
    <t>o Xavier Bcre. i. El conde de Villaoqnira....... D. Antonio Aquilino Aguilera. D. Antonio Aimrita. .................................................. D. Santiago Sedaño................. D. Antonio González. D. Ignacio Agudo y Andrade. D. Manuel Calvo. 4: .......... D. Matías Cesáreo.................. D. Vicente de la Torre...…</t>
  </si>
  <si>
    <t>Sefactoria</t>
  </si>
  <si>
    <t>n nacional. S. Andrés al ex-franciscmo D. Buenaventura Ra­ Tampoco se puede dar ninguna respuesta satis­ mírez: para ia de Sanciago al ex-franciscano D. Sefactoria á las quejas que se han presentado contra astian de Hita : para la de S. Gil ai ex-franciscano las pensiones concedidas, no al mérito sino al fa­ Í &gt;. Francisco Pe…</t>
  </si>
  <si>
    <t>Segando, Pedro</t>
  </si>
  <si>
    <t>Pedro Segando</t>
  </si>
  <si>
    <t>os Señores nnestra guardia real. Marques de Almenara , nuestro ministro de lo In­ Gallard ( D. Diego), intendente de Toledo. terior. García Ximenez ( D. Pedro Segando), alcalde ma* Conde de Melito, superintendente de nuestra Real yor de Manzanares. Casa. Gregorio ( D. Carlos de), teniente general de nues­ Marques de Monteherm…</t>
  </si>
  <si>
    <t>Segovia, Miguel</t>
  </si>
  <si>
    <t>Miguel Segovia</t>
  </si>
  <si>
    <t>etrato del célebre patriota D. Juan Martin ( el Empecinado ) se ha­ lla én Cádiz en el despacho de la real imprenta, y en la Isla en la li­ brería de D. Miguel Segovia, á 4 rs. negro y 8 iluminado. La gazeta de la Regencia se publicará de hoy en adelan­ te tres veces á la semana, martes, jueves y sábado. Por con­ siguiente lo…</t>
  </si>
  <si>
    <t>lana de la Táctica de la caba­ llería inglesa en la librería de D. Vitoriano Pajares, al lado de las Re*^ cogidas 3 calle Ancha, en Cádiz, y en la de D. Miguel Segovia en la Real Isla de León. tria, el desenfreno de la soldadesca t la afrenta de sus hijas y esposas ; ni como el de los patriotas arrastrados á Bayona d al patíb…</t>
  </si>
  <si>
    <t>Segrega, Damian</t>
  </si>
  <si>
    <t>Damian Segrega</t>
  </si>
  <si>
    <t>D. Jacinto del Pino, 20. D Julián Romero, 25 D. Antonio Vázquez , 1$. D. José María Noriega, 25. D. Vicente Moreno , 10. Don Bernarda GiStellum, 10. D. Damian Segrega, 1 o. D. Juan Mendez, 13* D Manuel Cermeño, 10. Doña María Teresa Vázquez, ió. Doña Fran­ cisca Vázquez, 7. Varios individuos, 154 y 6 rs. ■—Aíulatos. D. Do­ mi…</t>
  </si>
  <si>
    <t>Seguía, Saturnino</t>
  </si>
  <si>
    <t>Saturnino Seguía</t>
  </si>
  <si>
    <t>295</t>
  </si>
  <si>
    <t>rio en la mañana de este dia, se acercase á reconocedle. Se encargó de esta operación el teniente del regimiento.-de infantería,Imperiales de Toledo, D Saturnino Seguía con 50 hombres del mismo cueipc, acompañado de un ofi­ cial y 18 t radares ingleses, dei iinérp.etü del Portazgo D. Joaquiu Veiasco , subteniente de voluntari…</t>
  </si>
  <si>
    <t>Segundo, Josef</t>
  </si>
  <si>
    <t>Josef Segundo</t>
  </si>
  <si>
    <t>dor de Marros. ■ - • ESPAÑAV....................... Mora (D. Juan de), capitán del regimiento i.° de infantería ligera. . * ■ Jaén 1de abril. Moreno (D. Josef Segundo), canónigo y vicaria S. M. ha expedido el decreto siguiente : general del obispado de Jaem Jaén 31 de marzo dé i8’o. Nagh'en (D. Tomas), teniente de la brigada …</t>
  </si>
  <si>
    <t>Segur</t>
  </si>
  <si>
    <t>onde Montesquicu» general el conde Beckers. gentilhombre de S. M. el Emperador de los fran­ Dicese que se ha hecho aqui una prueba, y que ceses, y al conde Segur, maestre de ceremonias: ha tenido buen resultado, p¿ra substituir el café comendadores á Mr. Eugenio Montesquiou, coro­ con éi miiz ó trigo de Turquía. Se escogen lo…</t>
  </si>
  <si>
    <t>Segura, Francisco</t>
  </si>
  <si>
    <t>Francisco Segura</t>
  </si>
  <si>
    <t>. Juan, Romero Rodríguez sub­ más.(»). . ; r. ' í ■ teniente. . . art. x. . En el lugar de Martin de .(a. Jara se " ' ESPAÑA. formará medía compañía. D. Francisco Segura está Madrid 27 de diciembre. nombrado teniente de ella. art. xi. En la villa de la Roda se formará Extracto de las minutas de la secretaría de media compañía…</t>
  </si>
  <si>
    <t>Segura, Saturnino</t>
  </si>
  <si>
    <t>Saturnino Segura</t>
  </si>
  <si>
    <t>batallón de tiradores de Castilla, D. José Gra­ znados , del regimiento de caballería del Príncipe , IX José Vidaurre, del de caballería de España , D. Saturnino Segura, del de infantería imperial de Toledo y D. Pasquai Cires, del de Aragón; y grado de teniente á D. José Albelda , comandante de una partida de caballería del r…</t>
  </si>
  <si>
    <t>Sehmit, Cristóbal</t>
  </si>
  <si>
    <t>Cristóbal Sehmit</t>
  </si>
  <si>
    <t>del castillo. = Firmados = comandante de batallón; á D. Luis Mnller y Don Jaime G írela Conde. — Josef González. = Aproba­ Amonio Gieitz tenientes; á D. Cristóbal Sehmit do por el general eri gífj del tercer cuerpo del ejér­ y D. G.ispar Crohon subtenientes; á D. Lamberto cito imperial de España, gobernador general de Dupont,…</t>
  </si>
  <si>
    <t>Seis</t>
  </si>
  <si>
    <t>os administradores, los estados mayores ballerizo mayor el teniente génefral Bruno, y de t los cuerpos de la marina, y se han mantenido sn segando él general Seis, continúen haciendo el Í ós arsenales; pero no ha quedado con que armar servicio al lado del Reí nuestro hijo, y que ios ni ñn solo navio de guerra. Pára pagar los …</t>
  </si>
  <si>
    <t>Selma, Fernando</t>
  </si>
  <si>
    <t>Fernando Selma</t>
  </si>
  <si>
    <t>to tuviesen ; y no habiendo ha­ dia 8 murió en Madrid, á los 60 años de su edad, llado dinero, agieron el caballo de la quadra, y ei célebre grabador D. Fernando Selma. Nacido ea tacaron de casa a Ibaigabal, á fin de que les diri­ Valencia á mediados del último siglo , por su ex­ giese a la tienda de aguardiente que tenia en …</t>
  </si>
  <si>
    <t>actitud del dibuxo; sí el reposo y to­ amantes de lo excelente y perfecto. no de este grabado son mui dignos del asombroso La larga serie de obras de D. Fernando Selma, pincel que se propuso por modelo, el demasiado de que los aficionados formarán colección, mani­ conato de que hasta lo mas mínimo ostentase igual festará en t…</t>
  </si>
  <si>
    <t>Seminski</t>
  </si>
  <si>
    <t>entaron en la fa­ brica de papel de St.-Polten algunos diputados, al ñas y satisfactorias, y no se habla, ya de bandidos; Trente de los quales iba el conde Seminski, y se les los habitantes todos re bailan animados del mejor entregó con la mayor escrupulosidad y exaemnd, espíritu , y la conscripción militar se executa allí co…</t>
  </si>
  <si>
    <t>Señores, ScragonofL</t>
  </si>
  <si>
    <t>ScragonofL Señores</t>
  </si>
  <si>
    <t>rero. neral Kaikreuth, el qual, siendo enemigo de toda Acaba de llegar de Bucbarest el mayor general especie de charlatanismo, los llamó, y les díxo: conde ScragonofL *» Señores: sé que os habéis hecho virtuosos j yo ' Nuestras gizetas nada hablan sobre las opera­ soi demasiado viejo para hacer otro tanto, por lo ciones de nu…</t>
  </si>
  <si>
    <t>Senosiain, Pedro Antonio</t>
  </si>
  <si>
    <t>Pedro Antonio Senosiain</t>
  </si>
  <si>
    <t>8.. 17 D. Juan Bertevin...................... ...... ...... 15613.. 8J D. Esteban de Espina, por su apode­ El real Hospicio de Madrid, por snano rado D. Pedro Antonio Senosiain.... 233000 de su tesorero D. Josef- Díaz de Los reales Hospicios de esta corte y Ribera......................................... 12815-17 S. Fernando.…</t>
  </si>
  <si>
    <t>Senovilla, Juan</t>
  </si>
  <si>
    <t>Juan Senovilla</t>
  </si>
  <si>
    <t>militar año de 1810 , que fueron entre­ gados por mí á presencia de todos á los alumnos D. Eulogio Carrascoso , D. José Andrés , D. Anastasio Navas , D. Juan Senovilla, D. M anuel Rodríguez, D. Pedro González, D. Fer­ nando López , D. Santiago Pereyra, D. Cándido María Rosa­ da ; y para mayor estímulo les recordé al mismo tie…</t>
  </si>
  <si>
    <t>Sentí</t>
  </si>
  <si>
    <t>orreo HOLANDA. nuestro. Se cree que lleva pliegos de la mayor importancia para nuestro ministro de Negocios ex­ Amstercian 2 8 de enero. tranjeros ei barón Sentí!- Pihach. Se sabe por noticias de oficio que el 24 de este Se espera en esta capital al conde Esterhazi co­ mes han entrado en Breda y Bergopzoom dos bri­ mo embaxad…</t>
  </si>
  <si>
    <t>SeptitímA, Imancisco Luis</t>
  </si>
  <si>
    <t>Imancisco Luis SeptitímA</t>
  </si>
  <si>
    <t>. Tomas Barbadillo , 200. D. Mateo Batidlo , vecino de Xalapa, 200.. D. Domingo Escando» , 200». .IX Pablo Fray le , 200. D. Juan José Morillo , 200. D. Imancisco Luis SeptitímA-200. D. Pedro Pandero , asesesor de la Intendencia, 200. D. Francisco Barrero, promotor fiscal , 100. I&gt;. Pedro Gómez , Escribano de real hacienda , …</t>
  </si>
  <si>
    <t>Sequedarles</t>
  </si>
  <si>
    <t>■causa de la independencia de la España , y no e» stieres. justo privarlos de uno de los recursos que pueden Para la segunda de la misma parroquia á D. Sequedarles. Estas angustias que os causa todo bu­ basñan C .balsero , de lg misma orden. que que: no es vuestro^ esta ansia que manifestáis Para la segunda de la parroquia de…</t>
  </si>
  <si>
    <t>Será</t>
  </si>
  <si>
    <t>oe ocasiona­ la princesa Cristiern , que hasta ahora ha estado ba dispatas y continuas competencias entre ellos. desterrada en Aliona. En adelante el coronel Será el único ge fe del regi­ En virtud de una orden del Rei los judíos es­ miento : cada brigada estará mandada por un gene­ tarán en adelante sujetos, como los deoo» c…</t>
  </si>
  <si>
    <t>Serapio</t>
  </si>
  <si>
    <t>oussel (Luis), sargento de volteadores de la ciencias en España, y podamos elevarnos al mas guardia real, alto grado de esplendor y gloria. Savigñac (D. Serapio), „S. M. se informará mui mentidamente detes­ Valduenas (D. Antonio), oidor de la chancillería tado de nuestros estudios públicos y de nuestros de Granada. colegios. …</t>
  </si>
  <si>
    <t>Seras</t>
  </si>
  <si>
    <t>bservaban la plaza, y el resto cubría el flanco izquierdo de los portugue­ ses. Eos enemigos eran 400 caballos y de 3 á 3700 hilantes mandados por el general Seras, el qual luego que reconoció nuestra tropa , se puso precipitadamente en retirada con di­ rección h Moni-buey. — El 7 se continuó haciendo fuego contra ía plaza, q…</t>
  </si>
  <si>
    <t>ORTUGAL. Berganza 23 de setiembre. Los enemigos se volvieron á retirar á Benavente, dexando solo una avanzada de 400 á 500 hombres en Santa Marta. El general Seras tiene muy pocas fuerzas, pues la división que se decia entrar por esta provin­ cia, se incorporó con el general Junot, que manda la vanguar­ dia del exército que e…</t>
  </si>
  <si>
    <t>, salió de aquí el 15''con dirección á Tábara, 10 leguas de esta villa, d &gt;nde se hallaban 400 infantes y 50 ca­ ballos franceses de la división del general Seras. El 16 se in­ corporó con la nuestra, de orden del general Mahi, la partida de Echevarría compuesta de 200 caballos. Sé ha sabido que el mismo dia 16 los enemigos e…</t>
  </si>
  <si>
    <t>1008</t>
  </si>
  <si>
    <t>alamanca, CiudadRodrigo y Almeyda-, de 3 ó 4 batallones que habían sido desta­ cados del octavo cuerpo de orden del emperador, y puestos al mando del general Seras con el fm de obrar sobre la fronte­ ra 3 y délos convalecientes ¿el exercíto de Portugal que com­ ponen cerca de 2400 hombres.— Es dificil saber el número cierto d…</t>
  </si>
  <si>
    <t>en precipitada fuga á 800 franceses que venían de Asturias con prisioneros nuestros, y 250 qué salie­ ron de León para escoltarlos. Se asegura que el general Seras, que ocupaba á Benavente y sus contornos, se ha encaminado con algunas tropas á Valiadolid á sustituir á Kellerman. El general Drouet es el que manda el 9 ° cuerpo…</t>
  </si>
  <si>
    <t>! ©60 nuevo empleo, y a un escribano que lo acompañaba: intercep­ taron también 4 pliegos dirigidos al general Seras, que con­ ducía un paisano, y al correo de JBenavente con la corres» pendencia de oficio ^particular. Se acaban de remitir al exército que cubre la frontera de esta provincia, 500 vestuario</t>
  </si>
  <si>
    <t>Sergio</t>
  </si>
  <si>
    <t>la m conoce todo , y los disfruta y al mismo tiempo los descuria r mana se valió para impedir esta declaración, » precia , les puede decir lo que el Emperador Sergio á para a. aliar á los prelados, y hacer que se les fuese ol­ ••los rrmanos senadores, viéndolos, en lugar de la li— vidando poco í poco. Pero aunque la divira in…</t>
  </si>
  <si>
    <t>Sergio-Gallitein</t>
  </si>
  <si>
    <t>ha sucedido inmediatamente á Se ha recibido en esta capital la triste noticia los desastres de Ja gnerra. Los coches de respeto del fallecimiento del príncipe Sergio-Gallitein , que de la corte que se llevaron á lo interior de la mandaba últimamente el exército de Polonia. Se ha Hungría con motivo de la última guerra, vienen …</t>
  </si>
  <si>
    <t>Serón</t>
  </si>
  <si>
    <t>emplearlos con cordura y discernimiento, Sbndeland por el corsario Alexandró, da Boio- ya sea para corregir el original, ya para ¡lustrarlo fia , su capitán Serón. y enriquecerlo. Ocupación seria esta que honra­ ría á quien la desempeñase , y que haría conocer á la nación que si hasta ahora no hemos tenido his­ VARIEDADES. to…</t>
  </si>
  <si>
    <t>Serón, Rafael</t>
  </si>
  <si>
    <t>Rafael Serón</t>
  </si>
  <si>
    <t>34 una lancha con 4 hombres y una camisa de fuego, se fue hacia el buque para cortarle las amarras, miántras que el alférez de fraga­ ta, D. Rafael Serón con otra lancha dotada de tropa y marinería^ entretenía á los enemigos que ya se habían situado en el muelle; los quaies huyeron y el corsario se libertó. Así verificado man…</t>
  </si>
  <si>
    <t>Serpa</t>
  </si>
  <si>
    <t>principales de la ciudad, donde se halló re­ sistencia por espacio de-una hora, en que solo tuvimos 2 hom­ bres muertos y 25 heridos, entce estos el coronel Serpa del re­ gimiento de Peñqfiel: este coronel mandaba la primera briga­ da , cuya conducta merece la aprobación de V. E. La mayor fuerza del enemigo que se hallaba sqn…</t>
  </si>
  <si>
    <t>Serra</t>
  </si>
  <si>
    <t>511</t>
  </si>
  <si>
    <t>hasta esta ho­ ra de las 12 de la noche. — Dios &amp;c.” NUM. XIII. Gausin l.° de julio. &lt;cExcmo. Sr. — En 22 del pasado manifesté á V. E. la opinión del general Serra­ no acerca del sistema mas oportuno en las operaciones de este pais; anadia las razones que hacen torpes y expuestas las maniobras en masa de este cuerpo de exérci…</t>
  </si>
  <si>
    <t>1051</t>
  </si>
  <si>
    <t>asado hicieron los franceses de Honda un movimiento sobre Igualeja y Parauta, de donde fueron recha­ zados , como se ve por la relación siguiente del general Serra­ no Vald enebro: “En número de 1000 salieron de Ronda los enemigos la ma­ drugada del 16, engrosados con destacamentos, de las guarni­ ciones de los puntos inmedia…</t>
  </si>
  <si>
    <t>Serra, Juan Antonio</t>
  </si>
  <si>
    <t>Juan Antonio Serra</t>
  </si>
  <si>
    <t>D. Pedro Pandero , asesesor de la Intendencia, 200. D. Francisco Barrero, promotor fiscal , 100. I&gt;. Pedro Gómez , Escribano de real hacienda , 100. D. Juan Antonio Serra­ no , 200. D. Juan Felipe Laurnaga , 100. D. Gregorio García Corral, 100. O. .Juan Irigoyén, 100. D. Juan Manuel Revuelta, 200. D. Pedro de la Puente;‘20Q. …</t>
  </si>
  <si>
    <t>Serrallac, Francisco</t>
  </si>
  <si>
    <t>Francisco Serrallac</t>
  </si>
  <si>
    <t>de Ingeniero&gt;, á coronales, los tenientes coroneles D. José de Santa Cruz, y D. Jo é Falo; á tenientes coroneles, los sargentos ma­ yores de brigada D. Francisco Serrallac , D. José Veiarde, y D. Joaquín Grandona ; á sargentos mayores de brigada, los capita­ nes D. Pedro Salazar, D. M :r. iel Arschav&amp;la, D. Melchor Sil­ vestr…</t>
  </si>
  <si>
    <t>Serralta, Gregorio</t>
  </si>
  <si>
    <t>Gregorio Serralta</t>
  </si>
  <si>
    <t>s le hicieron foego,y la D. Manuel Navarro. obligaron á parar. Tenientes. IMPERIO FRANCES. D. Manuei Gómez. D. Josef Diez Avilós. Angers 1 g de mayo. D. Gregorio Serralta. En la semana última han llegado sucesivamente D. Carios San R 'man., á esta ciudad , y han continuado su camino para D. Isidro M ere i o. Nantes , tres reg…</t>
  </si>
  <si>
    <t>Serrano</t>
  </si>
  <si>
    <t>co: en su­ ma, se conoce claramente que esta división no puede conservar el pais obrando en masa, y sí únicamente del modo partida­ rio que indica el general Serrano, verificados los supuestos en que se funda, lo qual según se indicó a! principio, no es ase­ quible en el día, si el enemigo no se mueve de sus posiciones de Gra…</t>
  </si>
  <si>
    <t>te los dos dias últimos extraordinariamente, determiné mar­ char sobre Benaojan el 6 con parte de la división, dexahdo lo róstante á las órdenes' dql general Serrano en las alturas del frente de Ronda. Con este movimiento, al paso que llenaba mas el primer objeto, presentando fuerzas por frente y flan­ co de dicha plaza, pens…</t>
  </si>
  <si>
    <t>Serrano, Andrés</t>
  </si>
  <si>
    <t>Andrés Serrano</t>
  </si>
  <si>
    <t>a, y D. José Tirso Carvajal; y subtenencias , á D. Juan Miguel Balanza , D. Antonio Diaz Pintado , D. Tomas Leal, D. Francisco Ortiz , D. José Mazon, D. Andrés Serrano,D. José Gutiérrez Genico, D.Pablo Carcía Bermejo, I&gt;. Juan Bautista Padilla, D. Antonio López, D. Pió Sotolongo, D. Fc-lix de Anaya , y D. Francisco Truxiilo. …</t>
  </si>
  <si>
    <t>Serrano, Antonio</t>
  </si>
  <si>
    <t>Antonio Serrano</t>
  </si>
  <si>
    <t>................................................ 1125 de Castro , ex- mercenario di scalzo. 88000 D. Manuel Moresqui........................... 25200 D. Antonio Serrano, ex-trinitario D. Josef Ignacio Joven......................... 73c 8 descalzo................................................. 44000 D. Ventura Gómez de laTor…</t>
  </si>
  <si>
    <t>n qne S. M. I. hace de los ha­ Callaba teniente; y á D. Josef Muñoz subteniente bitantes de sn buena dudad de Rúan. Qoando el de la misma compañía: á D. Antonio Serrano te­ corregidor ofreció, según costumbre antigua, el niente de la compañía de caballería creada en di­ vino de la ciudad 4 SS. MM. 1L y RR., el Em­ cha ciudad;…</t>
  </si>
  <si>
    <t>Serrano, Francisco</t>
  </si>
  <si>
    <t>Francisco Serrano</t>
  </si>
  <si>
    <t>ballería. El teniente coronel del real cuerpo de Ingenieros D. Luis Lavi­ ña , primer ayudante del General en xefe. Graduados de tenientes Coroneles. D. Francisco Serrano , sargento mayor del regimiento de caballería perseguidor de Andalucía y ma­ yor de órdenes de la caballería. D. F ranciseo Ramonet , capitán del regimiento…</t>
  </si>
  <si>
    <t>Serrano, Hipólito</t>
  </si>
  <si>
    <t>Hipólito Serrano</t>
  </si>
  <si>
    <t>.. -7797 D. M neo de O-bregon............................ 2346 17 D. Jacinto Gómez, apoderado de D. Francisco Mauricio........................... 361 D. Hipólito Serrano.......................... 4- * 1). Va'eotin Romero............................. 2373 c 2j-| D. Bias Martínez.................................... 13 - 3 2 D. …</t>
  </si>
  <si>
    <t>......... D. Pedro Scheropp................................ 631 D, Antonio Zazo.................................... D. Domingo de Vcntade', como apo­ D. Hipólito Serrano............................... 37672 22 derado de D. Francisco Elexaga ... 1985 J7 Doña María del Rosario Reinoso....... 23687 D. Bernardo Elexaga...........…</t>
  </si>
  <si>
    <t>Serrano, Ignacio</t>
  </si>
  <si>
    <t>Ignacio Serrano</t>
  </si>
  <si>
    <t>y 2. Los de Sta. Cruz, 31 y 3 —Pitic. D. Manuel Rodríguez, 100; D. José Buelna, 25. D. Xavier Díaz, 25. D. Ignacio León, 25. D. Ig­ nacio Araíza, 25. D. Ignacio Serrano, 10. D. Tomas Valencia, 10. D. José López, 10. D. Agustín Pesqueyra, ió. D. Juan Antonio Bernal, 10. D. Ignacio Noriega, 8. D. José María Moreno, 10. Varios i…</t>
  </si>
  <si>
    <t>Serrano, Lázaro</t>
  </si>
  <si>
    <t>Lázaro Serrano</t>
  </si>
  <si>
    <t>4 id. en polvo, 3 id. de gra­ dilla y un caxon de alhajas. Continúan los donativos de la provincia de Sonora. Cieneguilla. D. Francisco Vázquez, lio. D. Lázaro Serrano , ty. Di Francisco Sánchez, 10. D. Pedro de la Sema, 25. D. Francisco Rodrí­ guez, 100. D. Jacinto del Pino, 20. D Julián Romero, 25 D. Antonio Vázquez , 1$. D…</t>
  </si>
  <si>
    <t>Serrano, Pedro</t>
  </si>
  <si>
    <t>Pedro Serrano</t>
  </si>
  <si>
    <t>M. ha nombrado caballero de la Orden Real miento , tanto mas cortos y pasageros son los sa­ de España ai comandante de la guardia de honor crificios. D. Pedro Serrano, antiguo oficial de Carabineros ,,Hasta que se pueda organizar la tropa de lí­ reales. nea necesaria es esencial que velen ias guardias na­ Segovia iS de febrer…</t>
  </si>
  <si>
    <t>Serrano, Tomas García</t>
  </si>
  <si>
    <t>Tomas García Serrano</t>
  </si>
  <si>
    <t>ero............................ 115038 8 D. Josef Cándano.................................. 180 17 La condesa viuda de Sanafé................. 136846 D. Tomas García Serrano................... 9566 *7 D. Gregorio de Anguita...................... 11503 28 D. Santiago Santos................................. 090 81 D. Jaime Casa…</t>
  </si>
  <si>
    <t>Serrar</t>
  </si>
  <si>
    <t>qual hemos hallado 20 cañones y víveres para mantener 5© hombres por Noticias de los exércitos de España. espacio dé seis meses. GALICIA. ESPAÑA. El conde Serrar, general de división, se diri­ gid con sus tropas el día 29 de julio hacia el cas» Zaragoza ja de agosto. tillo de Sanabria, donde había 3© españoles. Este Copia de …</t>
  </si>
  <si>
    <t>Serrét, Pedro</t>
  </si>
  <si>
    <t>Pedro Serrét</t>
  </si>
  <si>
    <t>el de ORDEN DEL DIA. caballería ligera» y gobernador del Almadén; Don ,, El 4.* cuerpo de exércita mandado pór el ge­ Josef Vinuesa; D. Luis Belloc ; D. Pedro Serrét, neral Sebastian! ha entrado el 6 de este mes en Má­ capitán de caballería de línea; D. Fernando Uiiar- laga. Una reunión de gente armada, que se presen­ te y D.…</t>
  </si>
  <si>
    <t>Serurier</t>
  </si>
  <si>
    <t>de gratitud y de amor que Napoleón ville , Chaptal, La place, el mariscal duque de *acrificando el mas santo de sus alectos á la nece­ ^Dantzick, ei mariscal Serurier,y Monge. i sidad de sus súbditos, y que Josefina, sacrificando El Principe Archicanciller, presidente , los proj otros periódicos que han corrido- en diferentes…</t>
  </si>
  <si>
    <t>Sesma, Alexandro</t>
  </si>
  <si>
    <t>Alexandro Sesma</t>
  </si>
  <si>
    <t>614</t>
  </si>
  <si>
    <t>el terreno, y solo la guerrilla que sostuvo á los ti­ radores, se distinguió particularmente, y á su cabeza fué muerto su dig­ no gefe el subteniente D. Alexandro Sesma. —El dia i.° del corriente</t>
  </si>
  <si>
    <t>Sevefe, JoseP</t>
  </si>
  <si>
    <t>JoseP Sevefe</t>
  </si>
  <si>
    <t>68</t>
  </si>
  <si>
    <t>oisés lo usaos. formó, vigilante por so pueblo, la Europa quizá hubiera encontrado el preventivo de los funestos y 'Elogio del célebre médico español'D. JoseP Sevefe rápidos destrozos y mortandad , cuyos vestigios se López, por su discípulo D. Tomas García Suelto: se vende á 4 rs. en la librería de Castillo, frente de San con…</t>
  </si>
  <si>
    <t>Severinoacabo</t>
  </si>
  <si>
    <t>. ,, Mi mas esti­ de Fuentjalida; tenientes en el mismo regimiento k mado amigo: ahora que sondas ocho de la mañana D. Nicolás Gubo, D. Carlos Canan, D. Severinoacabo de recibir la tuya, única que ha Legado á Bisinchí, D. Miguel Esprit y D. Prudencio Gó­ mis manos', y esta si se hubiera tardado, tal vez mez, subtenientes del …</t>
  </si>
  <si>
    <t>Severo</t>
  </si>
  <si>
    <t>desesperan. Tontas, criado de la es gracioso, y motiva situaciones bastante cómicas. Un casa, secarrón y taimado, es, por decirlo así, el perso­ tal D. Severo se declara protector de un amigo suyo, á naje de mas interes. Sobre ;él recaen los principales ac­ quien se persigue por un desafío, Ocúltale en un nicho cidentes con q…</t>
  </si>
  <si>
    <t>Sevillano, Juan</t>
  </si>
  <si>
    <t>Juan Sevillano</t>
  </si>
  <si>
    <t>o de Patria Horcasits.?, teniente del de caballería del Rey, y b D. Antonio Brito Godins, ayudante del mismo de perseguidores; ayundantía al teniente D. Juan Sevillano ; tenencia al alférez D. Juan Diaz , y esta re­ sulta al cadete D. Diego Herrera. ____ _______ __________ r Discurso sobre ía constitución que dio al rey no de…</t>
  </si>
  <si>
    <t>Sgarez, Luis</t>
  </si>
  <si>
    <t>Luis Sgarez</t>
  </si>
  <si>
    <t>............... 44000 - ' Doña Victoria Gadea......................... 6700o-'-' D. Ignacio» Peña, de dicho convento. 44000’- ■ D.’António ■ .* 72900 D. Luis Sgarez ..Ribera, de benedic­ Doña Mana Andrea Sit....................... 2t6do! '•'*•' tinos........................ ........................... 44000 D;rCipriáno Layát.…</t>
  </si>
  <si>
    <t>Shalcmboorg</t>
  </si>
  <si>
    <t>. Acaba de llegar aquí el conde Shalcmboorg, El patio principal había sido convertido en on jar­ ministro extraordinario y plenipotenciario de Sj- dín delicioso cnbiertfvde naranjoi; y de arbustos y xonia: también ha llegado á esta c</t>
  </si>
  <si>
    <t>Shavv, Duncan</t>
  </si>
  <si>
    <t>Duncan Shavv</t>
  </si>
  <si>
    <t>. El señor D. Cárlos Vaughan, i®. El señor D. Diego Duff, cónsul de S. M. B., 5©. El señor D. Andrés Archdekin, yice-cónsul de S. M. B., 2©. El señor D. Duncan Shavv, 3©. El señor D. Tomas Goddard, t®. El señor D. Jacobo Glass, 3©. Él se­ ñor D. Guillermo EJlwand, menor, 1 ®. El señor D. Tomas Richards, i®. El señor D. Federi…</t>
  </si>
  <si>
    <t>Shaw, Duncano</t>
  </si>
  <si>
    <t>Duncano Shaw</t>
  </si>
  <si>
    <t>Villanueva, quien dio todas las muestras de verdadero español y buen patriota, ofreciéndose gustoso á asistir á las juntas que se celebren. Tesorero: D. Duncano Shaw, y secretario D. Gedeon Cranstoun. Los socios de esta nueva junta se glorian, señor, de dar una prueba auténtica á V. M. de la firme esperanza en que están de qu…</t>
  </si>
  <si>
    <t>iguientes son anuales , empezando desde 1811, mientras dure la guerra. ) El Sr. D. Manuel Vidaurre, 6000. El Excmo. Señor lord Mac-DuíF, 5000. El Sr. D. Duncano Shaw, 3000. El Señor D. Andrés Archdekia , 2000. El Sr. D. Federico Grellet, 3000. El Sr. D. To­ mas Richards , 500. El Sr. D^ Diego Guillermo Glass , 3000. El Sr. D.…</t>
  </si>
  <si>
    <t>Shde</t>
  </si>
  <si>
    <t>gua tiem­ dirigido á Visen. La brigada de caballería , que es­ po , á Inspruck , y ha examinado las famosas sali­ taba en Alente jo á las órdenes del general Shde, ha nas de Hall. pasado el Tajo ,.y ha ido á reunirse con el grueso Se acaban de publicar las patentes de S. M. el del exército. Reí de Baviera para Ea toma de pose…</t>
  </si>
  <si>
    <t>Siccama, Hora</t>
  </si>
  <si>
    <t>Hora Siccama</t>
  </si>
  <si>
    <t>80 cañones mandado por el brigadier Musquetier, Del $. y del Comercio de Rotterdan de 68 cañones por SS. MM. se dignaron asistir ayer á la función el coronel Hora Siccama. Total nueve navios de lí­ que ios habitantes de esta ciudad tuvieron en la nea y seis fragatas» sin contar los bergantines, cha­ casa del cuerpo municipal.…</t>
  </si>
  <si>
    <t>Siendo</t>
  </si>
  <si>
    <t>626 .•* Sevilla 18 de mayo. r , • . : Joséf Baeno.=z Sr. edecán del Sermo..Sr.. príncipe Siendo pao de ios. principales cuidados de las de Aremberg.” «ropas que manda el príncipe .de Aremberg en el Esto prueba, qpe. aunque hai españoles que condado de Niebla el precaver y evitar que no se por ti</t>
  </si>
  <si>
    <t>Sierra, Joaquín</t>
  </si>
  <si>
    <t>Joaquín Sierra</t>
  </si>
  <si>
    <t>Élo, ^ x Solano de Ocejo...v..................... . 59308'16' D. ManueiFranciscade AguirreC hijos. r^78724'.17 La real ásodacton de caridad ’de las • D. Joaquín Sierra,................... *978 ^cárceles....... .v.v....v.v.....;...v.v.......... 472.2 6., mp(s'*7 D. Francisco Saenz Ruiz............. 126541 t6, D; Melchpr Km ■79…</t>
  </si>
  <si>
    <t>Sierra, Martin</t>
  </si>
  <si>
    <t>Martin Sierra</t>
  </si>
  <si>
    <t>ría Casasoia. En el reg' miento de infante'.--! i de Aragón se ha servido con­ ceder compañías á D. Feíix Mijares, y D. José Montero ; ayundamía , á D. Martin Sierra ; tenencias, á D. Eduardo Velase»; D. Vicente Cabañas , D. Manuel Laget, D. Miguel Navarro, D. Antonio Aznar , y D. Laureano Sauz; y subtenencias, ? X). Bruno So…</t>
  </si>
  <si>
    <t>Siglér, Julián</t>
  </si>
  <si>
    <t>Julián Siglér</t>
  </si>
  <si>
    <t>todos los concurrente*, y'seguido délas gos» vacantepor fallecimiento de D. Vicente Ra­ aclamaciones y los gritos unánimes de viva el Em­ mírez ; y á D. Julián Siglér, comendador qne fue perador ! viva la Emperatriz! que se renovaron dei extiogoido hospitalvdei Reí en Burgos, para después de la lectura de las preces» que. hiz…</t>
  </si>
  <si>
    <t>Siíveira</t>
  </si>
  <si>
    <t>o k V. E. copia de una carta del mariscal J$egesford sqbre ios efectos de las operacio­ nes del brigadier general Blunt y del capitán Fentoicke. — El general Siíveira , con fecha de 19 del pasado, me participa haber oido que el general Bonnct había evacuado las Asínrías , y que se supone haberse encaminado á Vizcaya. — Ten­ g…</t>
  </si>
  <si>
    <t>Sil, Manuel</t>
  </si>
  <si>
    <t>Manuel Sil</t>
  </si>
  <si>
    <t>isco Nuñez, para que la tropa recibie­ se aguardiente, pan y raciones, acompañaron la división al ac­ to del juramento : y siendo el primero de estos D. Manuel Sil á el coracero desmontado, me rogó le admitiese su caballo que es muy sobresaliente, para que montase aquel digno soldado: eí que le admití, dándole Es gracias á qu…</t>
  </si>
  <si>
    <t>Sil, Melchor</t>
  </si>
  <si>
    <t>Melchor Sil</t>
  </si>
  <si>
    <t>cisco Serrallac , D. José Veiarde, y D. Joaquín Grandona ; á sargentos mayores de brigada, los capita­ nes D. Pedro Salazar, D. M :r. iel Arschav&amp;la, D. Melchor Sil­ vestre , y D. Nicolás Verdejo ; á capitanes, los tenientes D. An­ drés Rodríguez, D. Félix de Toda, D. Juan Pablo Sebastian, y D. Francisco Huarte; á tenientes ,…</t>
  </si>
  <si>
    <t>Silencio</t>
  </si>
  <si>
    <t>vue- director general era el famoso £&gt;. Juicio; que su es­ samerced á las salas da los enfermos, si gusta, y allí le posa Doña Prudencia, y sus hijos D. Silencio, Doña darán razón de todo, que los porteros nunca sabemos las Modestia j Doña Crianza estaban pensionados por cosas de las casas tan biso cqmo seria justo que las su…</t>
  </si>
  <si>
    <t>Silgado, Antonio</t>
  </si>
  <si>
    <t>Antonio Silgado</t>
  </si>
  <si>
    <t>mienten, D. Pedro Cuir y D. Fra ncisco Sniglesias. Y en el de voluntarios J.p de Borbast.ro, cornosíiía á D. Manuel Alvares; empleo de capitán 2.° á D. Antonio Silgado; segunda ayudantía a D. Juao Saravia ; tenencia á D. Antonio Munarriz; y subte­ nencia á D. Francisco Sai j urjo. S. M. se ha servido conferir la sargentía may…</t>
  </si>
  <si>
    <t>Silva, Josefa Vázquez</t>
  </si>
  <si>
    <t>Josefa Vázquez Silva</t>
  </si>
  <si>
    <t>............................... 4680 D. Pedro Baille y .compañía...;............. 14977- 8! D. Ramón Ruiz...... ............................. ' -5805 Doña Josefa Vázquez Silva...;.............. 1444 D. Manuel de Moya.............................. 14856..3» ‘ ' D. Josef Antonio de Escoval.......-..... • 1083 D. Benito de', la …</t>
  </si>
  <si>
    <t>Silveira</t>
  </si>
  <si>
    <t>guiente se le rendirían sino eran socorridos. El general Taboada se le había reunido con 800 hombres. El mismo dia 4 á las 6 de la tarde participa el general Silveira que nuestra avanzada de caballería fué atacada á las 10 de ía mañana por un escuadrón de caballería francesa: el re­ sultado fué coger al enemigo 40 caballos y …</t>
  </si>
  <si>
    <t>por el distinguido valor con que se portó en esta ocasión, como asimismo al alférez Pedro de Oliveira que la mandaba. — En el parte detallado que el general Silveira da al marisc al Beresíord sobre las operaciones del cuerpo de su mando, refiere que el 26 de julio supo que los enemigos hablan ocm pado la Puebla de Sanahria* q…</t>
  </si>
  <si>
    <t>ioneros, 6’0 caballos, todas las armas, algunas municiones y el águila del batallón. Tenia la plaza 9 piezas de bronce ele grue­ so calibre.—Alaba el general Silveira el singular valor, se­ renidad v zelo que en esta expedición mostró el generad Taboada, su estado mayor y el coronel del regimiento español de Benavente D. Manu…</t>
  </si>
  <si>
    <t>Silversparre</t>
  </si>
  <si>
    <t>estado asciende á -cerca de extinción de nuestro papel-moneda. Las nego­ 28 millones de escudos. ciaciones que por ahora se han entablado en Ams­ Al general Silversparre se le ha formado un terdan sobre este negocio con 2a casa de Goll dan consejo de Guerra, por no haber hecho el dia 29 grandes esperanzas del buen éxito de la…</t>
  </si>
  <si>
    <t>Silvestre</t>
  </si>
  <si>
    <t>rápidas se puede infe­ Orden Real de España á D. Juan Miguel Peres rir que este importante ramo se pondrá en el esta­ Tafdlla, D. Ignacio Valcarcel, D. Silvestre de do mas bridante, y entonces los ingenios sevillanos Ib.rra y Gaündo, D. Ditgo Hidalgo, y D. Fran­ recobrarán aquel grado de esplendor y gloria qoe cisco Bucareli,…</t>
  </si>
  <si>
    <t>Silvestre, Vicente</t>
  </si>
  <si>
    <t>Vicente Silvestre</t>
  </si>
  <si>
    <t>................ *3843* *3 Dr Cipriano Josef Salinero........ ........ ■ I &gt; i390.il 2 T Dovat, hermanos .y compañía........................ 9*^94 31 D. Vicente Silvestre........ .......... ....... 9494-rt D. Esteban de Agreda.....*..................... 2377—’*4‘ ‘ Dv Benito de la Mala Linares........ D. Manuel de Agreda.....…</t>
  </si>
  <si>
    <t>Silveyra</t>
  </si>
  <si>
    <t>s en esta plaza, el mariscal Beresford, comandante en gefe de las tropas portuguesas, ha remitido a los gobernadores del reyno la siguiente carta del mariscal Silveyra: “limo, y Excmo. Sr. — Doy parte á V. E. de que la guar­ nición de la Puebla de Sanabria compuesta del batallón suizo núm. 3 se acaba de rendir por capitulació…</t>
  </si>
  <si>
    <t>Puebla de Sanabria a las í2 de la madrugada del 10 de agosto de 1810. — Francisco de ¿Silcn/ra Pinto de Fonseca.” Por carta posterior del 11 avisa el general Silveyra que el batallón suizo que se ha rendido era de 400 hombres inclusos 9 oficiales, y que á mas déla guarnición enviaba á Opono 60 desertores que se le habían pasa…</t>
  </si>
  <si>
    <t>El S se aproximaron los nuestros mandados por el general Taboada, y tomaron las avenidas de la villa mientras que los portugueses, á las órdenes del general Silveyra, ocupaban las</t>
  </si>
  <si>
    <t>a que las dexaron , tuvieron 3797 desertores : por aquí puede colegirse lo que habrán perdido desde que invadieron á Portugal. (La misma.) Oficie del general Silveyra , al mariscal Bercsf&amp;rd. “ Quartel general del Campo del Pereyro á las 4 de la tar­ de del 15 de noviembre.—Excmo Sr.: ayer mar el é sobre Pin­ cel. Los enemigo…</t>
  </si>
  <si>
    <t>iona el sostenerse ep aquella posición fuerte hasta que se le pue­ dan reunir los refuerzos que existen en las fronteras. — No he recibid j parte del general Silveyra (que se halla en las fron­ teras de la Beyra superior') desde el 9 del corriente acá. Con esta íe ha me informaba de los movimientos de diferentes cuer­ pos'de …</t>
  </si>
  <si>
    <t>Símbschen</t>
  </si>
  <si>
    <t>gran número de Liebsteiiski; el del BaOnato al general JVÍeyer; el buques. El capitan .G'exvasi íe ,b&lt;* pbr.tado también de la Crimea y Esclavonia al general Símbschen, perfectamente e^n ljt ,marina de yjfyon^tiy el de la Croacia al general Htller. En la ácitiia- Donde quiera qu£ $5 .¿a'presentado el enemigo lidad hai 14 feld…</t>
  </si>
  <si>
    <t>Simen</t>
  </si>
  <si>
    <t>eo Bayona. De los alimentos. Focrot (D- Vicente), cabo de granaderos de nues­ tra guardia real. La observación, hermanada con la experiencia, Popáis (D. Simen), soldado de caballería ligera, id. acredita que los hombres que hacen uso de buenos Porterer (D. Estéban) , sargento de artillería, id. alimentos resisten mas á las im…</t>
  </si>
  <si>
    <t>Simitier, Jorge</t>
  </si>
  <si>
    <t>Jorge Simitier</t>
  </si>
  <si>
    <t>oña Alfonsa GHavarri............. . 21095 .30: D. Lauteano de Jado............ ..... wv... 1805 • ' D. Fernando Perez Rico;..»-..:........... 11000 - D. Jorge Simitier....................................... ^017 Doña Teresa García Ximenez..».»...... 1940 27 D. F rancisco Xavier Landes...i....6;.; 9386 Doña María Dolores Salce…</t>
  </si>
  <si>
    <t>Simón</t>
  </si>
  <si>
    <t>ven á retener todavía los insurgentes. Bien Peres de Santa María { D. Nicolás }. pronto les recordareis que sois los .vencedores de Pérez de Aguírre (D. Simón) , penitenciario de la lúdela, de Zaragoza, de Belchite &amp;c.; y vuestra catedral de Jaén. rápida irrupción sobre Valencia probará á vuestros Santa María (D. Juan Antonio…</t>
  </si>
  <si>
    <t>rio dé policía de Gra­ pasar el día en Braunau * y participar de los rego­ nada. cijos que estaban dispuestos; el misino convite hizo García Puerta ( D. Simón), brigadier de exército. S. M. la Emperatriz, la qual después de haber [le­ Gorda Puerta ( D. Luis). gado á esta ciudad y haber descansado, comió con Hore ( D. Vicente …</t>
  </si>
  <si>
    <t>724 Los señores Dendoat hermanos......... 36911 17 D. Santiago y .D. Simón déla Gallarde. 2cc:cn D. Luis de Goyeneche y Muzquiz... *9*3 2 ñ Doña María Andrea Moreno David... 36000 D. Frutos de Alvaro Benitos.......... 6148 26 D. Manuel Sánchez Toscano:............ 7200 Los seño</t>
  </si>
  <si>
    <t>s hipotecarias correspondientes, solamente Doña Rita de Vivero y Cabeza , y admi-¡bles en pago de bienes nacionales, con arre­ en su nombre su marido D. Simón glo á nuestro decreto de 14 de octubre del año an­ Mediano............................................... 64800 terior. D. Mariano Melendro.......................... 42…</t>
  </si>
  <si>
    <t>o mui violento, se vió tnet, que ha formado el cerco de la plaza en unos que podia montarse la brecha en ambos muros en momentos los mas críticos; al general Simón, que nna longitud de 15 á18 toesas. Por la noche se dió se apoderó de los conventos y del arrabal. El ge­ fuego i la mina, y derribó sobre el foso la contra­ neral…</t>
  </si>
  <si>
    <t>2 de sus «de* canes y uno del general Beresford. Quedaron en el campo 2000 franceses, y se hicieron muchos prisioneros, entre ellos 34 oficiales y el general Simón. Al mismo tiempo los cuerpos de Ney y Junot atacaban en tres colimas el centro del exército ingles por el -camino de Coimbra. El general Crauford los dexó subir ha…</t>
  </si>
  <si>
    <t>ento. temperatura media del mes de julio es allí de 14o .Salas (D. Francisco), soldado id. dei termómetro de Reaomnr ; asi que, A ten es el Sánchez ( D. Simón ), cabo de tiradores de nuestra parage mas septentrional de iá tierra habitada' en guardia . rea l. que se cóan plantas cereales. El señor de Bach hace Sapia (D, Octavi…</t>
  </si>
  <si>
    <t>o á ocupar con las divisiones del cen­ ba en marcha y bastante distante , no pudo soste­ tro y del ala derecha de su exército la sierra de nerlas. El general Simón, herido de dos balas , y Busaca, perpendicular al curso del Mondego, y y otros io* franceses fueron hechos prisioneros en que defiende á Coimbra, y dexó en Ponte M…</t>
  </si>
  <si>
    <t>Simón, Ildefonso</t>
  </si>
  <si>
    <t>Ildefonso Simón</t>
  </si>
  <si>
    <t>...¿ D Juan Martin .de Urda, id......’.;.;.... '4496*0 Doña Leonor de Torres y Arrieta..... i9tg ,íJrí D. Juan Martin León de Urda , id.... '44°00: ' D. Ildefonso Simón , ex-bcnedictino. -■ : 44660¡ D. Manuel Antonio Fernandez* Ce- '■&amp; D^jFdipe Rodríguez,iid............,.í.ii -■ 44oai&gt;-f!Areceda, id*. 44®®®’* ■ *■ D.-Bia's An…</t>
  </si>
  <si>
    <t>Siquerios, Felipe</t>
  </si>
  <si>
    <t>Felipe Siquerios</t>
  </si>
  <si>
    <t>s individuos, 154 y 6 rs. ■—Aíulatos. D. Do­ mingo Goyenecnea, 200. Fr. Dionisio O iederra , 20. D. Juan Fernan­ dez, 200. D. Rafael Valenzuela, 100. D Felipe Siquerios, 40. D. José Vazqu z, 40. D. Manuel Sistiaga, 20. D Juan Valenzuela, 20. D. Fran­ cisco Valenzuela, 10 D. Francisco García, 20 D. Reyes García, 20. D. Tomas R…</t>
  </si>
  <si>
    <t>Siss</t>
  </si>
  <si>
    <t>uado su viage á Ingla­ cito roso en Turquía es el siguiente, según noti­ terra. cias que hemos recibido de Rusia: DINAMARCA. Mientras que el teniente general Siss se ocu­ paba en tomar posesión de las plaz,s fumes de Copenhague 16 de noviembre. Brezowo y Z bra, otro cuerpo mandado por el El dia 12 pasó el Belt un convoi ingle…</t>
  </si>
  <si>
    <t>Sistemes, D Manuel</t>
  </si>
  <si>
    <t>D Manuel Sistemes</t>
  </si>
  <si>
    <t>376</t>
  </si>
  <si>
    <t>ón en donde lo aguardó , y cargando á la caballería enemiga la hi­ zo repasar la Zúa con bastante pérdida. El re&gt;to de mi caba­ llería al mando de su coronel D Manuel Sistemes salió por la tarde con el objeto de atacar al enemigo si perm?.necia en Gibraleon ; pero el agua ha impedido mi deseo por no poder­ se pasar el Guiri, …</t>
  </si>
  <si>
    <t>Sistiaga, Manuel</t>
  </si>
  <si>
    <t>Manuel Sistiaga</t>
  </si>
  <si>
    <t>mingo Goyenecnea, 200. Fr. Dionisio O iederra , 20. D. Juan Fernan­ dez, 200. D. Rafael Valenzuela, 100. D Felipe Siquerios, 40. D. José Vazqu z, 40. D. Manuel Sistiaga, 20. D Juan Valenzuela, 20. D. Fran­ cisco Valenzuela, 10 D. Francisco García, 20 D. Reyes García, 20. D. Tomas Rico, 10. D. José de Oscosa, 10. D. Francisco …</t>
  </si>
  <si>
    <t>Sit, Mana Andrea</t>
  </si>
  <si>
    <t>Mana Andrea Sit</t>
  </si>
  <si>
    <t>ia Gadea......................... 6700o-'-' D. Ignacio» Peña, de dicho convento. 44000’- ■ D.’António ■ .* 72900 D. Luis Sgarez ..Ribera, de benedic­ Doña Mana Andrea Sit....................... 2t6do! '•'*•' tinos........................ ........................... 44000 D;rCipriáno Layát.'^,.*.;.'..'a....;! 8*71 íó D. Justo …</t>
  </si>
  <si>
    <t>Sit, María Andrea</t>
  </si>
  <si>
    <t>María Andrea Sit</t>
  </si>
  <si>
    <t>57' DoñarMaría Felipa Magdonell...4500* D. Juan íatreiture k'*k ikV|»fc ••i** PIOOSOO ‘ DbfiaFelipa Marta Magdonell.....'..«.. 3240 Tonu^ de ** 44^®^ Doña María Andrea Sit.......j............ ' 1080 , | Doña CajulÍD2 Marqaez.......ti.^.^ioífcqV Ef conde de Moniarco...................... 4050 ito D. Gabriel Gómez..............…</t>
  </si>
  <si>
    <t>SiUerstolpc</t>
  </si>
  <si>
    <t>militares observaron entonces. ,, El desdiden que ocurrid, dice, era tan difícil de PRUSIA. prever, que las tropas oo habían recibido carrachos, el .general SiUerstolpc, que intentd, metiéndose Berlín ay de julio. cutre los amotinados, defender al conde de.Fersen, te vid aislado, y sin poder dar orden oinguna. Y Han llegado a…</t>
  </si>
  <si>
    <t>Skioldebraad</t>
  </si>
  <si>
    <t>AN DUCADO DE FRANCFORT. puesto varios cañones de trecho en trecho desde Francfort 30 de marzo. (O Véase este programa es la gazeta da Madrid El señor general Skioldebraad y el señor co­ de ayer de abril. APENDICE A IA GAZETA DE VADXID. Correspondencia literaria de dos amigar. Sábado 18 de abril de 1810. Estimado amigo •-aprue…</t>
  </si>
  <si>
    <t>Skioldebrand</t>
  </si>
  <si>
    <t>tronado Gustavo Adolfo , su esposa , el príncipe Gus-. tavo su hijo y las princesas partieron el dia 6 de Gripsholm para Carlscrona , acompañados del general Skioldebrand : se embarca­ ron en este puerto para Alemania y desde allí á Suiza , en donde van á fixar su residencia con el consentimiento del emperador Na-</t>
  </si>
  <si>
    <t>977</t>
  </si>
  <si>
    <t>rrillo de gentes procure disiparle con medi­ análoga á las circunstancias para sosegar los ánimos. das de suavidad, y en caso de resistenciaque lo El general Skioldebrand, gobernador de la ciudad, disperse con las armas. Mediante esta prevención mandó juntar los magistrados y los principales ve­ ninguno tendrá que quejarse, s…</t>
  </si>
  <si>
    <t>Skjoldebrand</t>
  </si>
  <si>
    <t>tres princesas sus hi­ jas. Camina con el nombre de Conde de Gottorp. Su acompañamiento se reduce á .37 personas , entre las quales se halla el mayor general Skjoldebrand, el coronel Otter,dos tenientes, un médico, y un ca­ pellán. ALEMANIA. Viena 4 de enero. Se han recibido algunos dias hace noticias de 'I'urquía de qts.e~ e…</t>
  </si>
  <si>
    <t>Slivarich</t>
  </si>
  <si>
    <t>de quanta humillación para la posición que ocupaba en Dobrosselto, á Jas ór­ los que necia y vilmente se ocupan en oir y exten­ denes de su valiente coronel Slivarich. El 19 avan­ der fábulas, entreviendo en ellas nuevas escenas de zaron todas las trapas desde la orilla derecbadel horror y de aoarquía ! Sale hasta la frontera…</t>
  </si>
  <si>
    <t>Smrra, Francisco</t>
  </si>
  <si>
    <t>Francisco Smrra</t>
  </si>
  <si>
    <t>casaca y ve­ nera remitió , Adado esta perdida obra de las guerrillas compues­ tas né todos «»cuerpos de caballería de su división á las órdenes' cié D. Francisco Smrra, capitán dei regimiento de caballería del Rey, y de ia compañía de la Corona, alas de su teniente D. Juan Muñoz de Altámirano , cuyos individuos se han portad…</t>
  </si>
  <si>
    <t>Snchet</t>
  </si>
  <si>
    <t>eta y diario en anuncio separado, todo confor­ - Noticia oficial del tercer cuerpo de exército, me á (o resuelto por S. M. eu real decreto de ó de SI general Snchet ba batido completamente^! coero próximo. •nemigo el dia 33 de abril mas allá de Lérida. . En la tarde de dicho dia el general Suchet te­ nia ya en so poder 6® pri…</t>
  </si>
  <si>
    <t>Sncider, María Teresa</t>
  </si>
  <si>
    <t>María Teresa Sncider</t>
  </si>
  <si>
    <t>.......... . 3 5',ii *7 D. Josef Trota........................................... -413* 7 D -ña Ana de Armiño............................ 33 ^ ^ ^ 17 Doña María Teresa Sncider. 3-4151 Duna Vicenta García Bravo................ 912</t>
  </si>
  <si>
    <t>So, María</t>
  </si>
  <si>
    <t>María So</t>
  </si>
  <si>
    <t>. 2 53 3036 bullones........................................ 80 1760 Otra en la plazuela de S. Juan de Una tierra, sitio de Puente Ta­ Dios, que vive Doña María So­ blas, de cabida de la celemines, 126 corro Pinilla................................. 198 2376 *77* Otra, calle del Vicio, que vive TORREOAMPO, Pedro Pavón.........…</t>
  </si>
  <si>
    <t>Soalt</t>
  </si>
  <si>
    <t>rrerías ba ta el mismo Bayona., Entre las cartas, que se han cogido en esta ocasión, son, flotables las tres siguientes. I. I)el mariscal Mortier al-.mariscal Soalt., Cuartel general de Sevilla 13 de julio..—- El general Regnier ha operado con todo.su cuerpoy ha obtenido ventajas: esto es consiguiente. Del modoseñor mariscal …</t>
  </si>
  <si>
    <t>Sob, Andrés García</t>
  </si>
  <si>
    <t>Andrés García Sob</t>
  </si>
  <si>
    <t>ería, y á D. Francisco Munarriz, Choza, aL-j'de mayor; D. Luis Antonio Rentero, comandante de todas ellas: cambien se ha servido alcalde ordinario, y D. Andrés García Sob.nzo , es­ el REI confirmar el nombramiento que habia he­ cribano de la municipalidad, por el pueblo; D. Il­ cho el Excmo. Sr. gobernador general del marques…</t>
  </si>
  <si>
    <t>Soberano, Nuestro</t>
  </si>
  <si>
    <t>Nuestro Soberano</t>
  </si>
  <si>
    <t>Hngel ha recibido sus credenciales de del Tirol. ministro de Austria, no soLmente cerca de la die­ Del tj. ta de la confederación del Rin y del gran duque Nuestro Soberano ba recibido en su tránsito por de Francfort, sino también cerca del gran duque los pueblos hasta la Suabia repetidas pruebas del de Hesse-Darsmstadt y del …</t>
  </si>
  <si>
    <t>Soberano, Tor Nuestro</t>
  </si>
  <si>
    <t>Tor Nuestro Soberano</t>
  </si>
  <si>
    <t>ES 21 DÉ FEBRERO DE i8i«. - '.Á',..7 - RUSIA; ■ • .v ’■ ‘ WÍRTEMBÉRG. Petersburgo de enefe.' Stuttgardt 3j- de enere. Ua correo despachado por Mr. el mariscal Tor- - 'Nuestro Soberano ba dispuesto que todas las masoE., comandante del ejército de S. M. en la encomiendas de la orden de Milfa, cuyas posesio­ Persia* no* ha traíd…</t>
  </si>
  <si>
    <t>Soberon, Francisco</t>
  </si>
  <si>
    <t>Francisco Soberon</t>
  </si>
  <si>
    <t>\ y á los tenientes coroneles graduados D. José Diez de Texada y D. José Miranda, Continúan los donativos de la Nueva-Kizcaya. D. Manuel Pacheco, 20. D. Francisco Soberon , 10. D. Juan Pes­ cador, 20. D. Mariano Garvizo, 12. D. Cayetano López, 25. D. Juan Ba.rrera, 200. Don Tomas del Campo, 25. Don Juan Ventura Ga~ ray, ro. V…</t>
  </si>
  <si>
    <t>Sobijana, Jacinto</t>
  </si>
  <si>
    <t>Jacinto Sobijana</t>
  </si>
  <si>
    <t>a de granaderos. Capitán D. Manuel charse de este incidente, y de sacar de él grandes Diez Zapata, teniente D. Miguel María Borrego; ventajas. otro,, D. Jacinto Sobijana, subteniente D. Rafael Hidalgo , otro ,.D. Hilario Crespo. Núm. Extracto de unos pliegos remitidos Primera compañía de fusileras. Capitán Don al secretario d…</t>
  </si>
  <si>
    <t>Sobrado, Gabriel</t>
  </si>
  <si>
    <t>Gabriel Sobrado</t>
  </si>
  <si>
    <t>i*. D. Mannel Zavala................. D. Cándido Palacios. a.*. D. Félix lzaguirre.................. D. Gerónimo Sobrado. D. Mannel Gonzalo del Rio. D. Gabriel Sobrado. D. Josef Zerralde. D. Antonio Boan. 6.*.......... D. Pedro Real D. Eugenio Fourdioier. D. Josef Trasvina.................... D. Josef Batalon. S.\.. D. J uan …</t>
  </si>
  <si>
    <t>Sobrado, Gerónimo</t>
  </si>
  <si>
    <t>Gerónimo Sobrado</t>
  </si>
  <si>
    <t>adoaa , y para abanderado D. Mjgnel de Zerralde. i*. D. Mannel Zavala................. D. Cándido Palacios. a.*. D. Félix lzaguirre.................. D. Gerónimo Sobrado. D. Mannel Gonzalo del Rio. D. Gabriel Sobrado. D. Josef Zerralde. D. Antonio Boan. 6.*.......... D. Pedro Real D. Eugenio Fourdioier. D. Josef Trasvina.....…</t>
  </si>
  <si>
    <t>Sobre, León</t>
  </si>
  <si>
    <t>León Sobre</t>
  </si>
  <si>
    <t>uan- el presbítero D. Juan Francisco de Avalos, vecino Je tas comodidades debian esperar de sus haberes? esta corte, que penden en el juzgado dei Sr. D. León Sobre estos fundamentos que he expuesto, qui­ de S a gasta, caballero de la Orden .Retí de España, zá con demasiada brevedad, deben establecerse las del consejo de S.-M.…</t>
  </si>
  <si>
    <t>Sobriprovincia, Sebastian Sánchez</t>
  </si>
  <si>
    <t>Sebastian Sánchez Sobriprovincia</t>
  </si>
  <si>
    <t>y decretamos lo siguiente: en el reino de Granada, para el priorato de la pro­ articulo j. En .cada una de las capitales de pia iglesia colegiata: á,D. Sebastian Sánchez Sobriprovincia de las. Andalucías y demas provincias do , ex-regular de los Terceros de S. Francisco, donde no haya precedido este establecimiento, se para u…</t>
  </si>
  <si>
    <t>Soebórg</t>
  </si>
  <si>
    <t>ir la introducción de víveres y de Elcorsario dé la misma nación llamado E/ra- refuerzos. El t.° dé mayo se tuvo noticia de que nort y mandado por el capitán Soebórg, ba pere­ los españoles habían reunido en las llanuras de cido a distancia de oiedia milla de la batería de Vich y de Mataré varios convoyes de víveres con las T…</t>
  </si>
  <si>
    <t>Sofía, Federica</t>
  </si>
  <si>
    <t>Federica Sofía</t>
  </si>
  <si>
    <t>historia del Alemania. S. M. les ha concedido la franquicia d* reino de Hungría , por Engel; las memorias geográ­ porte en todo su reino. ficas de la princesa Federica Sofía, murgrave de .Bareuth; la vida de Fernow, por madama Seho- BAVIERA. penh-uer, y la biografía de Glein, por Koerté. _ Quince nuevas ediciones de autores c…</t>
  </si>
  <si>
    <t>Sohuam</t>
  </si>
  <si>
    <t>a, que después de un sangriento combate, se entregaron á una fuga des­ ordenarla á la qual favoreció la obscuridad de la noche, quedando rechazado el general Sohuam que mandaba la acción. Y sin embargo de hallarse este con dobles fuerzas, consiguieron los nuestros hacerles prisioneros fO oficiales, y mas de ido soldados, qued…</t>
  </si>
  <si>
    <t>del Grao al mando del coronel Rovira. Idem 31. Nuestras intrépidas tropas descubren cada diamas y mas el valor y patriotismo que las anima. Qjando el general Sohuam con sus co­ esclavos se desnudaba, á su despecho, de la mal ajustada investidura de invencible en Collsuspina , cediendo el campo á los Sres. O-Donell y Porta ; o…</t>
  </si>
  <si>
    <t>Soidjdo, Juan Antonio Lopez</t>
  </si>
  <si>
    <t>Juan Antonio Lopez Soidjdo</t>
  </si>
  <si>
    <t>Aotonk JXlgadfc^' r^'l-'- V ' v Compañía de Almoñacid de d loo' pinzas. Subteniemc*jü-JEstAsaa, dft. tiquéíáiy Don Miguel M.rtin.-r^1' *«- Capitan-j D. Juan Antonio Lopez Soidjdo.; Teniente, D. Eugenio Merchánté. *,Vt í,x JLK.V 'yV‘í&gt; Á¿ x.\vi¿. v.u-'j SnAlfiWWté» D._ Antonio ViHalóm .r-„ ' j Compañía dt^t£esfna.de a IOOplaza…</t>
  </si>
  <si>
    <t>Soiiveres, Gaspar</t>
  </si>
  <si>
    <t>Gaspar Soiiveres</t>
  </si>
  <si>
    <t>D. Fernando Ruiz Mazo. Capitanes. D. Isidro de Mata y Serna. D. Joaquín Onis. D. Josef Fernandez Zúñiga. D. Josef María Monserrat. D. Ramón Echaetea. D. Gaspar Soiiveres. Subtenientes. D. Juan Ncpomuceno Rosales. D. Josef Vargas. D. Julián Castañou. D. Diego Giraldo. D. Juan Crespo. D. Andrés Almarza. D. Antonio Reyelo. D. Jn…</t>
  </si>
  <si>
    <t>Sojo, Joaquín</t>
  </si>
  <si>
    <t>Joaquín Sojo</t>
  </si>
  <si>
    <t>o. D. Andrés Saez. D. Gabriel de Alearáz. D. Santiago Sedaño. D. Juan de Adanero. D. Francisco Cabañas. D. Juan de la Peña Melendez. D. Pedro Sedaño. D. Joaquín Sojo. D. Antonio de Uribarri. Nuestros ministros de lo Interior y de la Guer­ D. Josef Binuesa. ra quedan encargados de la execucion de este de­ D. Lázaro Figueroa. c…</t>
  </si>
  <si>
    <t>Sojo, Joaquín Antoniode</t>
  </si>
  <si>
    <t>Joaquín Antoniode Sojo</t>
  </si>
  <si>
    <t>-.;v..v.-.-...'.v:&gt;.t&lt;.'.Kt.JÍ/- J-q jy'í D. Josef Ibón Tillias..it»»...bi.i.M^í.i... - 46000 a D.iD'omingo de ■Lanz».-.v.-...i¡. .v....;Vir.í 1*899* D. Joaquín Antoniode- Sojo.i..186000 , D. Félix Perez...................-.v.mP.UV • i 996' -J*D. Manad de Lució Gutiérrez.»».,;:.. *w 1800ÓO &lt; D. Manuel de EHacurriaga...;rÍv.Wr…</t>
  </si>
  <si>
    <t>Sojo, Julián</t>
  </si>
  <si>
    <t>Julián Sojo</t>
  </si>
  <si>
    <t>Acosta. D. Manuel Novales. D. Eugenio Aguilar. D. Francisco Peralta. D. Manuel Badana. D. Mateo Gil de Sola. D. Vicenre Tejada. D. Domingo Ventades. D. Julián Sojo. D. Tomas Ibargiien. Tenientes. D. Ramón García Ximenez. Batallón del quartel de S. Isidro D. Josef Cabredo. D. Bartolomé Gómez. Capitanes. D. Josef Chacón. D. Agu…</t>
  </si>
  <si>
    <t>Sokolnlcki</t>
  </si>
  <si>
    <t>istro privado de Estado, por falta de miskiecki el del tercero, y su quarrcj gen.-ral eu salud , y su hermano el director dei departamento Lublin. El general Sokolnlcki ei del qu«rto, y so de Negocios extrangeros: en el mismo dia nombró quartel general en Radomik. S. M. ministros privados de Estado al señor Molt~ El general d…</t>
  </si>
  <si>
    <t>Sol, Alexandro</t>
  </si>
  <si>
    <t>Alexandro Sol</t>
  </si>
  <si>
    <t>DE MADRID DEL MARTES 8, DE.MAYO DE x8io. RUSIA. decreto; pero se le previno;quepasar al da Stettin. yBetertburgo zi de marzo. GALLITZIA AUSTRIACA. £1 conde Alexandro Sol tikovr, mínimo adjuo^ ’ ’.x ' "T* ;’ . A j : £ L (D de Negocio* «xtrangéros, y miembro del (con­ Lemberg *4 de. marzo. .,-r. sejo del imperio* ha hecho dimii…</t>
  </si>
  <si>
    <t>Solano, José María</t>
  </si>
  <si>
    <t>José María Solano</t>
  </si>
  <si>
    <t>Laencina y D. Felipe Meoro : en el pri­ mero de Sevilla grado de subteniente al sargento primero D. Ma­ nuel Robles; y en el de Murcia, subtenencia á D. José María Solano. Por el particular mérito que han contraido en las guerrillas del exército del centro los cadetes D. Antolin Chacón, del regímiento de granaderos á caballo …</t>
  </si>
  <si>
    <t>Soledad, Ja</t>
  </si>
  <si>
    <t>Ja Soledad</t>
  </si>
  <si>
    <t>;.........:..... ;• 9 *98 lo , de 4 fan., 2 celem. y 31 estad., que Un alcacer de 3 celem. junto a ia ermita ce linda á oriente con tierra que fue de Doña Ja Soledad, linde á oriente con monjas car­ Teresa Herranz, hoi de las monjas domi­ melitas............................................................ 11 242 nicas........…</t>
  </si>
  <si>
    <t>Soler, Benito</t>
  </si>
  <si>
    <t>Benito Soler</t>
  </si>
  <si>
    <t>Un cierto Mr. Deval, que se titula encargado de negocios de España por José en Constantinopla, ha escrito últimamen­ te al cónsul de S. M. en Smtrna D. Benito Soler, para que re­ conozca por su legítimo soberano á aquel intruso monarca, haciéndole al mismo tiempo varias prevenciones relativas al modo como ha de conducirse en …</t>
  </si>
  <si>
    <t>Soler, Pedro</t>
  </si>
  <si>
    <t>Pedro Soler</t>
  </si>
  <si>
    <t>Domingo Villamil. D. Agustín del Mazo. D. Isidro Gutiérrez. Tenientes. D. Manuel González del Rio. D. Josef Ramón de Aguiar. D. Domingo Prieto. “•••i D. Pedro Soler. D. Fermín Lumbreras. Batallón del quartel de Maravillas. D. Josef Osteret. D. Manuel Zavala Espetillo. Capitanes. D. Rafael Fleuriot. D. Francisco Xavier Berindo…</t>
  </si>
  <si>
    <t>Soler, Ramón</t>
  </si>
  <si>
    <t>Ramón Soler</t>
  </si>
  <si>
    <t>i los individuos del re­ gimiento de Madrid, i.° de infantería de línea, que á continuación se detallan : Premios. Clases. Nombres. De 135 reales. f D. Ramón Soler gozará el de 135 rs., cón el grado de subteniente anexo á él, Iusándolo como un mero distintivo, y Sargento 2.®........ sin opcion á la antigüedad, si verifica el …</t>
  </si>
  <si>
    <t>Solignac</t>
  </si>
  <si>
    <t>re se godón que habían depositado en Hungría algunas levantan después de las guerras intestinas. de nuestras casas de comercio; y peco tiempo há &gt;»L1 general Solignac ha pacificado á Castilla la las casas griegas han hecho pedidos considerables á vieja por su buena conducta. Widin, á Seres, y á otras ciudades turcas. Se dis- …</t>
  </si>
  <si>
    <t>a dos años que no se pagaban ni aun las contribuciones ordinarias , y que creia que lo mismo suceiia á las demás.” —,,También parece que en lugar del general Solignac , 4 quien ama toda la provincia, debe vol­ ver su antecesor á quien detesta (11). Esto es tanto mas sensible quanto el espíritu público se mejoraba allí infinit…</t>
  </si>
  <si>
    <t>o la España, y que las partidas de los patriotas amenazen la capital, y á las princi­ pales ciudades que los satélites del tirano tienen ocupadas. El general Solignac publicó una proclama en el norte de la penín­ sula , imponiendo mil reales de multa á todas las ciudades de población considerable que diesen asilo, ó provision…</t>
  </si>
  <si>
    <t>Solis, Francisco</t>
  </si>
  <si>
    <t>Francisco Solis</t>
  </si>
  <si>
    <t>­ mas conocimientos que otras acerca de estas materias. - ma razón-debió pasar igualmente la plenitud del poder Una de ellas fue el ilustrísimo señor D. Francisco Solis, que los apóstoles habían recibido de Jesucristo i los obispo de Córdoba, y vírei de Aragón, &amp; quien de ór- obispos, que son sus sucesores; de manera ,»que as…</t>
  </si>
  <si>
    <t>ngles, y ambos habían perdido sus mástiles: rá media compañía. Queda nombrado subteniente, el mar estaba tan alborotado que era imposible sa­ de ella D. Francisco Solis. lir del puerto para socorrerlos. Los vientos impe­ art- vni. En la milicia cívica de la cindad de tuosos que hati reinadn eo los dias 9 y 10, y en la Guadala…</t>
  </si>
  <si>
    <t>Solis, Joaquín</t>
  </si>
  <si>
    <t>Joaquín Solis</t>
  </si>
  <si>
    <t>el presente decreto. = Firmado ^YO EL REI.es terino D. Manuel Mier; al teniente primero de Por S. M., como encargado de la gran cancillería asistente D. Joaquín Solis; á D. Simón Reunía» en ausencia del señor duque del Campo de Alanregente de la real audiencia ; D. Joaquín de Go- ge , =el conde de Montarco, miembro del grao c…</t>
  </si>
  <si>
    <t>Solís, Joaquín</t>
  </si>
  <si>
    <t>Joaquín Solís</t>
  </si>
  <si>
    <t>e Zaragoza. dante de esta compañía á D.Juan María de Cár- Igualmente ha nombrada consejeros de Estado denas; para teniente á D. Cándido de Checa, y á D. Joaquín Solís y al conde de Cartr jal, y ha para subteniente á D. Francisco de Paula Gon­ promovido á teniente general al mariscal de campo zález. D. Josef Joaquín Marti. art…</t>
  </si>
  <si>
    <t>Solís, Joaquín Leandro</t>
  </si>
  <si>
    <t>Joaquín Leandro Solís</t>
  </si>
  <si>
    <t>rada con el expresado general, á quien dixo que si habia abrazado el partido francés, era porque creyó n© seria tan injusto y tiránico. El sucesor es D. Joaquín Leandro Solís, que estaba nombrado tiempo ha prefecto de Badajoz. El 4 salieron 400 infantes y 60 caballos para Sanluear la mayor, donde se halla la división de Aremb…</t>
  </si>
  <si>
    <t>Soliveres, Gaspar</t>
  </si>
  <si>
    <t>Gaspar Soliveres</t>
  </si>
  <si>
    <t>. 31392 *7- D. Joaquín Lerga... 16000 *' D. Antonio Barra,....*........ *.............. 16425 D. Bonifacio de Porras..................... 122968 aóí D. Gaspar Soliveres...»..................................59$6 17 D. Josef de Bono.............................,,1 6190 4 D. Ramón Gil.Gallo,.......*........... 3610 D Baltasar Fe…</t>
  </si>
  <si>
    <t>Sondebourg, Emilia de Holstein</t>
  </si>
  <si>
    <t>Emilia de Holstein Sondebourg</t>
  </si>
  <si>
    <t>tos, y a-, aso dentro de poco podrá anuucíat sobre el particular los mas felices resultados. SAXONIA. CIUDADES ANSEATICAS. Leifsick 17 de octubre. La princesa Emilia de Holstein Sondebourg ha Dantzick 4 de octubre. dado á luz el dia 13 un príncipe. El «ñor Jordanne, consejero de Estado de S. M. •I Rei de Prusia, ha pasado por…</t>
  </si>
  <si>
    <t>SonIt</t>
  </si>
  <si>
    <t>extracto de una obra mui importante para la generales propusieron entrar en negociaciones con historia de nuestros dias, titulada Compendio de la el mariscal SonIt para que permitiese el embarcar campaña del exército británico en España baxo con tranquilidad el exército ingles, cuyas reliquias las órdenes de S. E. el señor te…</t>
  </si>
  <si>
    <t>Sonlt</t>
  </si>
  <si>
    <t>ayme Prast ,11. José Rodríguez, 11. Gas­ par Domínguez, i-i. Salvador de los Reyes, ií. Vicente Gómez, íi. (Se continuará.) CARTAS INTERCEPTADAS. Del mariscal Sonlt d D. Pedro de Obregon. “Excmo.Sr. — Es indispensable se pongan á la mar un gran número de embarcaciones, sea para aniquilar el comercio de los insurgentes é in­ t…</t>
  </si>
  <si>
    <t>Soohtélen</t>
  </si>
  <si>
    <t>escudero de la Reina, no ha podido tampoco conseguir licen­ DINAMARCA. cia para contraer alianza con la casa de Fersen. Copenhague j r de agosto. El general Soohtélen, embalador extraordina­ rio de Rnsia, reside actualmente en esta capital Sé dice que los géneros ingleses han sido se­ con el carácter de ministro plenipotencia…</t>
  </si>
  <si>
    <t>Sopranis, Rafael</t>
  </si>
  <si>
    <t>Rafael Sopranis</t>
  </si>
  <si>
    <t>autorida fes á felicitarle á su palacio, Francisco de Paula Cuesta: capitán de infantería á las qae recibió S. E. con aquelli afabilidad y de línea á D. Rafael Sopranis: coronel de caballe­ aquellos sentimientos que les son tan propios. ría de línea á D. Ramón de Aoiz y Susa, coronel El limo, ayuntamiento ha señalado para ia …</t>
  </si>
  <si>
    <t>Soria, Josef</t>
  </si>
  <si>
    <t>Josef Soria</t>
  </si>
  <si>
    <t>Juan por la historia natural&gt; ha corrido, los parages mas Galbsi, D. Santiago Moré, Don Joan Porcada, notables de las montañas de la Bukowina, aunque D. Josef Soria, D. Francisco de Paula Veluti, mui escabrosos. S. A. 1. ha visitado las fronteras D. Francisco de Paula Micas, D. Carlos fimo, de la Moldavia, y ba vuelto á Skolc…</t>
  </si>
  <si>
    <t>Soriano, Amonio</t>
  </si>
  <si>
    <t>Amonio Soriano</t>
  </si>
  <si>
    <t>nientes D‘ José Fráncb ^"D.r Pédrb Méniicláa yy D Ma­ nuel López; y á subtenientes á D. Tomas del Vado, sargento primero distinguido del de Africa, y D. Amonio Soriano, cadete del propio re­ gimiento de España. En él batallón dé voluntarios dé Valencia ha conferido también te-^ nencia á D. Cayetano Ibero; y subtenencias al sa…</t>
  </si>
  <si>
    <t>Soriano, José Gómez</t>
  </si>
  <si>
    <t>José Gómez Soriano</t>
  </si>
  <si>
    <t>Azedo, 4. Francisco Ferreyro , 4. Manuel García, 4. Jayme Gómez.,, 4. Aíinisterio del rioAe la Plata. D.Juan deFerrér, ministro de apos­ tadero, 200. D. José Gómez Soriano, oficial segundo, 50. Id. quarto, D. Ignacio de la Corcova, 60. D. Pedro Elizondo, oficial quinto, 25. Id. graduado, D. José Villegas, 25. D. José Battlé y…</t>
  </si>
  <si>
    <t>Soróndo, José María</t>
  </si>
  <si>
    <t>José María Soróndo</t>
  </si>
  <si>
    <t>El cura y vecinos de S. Borja, 48 y 6. Los vecinos de S. Lorenzo , 40. Los de Non o a va , 13.— Batopilas. El subdelegado D. Angel Bustamante, loco. D José María Soróndo, 25;. D. Feliciano Arce,,25. D Manuel Echeverría^, ^o.iD. jiian Mi­ guel Gil, 30 , D. Blas A-yarez, 52. D¿ CriscóbailPerez, 15Ó:• D^abriel rez, 25. D. José .…</t>
  </si>
  <si>
    <t>SorroialD, Josef María</t>
  </si>
  <si>
    <t>Josef María SorroialD</t>
  </si>
  <si>
    <t>lísimo González.......... D. Clemente Villalba. D. Francisco Lopes Moya.... D. Joan Colmenero. D. Clemente Mesbiele...........- D. Pedro M*ría Brost, D. Josef María SorroialD. Mariano Triviño,.., D, Alberto Gteúudelt. Quar/o batallón. Para ayudante primero t&gt;. Bernardo de Ara, para segundo D. Gregorio Choya, y para abanderado…</t>
  </si>
  <si>
    <t>Sosa, Félix</t>
  </si>
  <si>
    <t>Félix Sosa</t>
  </si>
  <si>
    <t>del pue-1 blb y directores de la conmoción el canónigo D. José Cortés Madariaga , el presbítero. D , José Francisco Riv,as, I). Juan Germán Rossio y D. Félix Sosa, á quienes se agregó después por'parte de los mulatos J).: José Félix Rivas. Lo primero á que procedieron luego que estuvieron reunidos;, fué á obligar al capitán g…</t>
  </si>
  <si>
    <t>Sosa, José Félix</t>
  </si>
  <si>
    <t>José Félix Sosa</t>
  </si>
  <si>
    <t>Nicolás de Castro, D. Juan Pablo Ayala, D. José Cortés; D. Hilario Mora, D. Isidro Mendez, D. Francisco Rivas; D. Rafael González, D. Valentín Rivas, D. José Félix Sosa; D. José María Blanco, D. Dionisio Palacios, D. Juan Ger­ mán Rossio, D[ Juan Ascanío, D. Pablo González , D. Fran­ cisco Xavier Ustariz, D. Silvestre Tovar, …</t>
  </si>
  <si>
    <t>Sotclongo, Antonio</t>
  </si>
  <si>
    <t>Antonio Sotclongo</t>
  </si>
  <si>
    <t>a, capitán del propio cuerpotenencia al alférez D. Juan Perez : em■ pleo de alférez al portaestandarte D. Aíexandro Asti, y el de portaes­ tandarte á D. Antonio Sotclongo, cadete del de dragones de Viilayiciosa; en el de Montesa, ayudantía á D. Marcelino Lorente, tenencia al al­ férez con grado de capitán D. Lázaro Sierra , e…</t>
  </si>
  <si>
    <t>Sotelo, Joaquín</t>
  </si>
  <si>
    <t>Joaquín Sotelo</t>
  </si>
  <si>
    <t>r, D. Francisco Milla, D. Juan En­ art. 11. Nos propondrá por nuestro minittr® tero. de Marina quanto crea conveniente para llenar este Subtenientes. D. Joaquín Sotelo, D. Antonia objeto con arreglo á los establecimientos navales. Mendiberri, D. Manuel Mandli, D. Dionisio Lasart. iii. Nuestro ministro de Marina queda serra , …</t>
  </si>
  <si>
    <t>, como lo hizo en las inmediaciones de Toeina, y vol­ vió lastimándose de lo infinito que han perdido en Andalucía. El propio dia llegó á esta ciudad D. Joaquín Sotelo, pre­ fecto que fué de Xerez, á quien Soult ha concedido su jubi­ lación. Sotelo cuenta que ha sido de resultas de una contesta­ ción muy acalorada con el expr…</t>
  </si>
  <si>
    <t>Sotelo, Joaquín María</t>
  </si>
  <si>
    <t>Joaquín María Sotelo</t>
  </si>
  <si>
    <t>para tes y yerbas olorosas. exportar sus preciosos frutos, y recibir los extra­ ' El limo, Sr. D. Blas de Aranza, comisionado ños. Asique,el Iímo.Sr. D. Joaquín María Sotelo, reglo en esta provincia, dió un espléndido banque­ consejero de Estado,y comisionado regio en Sante, á que asistieron los generales y gefes franceses lu…</t>
  </si>
  <si>
    <t>18 to. Juan Joséf de Lemos. = Vicente Lafita. = Josef Vecinos de Sanlucar de Barrameda: Ramírez de Medina. = Antonio Beiras. = Manuel ,, El Timo. Sr. D. Joaquín María Sotelo ha di­ Moreno.=Juan Bautista Angioleri.= Josef María cho á esta ciudad verbal y oficialmente las repeti­ Marzan. = Agustín Francisco Velarde. = Por acuer…</t>
  </si>
  <si>
    <t>lixo trabajo , como á los multiplicados esfuerzos conque la ha dirigido, sostenido, y sostiene aun este comisario regio, prefecto de esta provincia , D. Joaquín María Sotelo, si no le hiciese pre­ sente á V. M. como una verdad notoria, que solamente su ilustrado zelo por el servicio de Y. M. , y sus virtudesi eminentemente pa…</t>
  </si>
  <si>
    <t>Soto, Andrés Parez</t>
  </si>
  <si>
    <t>Andrés Parez Soto</t>
  </si>
  <si>
    <t>10 , y otros 1© anuales. Eí conde de Regla , 10. D. Tomas Pasarin , 10. El brigadier D. Manuel Agustin Masca­ rá , 10. La religión de S. Camilo, 10. D. Andrés Parez Soto, ve­ cino del Real de los Catorce, 10. La archicofradía del dulce nom­ bre de Jesús del convento de Agustinos , i 9. D. Diego Morea-</t>
  </si>
  <si>
    <t>Soto, José</t>
  </si>
  <si>
    <t>José Soto</t>
  </si>
  <si>
    <t>D. Manuel Medina, 16. Los sargentos y ópatas, 247..— Tuvac. Comandante el teniente Q. Simón Elias, 15. Alférez tí/Manuel de ,Leon ,,q8. Ii. graduado D. José Soto,,. 15. Los sirgentos y ópatas, 249.. y.',2 rs. —tAíilicia$ de Afazatlan. Comandante eltenienregobernadorD. José Esteban , 62. Ayudante mayor Ó. Juan Pedro VValfcer, …</t>
  </si>
  <si>
    <t>Soto, Juan</t>
  </si>
  <si>
    <t>Juan Soto</t>
  </si>
  <si>
    <t>... 897° D. F rancisco López de Sáa................ 4545°' D. Atexo:Mariria.,....VJ.......'.;í.;,6t2fy D.a María Juana Hurtadode Mendoza. 43 81 x 26' D. Juan Soto.......... 550 Deña María de Loreto Hurtado de D. Antonio de Castilla.5054 Mendoza..................................‘......... 43811 26 D. Juan Alanuel de UzafCguiv.…</t>
  </si>
  <si>
    <t>Sotolongo, Pió</t>
  </si>
  <si>
    <t>Pió Sotolongo</t>
  </si>
  <si>
    <t>D. Francisco Ortiz , D. José Mazon, D. Andrés Serrano,D. José Gutiérrez Genico, D.Pablo Carcía Bermejo, I&gt;. Juan Bautista Padilla, D. Antonio López, D. Pió Sotolongo, D. Fc-lix de Anaya , y D. Francisco Truxiilo. Da las muchas pruebas que tenemos del horror á los males que nos ha acarreado el privado D. Manuel Godoy , y de lo…</t>
  </si>
  <si>
    <t>Sotomayor, Lorenzo</t>
  </si>
  <si>
    <t>Lorenzo Sotomayor</t>
  </si>
  <si>
    <t>lende, 50. El teniente de fragata D. José Roldan, 80. Id. D. Manuel Borras, 40. Id. D. Benito Lago, 35. El alférez de fragata I). Mateo Mozo, 25. Id. D. Lorenzo Sotomayor, 2$. Id. D. Eugenio Loño, 25^ Oficiales mayores. D. Fulgencio de Exea, oficial quinto, conta­ dor, 25. El segundo cirujano D. Juan Gutiérrez Moreno, 30. El …</t>
  </si>
  <si>
    <t>Souham</t>
  </si>
  <si>
    <t>4 horas en Carlsruhe , donde cipal contra el qual intentaba dirigir todos sus es­ ha llegado la Reina desde Bruchsal para volver con fuerzos; pero el general Souham no se dexó en­ so ¡lastre esposo á sus estados. gañar : el quarto batallón se replegó en buen orden hácia Vich sin perder ni un hombre. Varis j de marzo. En segui…</t>
  </si>
  <si>
    <t>ral tan distinguido , y que sirve con El ayudante comandante Guiliemet, gefe de tanta utilidad á su Príncipe y í su patria........ A estado mayor del general Souham , ha mostrado du­ pesar de su dolorosa herida, este gefe, que se ha rante esta acción nos actividad y un denuedo dig­ grangeado en el mas alto grado la conñanza d…</t>
  </si>
  <si>
    <t>imperial, y ba tomado el camino ner mucha conlianza en defender el Portugal, por­ de Orleans. que las tropas de nucv&lt;&lt; leva de aquel reino no es- El general Souham, comandante de una de las tan , por maS que se diga, en disposición de hacet divisiones del exército francés de Cataluña, ha lla­ él servicio militar tan bien como…</t>
  </si>
  <si>
    <t>Souit</t>
  </si>
  <si>
    <t>350</t>
  </si>
  <si>
    <t>s , ni otras relaciones que nos hacen de las mar­ chas de sus coiuuas movibles en persecución de los que llaman bandidos, ni ios atroces decretos del mariscal Souit contra los pue­ blos que los abriguen ó no les hagan resistencia, decretos muy parecidos á los que en ios tiempos de la revolución francesa se promulgaron en ia V…</t>
  </si>
  <si>
    <t>Soulr</t>
  </si>
  <si>
    <t>Ja honra de presentar á lados, eran su acompañamiento. S. M. traia consi­ S. M. su sumisión, se halla el mariscal de campo, go asimismo al Excmo. Sr. mariscal Soulr, duque marques de la Cañada, Tirri. ahora tenemos, no puede jamas mirarlos como un terri­ Vmd., señor público, ha tenido la bondad de con­ torio farda1. ¡ Medrado…</t>
  </si>
  <si>
    <t>Soult</t>
  </si>
  <si>
    <t>su en­ grandecimiento personal, y para la esclavitud general de Euro­ pa. — En el monitor núm. 339 se inserta el parte dado en 19 de noviembre por el mariscal Soult al ministro de la guerra sobre la batalla de Ocaña. “Los españoles (dice entre otras cosas) han he­ cho buena resistencia : la superioridad de su número los alent…</t>
  </si>
  <si>
    <t>es , los que comunicamos tradu­ cidos literalmente. I. Parte de una proclama, que aunque no conserva la firma se sa­ be de cierto fue expedida por el mariscal Soult. Dice así. — “Monfar­ te 6 de junio de 1809. — Orden del dia. — No hay dia en que el cuerpo del exército no experimente alguna pérdida, y no haya soldados asesina…</t>
  </si>
  <si>
    <t>es de.aquellos esforzado^ campeones, coya cipitadamente, y á punto de ser cortado por las muerte ignominiosa y .prematura ,han causado in­ tropas del mariscal Soult, á quien el general ingles útilmente, ni se librarán naaca del desprecio y se lisonjeaba poder destruir. Es bien cierto que no execración de todo un pueblo, cuyos…</t>
  </si>
  <si>
    <t>espectivos. de orden supedor. Los presos son de Aguilar, dis­ . La fimiii» del'difunto. persos que se habían fugado. Los que executaron El £xcmo. Sr. mariscal Soult, duque de Dal- su prisión fon el alcalde mayor de Monturque roacia i mayor general del exército , coa sus oficia­ D.Juan de Estrada, D Josef Lucena , comandan­ le…</t>
  </si>
  <si>
    <t>lo que pi­ rno asimismo á la infantería, que estaba apostada de, se verá obligado á; disolver esta rennion de «□ las huertas del pueblo, mientras el general Soult hombres, que tenían mui pocas disposiciones para por su parte hacia lo mismo con la compañía esco­ hacer la guerra. gida, el primer esquadron del primer regimiento …</t>
  </si>
  <si>
    <t>e á un tiempo por diferentes caminos , y ase­ gurase la retirada. Se dice de carros interceptados con muchos efectos y con caudales considerables del mariscal Soult. Entre los decretos dados por José Bonaparte antes de salir de Sevilla, hay uno muy singular de de mayo en que declara privados de empleo á todos los sacristanes …</t>
  </si>
  <si>
    <t>a la Ruca cendios y mal trato habia conseguido armar un al mábdode D.Cárlos España. La vanguardia del 'cuerpo ce 11 á 14(9 hombres, unos paisanos, y 'general Soult alcanzó el dia 20 á este cuerpo, y otros soldados dispersos que habia forzado á re­ 'logródetenerlé hasta qoe llegaron los generales Hcu- unirse con él. Blake fue …</t>
  </si>
  <si>
    <t>obuses ; y contir.-úan trabajando en poner corrientes loa morteros, obuses y cañones que quedan en el parque, y serán entre todos unas 50 piezas. El mariscal Soult ha juntado varias veces á los individuos de la guardia cívica, de que hay 4 batallones mal armados y orga­ nizados , con el fin de escoger 25 hombres por compañía …</t>
  </si>
  <si>
    <t>n de la fiesta que se trataba de dar en Sevilla el. 15 del corriente en Obsequio del' cumpleaños y de la boda de-Nap©león, firmada y circulada por el mariscal Soult, hablaba de los cohetes que se bábiáh de tif^r de la Giralda, de los banquetes preparados para; el público en la alameda, de los innumerables dotes dé £0 doblones…</t>
  </si>
  <si>
    <t>estado de las provincias de que se trata, y que en Navarra, según la expresión del general Thouvenot, gobernador francés de S. Sebastian, en su carta d Soult (publicada en nuestro núm. 66) dan la ley los bandid. s. (14) Los gallegos explican de otro modo las causas de la quietud de Bon­ net. en La relación del monitor contien…</t>
  </si>
  <si>
    <t>Souto, Miguel</t>
  </si>
  <si>
    <t>Miguel Souto</t>
  </si>
  <si>
    <t>as, á D. José Arechaga , D. Francisco Galan , D. Bernardo Cobian , y D. Francisco San Pedro ; subtenencias á D. Víctor Restrebada, D. Nicolás Marino, D. Miguel Souto, D. Francisco Urdapilleta, D. Hilario Naveyra , y D. Ramón Vasadre : en el se­ gundo de la Princesa , subtenencia k D. Joaquín Roca y Soriano : en el de la reuni…</t>
  </si>
  <si>
    <t>SouU</t>
  </si>
  <si>
    <t>alla que derecha toda la caballería, con intención de doblar hubo el 20 en las llanuras de V¡ch. Esta acción es nuestro flanco izquierdo. Entonces el general SouU&gt;a de las que hacen mas honor al exército francés ham mandó al 24.° de dragones, que estaba apoya­ de Cataluña &gt; y donde nuestras tropas han manifes­ do por su flane…</t>
  </si>
  <si>
    <t>Sparre</t>
  </si>
  <si>
    <t>r ei instituro que hai en esta de S. M.‘ y contra todas las representaciones del capital con la denominación de Academia oriental. ayuda de cámara el conde Sparre , y de otras va­ Fue creado en 17^4 baxo los auspicios de U Emrias personas que estaban presentes , y sin tomar peratriz María Teresa por el principe de K-mnitz, ni…</t>
  </si>
  <si>
    <t>rsovia á Lcmberg á reclamar las propieda­ bien que el coronel Cock habló allí como un mé­ des, tanto públicas como particulares , que perte­ dico. El conde Sparre y el teniente coronel Holst nezcan al pais nuevamente adquirido y sus habi­ estaban tan afligidos que no pudieron tomar parte tantes , como son depósitos, actos jur…</t>
  </si>
  <si>
    <t>Spaver</t>
  </si>
  <si>
    <t>ón mui cionadas en una tarifa que acompaña al decreto. numerosa de Inspruck» á cuyo frente se halla el Todo comerciante» 6 qualquier otra persona que conde Spaver. trafique con las referidas mercancías, declarará» baxo juramento, todas las qne tenga; y el que Ulma 7;1 de octubre. fuere convencido de haber dado una declaración…</t>
  </si>
  <si>
    <t>Spence, Guillelmo</t>
  </si>
  <si>
    <t>Guillelmo Spence</t>
  </si>
  <si>
    <t>s. mando mui importante. Los generales Dojtséárfe,' El primero es americano , llamado la Libertad, sil Curial» Walther, Gross y ott¡os vari también i capitán Guillelmo Spence, procedente de Cagliari Bayona. Se dice- que el mariscal Bessieres debe para Cádifc, con un cargamento de 6760 medidas establecer ¡uterina niente sn qua…</t>
  </si>
  <si>
    <t>Spencer</t>
  </si>
  <si>
    <t>o tad del terreno, que fue necesario abrir á fuerza correspondiente en todas las divisiones del ejérci­ de pólvora. to : la primera , cuyo gefe es el general Spencer, Del 20 al 2$ quedaron colocadas 11 baterías está á nuestra retaguardia; la quarta ba dexado á eo las perpendiculares , y en las prolongaciones de Guarda , que e…</t>
  </si>
  <si>
    <t>erte en la sierra de Al­ dignidad en el estrecho, ha sobrepujado toda es­ coba y la de Mennlla. peranza. Vais'á volver á vuestros qnarteles de in­ El general Spencer se ha dirigido con 10® hom­ vierno. Vosotros también, esforzados marinos, Vais bres á Mealhada para conservar las comunicacio­ á volver á ver á vuestras familias…</t>
  </si>
  <si>
    <t>Spencer, Sir Brent</t>
  </si>
  <si>
    <t>Sir Brent Spencer</t>
  </si>
  <si>
    <t>bSd el teniente general Sir Brent Spencer retiró de este lugar la vanguardia de sú división, y continúa en él el enemigo.—Este atacó también hoy á los piquetes dé la división del general Co? le al pie de Sobral ¿ pero con poco efecto. He sabido con la mayor satisfacción que las tr</t>
  </si>
  <si>
    <t>o con infantería apoyada por artillería un pequeño desta­ camento del regimiento 71 que formaba la vanguardia de la división, mandada por el teniente general Sir Brent Spencer, cerca de Sobral de Monte agrazo , con el fin de cubrir uno de los reconocimientos hechos por sus partidas. Nuestro destaca­ mento , teniendo á su fren…</t>
  </si>
  <si>
    <t>us sabias disposiciones ; y no dudo que la mis­ ma armonía continuará todo el tiempo que se juzgue nece­ saria la unión de los exércitos. El teniente general Sir Brent Spencer , el mariscal Sir Guillermo Carr-Bcresford y los oficiales del estado mayor de! exército , han continuado prestándome todos los servicios que les son p…</t>
  </si>
  <si>
    <t>Spindler</t>
  </si>
  <si>
    <t>dé ta- Scania da hói al Príncipe un magnífico de menos valor £ Importancia que promete descu­ baile en Ramlozá. El camino desde ‘ Helsingborg brir e! profesor Spindler, de Wúrtzburgo. está iluminado con hachas de viento, S. A. llegará Entre tanto qúe'se descubre este tesoro» que el a 5 ó él 26 á Drotnioghoim. 1 el público pos…</t>
  </si>
  <si>
    <t>Spoock, D</t>
  </si>
  <si>
    <t>D Spoock</t>
  </si>
  <si>
    <t>encuentran despacho seguro y lucrativo. Las líos, residentes y encargados de Negocios. mercancías de hierro y de acero traidas principal­ El anciano general D’Spoock acaba de morir. mente del Austria y de tas provincias ilíricas no i tienen tanta salida , y por lo que toca á los artícu­ los de luxo apenas hai quien los busque…</t>
  </si>
  <si>
    <t>Sprunüng</t>
  </si>
  <si>
    <t>paso ¿ lascolunas drá á Scilla. „ de ataqoe , compuestas de los cazadores del sitio á El dia 4 pasó frente' de la punta del Pezzo una las órdenes del capitán Sprunüng, agregado al es­ división de lanchas cañoneras á las órdenes de Mr. tado mayor; de-300 volteadores y 300 granade* de Saint-Caprais. ros mandados por Mrs. Delom,…</t>
  </si>
  <si>
    <t>Srakeiberg</t>
  </si>
  <si>
    <t>nsejo de gnerra, con mo­ AUSTRIA. tivo de una correspondencia indiscreta que escan­ dalizó por mucho tiempo al público. Viena 14 de octubre. S, E. el conde Srakeiberg ha llegado aquí en calidad de ministro de Rusia. EL señor Sowalow En la gazteta de la corte se ha publicado ayer saldrá de aquí para París; y no se sabe si llev…</t>
  </si>
  <si>
    <t>Sreinhoil</t>
  </si>
  <si>
    <t>con pa­ S. M. el Emperador Napoleón. saportes de los ministros ó cónsules de este imperio. Algunos príncipes de ia confederación han re­ El teniente general Sreinhoil, comandante de vocado ya las providencias que habían tomado ai las tropas acantonadas en Finlandia, ha dado cuen­ principio de la última guerra, relativas á los…</t>
  </si>
  <si>
    <t>St, Agustín</t>
  </si>
  <si>
    <t>Agustín St</t>
  </si>
  <si>
    <t>ca cio, mandada por el señor marques de Guardia «adores á caballo los oficiales siguientes: capitán Real , su gefe, en uniforme y brillantemente ves­ D. Agustín St. Priest, teniente D. Alexandro Bó­ tida. El REI manifestó su satisfacción á este celoso veda. comandante y á los oficiales subalternos por lo lu­ 4.RT. ni. Nuestro…</t>
  </si>
  <si>
    <t>Stackelberg</t>
  </si>
  <si>
    <t>la cindad á prestar en manos del consejero de Estado Mr. Mancini el ju­ Pelersburgo &lt;T de julio. ramento de fidelidad á su nuevo Soberano. La ce­ El conde Stackelberg, comejero privado, ha remonia se hizo con solemnidad, y después hubo sido nombrado enviado extraordinario y ministro regocijos públicos. plenipotenciario de S. …</t>
  </si>
  <si>
    <t>StackelDINAMARCA</t>
  </si>
  <si>
    <t>bjeto de estas discusiones se arreglará ticia necesita conñrmacion. definitivamente en Viena entre un comisario aus­ tríaco y el nuevo embaxador ruso conde StackelDINAMARCA. berg. En el ínterin á todos los súbditos austríacos residentes en las dos provincias se Ir*; ha obligada Copenhague 2 8 de julio. á prestar jaramente) de…</t>
  </si>
  <si>
    <t>Stackpoole</t>
  </si>
  <si>
    <t>ua, colección de Epopeyas germá­ nicas, conocida con el rítuio de Dü Niebe/tmgen, Del 4. Este precioso manuscrito se crcia ya perdido, y El 7onante , capitán Stackpoole, ha llegado abora ba .‘•ido descubierto en la torre de Hohcoems. con pliegos de Cádiz, cuyo contenido es, que el La condes» le Hohenefns lo£ha regalado‘á un l…</t>
  </si>
  <si>
    <t>Stadion</t>
  </si>
  <si>
    <t>con Jas ceremo- acompañado á 5. A. I. y R. á París s»n el señoc ■ias acostumbradas el cumpleaños de S. M. el Reí Spaet, gran mariscal de la corte; el conde Stadion, nuestro gran duque. Por la noche se iluminó la comandante de la guardia del gran duque, y el ciudad, y Mr. Scrra, embajador de Francia, dió barón de Bodek, primer…</t>
  </si>
  <si>
    <t>Stanhope, Juan</t>
  </si>
  <si>
    <t>Juan Stanhope</t>
  </si>
  <si>
    <t>Doña Felisa Dómine de Vaughan, 500. Por una apuesta ganada á D. Federico Grellet por D. Guillermo Beeston, 1600. El señor D. Tomas Knox, 30. El señor D. Juan Stanhope, 3®. El se­ ñor D. Tomas Tucker, 1®. El señor D. Miguel Costello, 1®. El Excmo. señor D-. Estéban Fernandez de León, consejero de estado, 40. La se­ ñora Doña L…</t>
  </si>
  <si>
    <t>Stbastiani</t>
  </si>
  <si>
    <t>ista de este pueblo las Extracto de las minutas de la secretaría de tropas francesas que componen.eLquarto cuerpo de Estado. exc.-cico mandado por el general Stbastiani, se en- Alcázar de Sevilla á 2 de febrero de 1810. —«•■%»» nri /'•i nerso ríi» rtts» &lt;4&lt;* T^rvn -InCpí «vne I •» rtrir'l'* A** v» ~ - -“.r--—£&gt;•—— jr resultas…</t>
  </si>
  <si>
    <t>Steffan, Juan</t>
  </si>
  <si>
    <t>Juan Steffan</t>
  </si>
  <si>
    <t>de di­ ciembre de 1809. — Corael. libros. Gramática inglesa y castellana, ó arte metódico y nuevo para aprender con facilidad el idioma ingles : por D. Juan Steffan, en 4.°, á 20 reales. — Prontuario en que se faan reunido las obligaciones del soldado, cabo y sargento : nuera edición ea 8.° , pergamino , á 8 rs. Se hallarán e…</t>
  </si>
  <si>
    <t>Stewart</t>
  </si>
  <si>
    <t>916</t>
  </si>
  <si>
    <t>do de la Venus, que asi se llama ,»No puedo expresaros el .placer que sentí al aiir el buque que nos ha apresado , y á poco raro vi por, la titano al capitán Stewart, quien no había que volvía á buscarnos. Mr. Hametn, capitán fran­ recibido lesión ninguna; pero por el aspecto-de los cés , hombre de nna edad regular, nos recib…</t>
  </si>
  <si>
    <t>perior. bado las operaciones del gobierno. Las cartas de Messina, recibidas en Ñapóles, Se continúa trabajando con la mayor actividad anuncian que el general Stewart ha hecho embar­ eo el nuevo camiao del monte de Sao Gotardo. gar todos los boques mercantes, y que hace traba­ jar de día y de noche en formar un campo atrio» Be…</t>
  </si>
  <si>
    <t>Sthiremberg</t>
  </si>
  <si>
    <t>ados de Lintz á Baviera. Londres 5 de enero. N uestro gobierno había tomado todas las providen­ cias necesarias á efecto de que estuviesen prontos El príncipe Sthiremberg tuvo ayer una confe­ los caballos y carros necesarios para el transporte rencia con el marques de VVclteslei y el cai^Lier de los equipages de los franceses…</t>
  </si>
  <si>
    <t>Stibbert</t>
  </si>
  <si>
    <t>iculares. Se designan especialmente neral Welfington estaba decidido á retirarse; pero las principales ciudades de comercio de nuestro la llegada del coronel Stibbert, del regimiento de gran ducado para que sirvan de deposito dé las guardias, contradixo esta opinión, en vista de que mercancías que se transporten á países extr…</t>
  </si>
  <si>
    <t>Stiogonclí</t>
  </si>
  <si>
    <t>de allí a bina.*, donde tix.ra su r-.«ioeuc:a, ronel Lanskol, y el regimiento de cosacos del Don, Jvtiufi'tg 10 de di1 ¿entére. mandado por el mayor general Stiogonclí, cayeron lio» á las nueve de ia mañana se iu firmado ia AfKS'llli'll A LA GAZETA l'K WSUKM). la gazera de Madrid, que parece va tomando Ta tbrma de tal : prasi…</t>
  </si>
  <si>
    <t>Stn, Angel López</t>
  </si>
  <si>
    <t>Angel López Stn</t>
  </si>
  <si>
    <t>havarría, 50. Compañía de Julia y mustien Mustich , ¿x 50. Tornamira, Aygameyra y Goseus , 100. El Tesorero principal D. José Antonio Carvajal , 100. D. Angel López Stn. Ana, 50. D José Ramón Petancour, £0, I&gt;. Antonio Figueroá, 100. D. José María Carde ña’, 100. D. José Cenen y Castilla , 100. X). Luis-de Elexaldre, 100 D. P…</t>
  </si>
  <si>
    <t>Stopfbrd</t>
  </si>
  <si>
    <t>s retrocedió cerca de legua v VARIEDADES. : y tremía para lograr reunirse á las guardias que Señor redactor: coa captivo de la descripción mandaba ¿I coronel Stopfbrd; y el mismo diz la y dimensión que vmd. qps hadado eq |a gazeta *d ¡visión1 del coronel StopFotd, compuesta de las de la colana -dedicada ai exército grande , o…</t>
  </si>
  <si>
    <t>StopFotd</t>
  </si>
  <si>
    <t>r redactor: coa captivo de la descripción mandaba ¿I coronel Stopfbrd; y el mismo diz la y dimensión que vmd. qps hadado eq |a gazeta *d ¡visión1 del coronel StopFotd, compuesta de las de la colana -dedicada ai exército grande , oí á va­ narrias y de la brigada de lord Blantire , se retiró rias personas preguntar qué quería d…</t>
  </si>
  <si>
    <t>Strasbnrgo</t>
  </si>
  <si>
    <t>s regimientas 3.0 de infantería de línea, IMPERIO FRANCES. y 3.“ de infantería ligerá, que pertenecen á esta última división, y forman la brigada del general Strasbnrgo de febrero. . Pannetier, se encaminan hacia Nimega. La divi­ El príncipe reinante de Hohenzollern-Hechinsión ciel general Moiitor continúa marchando por gen, …</t>
  </si>
  <si>
    <t>Strocgoli, Pigruteili</t>
  </si>
  <si>
    <t>Pigruteili Strocgoli</t>
  </si>
  <si>
    <t>uarnecida de varios entorchados y bello­ Ñapóles ij de marzo. tas circunda el canastillo, y dentro de él hai un lecho formado de musgo y de rosas. El príncipe Pigruteili Strocgoli, general de di“ visión, y edecán de i. M., marchará a España á to­ ESPAÑA. ;v-a mar el mando oe la división de tropas napolitana* que hat en Catalu…</t>
  </si>
  <si>
    <t>Stua'rt</t>
  </si>
  <si>
    <t>ispuestas para marchar. Inmedia­ der con esperanzas de buen suceso un desembarco tamente que se recibió este avúo se pusieron en en Hinguna parte. El general Stua'rt, encargado del marcha para Francia dos regimientos provisionales mando de las tropas inglesas en aquellas aguas , no de infantería de línea mandados por el gener…</t>
  </si>
  <si>
    <t>Stuard</t>
  </si>
  <si>
    <t>ad nacional. Puédete también aña­ Xate compararla con la de Maida', y que el'fio qae dir á todas estas consideraciones, que no es f .-il M propuso el general Stuard no fue solo, como saber *i nuestro general tomó las precauciones ne­ quieren decir . hacer una di verdón favorable á la cesarias para asegurar su posición princip…</t>
  </si>
  <si>
    <t>Stuarfc</t>
  </si>
  <si>
    <t>1. 1031 GAZETA DE LA REGENCIA DE ESPAÑA É INDIAS DEL SABADO 22 DE DICIEMBRE DE 1810. GRAN-BRETAÑA. ♦ Londres 20 de noviembre. Han llegado pliegos del general Stuarfc, y el ministerio los ha publicado en gazeta extraordi­ naria con fecha de ayer. Dicen en substancia lo siguiente: ccSe ha recibido esta mañana xm oficio del teni…</t>
  </si>
  <si>
    <t>Stuart</t>
  </si>
  <si>
    <t>se bailan en , cjqn los.resultados mas prósperos; peto 'en vez de aquella plaza deberán traer pcriflieñte 'en el pecho hacersemejatué desembarco, el general Stuart .co­ una insignia que denote el empleo que obtienen, y mo hombre prudente y entendido, ha propuesto á la ocupación ó exercicio á que están dedicados.* nuestro ¡gob…</t>
  </si>
  <si>
    <t>nemigo, fianza y el valor. compuesto de un navio, de una fragata, de una corbeta y de unos 1 f boques menores. Habiendo IMPERIO FRANCES. advertido el general Stuart que este convoi dirigía su rumbo para Sciiia, se encaminó hácia ¿1 á las Parts £ de julio. cinco de la mañana con toda su esquadrilla. S. M., El dia 7 se celebrar…</t>
  </si>
  <si>
    <t>mbrado, en lu­ felizmente su ensayo. gar de Haidn, miembro asociado del institato na­ ¡ 'Del 7. cional de Francia eu la clase de bellas artes. --r El general Stuart ha renovado hoi sus tentati­ vas, destacando como unas 50 cañoneras y cinco Del gj. bombarderos contra la división de U esquadrilla na­ Mr. Dsnina , bibliotecario…</t>
  </si>
  <si>
    <t>cuenta que alguno déoslos sucesos causó,, sor­ presa y sentimiento d Murat, y la expedición de Sicilia queda diferida. IEI cot js de (a relación del general Stuart con el parte de Grenier y la procla ma de Murat, que se barí reunido, á jo opósito en este número-, explica mejor que nada el verdadero estado, de l¿t»j cosan en S…</t>
  </si>
  <si>
    <t>Stuart, Sir Juan</t>
  </si>
  <si>
    <t>Sir Juan Stuart</t>
  </si>
  <si>
    <t>los ha publicado en gazeta extraordi­ naria con fecha de ayer. Dicen en substancia lo siguiente: ccSe ha recibido esta mañana xm oficio del teniente general Sir Juan Stuart, fecho en Mesiha á 22 de setiembre de 1810 en que dice, qae el 1-8 del propio mes al amanecer pareció que el grueso de la esquadrilla enemiga se disponía …</t>
  </si>
  <si>
    <t>Stuttgardt</t>
  </si>
  <si>
    <t>. M. se ha propuesto establecer dos ministerios nuevos; uno de Cultos é instrucción pública, y otro WITEMBERG. de Policía general. El señor Humboldt, consejero Stuttgardt 3 7 de diciembre¿ de Estado, ha sido nombrado para el ministerio da los Cultos, y se asegura que para el de Policía ge­ Se sabe de oficio que el cuerpo de m…</t>
  </si>
  <si>
    <t>Su, Pedro</t>
  </si>
  <si>
    <t>Pedro Su</t>
  </si>
  <si>
    <t>ue prediquen-el vkio, ni ción. Algo he dicho ya de lá refoíny*- &lt;pjé piididra1 h*i tengo al joven IXCirios por grosera, porque tráte 4 cérse en el de D. Pedro- Su iWugir j ya que escuna po­ D. Pcdro del modo que lo trata, y mucho mas que nú bre señora sin1 carácter, que1 Uéfté y calle'Vque se con­ Jb'hac»sirrtnpre- como el cr…</t>
  </si>
  <si>
    <t>Sua, Diego</t>
  </si>
  <si>
    <t>Diego Sua</t>
  </si>
  <si>
    <t>ubtenientes. y de las Indias. D. Tomas López de Haro, D. Francisco Mar­ Hemos decretado y decretamos lo que sigue: tínez de Morel, D. Antonio Garai , D. Diego Sua- articulo i. ,, Está nombrado comandante del rez, D. Francisco Rodríguez, D. Francisco Esca- 4.0 batallón de milicia cívica D. Manuel Raquejo. rena , D. Francisco X…</t>
  </si>
  <si>
    <t>Suarez, José</t>
  </si>
  <si>
    <t>José Suarez</t>
  </si>
  <si>
    <t>Artilleros de mar de preferencia. Francisco Senra, $. Francisco Cami­ no, 4. José Romay, 4. Benito de Castro, 4. Antonio Cabral, 4. Zumaca Aranzazu. D. José Suarez, tercer piloto, 30. Nicolás Ro­ dríguez, primer guardián, 26. — Artilleros de mar de preferencia. José Cardona, u. Antonio del Rio, 11. Francisco González, ir. Man…</t>
  </si>
  <si>
    <t>Suarez, José María</t>
  </si>
  <si>
    <t>José María Suarez</t>
  </si>
  <si>
    <t>lona : D. Juan Valle, por Cataluña: D. Plácido de Moritolni, por la ciudad de Tarragona : D. José Alonso y López , por la junta superior de Galicia: D. José María Suarez deRioboo, por la provincia de San­ tiago : D. José Cerero, por la de Cádiz : D. Manuel Ros, por la de San­ tiago : D. Francisco Papiol, por Cataluña: D. Pedr…</t>
  </si>
  <si>
    <t>Suarez, Juan</t>
  </si>
  <si>
    <t>Juan Suarez</t>
  </si>
  <si>
    <t>Estiban. 340841 ............................... . x de 1 jo pesos de enero. 42860* 407012 453035 461474 472618 472810 489425 7 de 300 pesos de mayo. D. Juan Suarez. 226227 x de 150 pesos de ener*. D. Juan.Sanz Celada. 3 2 49** 7 x de idem ídem. , D. Antonio Alonso. 243149 291748 ............... .................... ........i.…</t>
  </si>
  <si>
    <t>Suarez, Manuel</t>
  </si>
  <si>
    <t>Manuel Suarez</t>
  </si>
  <si>
    <t>eblos, y señaladamente en las grandes bítero D. Andrés Arroyo y Villalba. capitales como Sevilla, unos cuerpos respetables, Para el de la Granjuela á D. Manuel Suarez y que con decoro, dignidad y zelo sirvan de consue­ Cid, clérigo de menores. lo al pueblo, proporcionándole en la administra­ Para el de Doña Rama á D. Vicente …</t>
  </si>
  <si>
    <t>Suazo, Antonio</t>
  </si>
  <si>
    <t>Antonio Suazo</t>
  </si>
  <si>
    <t>te por idem: D. Dionisio Inca Yupangui, suplente por el vireynato del Perú: D. Vicente Morales, suplente por idem: D. Ramón Feliu, suplente por idem: D. Antonio Suazo, su­ plente por idem: D. Joaquín Leyba, suplente por Chile: D. Miguel Riesco, suplente por idem: D. Francisco López Lisperguer, suplente por el vireynato de Bue…</t>
  </si>
  <si>
    <t>Subteniente, CuÍlYeunptIJerez V Jásco</t>
  </si>
  <si>
    <t>CuÍlYeunptIJerez V Jásco Subteniente</t>
  </si>
  <si>
    <t>t Juan Erraoz, '' - v;,T r v- Capitán, D. Fernun Rodríguez. , -...Teniente, D. Alfonso Aguado.’ _‘ ’ Teniente D. Antonio Vargas. - . . &gt; Subteniente, D. CuÍlYeunptIJerez V^Jásco* Subteniente, D. Gaspar G’atveJt''1" t Compañía de Vilíantieva dé la JCañada Compañía de Alcatd de d loo plazas. * de a toó'plaídíí' tV‘ ' ' ■’ Capit…</t>
  </si>
  <si>
    <t>Sucbet</t>
  </si>
  <si>
    <t>l 15 de mayo.) Palos y mayo 9 de 1810. = Sermo. Sr. = Bernardo Domínguez.” # Madrid a 8 de maye. ' ,,'Para estrechar por todos los medios posibles El general Sucbet ba entrado por asalto el día la prohibición de les embarques, hice compare­ 14 del corriente en la plaza de Lérida. Diez mil cer en las casas consistoriales á tod…</t>
  </si>
  <si>
    <t>Sucheí</t>
  </si>
  <si>
    <t>padas vencer ó morir, hizo hacer ,, Salado á vmd. con una particular considera­ una salida de 60 hombres contra la división La- ción. =z Firmados: El conde Sucheí.” val , siendo la señal del ataque un cañonazo y la arboiacion del pabellón roxo. El primer movimien­ Sevilla 31 de agosto. to hecho con impetuosidad y sin disparar…</t>
  </si>
  <si>
    <t>Suchet</t>
  </si>
  <si>
    <t>la unión mas sincera de ks des naciones.” — La gazeta francesa de Zaragoza del 5 de noviembre había del buen tratamiento que experimenta de parte del general Suchet nuestro coroaei Baget, prisionero en aquella ciudad. Después de habérsele pintado en otras partes de aquel periódico como un xefe de bandidos y asesinos , parece …</t>
  </si>
  <si>
    <t>. Vicente G mzilez Arnao........... 26100 Quartel general de Teruel 25 de diciembre de D. Antonio S únz de Ri zas.................... 1930 1809. = El conde Suchet. D. Manuei Hurtado de Mendoza......... 8580 Madrid 28 de enero. D. TosefAtnatei.......................................... 3^ 148 La comisión de liquidación de la de…</t>
  </si>
  <si>
    <t>de subvenir á ios sueldos y gas­ to de las tropas , y á la manutención del exército. TITULO SEGUNDO. D i gobierno de Aragón. — S gundo gobierno. (El general Suchet será gobernador de Aragón con toda la autoridad militar y civil; nombrará toda clase de empleados, lia­ ra regia oen tos, etc. etc., y desde el l.Q de marzo n» env…</t>
  </si>
  <si>
    <t>creto de ó de SI general Snchet ba batido completamente^! coero próximo. •nemigo el dia 33 de abril mas allá de Lérida. . En la tarde de dicho dia el general Suchet te­ nia ya en so poder 6® prisioneros, 300 oficiales, kota. , En la gazeta de ayer 11 de mayo, ar­ &amp; coroneles, al mayor general Dupui, 8© fusi­ tículo de Madrid,…</t>
  </si>
  <si>
    <t>, pues el gobernador cum­ pliría con el pueblo haciendo una ligera defensa: que otra división marchaba ha­ cia Valencia, para donde baxaba también el general Suchet con 12c) hombres , y últimamente que dentro de breves dias tendríamos en esta al rey José : mentiras todas, que aunque no se creían, no dexaban de afligir á estos…</t>
  </si>
  <si>
    <t>, á quienes mató 15 hombres é hirió-10, sin otra pér­ dida por su parte que la de un herido. De Zaragoza escriban que á pocos dias de haber vuelto el general Suchet de su expedición al reyno de Valencia, se publi­ có el decreto de 8 de febrero en que NapoleGn separa el reyno ce Aragón de lo restante de España y de los dominio…</t>
  </si>
  <si>
    <t>y haciendo retirar á los chera , á pesar de que el tiempo era el menos fa­ demás á la parte baxa de la ciudad. vorable para esta especie de obras. El general Suchet montó también la brecha con su estado mayor, y mandó que continuase el ata­ ESPAÑA. que por la, ciudad , aunque no con tanta impetuo­ sidad como habia principiado…</t>
  </si>
  <si>
    <t>866</t>
  </si>
  <si>
    <t>mnos de artillería disfruta­ vidor = £i general comandante en gefe del tercer rán el mismo haber y raciones que los áruliéros de cuerpo. =c Firmado = conde Suchet. = Campo de mixtos. r i Mequinenza 8 de junio de 1810. , art. ix. El coronel director del departamento de Sevilla pasará al director general del cuerpo pa­ ,; . ESP…</t>
  </si>
  <si>
    <t>567 cólica la situación del general Suchet y dél cuerpo de su mando destinado al sitio de Tortosa. Experimentan tal falta y dificultad de comunicaciones, que han resuelto enviar el cor­ reo por Jaca. Esta plaza y ia de Benasque están alarmadas y amenazadas de continuo por nuestras valer</t>
  </si>
  <si>
    <t>o panto es interesante, porque defiende la entrada el t de agosto por el Excmo. Sr. general en de Portugal, y cierra por aquella parte las comu­ gefe conde Suchet d S. E. el general barón del nicaciones de este remo con la Galicia. El lord imperio Musnier , comandante de Aragón. Wellington encargó al gobernador español que le…</t>
  </si>
  <si>
    <t>rtosa, nada han adelantado, y sus operaciones se han reducido á marchas y contramarchas sobre diferentes direcciones; habiéndoseme ase­ gurado que el general Suchet y una división de 4000 hombres ha pasado á la plaza de Lérida, probablemente con objeto de personarse con el mariscal Maedoúald, si este llega á di­ cha pla,za. —…</t>
  </si>
  <si>
    <t>os culparon á Mr. David por haber representa­ El señor general Cholopieki, encargado por el - do enteramente desandas las personas principales: señor general Suchet de arrojar á ia junta, de Te-, de sus quadros, y con este motivo se habló larga­ ruel, y de destruir las tropas de ésta, ha tenido la mente, de ios limites.que la…</t>
  </si>
  <si>
    <t>Suchetdió</t>
  </si>
  <si>
    <t>baluarte la batería núm. 4°, y en ia orilla izquierda se del frente de ia Magdalena , era bastante archa y abrieron otros d s ramales. accesible. El general Suchetdió entonces las dispo­ En la noche dei 9 quedó concluida la segunda siciones necesarias para el asalto: reunió quatro paralela. La artilleria construyó otras dos b…</t>
  </si>
  <si>
    <t>Sucket</t>
  </si>
  <si>
    <t>aun no sabemos si podran salir. Hoy esperamos 300 prisioneros , y otros 200 , y un obús que les ha tomado ViUacampa. Extracto de la intimación que el conde Sucket, general en xefe del tercer cuerpo del exército francés, hizo desde su campo del Puig, con fecha de 6 de marzo último, al capitán general del reyno de Valencia, y a…</t>
  </si>
  <si>
    <t>Sucliet</t>
  </si>
  <si>
    <t>ismo dia algunos desertores del ene­ del castillo este movimiento repentino sin atrever­ migo. se á detenerlo; pero no tardó en principiar á hacer El general Sucliet mandó reunir en U noche un fuego terrible de tod*s sus baterías contra la del 12 las tropas escogidas de las brigadas de los brecha, acompañado de otro vivísimo …</t>
  </si>
  <si>
    <t>tuado en la forma siguiente : la divi­ sión del general marques de Campo verde ocupaba la posición de Falset para observar y contener al exército del general Sucliet que está sobre el Ebro: otra división á las órdenes del brigadier Georget ocupaba el Urgel para observar ía guar­ nición de Lérida : y reforzada ademas la guarni…</t>
  </si>
  <si>
    <t>SUECIA</t>
  </si>
  <si>
    <t>ería, que está á las órdenes del pas tártaras y 120 soldados. brigadier general Crawford, fue llevada el i.° do agosto al valle de Mondego; y como el general SUECIA. Rcgnier se movía con su división, noeftra caballetía se adelantó para observarlo. A consecnenci. de Oerebro y de agosto. la evolncion de Regnier, ba pasado el ge…</t>
  </si>
  <si>
    <t>Suelto, Tomas García</t>
  </si>
  <si>
    <t>Tomas García Suelto</t>
  </si>
  <si>
    <t>ntivo de los funestos y 'Elogio del célebre médico español'D. JoseP Sevefe rápidos destrozos y mortandad , cuyos vestigios se López, por su discípulo D. Tomas García Suelto: se vende á 4 rs. en la librería de Castillo, frente de San conservan y propagan. En materia de contagio, Felipe el Real, donde igualmente se hallarán las…</t>
  </si>
  <si>
    <t>Suelto, Tomas Garda</t>
  </si>
  <si>
    <t>Tomas Garda Suelto</t>
  </si>
  <si>
    <t>Antonio Laredó. 10. Segundo batallón. Pata ayudante primero D. Francisco Dufoo» para ugundo D. Manuel Alevio» y para abande­ rado D. Carlos Abancini. D. Tomas Garda Suelto...... D. Tullan González Saes, D. Ceferino Casas. El Marques de los Zoidos..... D. Luis Le Clair........... , D. Pedro Luis Napoli. D. Mariano Herranx.....…</t>
  </si>
  <si>
    <t>Suelves, Simón Cob</t>
  </si>
  <si>
    <t>Simón Cob Suelves</t>
  </si>
  <si>
    <t>. D. Mariaoo Lázaro de la Cuerda al de Romeral, Para el de Navas y Cinco-Villas, vacante por i D. Ramón del Rio y Sainz , cura de Atanzon. ascéoso de D. Simón Cob Suelves al de CasalgorPara el de. Cerralbo, vacante por muerte de do, á D. Florencio Bratnti, clérigo de prima. D. Pedro Torres y Colomet, á D. Juan Luengo Para el …</t>
  </si>
  <si>
    <t>Suevvart</t>
  </si>
  <si>
    <t>. Las fuerzas que tienen orden para ir al Tajo son unos lOc) hombres de infantena; parte de ella está ya embarcándose en Portsmouth á las órdenes del general Suevvart , y el resto lo execr ará en Cork. También se envían á Portugal refuerzos de caballería y de artilleros. Los buques destinados para la India tienen orden de lle…</t>
  </si>
  <si>
    <t>SUgasri, Joaquín</t>
  </si>
  <si>
    <t>Joaquín SUgasri</t>
  </si>
  <si>
    <t>. José Obregon , capitán de fragata, 200 —Te­ nientes de navio. D. Domingo Navarro, no. D. Juan Lacre, 110 D Ma­ nuel Laiglesia, nd.—Idem de fragata. D. Joaquín SUgasri , 80. I jem D. Manuel Villodas,-3o. JlI contador oficial quarto D Francisco Tomas Estrada, cedió la mitad del sueldo en donativo de 28 de junio de 188#, y en …</t>
  </si>
  <si>
    <t>SUIZA</t>
  </si>
  <si>
    <t>o el dia 17 da bién ha llegado un batallón de zapadores. este mes en su nuevo palacio una junta general de accionistas , en la que el señor Jauberr , consejero SUIZA. de Estado , y gobernador del banco, ha dado cuen­ ta de su estado actual en nombre del consejo ge­ Berna (T de enero. neral. El resultado del primer semestre de…</t>
  </si>
  <si>
    <t>Suli</t>
  </si>
  <si>
    <t>einaba en los concurrentes. La imagen de Entre los oficiales hechos prisioneros el dia 14 la unión y fraternidad entre las dos naciones, que están e! brigadier Suli, varios corcnoes y otros ofi­ la naturaleza ha unido por relaciones territoriales y ciales de graduación. comunidad de intereses , estaba vivamente pintada Ei gob…</t>
  </si>
  <si>
    <t>Sun, Francisco de Paula</t>
  </si>
  <si>
    <t>Francisco de Paula Sun</t>
  </si>
  <si>
    <t>istro intermo de Negocios eclesiás-. Cogollo*-, vacante por muerte -de D. Gabriel Ro- ticos queda encargado del cumplimiento de este vira y Teruel, 4-D. Francisco de Paula Sun. Pe-' decreto. == Firmados:YO EL REI.saPor S. M., Uro, cura de^A.hama. , i . el ministró' secretario de Estado=Firmado=: Ma­ Para eJ de la -iglesia may…</t>
  </si>
  <si>
    <t>Suris, Amonio</t>
  </si>
  <si>
    <t>Amonio Suris</t>
  </si>
  <si>
    <t>a, 1500. Micheo, padre c hijo, 15CO. Doña Vicenta Velásco de Hue, 150. D. Cayetano Hüc,- I50. D. Tomas Ravina, 1000. D. Bernardo Nueve-Iglesias, 7C0. D. Amonio Suris , 400. D. Sebastian Antonio Garnica, 5C0. D. Juan</t>
  </si>
  <si>
    <t>Surria, Manuel</t>
  </si>
  <si>
    <t>Manuel Surria</t>
  </si>
  <si>
    <t>41 y 2 rs. D. José María Lovato, 80. I). Lorenzo Santa María . vecino de Tacotal pa de Tabasco , 100. D. Joa­ quín de Santa María, vecino de id., 25. D. Manuel Surria, vecino de Teapa, 100. El cura de Azoyú y sus feligreses, 325. D. Juan Antonio Aguilera , su esposa é hija , 1500. 1). Miguel de Arizmendi , 1000. D. José Grego…</t>
  </si>
  <si>
    <t>Susana, Santa</t>
  </si>
  <si>
    <t>Santa Susana</t>
  </si>
  <si>
    <t>y desembarcó en los dias 7 yo8 en diferentes^ puntos, Después de un ataque dirigido con la mayor inteligencia y ¡executado con la mayor bizarría , el coronel Santa Susana, iComáhdante francés de la isla, pidió capitulación, que sede-concedió con todos los honores milita­ res, 'qutedando lá» gUarfíicion p^isioiiera de guerra;-…</t>
  </si>
  <si>
    <t>Sutton</t>
  </si>
  <si>
    <t>cidad de estar en los puntos atacados, y son los siguientes : La brigada 9 y 21 al mando del coronel Champalimaud, y después que este Aúé herido, del teniente coronel Sutton ; el regimiento 8 , mandado por el teniente coronel Douglas, la brigada 1: y 16 de línea, y el quarfco batallón de cazadores, á las órdenes del general P…</t>
  </si>
  <si>
    <t>Suwaroff</t>
  </si>
  <si>
    <t>por la tardé llegó y á atacar á Rudschuck por el lado-de las islas. - á:!as inmediaciones del exército turco con su cxérHabíase destacado al teniente general Suwaroff cito» ordenado en cinco colanas-, y mandó un ata­ para que observase al enemigo», que reonia su* que general para la mañana del siguiénte. La acción fuerzas á o…</t>
  </si>
  <si>
    <t>Svveetland, Guillermo</t>
  </si>
  <si>
    <t>Guillermo Svveetland</t>
  </si>
  <si>
    <t>rnandez de León, consejero de estado, 40. La se­ ñora Doña Luisa de Albear, 500. El lord Mac-Duff, 5®. La señora Do­ ña Isabel Grellet, 500. El señor D Guillermo Svveetland, vecino de Gibraltar, 2®. El señor D. Roberto Mitchell, 1®. El señor D, Patricio Mo* llisoti, 1®. El señor conde de Villamar, 300. La señora Doña Joaquim …</t>
  </si>
  <si>
    <t>T, Pedro</t>
  </si>
  <si>
    <t>Pedro T</t>
  </si>
  <si>
    <t>a mes. doba , dexaudo á esta ciudad con el sentimiento de . Ayudante, el barón d*Orst. que hubiera sido tan corta su estancia en ella. La Abanderado, D. Pedro T«vira. dé Montero babia solicitado que el Soberano fuera á visitarla en su tránsito, y S. M. accedió á esta Batallón del quartel de AJligidos. súplica. El recibimiento…</t>
  </si>
  <si>
    <t>T-k, Ney</t>
  </si>
  <si>
    <t>Ney T-k</t>
  </si>
  <si>
    <t>sición de que se par ase por las armas-k 2 prisioneros en descuento de lamugCry el paisano que asesinaron en lá Cabezuela, según lo tiene ofrecido ai mariscal Ney &gt; T-k quien previno á mediados de marzo</t>
  </si>
  <si>
    <t>T-m</t>
  </si>
  <si>
    <t>| D. Frutos Alvaro Benito..................... 16:07- 5 Memori s de D. Francisco Rodrigurz. 180 17 Doña Manuela Durañona.................... 4202 2 5 D. T-m&lt;s Reguyer................................ 20272 17 D. Si non del Villar.............................. 19210 ~ *&gt; La test .menra ía del conde de Arboré. 38*17 22 D. Cristó…</t>
  </si>
  <si>
    <t>Ta, Juan</t>
  </si>
  <si>
    <t>Juan Ta</t>
  </si>
  <si>
    <t>les ha cogido junto á Villaodrigo vein­ te y tantos carros de plata, matando ó aprisionando toda la escolta. Otros 30 carros de plomo ha cogido la de D. Juan Ta­ pia en Quintana-la-puente. La dé Borbon ha peleado con un cuerpo de 750 franceses cerca de Paléncia: el choque fné vi­ vo y sangriento: los patriotas perdieron 24 ho…</t>
  </si>
  <si>
    <t>Tabanera, Manuel</t>
  </si>
  <si>
    <t>Manuel Tabanera</t>
  </si>
  <si>
    <t>ndo al pueblo á que contribuyese para el vestuario y armamento de dichos 300’ hombres : se han hecho en su virtud quantiosos donativos: y en especial D. Manuel Tabanera, comerciante de aquella ciudad, ha ofrecido vestir á sus expensas 20c) dentro de un mes. Al mismo tiempo se está trabajando en fortificar la entrada de Galici…</t>
  </si>
  <si>
    <t>Tabeada</t>
  </si>
  <si>
    <t>ya Í4 soldados á la di­ visión del general Al ahí que se hallaba en Villafránca , y 10 á la brigada que ocupa la Puebla de Sanabria á las órdenes del general Tabeada. En todo el exército francés de Castilla rey na la deserción. A principios del corriente se presentaron 50 desertores de una vez en Celar ico de Be ira. Se dice …</t>
  </si>
  <si>
    <t>Tabearla</t>
  </si>
  <si>
    <t>á Salamanca, y murieron después de una obstinada re­ sistencia: recomo la bahía y la conduxo á la Puebla de SanaO &lt;/ %f ___ bria, donde la entregó al general Tabearla. cadiz 25 de julio. La asociación fundadora del fondo patriótico eti tenencio de los soldados españoles estropeados en la guerra de la liber­ tad, y de las fami…</t>
  </si>
  <si>
    <t>Taboa'da</t>
  </si>
  <si>
    <t>n las tropas gallegas de su mando tenia encerrado en aquel pueblo un destacamen­ to enemigo. .'•••• Puebla de Sanabrla 19 de octubre. La división del general Taboa'da, compuesta de ios'regimiento- de Betia vente, S vi­ lla y Toledo , salió de aquí el 15''con dirección á Tábara, 10 leguas de esta villa, d &gt;nde se hallaban 400 …</t>
  </si>
  <si>
    <t>Taboada</t>
  </si>
  <si>
    <t>sa aguardar á pie firme ; nombra al coronel Hevia como comandante de nuestras tropas , y habla bien de nues­ tros húsares. — De la Puebla me avisa el general Taboada, que la visita que ie han hecho los enemigos, les ha costado ca­ ra por la bizarría con que se han portado nuestras tropas; pues en Mombuey curaron aquella noche…</t>
  </si>
  <si>
    <t>Táboada</t>
  </si>
  <si>
    <t>re­ cíais ser arrojados al Escalda ; no mando hacerlo porqué es­ te pueblo ignorante os tendría por mártires/* f PORTUGAL. Braganza YO 'de junio.— El general Táboada participó el día 4 que habiá llegado a las inmediaciones de Astorgá una división eUemiga de infantería de 4090 hombres venida de Asturias al* mando del general B…</t>
  </si>
  <si>
    <t>antes, se liabia re­ tirado al Segundó recinto qué es el del castillo, donde espera­ ba que el día siguiente se le rendirían sino eran socorridos. El general Taboada se le había reunido con 800 hombres. El mismo dia 4 á las 6 de la tarde participa el general Silveira que nuestra avanzada de caballería fué atacada á las 10 de …</t>
  </si>
  <si>
    <t>uerpo francés de 5000 infantes y bastante caballería, manda­ do por los generales Seras y Mathieu, se acercó á la Puebla de Sanabria, que abandonó el general Taboada con arreglo al plan combinado anteriormente con los gefes portugueses de las inmediaciones. El enemigo tomó posesión del fuerte, y dexando en él 400 infantes, se…</t>
  </si>
  <si>
    <t>bla de Sanahria* que abandonó el general Don Francisco Taboada, según lo que tenían concertado anter riormente. El l.° de agosto previno al expresado general Taboada, que al dia siguiente se ponía en marcha sobre la Puebla, para que se le incorporase con sus tropas , como lo ve­ rificó al amanecer del dia 3 en la inmediación …</t>
  </si>
  <si>
    <t>orzado con 2 batallones italianos »y 600 caballos.— El 9 rebentó con muy poco fruto una mina que se había he­ cho junto á las puertas de 3a plaza. El general Taboada repi­ tió la intimación , y el gobernador pidió una conferencia, de cuyas resultas se conclutó la capitulación á la. una de la no­ che.— Iba manaría del 10 salió…</t>
  </si>
  <si>
    <t>sabido que el mismo dia 16 los enemigos evacuaron á Tabara : que de­ tenidos y aislados por las crecientes de los rios Tara y Ezla, y atacados por el general Taboada, trataban de vadear el pri­ mero, y que los nuestros los estrechaban y habian vencido la resistencia que habian ha,lládo en algunos puntos. -—Al mis­ mo tiempo t…</t>
  </si>
  <si>
    <t>Taboada, Don Francisco</t>
  </si>
  <si>
    <t>Don Francisco Taboada</t>
  </si>
  <si>
    <t>sobre las operaciones del cuerpo de su mando, refiere que el 26 de julio supo que los enemigos hablan ocm pado la Puebla de Sanahria* que abandonó el general Don Francisco Taboada, según lo que tenían concertado anter riormente. El l.° de agosto previno al expresado general Taboada, que al dia siguiente se ponía en marcha sob…</t>
  </si>
  <si>
    <t>Tabuenca, Juan Antonio</t>
  </si>
  <si>
    <t>Juan Antonio Tabuenca</t>
  </si>
  <si>
    <t>y D. Juan Antonio Tabuenca; tenencias, &amp; D. Pedro Ligera, D. Gaspar AUué, y D. Atilano Basurti ; y subtenencia, á D, Mariano Tabuenca, O. Francisco Asura , JD. Francisco Aiastey, D. José Salvador , y D. José María Ro</t>
  </si>
  <si>
    <t>Tacbeler, Santiago</t>
  </si>
  <si>
    <t>Santiago Tacbeler</t>
  </si>
  <si>
    <t>atallón á nombre de su Soberano á SS. MM. II. y RR.. D. Luis Moutard y D. Lorenzo Servert ; teniente El general Guil'.eminot, barón del imperio, ha á D. Santiago Tacbeler , y aban lera los á D. Fran­ marchado á España; y se asegura que ha sido nom­ cisco C'ianvilb, D. Franc sco Luv.'ns, D. Juan brado pvfe del estado mayor del…</t>
  </si>
  <si>
    <t>Tadci, Antonio</t>
  </si>
  <si>
    <t>Antonio Tadci</t>
  </si>
  <si>
    <t>eatrg; pero la execucion de lico Recaredo, con todo su teatro, y dos decoraciones los Templarios es enteramente conforme á la ma- cuevas pintadas por D. Antonio Tadci , la una de mon­ gestad de Ja acción: es admirable el espectáculo te con varias figuras de movimiento, y la otra un salón que ofrecen aquellos mártires del hono…</t>
  </si>
  <si>
    <t>Tadei, Antonio</t>
  </si>
  <si>
    <t>Antonio Tadei</t>
  </si>
  <si>
    <t>tribaba en el medio del rio más que sobre un solo todo su teatro y dos decoraciones nuevas pintadas por unto de apoyo, que aun decían que no-contri- D. Antonio Tadei j la una de monte con varias figuras uia cn nadapara.su solidez. de movimiento , y la otra un salón de máscara : se bai­ , Los puentes de madera y de piedra tien…</t>
  </si>
  <si>
    <t>unidas en Schiller, y lico Recaredo, con todo su teatro, y dos decoraciones ya lé habían valido el glorioso dictado de historia­ nuevas, pintadas por D. Antonio Tadei, la una de mon­ dor elegante y juicioso , con tanta 6 mayor razón te con varias figuras de movimiento, y la otra un salón que sus obras dramáticas le habían mer…</t>
  </si>
  <si>
    <t>medio de comunicación entre lico Recaredo, con todo su teatro y dos decoraciones codas las personas que se ocupan en Francia en lluevas pintadas por D. Antonio Tadei , la una de mon­ Inocular la vacuna, contribuirá infinito para extin­ te con varías figuras de movimiento, y la otra un salón guir las viruelas, y hacer este gra…</t>
  </si>
  <si>
    <t>tres actos titulada'el Cató­ rá media compañía. Queda nombrado capitán Pon lico Recaredo, con todo su teatro, y.dos decoraciones nuevas pintadas por D. Antonio Tadei,'la.una de n&gt;on&lt; (t} Cerca de 31 pies de Burgos. te con varias figuras de movimiento, y la otra un salón (1) Las tJO kiliógramas hacen algo mas de io3 li­ de más…</t>
  </si>
  <si>
    <t>organizar, mejorar y au­ lico Re.aredo, con todo su teatro , y dos decoraciones mentar Jos medios de llenar tan sagradas atencio­ nuevas pintadas por D. Antonio Tadei, la una de mon­ nes, se preparan para una época mas feliz; época te con varias (¡yuras de movimiento , y la otra un salón que el verdadero patriotismo ve aproxi…</t>
  </si>
  <si>
    <t>Tadeij, Antonio</t>
  </si>
  <si>
    <t>Antonio Tadeij</t>
  </si>
  <si>
    <t>siempre, están en la .infancia, co Recaredo, coa todo su teatro y dos decoraciones apoyados de los semisábios , diciendo, que \en nuevas pintadas por D. Antonio Tadeij lá uná de mon­ España buenos caminos y canales se habían cons­ te con varias figuras de movimiento, y la' otr¿ un sa­ truido sin necesidad de semejante escuela…</t>
  </si>
  <si>
    <t>Tagíe, Pedro</t>
  </si>
  <si>
    <t>Pedro Tagíe</t>
  </si>
  <si>
    <t>or idem : D. Octaviarlo O bre­ gón , suplente por idem: D. Máximo Maldonado, suplente por idem: D. José Maria Gutiérrez de Terán , suplente por idem: D. Pedro Tagíe, suplente por Filipinas: D. José Manuel Couto , suplente per idem: D. José Caicedo, suplente por el vireynato de Santa Fe: Marques de S. Felipe y Santiago , suple…</t>
  </si>
  <si>
    <t>Taileirand</t>
  </si>
  <si>
    <t>tran por dentro de las'tntsmas paredes » y van á desaguar á un ca­ Basilea go de julio, nal subterráneo ó alcantarilla que conduce las aguas S. E. el ministro Taileirand , qne hace ij días llovedizas fuera de la ciudad. La fach.da de la ca­ está aquí» ha aceptado el convite que el consejo tedral está ya casi concluida» y las …</t>
  </si>
  <si>
    <t>Tajuelo, Francisco</t>
  </si>
  <si>
    <t>Francisco Tajuelo</t>
  </si>
  <si>
    <t>o provincial de Cuenca , se ha servido promo­ ver S. M. á capitán al teniente de granaderos D. Vicente Esca­ lante ; k tenientes , á los subtenientes D. Francisco Tajuelo, D. Antonio P.mentel , D. Andrés Martinez Pínillcs, D. Joan f ran­ cisco Salido, D. Juan Corral, D. Francisco Corral, D. Pedro An­ drés Gómez, D. Juan Sánch…</t>
  </si>
  <si>
    <t>Talavera, Pedro</t>
  </si>
  <si>
    <t>Pedro Talavera</t>
  </si>
  <si>
    <t>Josef de Torres Pedrosa subteniente. art. vi. . Eu la villa de Ptdrera se formará media compañíi. D. Josef Vergara está nombrado TEATROS. capitán, y D. Pedro Talavera subteniente. art. vii. En la villa de los Corrales se for­ En el del Príncipe, i fas siete de 1 a noche , se re­ mará medía compañía. D. ,Fraociscorde los Ríos …</t>
  </si>
  <si>
    <t>Talbot</t>
  </si>
  <si>
    <t>ácil dar razón de las operaciones del exército caballos; pero hemos tenido la desgracia de perder enemigo; pero parece evidente que les franceses, el teniente coronel Talbot y 18 hombres del 14.0 á pesar de su superioridad de fuerzas , no tienen de dragonea ligeros, y ademas hemos tenido 23 por conveniente atacar 4 lord Welli…</t>
  </si>
  <si>
    <t>el Rei. carta del lord Weilington , de fecha del ib*, en la qtoal daba también parte de la escaramuza en que GRAN DUCADO DE BADEN. perdió la vida el coronel Talbot. Desde entonces ■ i xc esperaba de un dia á otro la noticia de una gran Carlsruhe io de octubre. batalla. El t.°de agosto se extendió la voz de que había habido un…</t>
  </si>
  <si>
    <t>Talero, Juan</t>
  </si>
  <si>
    <t>Juan Talero</t>
  </si>
  <si>
    <t>rps, se ha dignado S. M.. pro­ mover á alférez ai exento D. José Azeutia: á brigadier ai sub-brigadier D. José Olea : á sub-brigadieres á les cadetes D. Juan Talero, D. Faus­ tino Guillen y D. Joaquín Tuquet: y á cadetes á los guardias 1&gt;. Roque Torres, D. Francisco VaIdcs, D. Manuel Pardo y D. José Sierra. Ei rey nuestro Sr.…</t>
  </si>
  <si>
    <t>Talés, Josef Tri</t>
  </si>
  <si>
    <t>Josef Tri Talés</t>
  </si>
  <si>
    <t>y que ninguno la ha ñía a D. Antonio Berrugo: para teniente á D. Ber­ conocido. Pero aun quando las explicaciones de nabé Cando; y para subteniente á D. Josef Tri­ Talés no sean en esta parte mas satisfactorias que gueros Ramírez. las de los demas filósofos, es menester convenir que Para capitán de la quarta compañía á D. Jos…</t>
  </si>
  <si>
    <t>Tamajou, Alfonso</t>
  </si>
  <si>
    <t>Alfonso Tamajou</t>
  </si>
  <si>
    <t>actualmente Nueva. existimos en ella desempeñando nuestros res­ D. Francisco Roldan, interventor ídem. pectivos destinos, juramos cumplir las obliga­ D. Alfonso Tamajou, fiel de la puerta del Rin­ ciones anexas á ellos con el solo objeto de la cón. felicidad de la nación y de la gloria del REI, D. Mariano Baquerizo, intervent…</t>
  </si>
  <si>
    <t>Tamayo, Ramón</t>
  </si>
  <si>
    <t>Ramón Tamayo</t>
  </si>
  <si>
    <t>del quartel de S. Gerónimo. D. Zacarías Camant. D. Manuel Saez de Prado. Capitanes. D. Vicente Romero de Tejada. D. Francisco Xavier Ruiz de Mendoza. D. Ramón Tamayo. D. Manuel de S. Vicente. D. Josef Valenzuela. D. Juan López de Quevedo. D. Francisco Fernandez Ibarra. Subtenientes. D. Fermín Sánchez Toscano. D. Félix Izaguir…</t>
  </si>
  <si>
    <t>También</t>
  </si>
  <si>
    <t>de tiempo otras 24 embarcaciones vediza que hai en el fondo.” apresadas, muchas de ellas con ricos cargamentos. Lord Wellington es de opinión que el mariscal También han dado á la costa otros quatro buques Massena no dará la batalla hasta que reciba los re­ ingleses, y se Ies han represado 14. , . fuerzos que espera, y se ase…</t>
  </si>
  <si>
    <t>También, Fulgencio Ayalai</t>
  </si>
  <si>
    <t>Fulgencio Ayalai También</t>
  </si>
  <si>
    <t>eo , D. José Benito Perez , D. Faustino Diez , D. To­ mas Rodríguez, D. Bernardo Guallar, D. Antonio Carril, Di Cos­ me Sancho, D. Alonso Sanjurjo ,y D. Fulgencio Ayalai También se ha servido S. M. conferir los empleos de Coro­ neles , del regimiento de infantería de Burgos á D. Juan José de .Olazabal; y del de Murcia á D. Ju…</t>
  </si>
  <si>
    <t>También, To</t>
  </si>
  <si>
    <t>To También</t>
  </si>
  <si>
    <t>han recordado 1ás ni’agnjfiíras faocfóejéSgCtpii qgc tado en un peligro mui inminente de ser abrasados* se há* celebrado en iss iglesias y en la ciud^d. To­ También tuvimos la felicidad de que cesara el vien­ das las autoridades han sido convidadas por el se­ to norte que había soplado con la mayor violencia ñor Quirini, pref…</t>
  </si>
  <si>
    <t>Tampoco, Buenaventura Ra</t>
  </si>
  <si>
    <t>Buenaventura Ra Tampoco</t>
  </si>
  <si>
    <t>S. I denen una parte tan desproporcionada en la repre­ fonso al ex-gtrómmo D. Josef García: para la de sentación nacional. S. Andrés al ex-franciscmo D. Buenaventura Ra­ Tampoco se puede dar ninguna respuesta satis­ mírez: para ia de Sanciago al ex-franciscano D. Sefactoria á las quejas que se han presentado contra astian de …</t>
  </si>
  <si>
    <t>Tapia</t>
  </si>
  <si>
    <t>ida fué muy considerable, y muy pequeña la nuestra, comparada con aquella; y yo omito referirla por menor , así como el ardor de mis tropas , las del presbítero Tapia, y escopeteros del pais; pues, habiéndolo presenciado todo el señor Pinilia, intendente y pre­ sidente de esta Junta, y el señor Carrillo , vocal de la misma, n…</t>
  </si>
  <si>
    <t>e Cuenca envia á las órdenes de D. Juan Martin. Id. 9. La'guarnición que salió de Soria con doce familias de aquella ciudad, ha sido derrotada por el cura Tapia en las inme­ diaciones del Burgo de Osma. D. Jaan Martin con su partida se halla en Brihuega y sus in­ mediaciones. Ant-?s de entrar en dicha villa , los centinelas a…</t>
  </si>
  <si>
    <t>Tarango, Domingo</t>
  </si>
  <si>
    <t>Domingo Tarango</t>
  </si>
  <si>
    <t>6i. Las haciendas de S. Antonio y S. Juan de N oriega, 81 jBabonqyaba. Ei subdelegado D. Félix Gómez de Montenegro , io. Don Francisco Valderrama, 6. D. Domingo Tarango, 8. D. Miguel Terra­ zas, 10. Varios individuos, 37 y 1 real. — Ademas de las anteriores do­ naciones se han hecho las ofertas siguientes. — El capitán D. Jos…</t>
  </si>
  <si>
    <t>Tarares, Francisco Casa</t>
  </si>
  <si>
    <t>Francisco Casa Tarares</t>
  </si>
  <si>
    <t>de Palacio. cretase Firmados: YO EL REI. = Por S. M. su Comandante, el conde de Alba Real. mini-tro secretario de Estado Mariano Luis de UrAyudante , D. Francisco Casa Tarares. quijo." » por todas las que son amables; y quanrlo una bonita ■ seos, y í ofrecer á nuestro corazón los sednetores en• cara me gusta, si mil corazones…</t>
  </si>
  <si>
    <t>Tardío, Gaspar</t>
  </si>
  <si>
    <t>Gaspar Tardío</t>
  </si>
  <si>
    <t>n darte efe la independencia , salió precipitadamente con dirección á la indicada villa. La caballería, compuesta de 13 caballos, se puso al mando de D. Gaspar Tardío , hombre de acendrado valor y patriotismo ; y la infantería , en número de 60, á las órdenes de D. Francisco Salcedo, comandante de armas de esta villa por acla…</t>
  </si>
  <si>
    <t>Tarieron</t>
  </si>
  <si>
    <t>do ai borde de so tuioa, y para Lord Castlereagh defendió su causa y la de sus esto es preciso absolutamente establecer un nuevo antiguos colegas. El general Tarieron vituperó la gobierno compuesto de hombres puros é íntegros, conducta de los ministros por lo respectivo á la Es­ elegidos de entra los honorables miembros qoe t…</t>
  </si>
  <si>
    <t>Tarín, Nicolás</t>
  </si>
  <si>
    <t>Nicolás Tarín</t>
  </si>
  <si>
    <t>ra, 100. El ayudante inspector D. Cristóbal Domín­ guez , 100. — Compañías militares, patios. Capitán D. José Francisco Zozaya, 184. y 6 rs. Teniente D. Nicolás Tarín, 50. Id. D. Pedro Armendariz, 10. Alférez D. Fermín Uribe, 8. Capellán Fr. Agustín Gó­ mez, 10. Sargentos, cabos y soldados, 818..— S. Buenaventura. Capi­ tán D…</t>
  </si>
  <si>
    <t>TarLas</t>
  </si>
  <si>
    <t>capital. Hace seis meses que vivimos sola­ ministerio de la Guerra, y el otro el de Negocios mente por milagro. extraogeros. También se dice* que el general TarLas mercancías inglesas, que no necesitamos, rere, edecán del Reí, el general Ferriere, y el se­ están sobrantes; pero al mismo tiempo estamos ra­ cretario Intimo el s…</t>
  </si>
  <si>
    <t>Tarleton</t>
  </si>
  <si>
    <t>ntimientos cen parte del octavo cuerpo mandado por S. E. el secretos del mal éxito de sus esfuerzos, porque al duque de Abrantes. señor Ponsonbi y al general Tarleton, que han ha­ Puede decirse qne desde este dia nuestra ciu­ blado largamente sobre la pereza incorregible que dad se parece á un inmenso quartel lleno de tropas …</t>
  </si>
  <si>
    <t>favor de la enmienda propuesta por uno olvidarse de que esta batalla, que se nos pin­ lord M'iltco. taba como una de aquellas qne debían cambur la El general Tarleton tomó luego la palabra, y suerte y el destino dé la Europa, ha reducido al dixo: ,,Nunca me ha sido tan sensible el oponer­ exército del lord Wellington á una in…</t>
  </si>
  <si>
    <t>Tarracui</t>
  </si>
  <si>
    <t>Gaceta de Madrid n.º 323</t>
  </si>
  <si>
    <t>e. necesario tienen para los usps y comodidades ne­ El corsario francés la Victoria, mandado por cesarias á la vida. Esto supuesto, la misma nece­ el capitán Tarracui, ha conducido el primero1 dé sidad es la lei imperiosa , que debe obligar al go­ este mes al puerto de Hormercil un buque ingles bierno á fomentar por todos los…</t>
  </si>
  <si>
    <t>Tarrago, Francisco</t>
  </si>
  <si>
    <t>Francisco Tarrago</t>
  </si>
  <si>
    <t>Dr. D. Pedro Alvarez,digni­ síndico personero 6 procurador del común; D. Jo- dad de maestre-escuela; el Dr. D. Manuel Centc•ef ViJlanueva , abogado; D. Francisco Tarrago, ro, magistral. abogado; el Dr. D. Andrés de Ana ya, dignidad de prior de la catedral. Diputación de la villa de Salobreña Por el clero: El mismo D. Andrés d…</t>
  </si>
  <si>
    <t>Tarrean</t>
  </si>
  <si>
    <t>de Velez; y para una canongía aclamaciones. de ia colegial de S. Hipólito en Córdoba á D. Jo­ sef Baena , presbítero ex-regular. Parts 12 de mayo. El general Tarrean, que llegó hace pocos dias Por decreto de a 5 del corriente se ha servido de Alemania á esta capital, ha marchado ya á Es­ S. M. nombrar coronel de artillería á …</t>
  </si>
  <si>
    <t>Tarreau</t>
  </si>
  <si>
    <t>citado eo él un sincero deseo de contener su* de la división del exército francés mandada por el resultas,y extinguir, si es posible, todas las reli­ general Tarreau. No cesan de pasar por aqui tro­ quias. pas que vuelven de Alemania , y van á lo interior ,, Preparados á adoptar lo mas pronto que se de Francia y á las costas.…</t>
  </si>
  <si>
    <t>Tarsis, Pable Antonio</t>
  </si>
  <si>
    <t>Pable Antonio Tarsis</t>
  </si>
  <si>
    <t>se ha ;fián parecido dignas de llamar su atención. 'mandado celebrar-junta de acreedofo al concurso de El ariete hidráulico del señor Montgolfier es D. Pable Antonio Tarsis, para Ja que se ha señalado el %ña máquina de uña invención sumamente ingenio- dia .24 del corriente y hora de las nueve de la mañana en *lia;, de fácil e…</t>
  </si>
  <si>
    <t>Tarto, José Ignacio</t>
  </si>
  <si>
    <t>José Ignacio Tarto</t>
  </si>
  <si>
    <t>rrero 15Á D. Juan Manuel de Asunzalo, 15. D. Amonio Gúrruchategiii ,35; D¡ MánueL Gutiérrez 35. D, Antonio Landa 50. D&lt; Francisco Pascual Roldan, 50. D. José Ignacio Tarto , 150. Ds Francisco Elorriaga, 20 D¿ Joaquín Laurenzana, ioq. D, Joaqujn Bcnitez, $00. D. Agustín, Reviíla,.50. QSe continuará j ■ CADIZ: EN LA IMPRENTA REAL,</t>
  </si>
  <si>
    <t>Tascou</t>
  </si>
  <si>
    <t>ó pilares poco separados entre sí, que soste­ cargado de trigo, y el María Ana de 22 tonela­ nían piedras largas. La China ofrece construccio das, su capitán Tascou, que iba de Quimper á oes semejantes ; y sí creemos ciegamente las rela­ Oleron , cargado de toneles vacíps. El capitán ciones de los viageros (que por lo general…</t>
  </si>
  <si>
    <t>Tatlei, Antonio</t>
  </si>
  <si>
    <t>Antonio Tatlei</t>
  </si>
  <si>
    <t>ir poco á poco los lico Recaredo, con todo su teatro, v d» s de...&lt; 'aciones principios con titny entes y cap ices de fermentar-, nuevas pintadas por D Antonio Tatlei , la up. i de mon­ de modo que no qtmde dominante ni u.un agen­ te c*' n varias fivuras de movimiento, 1 la otra un ‘.don te de- ferm&lt; nt¿í ion. .Sin esta condi…</t>
  </si>
  <si>
    <t>Tauco, Diego</t>
  </si>
  <si>
    <t>Diego Tauco</t>
  </si>
  <si>
    <t>refecto de Málaga. Un año há que en el mismo parage se encontraron D. Antonio Mier, de Antequera. Otras antiguallas, y entre ellas un discóbulo y una D. Diego Tauco, de Osuna. piedra hermosísima grabada, ¡a qual se vendió in­ En la prefectura de Sevilla. mediatamente cu una gran cantidad de dinero. El gobierno ha dado las órd…</t>
  </si>
  <si>
    <t>Tavira, Agostía</t>
  </si>
  <si>
    <t>Agostía Tavira</t>
  </si>
  <si>
    <t>* D. Francisco María Carneo y Maasb. 9* D. Salvador Palomeque D. Juan Clavel* Quinta batallan. Para ayudante primero él balón de Horit , para segundo D. Agostía Tavira, y para abanderad* D. Juan López Sarceada. i“.......... .... D. Rafael de las Doblas......... D. Santiago Martínez. 3.*.............. .........................…</t>
  </si>
  <si>
    <t>Tavira, Anai Josefa</t>
  </si>
  <si>
    <t>Anai Josefa Tavira</t>
  </si>
  <si>
    <t>... &gt;yijl Di Simon de TPrres.-..'.v.....v.. , 548 ¿ .'1 D. Pedro Baille y compañía..........;. 79315.J,7; Doña María dcl Cármen Herrau....... 115 50' Doña Anai Josefa Tavira..—. a /»•*!••&lt;*#' ;901^17' D.Ramón y D.? Micaela Merino, y en ! Dpña .María Bracha 8.a rinñññabre D. Gárlos Milne , ttitór.. 200 , j D. Jóséf Rives.v.v..…</t>
  </si>
  <si>
    <t>Tavira, Pedro Fernandez</t>
  </si>
  <si>
    <t>Pedro Fernandez Tavira</t>
  </si>
  <si>
    <t>efen.—Oficiales de guerra y mayores. D. Manuel María Ocaroi, teniente de fragata y comandante, 40. Don José de Agandoña, alférez de fragata , ;o. Id. D. Pedro Fernandez Tavira, 50. D. .Antonio Contero, segundo cirujano &gt; $0. D. Tomas Gar­ cía, tercer piloto, i^. D. José Manuel de Islas, capellán, 30. ídem de mar, de sueldo fi…</t>
  </si>
  <si>
    <t>Tayaore, Nicolás</t>
  </si>
  <si>
    <t>Nicolás Tayaore</t>
  </si>
  <si>
    <t>de MarbeiJa. EL exército ingles de Portugal se compone de Para el de Casabermeja , vacante por muerte de 28® combatientes. Lord Wellington manda los D. Nicolás Tayaore, á D. Pedro Muñoz, cura 240 , en tos quaies está comprehcndida la división propio de la Viñuela. del general HUI. Los otroá 40 están en Tomar á Para el de la p…</t>
  </si>
  <si>
    <t>Taylor, Eduardo Clough</t>
  </si>
  <si>
    <t>Eduardo Clough Taylor</t>
  </si>
  <si>
    <t>Sr, D. Teodoro José de Piñeiro , encargado de negocios de Portugal, 3000. El Sr. D. Manuel Vidaurre , ÓOPO. Él Sr. D. Da­ vid. Malcolm, 1000. El Sr. D. Eduardo Clough Taylor, por mano del se­ ñor D. Diego Guillermo Glass, 2000. La Sra. Doña Josefa Gamo ríe. da y Lavaggé , 200. El Sr. D. Proto Alvavez Manilla, 1000. El Sr. D. …</t>
  </si>
  <si>
    <t>Tbielmana</t>
  </si>
  <si>
    <t>espiritual, y de restablecfer tas relaciones do gocios extraugeros; la cruz-de comendador para el la iglesia con el eStado'én-el mismo pie en que es­ general Tbielmana,-y otras^qnatro crucertta- caba- taban antiguamente p-pues por no habersé conserva­ . lleros á disposición de S^M. npestro Soberano;, El do estas en su fof'nfc…</t>
  </si>
  <si>
    <t>Tbmpson, Felipe</t>
  </si>
  <si>
    <t>Felipe Tbmpson</t>
  </si>
  <si>
    <t>en cin&lt;;o rianas, también se han rectificado con los- reconoci­ actos titulada las Cárceles de íamberg, con tonadilla y mientos que de ellas hicieron D. Felipe Tbmpson sainete. Actores en la comedia. Señoras Josefa Raníos en 1773, D. Joan Ibargoitia en 1801, D. Juan y Maqueda. Señores Ponce, Ortigas .C.iprara, Justo M¿, lafir…</t>
  </si>
  <si>
    <t>Tcalgún</t>
  </si>
  <si>
    <t>bía caminado cor» mas prUa para lograr su gus­ ha de -encontrar en la acción una familia ofendida por to que el Rei par* hacer su viage. El castiga á D. Tcalgún personage, y que algún Rei disfrazado se descu­ .11o, mandando qne un-verdugo le corte la cabeza; per* bre á lo mejor, y la '•indica completamente. Este gé­ ■ Elvira,…</t>
  </si>
  <si>
    <t>Tcllo</t>
  </si>
  <si>
    <t>no se descuida en pedírsele á quien con su pleno consentimiento se lo h¿bía quitado. La Esta comedia tiene en su íondo moral , y’en.su in­ acción de D. Tcllo es mui reprehensible: no se puede triga bastante semejanza con la del Mejor alcalde el Reí. negar; pero la fácil Doña Leonor hubiera podido mi­ En ambas se encuentran do…</t>
  </si>
  <si>
    <t>Tcschcu, Alberto de Saxonia</t>
  </si>
  <si>
    <t>Alberto de Saxonia Tcschcu</t>
  </si>
  <si>
    <t>e. Este día será para nuestra ciudad una época me* EÍ archiduque Carlos llegó ayer eon S. A. I. el morablí. SS. ¿\4M. después de una ausencia de tres duque Alberto de Saxonia Tcschcu su tío, años se han regresado hoi á su capital, y han en­ Ya no quedan mas que ocho hospitales de lot trado á la una de la tarde, anunciando su …</t>
  </si>
  <si>
    <t>Tcseano, Manuel Sánchez</t>
  </si>
  <si>
    <t>Manuel Sánchez Tcseano</t>
  </si>
  <si>
    <t>.................... ........... ....... . 4164'12 D. Ftáncisco de la Quintana...........;.' 50006. D. Francisco Sardina........................ 2140 D. Manuel Sánchez Tcseano.• 8c'Cob* D. Francisco Viaña............................ . 245,70 Doñá Gqrónima Aguiiar.....'.UVA.¡i 11240. D. Antonio Ronvillard..................... …</t>
  </si>
  <si>
    <t>Tcxedor, Gerónimo</t>
  </si>
  <si>
    <t>Gerónimo Tcxedor</t>
  </si>
  <si>
    <t>bel primera i’e y para d beneficio surtidero d- Boadilia de Ri' — Rusia, ó el Hombre singular, con una buena tonadilla seco, eu la misma diócesis &gt; i D. Gerónimo Tcxedor. y un divertido saínete. EN LA IMPRENTA REAL.</t>
  </si>
  <si>
    <t>TEATROS</t>
  </si>
  <si>
    <t>yor Francisco Bagneris.” Orea, frente á S. Luis: su precio 2 rs. Andrés Castro tenia' asolado con sus robos el pueblo de PegaLjar , reino de Jaén. El alcalde TEATROS. D. Pedro Terreros logró prenderle , y le mandó En el del Príncipe, á las cinco de la tarde, se re­ conducir á Jaén. Dos facinerosos, llamados el uno presentará …</t>
  </si>
  <si>
    <t>á caballo. El barón Montesqoiou , coronel del 13.°, idem. El domingo 24 de junio por S. A. S. el prín­ cipe de Bencvento , vice-gran-elector, Mr. el conde TEATROS. de Víllemanci, senador, y Mr. Legooidel, fiscal Mañana en el del Príncipe, á las ocho de la noche, eneral imperial eo el tribunal de apelación de •e executará la t…</t>
  </si>
  <si>
    <t>Tedos</t>
  </si>
  <si>
    <t>or se reparte alguna vez Lo mismo es dos que doscientos. con igualdad, es falsa la última proposición; y si La escena en que el Reí pone las manos en.D. Tedos ardores no se ven nunca iguales , es falsa la prime­ 11o e$tá\dornada de mui buenos versos; pero la noble­ ra. Encontrar una comedia antigua sin conceptos obs­ za que c…</t>
  </si>
  <si>
    <t>Tei, Pedro</t>
  </si>
  <si>
    <t>Pedro Tei</t>
  </si>
  <si>
    <t>ño para entenVautbier. tí. Juan Viraváux, D. Celestino Vil- * der én todos los asuntos relativos á indemnizaciones b; :s, tí. Jésíis María Bóúdgoct y D. Pedro Tei- y confiscaciones, ha colocado su secretaría en el pi­ iirtiier subtenielmrs.' En las compañías dé! tren de so &gt; ai* de lá casa ;que fue de temporalidades, pla­ art…</t>
  </si>
  <si>
    <t>Tejada, Francisco</t>
  </si>
  <si>
    <t>Francisco Tejada</t>
  </si>
  <si>
    <t>fabricas , indusrria , comercio &amp;c. S. Nicolás de la ’-Axerquia ; D. Juan Henao, de dexándolos admirados de sus luces, de su amor pa­ S. Andrés; Dr. D. Francisco Tejada , del Sal­ ternal, y del vivo interes con qus trata de cimentar vador; Dr. D. Juan de Dios Cano, de la Magda­ nuestra felicidad sobre Las mas sólidas basas. l…</t>
  </si>
  <si>
    <t>Tejada, Vicenre</t>
  </si>
  <si>
    <t>Vicenre Tejada</t>
  </si>
  <si>
    <t>ñez. D. Isidro Velazquez. D. Josef María Acosta. D. Manuel Novales. D. Eugenio Aguilar. D. Francisco Peralta. D. Manuel Badana. D. Mateo Gil de Sola. D. Vicenre Tejada. D. Domingo Ventades. D. Julián Sojo. D. Tomas Ibargiien. Tenientes. D. Ramón García Ximenez. Batallón del quartel de S. Isidro D. Josef Cabredo. D. Bartolomé …</t>
  </si>
  <si>
    <t>TelesforoMariano</t>
  </si>
  <si>
    <t>entre los pobres. El Em­ pez y 4 D. Juan Arteaga y Enderica subtenientes perador, queriendo dexar al corregidor una prenda de infantería de línea: á D. TelesforoMariano sub­ particular y permanente de so estimación, le ha teniente del regimiento núm. 3.* de cazadores á regalado una caxa magnífica adornada con su re­ caballo: …</t>
  </si>
  <si>
    <t>Telio</t>
  </si>
  <si>
    <t>Leonor, que ardardo siempre á caza de disculpas, Que nunca se ven iguale* se queja al Kei D. Pedro del desacato cometido por Dos ardores con extremo. D. Telio, diciéndcile entre otras cosas: Véase aquí como i pesar d® su» zelos y ds su de»*»-</t>
  </si>
  <si>
    <t>Tello</t>
  </si>
  <si>
    <t>es ay de setiembre de 1810. . gran-número, de comedias que en este género ac han es­ crito. j i : . ■■ TKATXOS. ' Un rico infanzón de Galicia llamado D. Tello roba -una noche á la futura esposa de un honrado labrador, En el del Príncipe, á las siete y media de la nu­ que va de resultas á quejarse al Reí de León. El Mo­ che, s…</t>
  </si>
  <si>
    <t>las funciones teatrales. tanto mas ridiculo, quanto para nada era necesario. Para En la última representación se ha dividido la come­ -que recaiga en D. Tello el castigo que el Relie impor dia en cinco actos. El corrector ó refundidor" ha logrado ne, basta y sobra con sus anteriores delitos. Ha robado conservar la unidad del …</t>
  </si>
  <si>
    <t>haber entre los equívocos La relación que hace Sancho al Reí de sus amores, pueriles y gongorinos que cité en mi anterior artículo y de la infamia de D. Tello en robarle su querida, es­ con la sencillez, elegancia y fluidez de estos lindos tá escrita con un estilo tan puro; su dolor, aunque coa versos! Son déla segunda escena…</t>
  </si>
  <si>
    <t>mui sabida cierta famosa res­ sutilezas. Dice que Ja llama que crecia en ella se extin­ puesta de una dama que galanteada por un gran perso- guía en D. Tello, y poniéndose á indagar mui despacio nage, y en ocasión que este la preguntaba por donde se el principio natural dé semejante proceder, alega sus iba á su alcoba, le res…</t>
  </si>
  <si>
    <t>armas. {Y será soportable que un Y si justicia no alcanza (buena concordancia) momento en que el Rei acaba de dar/de bofetadas^ Apelaré á la venganza D. Tello, el criado de este, cuyo nombrs cv Petegil, Del veneno de mis ojos. le pregunte: En otra ocasión dice el lfei que un hombre solo no {Dolióte mucho Señor? . ; . es valie…</t>
  </si>
  <si>
    <t>Tello, Elíseo</t>
  </si>
  <si>
    <t>Elíseo Tello</t>
  </si>
  <si>
    <t>stumbran :-y allí mismo se formaron las boletas para el alojamiento de los-ofi­ ciales. — Luego dieron órdeh al corregidor, al gobernador inte*? riño D. Elíseo Tello , v ai secretario de Ayuntamiento , qúe pasa­ sen inmediatamente á presentarse al principe de Avamberg, co­ mandante de la división enemiga. Encontróles en la „e…</t>
  </si>
  <si>
    <t>TelU</t>
  </si>
  <si>
    <t>orca, debían por lo menos hacerla pensar hensibles y escandalosos. Den Tel/e se llama el uno, y que en su modo de quejarse hacia ella misma la acusa­ D. TelU se llama el otro. Igualas en las costumbres, 1« ción de tu liviandad y de su poco recato. Me ha gu*»</t>
  </si>
  <si>
    <t>Temor, Joaquín</t>
  </si>
  <si>
    <t>Joaquín Temor</t>
  </si>
  <si>
    <t>ento á D. Josef María Mauri; por mayor á mer batallón de este regimiento al teuiente coronel D. Fernando de Rodas; por ayudantes de batailon retirado D. Joaquín Temor. á D. Juan Monsaiveya D. Josef Lachambre ; ayu­ art. 111 Nuestro ministro de Guerra queda dantes a D. Domingo Rigal y D. Antonio de Zea, encargado de la exccuci…</t>
  </si>
  <si>
    <t>Temoson, Martin</t>
  </si>
  <si>
    <t>Martin Temoson</t>
  </si>
  <si>
    <t>de León, teniente de navio, 20.—Alféreces de navio. D. Domingo Mesa , 30. D. Manuel Vi lia vicencío, 120. D. Félix Gastartlbide, 60. Id. de fragata, D. Martin Temoson , 50. — Cuerpo de pilotos. D. Joaquín Cundin , 70. D. José de la Peña, 70. D. Domingo Ugalde, 200. D. Juan de Heredia, 140. D. Juan Triana, 15. D. Fernando Sánc…</t>
  </si>
  <si>
    <t>Tena, Pedro</t>
  </si>
  <si>
    <t>Pedro Tena</t>
  </si>
  <si>
    <t>mpa entre el Frasno y Calatayud á 650 franceses. Murieron en la acción D. José Alcalde , oficial español juramentado al servicio de José Bonaparte, y D. Pedro Tena , vecino del Ftar-no , nom­ brado corregidor de Calatayud por el mismo. De los enemigos solo se salvaron unos 14 que pudieron escapar. Campo de Gibraltar 20 de may…</t>
  </si>
  <si>
    <t>riendo pasar el rio Xalon, y otros quedaron muer­ tos, entre ellos D. José Alcalde, desertor de nuestro exército y capitán al servició del enemigo, y D. Pedro Tena , nombrado cor­ regidor de Calatayud por José fíonaparte. Siguióse el alcance hasta cerca de Riela, y á excepción de unos 14 que pudieron salvarse, los franceses r…</t>
  </si>
  <si>
    <t>Tenet</t>
  </si>
  <si>
    <t>médico .que es enfermedad qua na haber propuesto inmediatamente en su academia. D. J. tiene cura. dice que lá convocó; pero todavía no nos ha dicho «d Tenet ínsanahilemultos objeto de aquella sesión. Scrihendi caciithts, rt negro in •forje senescit. Quando el. público estaba esperando esta noticia éte» Sat. 7. le que no* vien…</t>
  </si>
  <si>
    <t>Ténh, Tomas de RiítortiRo</t>
  </si>
  <si>
    <t>Tomas de RiítortiRo Ténh</t>
  </si>
  <si>
    <t>D. Jorge Lanunian. En el regimiento de infantería de Africa se ha dignado con* ceder el Consejo de Regencia el empleo de coronel al coronel, graduado D. Tomas de RiítortiRo■Ténh-'nte coronel dei de Mur­ cia ; y en esta cuerpo compañías á D. Manuel Márquez , D. JoSé Pinto , D. Antonio Guto , IV Antonio Áivarez , y D. Juan Cosu…</t>
  </si>
  <si>
    <t>Tenorio, Francisco</t>
  </si>
  <si>
    <t>Francisco Tenorio</t>
  </si>
  <si>
    <t>cos. mui de antemano de las felicidades que iba á con­ D. Josef Glande, que lo es de la de S. Pablo,y seguir la España baxo la benéfica dominación de D. Francisco Tenorio , de la de S. Viceote Mártir. V. M., y ha dado las mas relevantes pruebas de El corregidor de Baeza tuvo el honor de presentar su opinión y convencimiento ,…</t>
  </si>
  <si>
    <t>Tenorio, Joaquín</t>
  </si>
  <si>
    <t>Joaquín Tenorio</t>
  </si>
  <si>
    <t>l tronco de ún árbol, la qual de­ cía que cavando al pie de -dicho árbol se encontra­ Capitanes. ría una.botella. Dentro de esta se hallaron las car­ D. Joaquín Tenorio. tas escritas hace cerca de !7&gt;años, las quales in­ D. Josef Guardado. mediatamente que ha Uegado.&gt;e3 Dromedario á In­ D. F rancisco Cabrera. glaterra han s&gt;d…</t>
  </si>
  <si>
    <t>Tenorio, Juan</t>
  </si>
  <si>
    <t>Juan Tenorio</t>
  </si>
  <si>
    <t>que se nos presentan: destruir un punto de su fuerza y propiedad, no está mui en al - todos los escrúpulos con que el honor no» combate, y orden que D. Juan Tenorio, hablando con su criado.se • llegar dulcemente al término que deseamos. Consegui- ponga á hacer un raciocinio tan detallado para decir en « do el triunfo, ya no h…</t>
  </si>
  <si>
    <t>cho, que mi genio Dixera yo Síc.” No es para andar de reata El diálogo espp.ñol no omite nada de lo esemci.il al Con muger á toda* horas. carácter da D. Juan Tenorio, y sin embargo pasa ccn MI triad». Pue* con esa repugnancia, rapidez sobre loa principios que le hacen aborrecible. ¡ A qué afectas tantaa fioas &gt; En la pieza fr…</t>
  </si>
  <si>
    <t>a ccn suelen inspirar las sotanas estudiantinas, están perfecta­ un gusto constante, desde la época que dió áaconocer mente pintadas. Las amenazas de D. Juan Tenorio des­ en el coliseo de los Caños del Peral su apreciable talen­ de la ventana de su querida, á cuya' puerta se había co­ to en el arte que exerce. No es el menor …</t>
  </si>
  <si>
    <t>Tenorio, Miguel Pablo</t>
  </si>
  <si>
    <t>Miguel Pablo Tenorio</t>
  </si>
  <si>
    <t>cto de 'Sevilla. dientes para restablecer, en quanto sea posible, el D. Cayetano Nudide Ayamonte. . magnífico templo.de.Vesta.» y parece que se trata D. Miguel Pablo Tenorio, de Arácena. de desembarazar y altanar el terreno que h.ú al re­ En la prefectura de Xeres. dador de este antiguo y precioso monumento. D. Justino Matute…</t>
  </si>
  <si>
    <t>Tenorio, Pedro</t>
  </si>
  <si>
    <t>Pedro Tenorio</t>
  </si>
  <si>
    <t>claro esta, obispado de Tortosa, para .el 'arzobispado de Toledo, «que no solamente en ese reino si e! papa sabe que en vacapte por fallecimiento de D. Pedro Tenorio. El Rei «España y Francia i« han'de consentir semejante a uto insistía en que el papa reconociese y aprobase el nom­ «que ese,qu'e lo fará por acrecentar su juri…</t>
  </si>
  <si>
    <t>Tenorio, Rafael</t>
  </si>
  <si>
    <t>Rafael Tenorio</t>
  </si>
  <si>
    <t>............................... 31665 D- Francisco Gu o Carrasco............... 5414 21 D. JosefTnta......................................... 1643232 D. Rafael Tenorio.................................. 2580 30 D. Leonardo Gulli-,............................... 2220 24 D. Gregorio del Casti.lo....................... 2554 16 Do…</t>
  </si>
  <si>
    <t>Teodola</t>
  </si>
  <si>
    <t>e á S. M.; el 1IBR0Shermoso clima de la Grecia; la imaginación viva y amena de sus habitantes; la vecindad Alel Epiro; El Héroe español, historia deL Emperador Teodola variedad de trages y de costumbres, y la situa­ 610 el grande, traducida del francés por el P. Francisco de'Isla; dos tomos en 8.3_"Doctrina política civil, es…</t>
  </si>
  <si>
    <t>Teodorowua, María</t>
  </si>
  <si>
    <t>María Teodorowua</t>
  </si>
  <si>
    <t>adictas al gobierno; pero la Tesalia y el María, y s-ran sus padrinos SS. MM. el Empera­ resto de la Gncia manifiestan abiertamente sus de­ dor y la Emperatriz María Teodorowua de Rusia. seos de mudar de dominación. La vacuna ha hecho eu esta capital y en las provincias del norte del imperio progresos mas rá­ SUECIA. pidos qu…</t>
  </si>
  <si>
    <t>Teodosio</t>
  </si>
  <si>
    <t>á.la potestad civil en quanto Grande; el ac corsaguinidad hasta el 384 que le puso á las solcmnidade, y condiciones con que debe celebrar­ el citado Emperador Teodosio; pudiéndose, probar fá­ se para producir electos legales cti la &gt;ociodad. cilmente lo mismo respecto de los otros impedimentos Jesucristo no destruyóla natural…</t>
  </si>
  <si>
    <t>Ter, Vicente</t>
  </si>
  <si>
    <t>Vicente Ter</t>
  </si>
  <si>
    <t>e Lledós por idem: D.~ José An­ tonio Castellarnau por ídem: D. Antonio María de Parga, por la pro­ vincia de Santiago : D. Francisco Pardo por idem: D. Vicente Ter­ rero, por la de Cádiz: D. Francisco María Riesco, por la junta supe­ rior de Extremadura: D. Gregorio Laguna, por la ciudad de Badajoz: D. Vicente de Castro Lava…</t>
  </si>
  <si>
    <t>Teran, Juan</t>
  </si>
  <si>
    <t>Juan Teran</t>
  </si>
  <si>
    <t>......................... 3700 81 D. Joaquin Peral................................... 73220 D. Josef Mallada.................................... 1444 D. Juan Teran......... ............................... 200 D. Felipe Prado y Lemas............ . 3249 D. Josef Antonio de Muxica............... 23OI3 23 D. A ntonio de Benito y …</t>
  </si>
  <si>
    <t>Tercera</t>
  </si>
  <si>
    <t>echer, caballería han salido á recibirle, y le han escoltado consejera 4o la diputación de los Grisones. hasta el quartel de inválidos. El clero y el mariscal Tercera te¡ion del ty de junio. La dieta del gobernador de los inválidos han recibido el cuerpo; año pasado estableció pos modo de concordato, y y le han colocado baxo …</t>
  </si>
  <si>
    <t>Teresa</t>
  </si>
  <si>
    <t>Nún». 74. 311 sna GAZETA DE MADRID DEL JUEVES ij DE MARZO DE 1810. PRUSIA. Hildburghausen, donde S. A. R. se propone cele­ brar su desposorio con la princesa Teresa. Berlín 7 de febrero. Ha pasado por aquí un correo austríaco que iba D2ntro de pocos dias llegará á esta ciudad el á Viena con pliegos, según dice, mui importante…</t>
  </si>
  <si>
    <t>entrante hacia el rei­ nombrado por S. A. R. envi ido extraordinario y no de Italia. ministro plenipotenciario cerca de nuestra corte; Se dice que la princesa Teresa, hija del prínci­ y el Emperador ha nombrado al señor conde An­ pe de la T#ur y Taxis, se casará con un oficial ge­ tonio Josef de Apponi por su embaxador en Car…</t>
  </si>
  <si>
    <t>mayo. fuera del reino, a - :y . ¡ Esta mañana han salido para -Praga SS. A A. el ... milicia dé los condados de Inglaterra , que ríncipe Antonio y Ja princesa Teresa su esposa!» ha sido, llamada-justamente el brazo. mi itar.de;Ja ermana del Emperador de Austria.- ' c' v constitución, es en rigor u:i poder civii co/npuesro • A…</t>
  </si>
  <si>
    <t>fan. y 8 celem., linde á oriente y po­ oriente con los Cerros, y por mediodía niente con tierras del mayorazgo que posee con tierra que fue de dicha Doña Teresa, D. Gabriel Alonso Geta........... ........... ..... 68 1496 y hoi de las dominicas.................... ............ 158-17 3487 Otra en dicha vega , término de Torre…</t>
  </si>
  <si>
    <t>as Navas, de una fan. y ó- céiern., celem. y 5 estad., que linda á norte y po­ qua linda á mediodía con tierra'dé la ca­ niente con tierra que fue de Doña Teresa pellanía de Doña Ursula de Vtfdo...v....... 27..17 605 Herranz, y hoi es de las monjas dominicas. 61 134» Otra en la majada de Cerveray de 4 fan., Otra por debaxo de…</t>
  </si>
  <si>
    <t>ERIO FRANCES. 14 por la mañana para regresar á Toeplitz, en Bo­ hemia; acompañan á S. M. I. el principe Antonio Amsterdan 24 de julio. su cañado y la princesa Teresa su hermana. El Según las relaciones de olido que han llegado Reí ha acompañado también á S. M. I. hasta la al ministerio de marina y de las colonias, ias tri­ pr…</t>
  </si>
  <si>
    <t>roponer y adoptar los medios para su exe­ alusivas al matrimonio de nuestro Príncipe herede­ cucion ; todo cuu acuerdo y aprobación del Em­ ro con la princesa Teresa. Por la noche toda la perador. ciudad ha estado iluminada magníficamente. Tam­ SAXONIA. bién ha habido un espléndido banquete en el pala­ cio del príncipe de Tax…</t>
  </si>
  <si>
    <t>Teresa, Mafia</t>
  </si>
  <si>
    <t>Mafia Teresa</t>
  </si>
  <si>
    <t>15. Lntrda............... .439*9 D. Josef Luis Sape 6255I i2f; DoñaMargarita.JáuregUi^-.,............ 46080 D. Pedro Ponte................... 6095 .. Doña Mafia Teresa..Montero. d« la P. Miguel Herrero ■ ««•«•i* • «**&gt;**! 7569! 8- Concha-,...... . D. Fernando Font.................... .......... . 0201 &gt; / ( P. MígueL Castella…</t>
  </si>
  <si>
    <t>Teresa, María</t>
  </si>
  <si>
    <t>María Teresa</t>
  </si>
  <si>
    <t>elebró en la iglesia Aujrsburgo ir de abril. parroquial de palacio un oficio solemne por el alma No cesan de pasar por aquí divisiones del gran de la Emperatriz María Teresa. S. M. el Empera­ tren de artillería (r^peesa, y todas ellas van coa dor , bS. AA. 1L y toda la corte asistieron á esta dirección 4 Scrasburgo. También p…</t>
  </si>
  <si>
    <t>. El 13 de mayo de este año , dia del «umple años del príncipe regente, nuestro señor, se celebró en Riojaneiro el casamiento de la serenísima señora Doña María Teresa, infanta de Portugat , con el serenísimo señor D. Pedro Cari os de Borbon, infante de España. Con tan plausible mo­ tivo hizo el gobierno varias gracias á much…</t>
  </si>
  <si>
    <t>l­ les , en la China* y en Karatschatka; y en dos se­ ternos» fue enviado en 1779 á Theschen por la gundos envío boletines telegráficos á Paris. Esta Emperatriz María Teresa para ajustar 4a paz coa, lengua puede servir, de cifra secreta, porque son la Prusia. Luego fue nombrado vice-cáncíller. Jo- infinitas sus variaciones. E…</t>
  </si>
  <si>
    <t>Terra, Miguel</t>
  </si>
  <si>
    <t>Miguel Terra</t>
  </si>
  <si>
    <t>Antonio y S. Juan de N oriega, 81 jBabonqyaba. Ei subdelegado D. Félix Gómez de Montenegro , io. Don Francisco Valderrama, 6. D. Domingo Tarango, 8. D. Miguel Terra­ zas, 10. Varios individuos, 37 y 1 real. — Ademas de las anteriores do­ naciones se han hecho las ofertas siguientes. — El capitán D. José Ron­ quillo por el tie…</t>
  </si>
  <si>
    <t>Terreros, Pedro</t>
  </si>
  <si>
    <t>Pedro Terreros</t>
  </si>
  <si>
    <t>neris.” Orea, frente á S. Luis: su precio 2 rs. Andrés Castro tenia' asolado con sus robos el pueblo de PegaLjar , reino de Jaén. El alcalde TEATROS. D. Pedro Terreros logró prenderle , y le mandó En el del Príncipe, á las cinco de la tarde, se re­ conducir á Jaén. Dos facinerosos, llamados el uno presentará por la compañía e…</t>
  </si>
  <si>
    <t>Terroba, Vicente Martínez</t>
  </si>
  <si>
    <t>Vicente Martínez Terroba</t>
  </si>
  <si>
    <t>3,0 Uso de rejón ó puñal, y de armas de faego Francisco, para la media-ración que dexa vacan­ sin permiso de la autoridad competente. te Elizalde: á D. Vicente Martínez Terroba, ca­ . art. iv. Los reos , de qualquiera clase y con­ nónigo de la catedral de Málaga, para el arcedía— dición que fueren , acusados de los mencionado…</t>
  </si>
  <si>
    <t>Teruel, Fernando</t>
  </si>
  <si>
    <t>Fernando Teruel</t>
  </si>
  <si>
    <t>aez , ID. Francisco Hidalgo , D. Redro Oniz , D. Manueil Hidalgo , D. Joaquín Hidalgo, D. Francisco Dacosta , D. Fer­ nando Barbolla, IV José CansLo, D. Fernando Teruel, D. José A-mat, IV A*gu¡»tin Amat, D. Pedro Aívarez, y D. Víctor Alvarez. Por él Excmo. Sr. D. Francisco de Egura, Secretario de Esta­ do y del Despacho -un i…</t>
  </si>
  <si>
    <t>Texada, Antonio</t>
  </si>
  <si>
    <t>Antonio Texada</t>
  </si>
  <si>
    <t>Carlos Rentería, ¿y. D. Pedro Timoteo Vega, 56. "O. Domirígó Gómez, 25* El gobernador intendente D. A’exo Gar­ cía Conde, *00. El ayudante inspector D. Antonio Texada, ioo. — Fronteras. Capican D. Antonio Narbona, 90. Teniente D. Guillermo Limón, 10. Alférez D. Ignacio Diaz, 6. Id. D. Manuel Casanova , y. Lqs sargentos , cabo…</t>
  </si>
  <si>
    <t>Texeiro, Francisco</t>
  </si>
  <si>
    <t>Francisco Texeiro</t>
  </si>
  <si>
    <t>ar en el riesgo á que las exponía la presencia de la caballería enemiga. Este arrojo nos costó 5 heridos del batallón de Zafra, entre ellos el cadete D. Francisco Texeiro, y 6 prisioneros , incluso ei sub­ teniente D. Agustín Galabiz. f</t>
  </si>
  <si>
    <t>Texera, Vicente</t>
  </si>
  <si>
    <t>Vicente Texera</t>
  </si>
  <si>
    <t>l cimiento en que los novadores de Caracas han establecido el edificio de su autoridad usurpada. La ciudad de Coro, adon­ de los emisarios caraqueños D. Vicente Texera , D. Diego Ju­ go y D. Andrés Moreno se dirigieron primero, oyó con hor­ ror sus proposiciones; reiteró solemnemente el juramento de fidelidad al rey FERNANDO …</t>
  </si>
  <si>
    <t>Thiebaut</t>
  </si>
  <si>
    <t>165</t>
  </si>
  <si>
    <t>165 En fin , su intento fué probar la necesidad y la utilidad de la me­ dida aun para V. M. mismo. Parece que el general Thiebaut no vuelve k Burgos según se decia. La Martiniere que manda allí tiene k todos contentos, y aunque general de brigada solamente , desearían que quedase con el gt.bierno de la provincia. El número de…</t>
  </si>
  <si>
    <t>Thietmann</t>
  </si>
  <si>
    <t>te enfermo de mucho peligro, y se teme que fallecerá mui pronto. AUSTRIA. Nuestra guardia nacional prestará sn juramento de fidelidad á presencia del general Thietmann , que Viena 24 de abril. ha estado encargado de su organización- Esta cere­ Esta mañana ha llegado de París nn correo del- monia se executará antes que salga e…</t>
  </si>
  <si>
    <t>Thouvenct</t>
  </si>
  <si>
    <t>lo mismo que lo dicho res­ pecto á Aragón). TÍTULO QUARTO. Del gobierno de V¡% aya. — Q arto gobierno. (La Vizcaya se llamará gobierno de Vizcaya. El general Thouvenct sera gobernador, y lo mismo que lo didj-o respecto á Navarra). V TITULO QUINTO. (Los gobernadores de estos quat»\&gt; gobiernos se enten ilerám con ei estado mayo…</t>
  </si>
  <si>
    <t>Thouvenot</t>
  </si>
  <si>
    <t>no de Vizcaya, iv. Gobierno.—,,Artículo I. — La provincia de Vizcaya formará un gobierno particu.lar, baxo el título de Gobierno de Vizcaya. — II. El general Thouvenot es nombrado gobernador: reunirá ios poderes civiles y militares. — III. El .gobernador está encargado do la administración de policía , de la jus­ ticia, y de …</t>
  </si>
  <si>
    <t>Carlas interceptadas del general Thouvenot, gobernador de Vizcaya, al mariscal duque de Dalmacia. I. S. Sebastian 10 dé julio de. 1810,; “ Señor mariscal: El general Dumoustier lia salido cíe Vitoria él 7 con los babado­ res de la G</t>
  </si>
  <si>
    <t>ra en la indispensable obliga.cion demas , es publico y notorio el estado de las provincias de que se trata, y que en Navarra, según la expresión del general Thouvenot, gobernador francés de S. Sebastian, en su carta d Soult (publicada en nuestro núm. 66) dan la ley los bandid. s. (14) Los gallegos explican de otro modo las c…</t>
  </si>
  <si>
    <t>an que comer pa­ ra el dita siguiente á su entrega. - (9) Ifuciló pudiera darse sobre todo esto , pero basta consultar las cartas in­ terceptadas del general Thouvenot, gobernador francés de S. Sebastian, pu­ blicadas te ti el núni. 60, pág. 584 , 'de las guales .podemos colegir qual seria en el tiempo de que se habla , y en …</t>
  </si>
  <si>
    <t>Thuillier, Juan</t>
  </si>
  <si>
    <t>Juan Thuillier</t>
  </si>
  <si>
    <t>es núm. i.° , á que seguirán otras. Lista de suscripción: núm. i. — El señor D. Juan Corsbie, rs. vn. i.® El señor D. Guillermo Beeston, i®. El señor D. Juan Thuillier, i®. E.í señor D. Tomas Withington, i®. El señor D. Carlos O’Gorman, i@¡. El sensor D. Tomas Barber, 10. El señor D. Cárlos Vaughan, i®. El señor D. Diego Duff…</t>
  </si>
  <si>
    <t>Thurbeirn</t>
  </si>
  <si>
    <t>, que estará inmediatamente a las órdenes deL rante Conomande; el Aníbal, de 74; el Genovss, Rei. de 74; el Bóreas, de 74; el 'Danubio , de 74; el £1 conde Thurbeirn, prefecto del círculo del Sufrein , de 74; el Magnánim.), 4? 74; el Uima, Mein , que hasta ahora ba residida en üatnberg,. de 74; eí Ayax Fr,gatas: Pené tope, de…</t>
  </si>
  <si>
    <t>Tibel</t>
  </si>
  <si>
    <t>ta por la que se hallan actualmente las rentas de la uacion. mayor parte de buques suecos, ba entrado en Gotenburgo en estos últimos 4i«. BOHEMIA. El general Tibel , que babia ¡do á París para en­ cargarse de los prisioneros suecos, ha llegado aquí, Praga i€ de abril. y también el barón de Adlerswaerd. S. M. la Emperatriz de …</t>
  </si>
  <si>
    <t>Tiburcio</t>
  </si>
  <si>
    <t>. Fox el deseo de Nota. En la gazéta de ayer jueves, pág. 456, conservar sus plazas, y una prueba mas del egoís­ artículo Andújat, donde dice Jaens ( D. Tiburcio), mo y venalidad de todo partidario. limosnero eclesiástico del regimiento i.° de infan­ Quando en la cámara baxa se trató de exami­ tería ligera, debe decir Saenz (…</t>
  </si>
  <si>
    <t>Tiicio, Juan E-tébm</t>
  </si>
  <si>
    <t>Juan E-tébm Tiicio</t>
  </si>
  <si>
    <t>Josef Pelaez...,............. ..................... 3475 D. xM'auuel Sixto L-purosa..................... i6:;0 4 D. VRente Ferrcr Carrera, por si, y D. Juan E-tébm Tiicio........................ -40 *4 como mari io de Doña Josefa Ra­ D Antonio Dimingo Poi.ier............... 5 2'6 ij pos ■"&gt; y Panlagua.........................…</t>
  </si>
  <si>
    <t>Tillias, Josef Ibón</t>
  </si>
  <si>
    <t>Josef Ibón Tillias</t>
  </si>
  <si>
    <t>uín AI fon so Mcnyardin...v.... &lt; ■4282'-*!^ D. Joan Estébande Tricio#..#.;..' 8000914 D. Miguel Cornet;,»v.-.;v..v.-.-...'.v:&gt;.t&lt;.'.Kt.JÍ/- J-q jy'í D. Josef Ibón Tillias..it»»...bi.i.M^í.i... - 46000 a D.iD'omingo de ■Lanz».-.v.-...i¡. .v....;Vir.í 1*899* D. Joaquín Antoniode- Sojo.i..186000 , D. Félix Perez................…</t>
  </si>
  <si>
    <t>Tineo, Pedro</t>
  </si>
  <si>
    <t>Pedro Tineo</t>
  </si>
  <si>
    <t>mpañía. ART. II. En la, villa de Escepapse aumentarán D. Antonio Ríchter para teniente de la mí^ma. dos compañías, formando un batallón con las otras D. Pedro Tineo para.subteniente de la dicha. , dos ya formadas. : D. Ignacio Granados para subteniente de la Nombramos para comandante de este batallón tercera compañía. a D. Lu…</t>
  </si>
  <si>
    <t>Tinoco, Juan López</t>
  </si>
  <si>
    <t>Juan López Tinoco</t>
  </si>
  <si>
    <t>pañía á D. Anto­ bres prisioneros. nio Varóla , para teniente á D. Pedro Vareta , y „ La dimisión inglesa compuesta de tres fraga­ para subteniente á D. Juan López Tinoco. &lt; tas, una corbeta y dos britks ha evitado el com­ art. iv. En la villa de Cañete la Real se for­ bate con la nuestra. Puedo asegurar I V. A. qae mará u&lt;&gt;a…</t>
  </si>
  <si>
    <t>Tinoco, Manuel</t>
  </si>
  <si>
    <t>Manuel Tinoco</t>
  </si>
  <si>
    <t>fot bncfiHos cnraJotvacanfef enelobis- ciudad de Vele*, vacante por muerte de D. Jo-, pado de Málagas atendiendo al mérito y circuns­ sef Navarro, á D. Manuel Tinoco « presbítero. tancias de los opositores, vista la propuesta hecha Para-el beneficio de la parroquia de la villa del. por el reverendo 'obispo de aquella diócesi,…</t>
  </si>
  <si>
    <t>Tinoco, Sebastian</t>
  </si>
  <si>
    <t>Sebastian Tinoco</t>
  </si>
  <si>
    <t>y un caballo muerto : la de los enemigos no se sa­ be, aunque debió de ser muy considerable* Al dia siguiente Agilitar reforzado con las partidas de D. Sebastian Tinoco, D. Juan José Barranco y D. Miguel López, vecino de Ubrique , y los ginetes del mando de Don Francisco Gómez y D. Roque Gallego pasó al sitio de Fuenblanquill…</t>
  </si>
  <si>
    <t>Tirado, José María</t>
  </si>
  <si>
    <t>José María Tirado</t>
  </si>
  <si>
    <t>s, 249.. y.',2 rs. —tAíilicia$ de Afazatlan. Comandante eltenienregobernadorD. José Esteban , 62. Ayudante mayor Ó. Juan Pedro VValfcer, 15. Capellán D. José María Tirado, 25. --Primera compartid. Capitán Mateo Ortega, 47 y 4 rs. Teniente Faustino Váz­ quez, 22 y 6 rs. Alférez Lorenzo Saíazar , 19. Los sargentos, cabos y sold…</t>
  </si>
  <si>
    <t>Tliouvenot</t>
  </si>
  <si>
    <t>550</t>
  </si>
  <si>
    <t>r. De Bilbao escribían que eran tantas las partidas de guerrilla qué nadie podía separarse un quarto de legua del pueblo sin riesgo de ser cogido. El general Tliouvenot que ocupa á S. Se­ bastian con 300 franceses, no se atrevía á salir de puertas afuera. Eos españoles embarcados en 5 fragatas inglesas des­ embarcaban de dia …</t>
  </si>
  <si>
    <t>Tñvira, Pedro</t>
  </si>
  <si>
    <t>Pedro Tñvira</t>
  </si>
  <si>
    <t>del lunes 21 de mayo, En el rtgimiento de Málaga núm. 6.* de in- Cintería de- línea, D, Félix Carrion á subteniente, pág. 594, donde dice Abanderado, D Pedro Tñvira, debe decir Abanderado , D. AgustínTavira. -.-i En el regimiento de Córdoba núm. 7.“ de in­ fantería de línea , D. Josef María Henriquez y Don Ambrosio de Alcosta…</t>
  </si>
  <si>
    <t>To, Diego</t>
  </si>
  <si>
    <t>Diego To</t>
  </si>
  <si>
    <t>anes, á D.' Miguel Ruano, E).-JNicolás. Sedaño, D Francisco Corres, D José Montero, D. Fei;x Arb’izu y Alava 3 D José GEaido , D. Pedro. Hermosilla y D Diego To-"losa. Igualmente se. ha servido promover-en el propio real cuerpo a sar-</t>
  </si>
  <si>
    <t>Toerring</t>
  </si>
  <si>
    <t>lo cesa Teresa en la capilla de palacio según el tito cañón. católico, aunque la princesa profesa la religión pro­ Del 20. testante. El gran preboste conde Toerring.echó la Mr. Walsh llegó ayer á la secretaría de lord bendición nupcial á ios dos esposos; habiendo asis­ Liverpool con pliegos del lord Wellington , é in­ tido á …</t>
  </si>
  <si>
    <t>Tofcano, Almud Sánchez</t>
  </si>
  <si>
    <t>Almud Sánchez Tofcano</t>
  </si>
  <si>
    <t>r Is b I M.rit de Jcsu*..................... 1 3 5 5 2 32 D ña juana ele Urquijo........................ 2 i 66 1 D ñi María Josefa Xaviera Ma.ti ez. D. Almud Sánchez Tofcano...,......... 118963 «I 0 0 D. J os f Ignacio de Joven.................... 36540 Doru Alaria Eugenia Zubiaga, por sí Doña Cami! i de Amaga...............…</t>
  </si>
  <si>
    <t>Toiesky</t>
  </si>
  <si>
    <t>bre de¡ servicio por cierto tienipo limitado , se aventuraron los habitantes á representar contra lo que consideraban como infracción del tratado. El conde Toiesky, gobernador de Finlandia , al qual fué hecha la representación en términos sumisos y respetuosos, convidó á ios habitantes por me­ dio de una proclama á reunirse e…</t>
  </si>
  <si>
    <t>Toledano, Francisco de Paula</t>
  </si>
  <si>
    <t>Francisco de Paula Toledano</t>
  </si>
  <si>
    <t>gues. D. Francisco B mi^;„. D. Juan Antonio Medina. lo.• a • «••••» D. Diego Josef de Vi.la D. Mauricio Palla. Décimo batallón. Para ayudante primero D. Francisco de Paula Toledano, para segundo D. Juan Villa y Trigueros, y para abanderado D. Francisco Xavier Bcre. i. El conde de Villaoqnira....... D. Antonio Aquilino Aguiler…</t>
  </si>
  <si>
    <t>Toledano, Francisco Xavier</t>
  </si>
  <si>
    <t>Francisco Xavier Toledano</t>
  </si>
  <si>
    <t>n del quartel de S. Francisco. D. Jo sef Antonio Molina. Capitanes. D. Josef Garai. D. Andrés Perez. Subtenientes. D. Julián Pombo. D. Fermín Alfaro. D. Francisco Xavier Toledano. I). Manuel Carrillo. D. Ignacio Abadía. D. Manuel Antonio Ibañez. D. Isidro Velazquez. D. Josef María Acosta. D. Manuel Novales. D. Eugenio Aguilar…</t>
  </si>
  <si>
    <t>Toledano, Josef Martínez</t>
  </si>
  <si>
    <t>Josef Martínez Toledano</t>
  </si>
  <si>
    <t>. X. Los géneros coloniales que se encuen­ gimiento de Castilla, i.° de infantería Jigeiá , ca­ tren actualmente en Holanda quedarán en poder pitán á D. Josef Martínez Toledano, y subtenien­ de sos p1"*'» pie tolospagando un 50 por loo del te á D. Josef Yañez Saavedra. En el regimiento valor de estas mercancías. Los propietar…</t>
  </si>
  <si>
    <t>Toledo, Tiburcio</t>
  </si>
  <si>
    <t>Tiburcio Toledo</t>
  </si>
  <si>
    <t>ncasco Encinas , 15. Varios individuos , 21 pesos y 4 reales. •—- Barot/eca. El cura D. José Villegas, 50. D. Bernardo Veloz200. j&gt;. José López, 100. D. Tiburcio Toledo, 50/ D. Miguel Rivera , 25. El pres­ idien) B. Miguel Encinas, 20. B, Nicolás Mesías , 19 .y 4 rs. B. Mariano Campa , 10. B. .Miguel Rodríguez , 10. Varios in…</t>
  </si>
  <si>
    <t>Tom</t>
  </si>
  <si>
    <t>. Alfonso Gcbriel Rojr guez para ci oe Valla idea de que en esta ocasión doi co.t mi „bs la­ dilecha. ta resignación á la voluntad de V. M. ¡a prueba D. Tom as M rtinez Alonso para el de Santa mas terminante de mi rendimiento á vuestra per­ Murcia de B.itiucga. sona-, y del deseo de sacrificarme en sei vicio D. Juan de Arriet…</t>
  </si>
  <si>
    <t>Tom, Manuel</t>
  </si>
  <si>
    <t>Manuel Tom</t>
  </si>
  <si>
    <t>2 de abril. Xerez. Ayer desembarcaron eu esta ciudad dos comi­ D. Miguel Calvo de Rozas, de Cádiz. sarlos ingleses , que vinieron en uu buque parla­ D. Manuel Tom£~, de Ronda. mentario: parece que el objeto de su comisión es art. ii. Nuestro ministro de lo Interior que­ relativo á uo Cange de prisioneros. Mañana saldrán da en…</t>
  </si>
  <si>
    <t>Tomas</t>
  </si>
  <si>
    <t>de enero Carasa (D. Antonio), capitán del regimiento nú­ de iflio. mero 1de cazadores á caballo. Don Josef Napoleón por la gracia de Dios y Casanova (D. Tomas de ) , juez de la junta d« Ne­ por la constitución del estado, REI de las Españas gocios contenciosos. y de las Indias. Cean y Bermudez (D. Juan), gefe da división del …</t>
  </si>
  <si>
    <t>mayor de la milicia cívica han portado mui bien, y especialmente los magis­ de Granada. trados : los escopeteros de dicho pueblo" se han ne­ Laguna (D. Tomas), arcediano de Ubeda. gado a las requisiciones que les habían hecho los Lqjo-a (D. Gesualdo), teniente coronel de arti- salteadores para auxiliarlos. No está lejos el di…</t>
  </si>
  <si>
    <t>oreno (D. Josef Segundo), canónigo y vicaria S. M. ha expedido el decreto siguiente : general del obispado de Jaem Jaén 31 de marzo dé i8’o. Nagh'en (D. Tomas), teniente de la brigada IrDon Josef Napoleón por la gracia de Dios y landevi.’ por la constitución del estado, REI de las Espa- Pérez (D. Ignacio), intendente de Jaén.…</t>
  </si>
  <si>
    <t>® prometido ú S. M. que á su vuelta enco'.traria con­ de la orden extinguida de Carlos m. cluidas las formaciones de las guardias cívicas, dis­ Uson (D. Tomas), oficial del ministerio de la puestas según lo prescrito en, su, reales decretos, Guerra. y que tendrían el honor de escoltar á S. M. , y anun­ Wallanoourt (D. Agustín…</t>
  </si>
  <si>
    <t>inmediata­ D. Ramón Montero, ex lectora 1, para otra canonmente un destacamento del regimiento 102.0 de lí­ gía de la dicha santa iglesia de Burgos: D. Tomas nea. Después hemos sabido que se había empeñado Andrés Labrador, ex canónigo, para otra cannneste cañoneo entre las baterías de Vado y una es- gía de la referida catedra…</t>
  </si>
  <si>
    <t>» &lt; de i8-ro. ¿I .. -v'v- q r.tost» tiv !&gt;¡‘ Ferre'r (D.5Pedro)'»-coronel dfcéósballerí*.' .rü i- Don Josef Napoleón por Ja -gracia dé Dios y Máñoz { D. Tomas')', teniente géoeial, 4Ingeniera por la; constitución.del estado,fREiúier.iai Efpa» réerieral de Marina. ' ; ¿: u :¡ -! .,-••• . ' 1 ñas y de las Indias. ;; Ovdoíiess B…</t>
  </si>
  <si>
    <t>imiento. — El gobernador coronel Berton salió ayer 7 á las 3 de la. tarde para caer al parecer sobre Alora con infantería, caballería y Ja partida de D. Tomas.. Víllarreal compuesta de 25 hombres. Situación de la provincia. — Ningunas noticias se han tenido ofi­ ciales del partido de Osuna, ni de Antequera, porque permanecen …</t>
  </si>
  <si>
    <t>e ¿escribir por 5ui: mandado-: ' pttr bciipaciorí del secretario, .génei^í- t~ Colon t.-r D, José Navarro'Vidal—• i). Vicente Duque, lde.Estrztdat .— D. Tomas..Mqyano — Pascual Quilez y Talón, — 'Canciller ,'J9. RamonATaría de Chaveas. — Regis* erada, D ¥osé RebedVá)¡ ’p ' „,-r *rÁ '■ p vpH ¿b ’yrn , --yy,r1 ’t'- , 111 0.....…</t>
  </si>
  <si>
    <t>capitán de esta compañía osrá derón teniente, y D. Miguel Palomino -subte­ nombrado D. Juan Josef de Galvez; D. Manuel niente. Diaz para teniente, y D. Tomas, Martínez para art. xvit. Nuestros ministros de lo Interior subteniente. y de la Guerra quedan encargados de Ja ex£cucÍon¿ . art. v. En el lugar de Sierra de Yeguas se d…</t>
  </si>
  <si>
    <t>Tomé, Estéban</t>
  </si>
  <si>
    <t>Estéban Tomé</t>
  </si>
  <si>
    <t>sf. . estará iluminada del mismo modo que lo estuvo la Teniente , P. Manuel Carubronefo. de Strasborgo quando pasó por allí S. M. la Em­ Subteniente, D. Estéban Tomé. peratriz. Batallón del quartel de. Afligidos. París i.° de mayo. Capitán, D. Josef Fnmel. Uno de nuestros periódicos dice que Mr. Mac­ Teniente, D. Pedro Real. …</t>
  </si>
  <si>
    <t>Tondo, Magín</t>
  </si>
  <si>
    <t>Magín Tondo</t>
  </si>
  <si>
    <t>'regimiento de guardias YVa-. querido da* mi troto, ni plan, y c a, ni prestar conocimiento. Anteayer hicimos Una expedición J onas, y al subteniente D. Magín Tondo: subte­ nientes de infantería de línea á D.JFrancisco L pez, Cbntta el castillo de la Fuengirola; fue una ver­ D. Pedro Burillo, D. Pedro Denovi, D. Miguel güenza…</t>
  </si>
  <si>
    <t>Tonguino, Francisco</t>
  </si>
  <si>
    <t>Francisco Tonguino</t>
  </si>
  <si>
    <t>o, sitio».,,. ......... . 19 2 20 de r 1 celem. y 4 estad,, linde á oriente y Otra de una fan. y 6 celem. f donde dicen el mediodía con. herederos de D. Francisco Tonguino.,—....... ........ ................ *3- «7 *97 Gabriel Herranz...... ................ ........... 122 Otra de una fin. y 6 célcm., af sitio de los S*i7 Otr…</t>
  </si>
  <si>
    <t>Tooves, Francisco</t>
  </si>
  <si>
    <t>Francisco Tooves</t>
  </si>
  <si>
    <t>Fragata Flora. El comandante, capitán de navio, D. Fermín de Ezterripa , ^co. El capitán de fragata D. Jacinto Romarate, 100. El te­ niente de navio D. Francisco Tooves, 55. Fd teniente ele fragata D. Ma­ nuel de Clemente, 40. El alférez de navio D. Ramón Martínez del Cor­ ro, 60. Id. de fragata D. Jesé Zapiola , 25. Id. D Ju…</t>
  </si>
  <si>
    <t>Topete, Ramón</t>
  </si>
  <si>
    <t>Ramón Topete</t>
  </si>
  <si>
    <t>comienda la se* renidad y firmeza de ia tropa escocesa, que se distinguió co­ mo acostumbra, dando exemplo de valor y disciplina. Ei xtfe de escuadra D. Ramón Topete dice en dos par­ tes: que i consecuente á las órdenes recibí ias , dispuso batir k palanqueta con una división de lanchas el edificio que debía, y que verificado…</t>
  </si>
  <si>
    <t>Tor, Juan</t>
  </si>
  <si>
    <t>Juan Tor</t>
  </si>
  <si>
    <t>.............. 264 3168 que habita Manuel Peragon....... 198 2376 Otra en la calle del Rastro, que Otra en la calle de la Victoria, linda con casa de D. Juan Tor- arrendada á Juan de Damas....... ralba................................................. 363 43)6 220 3640 Otra en la calle de Navas, arren­ Otra en la calle del Saz…</t>
  </si>
  <si>
    <t>Tordesiilas, Tomas</t>
  </si>
  <si>
    <t>Tomas Tordesiilas</t>
  </si>
  <si>
    <t>los referidos tres cuerpos, y ofrecieron á sus ofi­ ciales un banquete fraternal, que han celebrado Subtenientes. con la mayor alegría y entusiasmo. D. Tomas Tordesiilas. D. Francisco Garibai. ESPAÑA. D. F ranci co Canales. D. Benigno Brian. Madrid9 de junio. D. Manuel Cardeñoso. S. M. ha expedido e! decreto siguiente: D. M .…</t>
  </si>
  <si>
    <t>Tormassow</t>
  </si>
  <si>
    <t>archar contra Nissa , que está á 25 legua! precio mui subido. de Widdin. En la gaceta ministerial se ha insertado la rela­ HUNGRIA. ción de cácio del general Tormassow, comandan­ te en gefe de la Georgia, sobre ana victoria alean* Semfin C de noviembre. cada por el mayor general marques de Panlncci con­ Todas las noticias que…</t>
  </si>
  <si>
    <t>Toro, Manuel</t>
  </si>
  <si>
    <t>Manuel Toro</t>
  </si>
  <si>
    <t>onzález. D. Tomas Arenillas. í?. Gaspar de Losas Hidalgo. D. Josef lbárreta. D. Pedro Batelú. D. Manuel Negueruela. D. Antonio Bailo. D. Ramón Rites. D. Manuel Toro. D. Josef Castro. D. Antonio Rubio. D. Andrés Saiz Dnrango. Batallón del quartel de S. Francisco. D. Jo sef Antonio Molina. Capitanes. D. Josef Garai. D. Andrés P…</t>
  </si>
  <si>
    <t>Torra, Ramón</t>
  </si>
  <si>
    <t>Ramón Torra</t>
  </si>
  <si>
    <t>ramente los somatenes r que algunos se mezclaron con ias bayonetas enemigas , y mataron vanos franceses &amp; seblaícs. El mismo D. Francisco iíovira. .y D. Ramón Torra , coman­ dante de somatenes , participan con fecha. del 21 desde Durmus, que los franceses continuamente acosados en el camino reai ne Francia á Figueras, y sin h…</t>
  </si>
  <si>
    <t>'it á fin de cubrir la villa de Olot y de auxi­ liar ¿ los comandantes Robira y Torra, si el enemigo intentara sorprehenderlos. (Gazeta de Cataluña). D. Ramón Torra dice desde Llerona lo siguiente. — Aca­ bamos de tener una acción muy reñida y favorable. Ayer los franceses nos atacaron ; el fuego empezó á las 7 de la mañana y…</t>
  </si>
  <si>
    <t>Torrado, Bartolomé</t>
  </si>
  <si>
    <t>Bartolomé Torrado</t>
  </si>
  <si>
    <t>.......................................... 0 Josef Agustín Míret. D. Juan Cutáneo de la Cruz......................................................... D. Bartolomé Torrado. D. Rafael Fleuriot.............................................................................................................................. Sexto bata…</t>
  </si>
  <si>
    <t>Torrado, Francisco de Paola</t>
  </si>
  <si>
    <t>Francisco de Paola Torrado</t>
  </si>
  <si>
    <t>bal López Ortigosa, á D. Joan Godoi, ex-re-, de la misma, vacante por muerte de D. Juan Jo- guiar del orden de franciscos descalzos. sef de Vargas, á D. Francisco de Paola Torrado, Para el de la iglesia parroquial de la villa de. ex-regular de agustinos calzados. Alhendin, vacante por renuncia de D. Cayetano“Para el de la igl…</t>
  </si>
  <si>
    <t>Torralba, Pedro</t>
  </si>
  <si>
    <t>Pedro Torralba</t>
  </si>
  <si>
    <t>y JW. T___ •' UC JUdU .1 - /-» ✓'V. I *. t TV VjUCií y \jU~lldr T Lf, juan ministro de lo Interior, para que se tomasen las Antonio García Arellano, D. Pedro Torralba y providencias mas prontas y eficaces sobre este par­ Porcuna, D. Josef Antonio Manzano y Jurado, da , y en una sociedad de gentes que han apurado los frialdad;…</t>
  </si>
  <si>
    <t>Torrecilla, Domingo</t>
  </si>
  <si>
    <t>Domingo Torrecilla</t>
  </si>
  <si>
    <t>.. 90000 D. Manuel García Montenegro......... yóocb' D. Mateo Gil de Sola...... .......... ......... 44100 D. Francisco Viaña...... ............Tójsó D. Domingo Torrecilla....................... 21780 D. Julián Diaz M^reho......... 73'rr 16 Doña Manuela Sánchez.......... .............. 72900 iDoña'Cipiriana Martínez Dáviía...…</t>
  </si>
  <si>
    <t>.14 de Doña María López Cabrejas, por D. Bernardo Rodríguez...................... 49210 acciones y réditos................................. a/ipSS"1® D. Domingo Torrecilla.......................... 27525.-22 D. Andrés Hume, por id- id................ 95Ó42-*23 D. Joaquín de Eguiarreta, patrono y D. Juan Hume, por id. Id......…</t>
  </si>
  <si>
    <t>TorrecUla, Domingo</t>
  </si>
  <si>
    <t>Domingo TorrecUla</t>
  </si>
  <si>
    <t>as consultas de la comisión de liquidación D. Tomas de Arsn.......... ........ .......... 92400 T de la deuda del Estado; lo expuesto por nuestro mía D. Domingo TorrecUla...................... 82427 22 nistro de Hacienda, y oido nuestro consejo de M&amp;± D. Pedro, Ferrerp Ku*4 20 . tado, ; i D. Julián María. BUzquez.............…</t>
  </si>
  <si>
    <t>Torrejon, Miguel</t>
  </si>
  <si>
    <t>Miguel Torrejon</t>
  </si>
  <si>
    <t>e linda á mediodia con el mero, que linda á mediodia con otra de la del Hornillo................................................ 18 396 capellanía de D. Miguel Torrejon..... .......... 1199 54-iTS Otra ile 4 fan., camino de Ulescas, que lin­ Otra camino de Pinto, de 4 fán., linde con da a mediodia con mayorazgo de Córdoba. 10…</t>
  </si>
  <si>
    <t>Torreño, Conde de Castro</t>
  </si>
  <si>
    <t>Conde de Castro Torreño</t>
  </si>
  <si>
    <t>a al zelo , patriotismo , fi­ delidad , y amor al Rey nuestro Señor D. Fernando VII, que ha mannestado desde los primeros movimientos de la nación el brigadier Conde de Castro Torreño, y á la bizarría con que ha servido en toda la guerra , se ha dignado S. M. promoverle al empleo de mariscal de campo de sus exércitos. Enterad…</t>
  </si>
  <si>
    <t>Torres, Antonio</t>
  </si>
  <si>
    <t>Antonio Torres</t>
  </si>
  <si>
    <t>Hernández, como testa­ D. Francisco García de Rozas......... 5415 mentario de Doña Juana Macarti.... 2964-27 D. Manuel de Amandarro..... . 61099.. 8§ D. Antonio Torres................................. 5319 D. Manuel López Cerrcdo................... . 36641. .17 D. Abdres de Saucal.......... .................. 6988.. 17 D. Jua…</t>
  </si>
  <si>
    <t>Torres, Santiago</t>
  </si>
  <si>
    <t>Santiago Torres</t>
  </si>
  <si>
    <t>as francesas publicadas anterior­ Fernandez de la Cuesta; y para subtenientes á mente: un tomo en 8.° Se vende en la librería de DáD Antonio Sedaño y D. Santiago Torres. vi!a, calle de las Carretas, á 6 rs. en rústica y 8 en art. ni. Nuestro ministro de la Guerra queda pasta. ■Jerar los progresos de la civilización. del teatr…</t>
  </si>
  <si>
    <t>Torrijas, Don José María</t>
  </si>
  <si>
    <t>Don José María Torrijas</t>
  </si>
  <si>
    <t>do O-Ronan , mi ayu­ dante de campo , el del centro á las del teniente coronel D. José Fabregas, délas legiones catalanas, el de la derecha i las del coronel Don José María Torrijas, comandante del regimiento infantería de Soria, y el todo á las órdenes del coronel del mismo el brigadier D. Isidoro Uriarte que dispuso su sali…</t>
  </si>
  <si>
    <t>TorrnassoW</t>
  </si>
  <si>
    <t>res al czar Imireto. cor.fiádoie Ja dirección inmediata y suprema dé Pero este en vez de ceder ¿ las amonestaciones del todos los negocios de estado. general TorrnassoW, revolucionó /el pueblo para S. M. ha concedido sn retiro ai baroo de Al— que tomase las armas contra, la Rusia, y dejtó i tenstein, ministro-de Estado y de H…</t>
  </si>
  <si>
    <t>Torrontegui, Manuel</t>
  </si>
  <si>
    <t>Manuel Torrontegui</t>
  </si>
  <si>
    <t>de Uua avanzad 1 que los custodiaba á distancia de tiro de pistola, ha­ biendo concurrido mas innaedia-tamente á esta operación el teniente de navio D. Manuel Torrontegui, y ^ei de la misma clase y ayudante mili­ tar del distrito de Huelva D. D.iego Ureta, auxiliados de los tenientes del regimiento de Murcia D. Rafael de la P…</t>
  </si>
  <si>
    <t>media­ ción de Moguer á las 11 del día 24. Mientras se executaba esta marcha, el capitán D. Francisco Maurelle ha­ bía destinado al teniente de navio D. Manuel Torrontegui con una división de faluchos al desembarcadero de Moguer con el objeto de llamar la atención del enemigo por aquella parte, como lo hizo rompiendo el fuego…</t>
  </si>
  <si>
    <t>dden llegó ayer coa 70 cabulioá hasta ía inisma níurk11a á provocarlos, y no pudo conseguir que saliesen. CADIZ 21 PE DICIEMBRE. El teniente de navio D. Manuel Torrontegui, ha dado par ­ te desde la ría de Iluelva con fecha de 14 cié) corriente de que con arreglo á las in tracciones que le dio el general Coponí, y auxiliado c…</t>
  </si>
  <si>
    <t>Tortnassow</t>
  </si>
  <si>
    <t>algunos pérfi­ PRUSIA. dos y de las promesas del gabinete de Turquía, y se -había paesto baxo la protección de esta potencia. Serlin y de junio. *BI general Tortnassow , comandante del Ourgíftan, En la gazeta de la corte se lee hoí lo siguiente; penetró los designios de la Puerta, y empleó des­ S. M. ha nombrado canciller de …</t>
  </si>
  <si>
    <t>Tortosa, Benito</t>
  </si>
  <si>
    <t>Benito Tortosa</t>
  </si>
  <si>
    <t>ser. susceptible de aquel ínteres y aquella variedad de Andalucía, á D. Josef García Ampudia , y i &gt;que son indispensables en un poema de esta espe­ D. Benito Tortosa, teniente que igualmente fue cie. Ni el autor ha podido remediar esta falta con de caballería del Piíncipe: en el batallón de caza­ los episodios con que ha que…</t>
  </si>
  <si>
    <t>Toscano, Fermín Sánchez</t>
  </si>
  <si>
    <t>Fermín Sánchez Toscano</t>
  </si>
  <si>
    <t>uiz de Mendoza. D. Ramón Tamayo. D. Manuel de S. Vicente. D. Josef Valenzuela. D. Juan López de Quevedo. D. Francisco Fernandez Ibarra. Subtenientes. D. Fermín Sánchez Toscano. D. Félix Izaguirre. D. Josef Acevedo. Se la apellida antigua, trillada, conocida y mejora­ Los trages y el lugar de la escena son en esta pieza da ya …</t>
  </si>
  <si>
    <t>Toscano, Manuel Sánchez</t>
  </si>
  <si>
    <t>Manuel Sánchez Toscano</t>
  </si>
  <si>
    <t>éla Gallarde. 2cc:cn D. Luis de Goyeneche y Muzquiz... *9*3 2 ñ Doña María Andrea Moreno David... 36000 D. Frutos de Alvaro Benitos.......... 6148 26 D. Manuel Sánchez Toscano:............ 7200 Los señores: Albert é hijos. -»47:*7 Doña Josefa. Lorenza Conger...-........ 2189 22 D. Lorenzo Palacio y Gorbea,.......... 309699 Di…</t>
  </si>
  <si>
    <t>Toscauo, Manuel Sánchez</t>
  </si>
  <si>
    <t>Manuel Sánchez Toscauo</t>
  </si>
  <si>
    <t>miarlos visión, ayudante mayor general, DaultannE. por sus sacrificios. También se hallaba preso en las mismas cárce­ ORDEN GENERAL DEL EXERCITO. les D. Manuel Sánchez Toscauo, del comercio de Campo real de Córdoba 2&lt;f de enero de 1810. Madrid, donde ha permanecido por ió dias, sin que se le tomase dec’aracion , ni se le dixe…</t>
  </si>
  <si>
    <t>Tose</t>
  </si>
  <si>
    <t>a en Baiil y cerca ce Ainsa , á las que D. A ¡berro Crem.¡delis............................. t‘3. 17 acabó de dispersar matándolas 20 hombres. A este D. Tose! F.rnahdez de Vada................. 133 ,7 señor coronel se le había encargado una expedición D. Josef Antonio Auiet........................... 3 8c 17 en las Cinco-Vill…</t>
  </si>
  <si>
    <t>TosefAtnatei</t>
  </si>
  <si>
    <t>iembre de D. Antonio S únz de Ri zas.................... 1930 1809. = El conde Suchet. D. Manuei Hurtado de Mendoza......... 8580 Madrid 28 de enero. D. TosefAtnatei.......................................... 3^ 148 La comisión de liquidación de la deuda del es­ D. G regorio Azpeitia.............................. 300000 tado, …</t>
  </si>
  <si>
    <t>Totiño, Vicente</t>
  </si>
  <si>
    <t>Vicente Totiño</t>
  </si>
  <si>
    <t>ctivas de la cordillera hidrografía. La de las costas de tisp.iñi'é islas adL «enagenan su alma, y encantan su imaginación: yacentes, confiada al Sr. D. Vicente Totiño, pro- « aquí la invariable conformidad del extenso horiduxo el magnifico atlas español de que con justo » zonte qué descubre, la adormece. En fin , él catíttno…</t>
  </si>
  <si>
    <t>Totrar, Isidro</t>
  </si>
  <si>
    <t>Isidro Totrar</t>
  </si>
  <si>
    <t>IX Aügel Rodriguen.. . _ ~i Cdmptima ^e^íp^ejtkpt^e 4 CoifflQñíij^cpipvjífcarnet#, dfi d^Jt,iqo plaza*. Capitán, D. Matías..Pgrefc .v-,.,^.^ Cipitan, D. Isidro Totrar. _ Tertléfltey-D. Diego Lope? Aguado*' ’ Téhiéute y Di Manuel Lopéz'GotilIá. - ■* * a. Subteniente, D. Antonio de Frtííos/' k, Subteniente-, D..M &lt;nuel F^guorpa…</t>
  </si>
  <si>
    <t>Tousard</t>
  </si>
  <si>
    <t>rmán más naciones antiguas , habiendo merecido que el autor Chabot, generales de división. del viige de Anacarsisla prefiriese en cierto modo i la El barón Tousard, el barón Barbanegre, el suya: un tomoá 20 rs. en rústica.-—La esclavina robada barón Doumerc, Dumoulim y el barón K¡¿ter, ge­ y los petardistas. En este opúsculo …</t>
  </si>
  <si>
    <t>Toussard</t>
  </si>
  <si>
    <t>do á madama Paíterson (1) de Baltimore, duquesa As la casa de Napoleón, con una pensión de 403 coranas, y á su hijo, príncipe del imperio francés. El coronel Toussard , que fue del exército americano revolucio­ nario , ha sido nombrado ayo ¿el joven príncipe , con el grado de general, y un suelde espléndido : se ha ida de Fil…</t>
  </si>
  <si>
    <t>Tovar, Manpfel María</t>
  </si>
  <si>
    <t>Manpfel María Tovar</t>
  </si>
  <si>
    <t>'y-'Jitíi D. Francisco Sánchez Navarro 154000'; DtJjúa'ttf Peña 1 ver.-.v.......................... '120Ó 1 Doña Paulina GilTerreros......;,78082:126 D. Manpfel María Tovar...........;».‘..:Lí. - 75c 3 2| D. Fernando Perez Rico^...... 46..... 88000 •' Doña Catalina Fornier............ ....... ...i - t$? D. Manuel Sixto Espino…</t>
  </si>
  <si>
    <t>Tovar, Silvestre</t>
  </si>
  <si>
    <t>Silvestre Tovar</t>
  </si>
  <si>
    <t>Félix Sosa; D. José María Blanco, D. Dionisio Palacios, D. Juan Ger­ mán Rossio, D[ Juan Ascanío, D. Pablo González , D. Fran­ cisco Xavier Ustariz, D. Silvestre Tovar, D. Nicolás A usóla,' D. José Félix Rivas, D. Fernando Key, D. Linó dementé. Los ministros son los individuos: de"la misma Rossio, Key, Ansola y Clemente, el p…</t>
  </si>
  <si>
    <t>Tram</t>
  </si>
  <si>
    <t>a sido ocasionada de una fiebre es­ que ha habido dioamarqnes. ■ carlatina qne le ha quitado la vida en pocos días. Ha llegado aqui por Inglaterra el conde Tram- La ceremonia de sus funerales hi sido de las mas pe, bailío de la provincia de Itlandia. ' , * magestuosas. Las personas de mayor ioflnxo y las mas acreditadas de Be…</t>
  </si>
  <si>
    <t>Tramt</t>
  </si>
  <si>
    <t>mismo exéreito*. á ex­ cepción de la vanguardia , está hoy en la margen izquierda del Mondego. Aunque la desgraciada circunstaEcia de la tardanza del coronel Tramt en llegar áSardaon^me hace temer que no ten&lt; drá efecto, ó 110 podré completan * el- plan que ríie había pro­ puesto pasando el Mondego, y ocupando la Sierra de Bt…</t>
  </si>
  <si>
    <t>Tran</t>
  </si>
  <si>
    <t>ara el comer­ Ayer llegó aquí un regimiento francés de gra­ cio de ia Alemania septentrional. Las calzadas prin­ naderos de 4 caballo m.ndado por. el general Tran­ cipales, que quedarán concluidas en este presente ce , caballerizo de S. M. el Emperador, y hei ha año, ion: !.* la que irá de Otnabru-.k á Mmdcn» llegado otro reg…</t>
  </si>
  <si>
    <t>Trant</t>
  </si>
  <si>
    <t>de Celorico y Troncoso sobre Viseo, las diferentes divisiones de milicias y paisanage maniobraron sobre los flancos y re­ taguardia del enemigo; y el coronel Trant con su división atacó la escolta de la caxa militar y reserva de artillería, cer­ ca de Tqjal, el 20 del corriente. Hizo prisioneros á dos oficia­ les y 100 soldad…</t>
  </si>
  <si>
    <t>hf.cia Oporto. v Habiendo pensado'yo que el enemigo probablethente tra­ taría de envolver nuestra ala izquierda por aquel camino, ha­ bía mandado al coronel Trant que marchase con subdivisión de milicias á Sardaon, con el fin de que ocupase aquellas mon­ tañas ; pero por desgracia el general que manda en.la parte ~ del Norte …</t>
  </si>
  <si>
    <t>814</t>
  </si>
  <si>
    <t>que tengan á bien los gefes: su precio 40 reales vellón. = Están corregidas y aumentadas por el Excmo. Sr. duque del Infantado. (1) Fué la acción del coronel Trant que refiere lord Wcllington en su oficio de 30 de setiembre, y desfigura' aquí Jlfas.sien a ,lo mismo que el paso del Criz. (2) No son los ingleses los que obligan…</t>
  </si>
  <si>
    <t>4 escuadrones suyos de 2 ingleses, y que ni por ruegos, ni aménazásmi cuchilladas querían sus soldados yol* ver la cara á sus contrarios.” Del 16. El coronel Trant que con un cuerpo del roilicixs portuguesas obsérva los movimients de la retaguardia d *1 enemigo, ha entrado en Coimbra ydia cogido 6 destruido mu* chos efectos s…</t>
  </si>
  <si>
    <t>nosotros perdi­ mos de 30 á 40. Escriben del qu artel general de Ajuda con fecha del 15: „ Acaban de lleggr de Coimbra pliegos del general Miller. El coronel Trant y apoyado por dicho general, y por el coronel Wilson, tomo posesión de ;aquel^ ,ciudad el*8 deb corriente:; el depósito de enfermos y heridos, y la guarqieion, que…</t>
  </si>
  <si>
    <t>pas del mando del ge­ neral Raceliar á las órdenes del coronel Wílson estaba en po­ sesión dé Busaco el 6 del corriente : é igualmente se dice que el coronel Trant ha entrado en Coimbrajpero como todos lo&amp; habitantes han abandona-; o sus pueblo?, y el mal tiempo ha he­ cho impracticables las comunicaciones por mar, no puedo p…</t>
  </si>
  <si>
    <t>onfirmado la noticia que le di en mi oficio anterior del 13 acerca de la marcha de los destacamentos de tropas mandadas por el general Bacellar. — El coronel Trant llegó á las inmediaciones de Coimbra el 7 del corriente, y des­ de luego atacó los puestos avanzados que tenia fuera de la ciudad el enemigo, y los cortó, impidién…</t>
  </si>
  <si>
    <t>del brigadier general Miller, fechas en Coimbra, he sabido que nuestras tropas del Norte entraron en dicha ciu­ dad el 8 del corriente. Parece que el coronel Trant (de quien no he recibido carta todavía ), fue el primero que entró con las tropas de Oporto, y que el brigadier general Miller y el co­ ronel Wilson con las tropas…</t>
  </si>
  <si>
    <t>patriarca electo.— Principal Sonsa. - - Carlos Stvvart.—Abarques Aíontero mayor.—Con­ de de Redondo. — Ricardo Rayrnundo JVogueira ” En el oficio del coronel Trant publicado en la gazeta de ayer don­ de dice que Coo d 8oo franceses fueron víctimas del resentimiento de los soldados y paisanos armados, debe leerse que solo fuer…</t>
  </si>
  <si>
    <t>osó. Et mariscal Beres..Londres 29 desetiembre. . fórd K hallaba con so división eii- Lageosa, y el En utWgazeti de Hoi se lee el artículo siguiente: general Trant eo San Juan de Pesquérra con las mi­ „ Se saoe quehsi hecha ana propuesta para qne licias de Tras-os^Montes.- En Marcetla había tam­ '♦uélvanVá1 entrar en el gobie…</t>
  </si>
  <si>
    <t>ó de órden del señor general Lorge , go­ orillas del Vouga antes de la acción de Busaco; bernador de la Mancha , hacia la sierra de Alcaraz» y que el coronel Trant , qae se hallaba eo la orilla donde sorprehendió un cuerpo de 1200 hombres, opuesta con 5 9 hombres de infantería, y un cs- compuesto del regimiento de cazadores d…</t>
  </si>
  <si>
    <t>Trasvina, Josef</t>
  </si>
  <si>
    <t>Josef Trasvina</t>
  </si>
  <si>
    <t>rónimo Sobrado. D. Mannel Gonzalo del Rio. D. Gabriel Sobrado. D. Josef Zerralde. D. Antonio Boan. 6.*.......... D. Pedro Real D. Eugenio Fourdioier. D. Josef Trasvina.................... D. Josef Batalon. S.\.. D. J uan de Ribera y Céspedes. D. Jorge Escudero. D. Julián Apartci................... D. Gabriel Fe rnaodez de Ol­…</t>
  </si>
  <si>
    <t>Travieso, Josef Esteban</t>
  </si>
  <si>
    <t>Josef Esteban Travieso</t>
  </si>
  <si>
    <t>' Doña Gabriela López , viuda. de Don La*marquesa de Branciforte............... ..." 30011..10 Josef Compan........... ....................— 3339- ®! D. Josef Esteban Travieso.................. 17155-22D. Guillermo Peironet.................. ........ -338p- 8J D. Julián Martinez de Torres.............. ■" ■ ’1649-31' D. Anton…</t>
  </si>
  <si>
    <t>Treilhard</t>
  </si>
  <si>
    <t>s Vmpuesros establecidos llegos 3® hombres de su división, la caballería li­ •n nuestro país,*htema contrario á r.dos los verda­ gera m/todada por el general Treilhard , y algu­ deros principios de legislación; rogamos ál nuestros nas piezas de artillería ligera, y le mandó dirigir-</t>
  </si>
  <si>
    <t>como el terreno es tan escabroso y desigual, nó sición del exército enemigo: para lo qual mandó al pudo cargar en este ataque todo el resto de nues­ general Treilhard que rodease el pueblo de Val de tra caballería. La de los enemigos no se atrevió i la Muía , mientras que atacaba por el frente el ge­ medir sus armas con la nu…</t>
  </si>
  <si>
    <t>Trench</t>
  </si>
  <si>
    <t>isión del mayor ge­ neral Picton. Esta fué rechazada antes de llegar á la cumbre de la cordillera por el regimiento nüm. 74 mandado por el te­ niente coronel Trench , y por la brigada de infantería portu­ guesa del coronel Champalimaud á las órdenes del coronel Makinnon. El mayor general Leith se movió igualmente ha­ cia su i…</t>
  </si>
  <si>
    <t>Tres, An</t>
  </si>
  <si>
    <t>An Tres</t>
  </si>
  <si>
    <t>de Zamora , linde eon quia , arrendados á Antonio D. Cristóbal Gaona y Rafael Ariza en................ ....... ......... 3OO 3600 López, arrendados á D. An­ Tres marjales de riego, pago de tonio y D. Francisco Xime- • 1. la Alcodalia, linde con Don nez en................................... . 269 : }I29 Baltasar de Lara, arren…</t>
  </si>
  <si>
    <t>Tres, Fernando</t>
  </si>
  <si>
    <t>Fernando Tres</t>
  </si>
  <si>
    <t>endados al mismo en 38a 4584 pueblo, arrendados á Salva­ Doce marjales de ciego, en Caudor Boeno en...i..................... a9S 354® leja, linde con D. Fernando Tres marjales de riego, pago del Perez y Francisco Mesa: 24 Henchidero, linde con casa de marjales, en el mismoCauleja, D. Antonio Urbano y la ace­ linde con Doña Jo…</t>
  </si>
  <si>
    <t>Trevilla, Simón</t>
  </si>
  <si>
    <t>Simón Trevilla</t>
  </si>
  <si>
    <t>ntería graduado de coronel D. José de la Mar, al coman­ dante de esquadron de dragones D. José Agustín de Llano , y al sar­ gento mayor de ingenieros D. Simón Trevilla ; y el de ayudante segun­ do al capitán de caballería D. Cayetano María Degres. Asimismo se ha dignado conferir los empleos de coronel y teniente coronel del p…</t>
  </si>
  <si>
    <t>Trevíño, Mariano</t>
  </si>
  <si>
    <t>Mariano Trevíño</t>
  </si>
  <si>
    <t>D. Claüdio Larrañaga. D. Santiago Larramendi. D. Manuel Sánchez del Valle. D. Manuel Ramos Zafra. D. Manuel Celestino Carrasco. D. Francisco Zuñiga. D. Mariano Trevíño. Tenientes:, D. Pedro M-ría Brost. D. Pedro San Miguel. I&gt;. Josef Perez Azofra. Batallón del quartel de Avapies. D. Pedro Rubio, hijo. Capitanes. D. Angel Mach…</t>
  </si>
  <si>
    <t>Tri, Cándido María</t>
  </si>
  <si>
    <t>Cándido María Tri</t>
  </si>
  <si>
    <t>cuentra crt nerse en García. En la Estrella de Sevilla de Lope de este comediante es mas difícil de lo que parece. Es una Vega, arreglada después por D. Cándido María Tri­ quididad preciosa, pero requiere talento. Con aquella gueras cor el título de Sancho.Ortiz de las Roelas, y sin este fultárá siempre cierta libertad , cier…</t>
  </si>
  <si>
    <t>Triana, Juan</t>
  </si>
  <si>
    <t>Juan Triana</t>
  </si>
  <si>
    <t>ragata, D. Martin Temoson , 50. — Cuerpo de pilotos. D. Joaquín Cundin , 70. D. José de la Peña, 70. D. Domingo Ugalde, 200. D. Juan de Heredia, 140. D. Juan Triana, 15. D. Fernando Sánchez, alterez de fragata graduado, con­ tramaestre de- construcción, 25. D. Gaspar Botets, primer cirujano , 4c. D. Lúeas Obbes, asesor, 3$ y …</t>
  </si>
  <si>
    <t>Tribiáo, Luis Gatcía</t>
  </si>
  <si>
    <t>Luis Gatcía Tribiáo</t>
  </si>
  <si>
    <t>Josef Gutiérrez: para tenientes á ■ r. D. Francisco Villaescusa, D. Bernardo Alarcon, Es la noche del dia 19 del corriente se abrió, D. Josef Enjuto, D. Luis Gatcía Tribiáo, D. Jo­ en obsequio de los días de nuestro augusto Sobera­ sef de Cárdenas y D. Juan García Tribiñoj y pa­ no, una escuela de dibuxo y de matemáticas pura…</t>
  </si>
  <si>
    <t>Tricio, Joan Estébande</t>
  </si>
  <si>
    <t>Joan Estébande Tricio</t>
  </si>
  <si>
    <t>f. jMif-Navanoi«m»iií..Mtniirty.V/).i&gt; 16497 ' 81 D. Josef AntonioGizardi.v.wn'l'A^U?^ ' '40+0° • D. Joaquín AI fon so Mcnyardin...v.... &lt; ■4282'-*!^ D. Joan Estébande Tricio#..#.;..' 8000914 D. Miguel Cornet;,»v.-.;v..v.-.-...'.v:&gt;.t&lt;.'.Kt.JÍ/- J-q jy'í D. Josef Ibón Tillias..it»»...bi.i.M^í.i... - 46000 a D.iD'omingo de ■La…</t>
  </si>
  <si>
    <t>Trigueros, Josef</t>
  </si>
  <si>
    <t>Josef Trigueros</t>
  </si>
  <si>
    <t>idir ana cuestión tan espinosa. Para teniente de la segunda compañía á Don Sin embargo, al hacer su elogio dixe que tam­ Josef Gómez en la vacante de D. Josef Trigueros bién fue un metafísica atrevido, y el no pasar de Almonaster. esta calificación debe servir de prueba de que en Para subteniente de la primera compañía á Don …</t>
  </si>
  <si>
    <t>Trillo, Antonio de Lara</t>
  </si>
  <si>
    <t>Antonio de Lara Trillo</t>
  </si>
  <si>
    <t>r ;L- IJI D. Antonio de Lara Trillo, D. Antón!» de Castre «1, D. Joaqnla Paitor, D: fétef de loi itioy," Perez, D, Pedro Molina Gallardo, P. Joan Mati- D. Santos’ Quijada. • ; ■: r ‘ - r. 11a Rouriguez Linares, D. Maceo Borre</t>
  </si>
  <si>
    <t>Trillo, Juan</t>
  </si>
  <si>
    <t>Juan Trillo</t>
  </si>
  <si>
    <t>Pedro Vaíois, 50. Don Fanón de Ochoa, 65. D. Salvador Porras, 50. D. Eugenio Vizoso, 50. D. Martin Mariñelarena, 12. D. Pedro Ignacio Irigoyen , i&lt;&gt;. D. Juan Trillo. 8. D. Gerónimo Maeeira, 50. D. Sabino de la Pedrueza, 33. D. Rafael Zubia , 20. D. Justo Madariaga, 20. D. Francisco J íuregui por 3a casa de D. Francisco Eíguea…</t>
  </si>
  <si>
    <t>Trippe</t>
  </si>
  <si>
    <t>o blica alegría, pasó á los salones, donde se dignó puente, y cortó la verga mayor del Vtxen. recibir á los principales magistrados. Esta maña­ ,, El capitán Trippe. despidió al instante al ofi­ na fne S. A. I. á ver el arsenal; y después recibió cial ingles, y se ptepasó al. combate. El brick in­ los botnenaget de las autori…</t>
  </si>
  <si>
    <t>Troconis, José Francisco</t>
  </si>
  <si>
    <t>José Francisco Troconis</t>
  </si>
  <si>
    <t>ier Jrausquin. -Como procurador general, Juan Erevan de Cueto?'* Cuyo contenido trasladamos á V. S. para su inteligencia y gobierno; y’respecto a que D. José Francisco Troconis, que viene de Caracas, pasa á esa ciudad conduciendo los documentos que aquí se citan , él infor­ mará á V. S. á la voz, comentándonos por ahora con e…</t>
  </si>
  <si>
    <t>Troncoso, Alexandro</t>
  </si>
  <si>
    <t>Alexandro Troncoso</t>
  </si>
  <si>
    <t>Félix de Águirre, 400. D. Pedro del Paso Troncoso, 100. D. Prudencio Gutiérrez, 100. D. Pedro Francisco de Anza , 100. D. Juan de Dios Troncoso, 100. D. Alexandro Troncoso. , 100. D. Martin Urdapilleta, £0. I). José de la Lanza , 100. Señores Llano y Regato, 100. D. Pedro García la Lausa , 200. D. Domingo Madariaga, 25. D. Ju…</t>
  </si>
  <si>
    <t>Troncoso, Pedro del Paso</t>
  </si>
  <si>
    <t>Pedro del Paso Troncoso</t>
  </si>
  <si>
    <t>00. B. Juan José de Iraeta , 100. D. Antonio Zúñiga, 100. D. Mar­ tin Sánchez Serrano, 100. D. Juan Antonio Fernandez, 200. D. Félix de Águirre, 400. D. Pedro del Paso Troncoso, 100. D. Prudencio Gutiérrez, 100. D. Pedro Francisco de Anza , 100. D. Juan de Dios Troncoso, 100. D. Alexandro Troncoso. , 100. D. Martin Urdapillet…</t>
  </si>
  <si>
    <t>Troncoso, Tomas</t>
  </si>
  <si>
    <t>Tomas Troncoso</t>
  </si>
  <si>
    <t>dividuos, 15. — AÁapimi- D. Francis­ co Labarrieta, 100. D. Santiago Labarrieta, 25. — Cuencamé. D. Miguel Arróspide, too. D. José María Pedriza, 50. D. Tomas Troncoso, 3 — Papa:-qttiaro. El cura D. Jote Joaquín Escarzaga, 25. D. Francisco Ve11ot, 50. D. Pedro Barraza, 13. D. Julián y D. Juan Torrijas, 22. Don Rafael Peña, 10…</t>
  </si>
  <si>
    <t>Trota, Josef</t>
  </si>
  <si>
    <t>Josef Trota</t>
  </si>
  <si>
    <t>Ramona Manuela Pérez............ 11503 28 ven. ia, y D. Manuel Sixto Espinosa. 5 57 2 D- Josef de Ansjulo.............................. . 3 5',ii *7 D. Josef Trota........................................... -413* 7 D -ña Ana de Armiño............................ 33 ^ ^ ^ 17 Doña María Teresa Sncider. 3-4151 Duna Vicenta Garcí…</t>
  </si>
  <si>
    <t>Troubetskoi</t>
  </si>
  <si>
    <t>tible de las tropas rusas, sos que se deben esperar. y á las prudeutes disposiciones del edecán general Por otra parte el mayor general conde Zucato, príncipe Troubetskoi, fueron obligados los turco» que habia pasado el 5 de junio el Danubio por la i retirarse á sus trincheras después de haber su­ isla de Oltnari, y se había …</t>
  </si>
  <si>
    <t>Truxiilo, Francisco</t>
  </si>
  <si>
    <t>Francisco Truxiilo</t>
  </si>
  <si>
    <t>ndrés Serrano,D. José Gutiérrez Genico, D.Pablo Carcía Bermejo, I&gt;. Juan Bautista Padilla, D. Antonio López, D. Pió Sotolongo, D. Fc-lix de Anaya , y D. Francisco Truxiilo. Da las muchas pruebas que tenemos del horror á los males que nos ha acarreado el privado D. Manuel Godoy , y de lo omi­ nosa que será eternamente su memor…</t>
  </si>
  <si>
    <t>Truxillo, Joaquín</t>
  </si>
  <si>
    <t>Joaquín Truxillo</t>
  </si>
  <si>
    <t>S. Má ha mandado se forme en vácadreporel fallechnien-to. de D. Rodrigo Hidal­ la villa de Valdepeñas una compañía de milicia cí­ go*? alhpresbítero D. Joaquín Truxillo. vica de infantería, y ha nombrado para capitán í i , uV;.para- el segundo curato de la villa de Bel- D. Josef Recuero; para teniente á D. Pedro Josef mez , c…</t>
  </si>
  <si>
    <t>Truxillo, Juan</t>
  </si>
  <si>
    <t>Juan Truxillo</t>
  </si>
  <si>
    <t>tina Cruzado............... . 6oy 4840 Otra, calle de Arroyo, hirren- Otra, calle de Bugenas, arren­ dada á Gerónimo Santos;;;..... 330 - 2640 dada á D. Juan Truxillo....... 82* 6600 Otra, calle de Sta. Lucía * que ' L . ", Otra .calle de Pedro Barba, ar­ vive Fernando Domínguez.;.. 297 2376 rendada á Juan Vilches...^.. . 66q…</t>
  </si>
  <si>
    <t>TSATRiOS</t>
  </si>
  <si>
    <t>lo Interior y de Hacienda, cada Uno en la parte que le toca, que­ dan encargados de la execueion de este decreto. Firmado = YO EL REI. = Por S. M. su ministro TSATRiOS. secretario.de Estado Mariano Luis de Urquijo.” En el del Príncipe, á las seis de la tarde, se re­ Don Josef Napoleón por la gracia de Dios y presentará por la…</t>
  </si>
  <si>
    <t>Tsiziriow</t>
  </si>
  <si>
    <t>as que habia hecho la guarnición de es sumamente sensible para el exército. Rudschuk : el 27 y el 29 hubo varios combates El día 16 de junio el mayor general Tsiziriow largos y obstinados con los cuerpos enemigos , su­ recibió orden del general en gete de ponerse en periores en número. El enemigo fue rechazado movimiento coa …</t>
  </si>
  <si>
    <t>Tsizirow</t>
  </si>
  <si>
    <t>y siempre poco seguras, por mayor general Winoff se apoderó de Casledgi y venir la m;yor*parte de ellas por persouas que haa de Provadia, y el mayor general Tsizirow se pre­ tratado de pintarlas según el interés que tienen en sentó mui cerca de Varna para tener á raya al el resultado de esta guerra. En el dia los progresos en…</t>
  </si>
  <si>
    <t>Tskloro</t>
  </si>
  <si>
    <t>el pueb]® católico de Gibrallar con los españoles c-ucs srrojsdos de sus hogares y privados dcjlo mas necesario se refugiaron á aquella.píasa. El P. D. Tskloro Do­ mínguez, vicario general apostólico y cura de la iglesia católica de ella, ccn fecha de 17 de febrero expidió una exhortación 3sus feligreses, en que después de ha…</t>
  </si>
  <si>
    <t>Ttegnier</t>
  </si>
  <si>
    <t>n algunos muertos de estos últimos. España re retiró ala Sierra de Fuentes. — Al dia inmediato mataron nues­ tras guerrillas un dragón que llevaba al general Ttegnier un plie­ go del comandante de aquella ciudad , en que le manifestaba ha­ ber quedado herido en el ataque del dia anterior, y pedia licencia per tres meses para …</t>
  </si>
  <si>
    <t>Ttrroba, Juan Martínez</t>
  </si>
  <si>
    <t>Juan Martínez Ttrroba</t>
  </si>
  <si>
    <t>endoza, subteniente de row, canciller.” zapadores. De las demas clases D. Blas García de AUSTRIA. Quesada, D. Bernardino Argore , D. Mariano Gambeta, D. Juan Martínez Ttrroba, D. Juan de Lemberg 19 de agosto. la Calle, guardia de honor, D Josef Villa, Don Cayetano Janear, D. Josef Molinos, subteniente, El archidoqne Ranerio, …</t>
  </si>
  <si>
    <t>Tucker, Tomas</t>
  </si>
  <si>
    <t>Tomas Tucker</t>
  </si>
  <si>
    <t>0. Por una apuesta ganada á D. Federico Grellet por D. Guillermo Beeston, 1600. El señor D. Tomas Knox, 30. El señor D. Juan Stanhope, 3®. El se­ ñor D. Tomas Tucker, 1®. El señor D. Miguel Costello, 1®. El Excmo. señor D-. Estéban Fernandez de León, consejero de estado, 40. La se­ ñora Doña Luisa de Albear, 500. El lord Mac-…</t>
  </si>
  <si>
    <t>Tucker, Tomás</t>
  </si>
  <si>
    <t>Tomás Tucker</t>
  </si>
  <si>
    <t>000. El Sr. D. Federico Grellet, 3000. El Sr. D. To­ mas Richards , 500. El Sr. D^ Diego Guillermo Glass , 3000. El Sr. D. Tomas Barber, 2000: El Sr. D. Tomás Tucker, 1000. El Sr. D. Tomas Goddard, 2000. El Sr. D. Guillermo Branscomb , 2000. El Sr. D. Carlos Vaughan , 2000. Ei Sr. D. Alexaúdo Briarly , 1000. El Sr. D. Diego D…</t>
  </si>
  <si>
    <t>Turar, Juan</t>
  </si>
  <si>
    <t>Juan Turar</t>
  </si>
  <si>
    <t>M iría Nicola a Agüeros....... 3268 17 D. Placido Ortiz de E&gt; exa: te............ 4'- 202 17 D. Josef Perez- Aguilera........................ J41 *7 D. Juan Turar:......................................... j 4;. , _ D. Juüan M.rtin;z................ ................ 63 t 2j¿- D. Gregorio de Anguila........................ 37*4…</t>
  </si>
  <si>
    <t>Turnbull, Archibaldo</t>
  </si>
  <si>
    <t>Archibaldo Turnbull</t>
  </si>
  <si>
    <t>El señor D. Jacobo Glass, 3©. Él se­ ñor D. Guillermo EJlwand, menor, 1 ®. El señor D. Tomas Richards, i®. El señor D. Federico Grellet, 3©. El señor D. Archibaldo Turnbull, 10. El honorable J. H. Frere, 5©. El Excmo. señor D. B. Frere, $®. El se­ ñor D. Francisco Christin, 10. El señor D. Guillermo Branscombe, 1®. El señor D…</t>
  </si>
  <si>
    <t>Turpin, Isabel</t>
  </si>
  <si>
    <t>Isabel Turpin</t>
  </si>
  <si>
    <t>án., i ia ermita déla Magda, media, que linda por el norte con tierral .. Una*«itsi*&lt;«**i¿rsv&gt;«iaf&lt;r*va«ia»««v«uv*vave*v**»*4»«£ 9 *9» de! vínculo de Doña Isabel Turpin........ í.iy *48 Otra de media fanega, camino del Pepinar.. ó.ilf *43 Oira que está detras de la huerta, que la aíra- • * Otra de 4 fia , en Ja Barranca dei M…</t>
  </si>
  <si>
    <t>TVhnrció</t>
  </si>
  <si>
    <t>ltranÜla ( Don Gregorio), deán de la IMPERIO FRANCÉS. catedral de Jaén. Henri ( D ‘ Estiban), comandante de batallón. Strasburgo sa de marzo. J¿ens«f»D TVhnrció), limosnero eclesiástico del re­ S. A. la princesa viuda de Futstemberg ha lle­ gimiento 1.® de infantería ligera. gado á esta ciudad, y sé pophne asistir á Jas fun­ …</t>
  </si>
  <si>
    <t>Twent</t>
  </si>
  <si>
    <t>del ministro de la Marina, del consej r.i de 63 por el coronel Gtrbtaud; ei Doigerbank de 68 :Estado Malouer. y del prefecto marítimo, los al­ pote! coronel Twent, y la fragata la Venus por macenes de la arboladura , las ¡raguas, cordages . el el tenieote coronel Cambier: la tercera, anclada en­ almacén general, y todos los d…</t>
  </si>
  <si>
    <t>U, JS</t>
  </si>
  <si>
    <t>JS U</t>
  </si>
  <si>
    <t>b víctimas; otros inventan y forjan derje*paña donde se avistaran’SSAMMv^'*9 £::’; —-'0^ :¡sa&gt; (as■íy&gt; désetñbárcos , ya dé mOros, ya de ingleses; El Emperador JS4U0 ajitpayer á caza, y mató ¿pe á la'vérdad t3n abonados son ésros comoaquétm gran númercKde^fitsañeX*’S:'f5i. envió seis, de RÓs-pará1.prodigar su sannre por la Es…</t>
  </si>
  <si>
    <t>Uebrar, Antonino</t>
  </si>
  <si>
    <t>Antonino Uebrar</t>
  </si>
  <si>
    <t>o de bancarrota. do nombrado D, Antonio Flebrau para subtenien­ te de la 3.a cnmpmia del. quinto batallón de la mis­ IMPERIO FRANCES. ma , debe decir D. Antonino Uebrar. . Amsterdan 1$ de julio. Ayer i las diez de la mañana hizo so entrada en aviso. ; . . esta ciudad el príncipe archi-tesorero, el qual fue El Sr. D. Juan .Bau…</t>
  </si>
  <si>
    <t>Ugalde, Domingo</t>
  </si>
  <si>
    <t>Domingo Ugalde</t>
  </si>
  <si>
    <t>icencío, 120. D. Félix Gastartlbide, 60. Id. de fragata, D. Martin Temoson , 50. — Cuerpo de pilotos. D. Joaquín Cundin , 70. D. José de la Peña, 70. D. Domingo Ugalde, 200. D. Juan de Heredia, 140. D. Juan Triana, 15. D. Fernando Sánchez, alterez de fragata graduado, con­ tramaestre de- construcción, 25. D. Gaspar Botets, pr…</t>
  </si>
  <si>
    <t>Ugar-te, Joaquín</t>
  </si>
  <si>
    <t>Joaquín Ugar-te</t>
  </si>
  <si>
    <t>te, 107. D. Ramón Arias, aitferez de navio, 90. Id? de fogata;, D/Jaan Ignacio Delgado, 25. Id. -JD. Mariano Ampuero , 25. Id. D; Rodrigo Tavira, 25. D. Joaquín Ugar-te ,aiferez de navio., y primeripiloro , 42. Contador, el oficial quarto, D. Manuel Riquelme de Murcia, 30. D. Pedro Fernandez , capellán, 20. D.- Manuel Loaces,…</t>
  </si>
  <si>
    <t>Ugarre, Tomas</t>
  </si>
  <si>
    <t>Tomas Ugarre</t>
  </si>
  <si>
    <t>iejo D. Juan Henriquc de bien en dos hojas de inarca mayor; y cuyo precio la Rigada, y varias observaciones de D. Pedro de es de 36 rs. vn. Cárdenas, D. Tomas Ugarre, D. Cosme Churruca, D. Dionisio Galiano, D. Mariano Isashiribil, y hs M. F. de N. de D. Josef Joaquín Ferrer y D. Sebastian Laso de la Vega , pilotos de mucha pr…</t>
  </si>
  <si>
    <t>Ugarte</t>
  </si>
  <si>
    <t>ir á Tas audiencias de estilo, y á un consejo de Estado ex­ ’WURTEMBERG. traordinario , del que ha resultado una gran mu­ tación en el ministerio. El conde Ugarte , que has­ Stuttgardt 22 de julio. ta ahora ha sido canciller de Bohemia y de Aus­ El barón de JacowiefF, ex-ministro plenipoten­ tria , ha hecho dimisión de todos …</t>
  </si>
  <si>
    <t>Ugarte, Agustín</t>
  </si>
  <si>
    <t>Agustín Ugarte</t>
  </si>
  <si>
    <t>lmarza. D. Antonio Reyelo. D. JnrefTubó. D. Joaquín Pacheco. D. Pedro Josef Mayora. D. Esteban Bains. D. Modesto faLcios. Tenientes. D. Juan Paredes. D. Agustín Ugarte. D............................... D. Antonio Arias. D. Vicente Ferrer. D. F rancisco Sagasta. D. Mariano de la Cuesta. Batallón del quartel de S. Gerónimo. D. …</t>
  </si>
  <si>
    <t>Ugarte, Tomas</t>
  </si>
  <si>
    <t>Tomas Ugarte</t>
  </si>
  <si>
    <t>ra ma­ pero con las variaciones de un período diario que rina D. C sme Churruca, D. Dionisio Galiano, es constante y recular, y de otro que puedella­ D. Tomas Ugarte, D. Josef Ezquerra, D. Francis­ marse anuo. El primero Je causa el viento de la co Alcedo y D. Juan Henrtque de la Rigada; de­ mar, que sopla mientras dura la fu…</t>
  </si>
  <si>
    <t>Ugena, Plácido</t>
  </si>
  <si>
    <t>Plácido Ugena</t>
  </si>
  <si>
    <t>. JosefZaj.a?, por su exterminio. capellán de honor, para una canongía de la cate­ Yo vi trastornarse las cabezas de los mismos dral de León : al Dr. D. Plácido Ugena , racionero hombres que pasaban por instruidos en la historia de la de Valladolid, para la dignidad de maestres­ de las naciones, y en el arte de preservarlas d…</t>
  </si>
  <si>
    <t>Ugglas</t>
  </si>
  <si>
    <t>en todas las precaucionen que dicta la pru­ la monarquía española no sometido al expresado dencia. Reí. Esto es cabalmente lo que ha sucedido: las El conde Ugglas, antiguo gobernador de esta 4f embarcaciones han sido confiscadas con sus car­ capital, conrra el que se ha manifestado el pueblo gamentos, cuyo valor se regula en …</t>
  </si>
  <si>
    <t>Ugués, Dolores</t>
  </si>
  <si>
    <t>Dolores Ugués</t>
  </si>
  <si>
    <t>rs. Id pres­ bítero B. Pedro Ley va , 125. Id. D. Pedro líuiz , 50. Fr. José Mora, 60. Varios individuos, 27 y 1 real.— l/ri.s. D. Juan Gándara: 50. D. Dolores Ugués, 100. .D/Manuel Ugués , 14 y 8 rs. Varios individuos , 58 y 9 rs Los apaches de paz del Tueson , 170. Los vecinos é indios de Tuvac , 34 y 1 real. Los de Bacoach…</t>
  </si>
  <si>
    <t>Uibina, Rafael</t>
  </si>
  <si>
    <t>Rafael Uibina</t>
  </si>
  <si>
    <t>or su orden de las prefecturas que se ci­ .... - 1 Lor.tjva. tan , y tendrán por capitales las ciudades que tam­ bién se designan á con .¡(¡unción. A D. Rafael Uibina, oidor ds Granada, pre­ sidente. b J&gt;¡ visio­ i.° Juez á D. Atanasio García' del Castillo, nes mi- PREFECTURAS. Ci rindes, litares. oidor del propio tribunal. t…</t>
  </si>
  <si>
    <t>Uiiar, Fernando</t>
  </si>
  <si>
    <t>Fernando Uiiar</t>
  </si>
  <si>
    <t>ndado pór el ge­ Josef Vinuesa; D. Luis Belloc ; D. Pedro Serrét, neral Sebastian! ha entrado el 6 de este mes en Má­ capitán de caballería de línea; D. Fernando Uiiar- laga. Una reunión de gente armada, que se presen­ te y D. Josef María Bermudcz, capitán retirado»y tó delante de dicha ciudad, ha sido disipada ó des­ subteni…</t>
  </si>
  <si>
    <t>Uíse, Baltasar P</t>
  </si>
  <si>
    <t>Baltasar P Uíse</t>
  </si>
  <si>
    <t>osesionarse del Mas Kcig enfrente del eampamentó'de lasfói'cas /teniendo á su derecha á D. Francisco -Camps para sostenerlo con sus somatenes ; y que D. Baltasar P»Uíse,r sé dirigiese sobré García con todo su destacamento de 300 hombres, sos;tenido por D. Mariano Vila con el suyo- de 120. Dadas ya las respectivas instruccione…</t>
  </si>
  <si>
    <t>Ulzurrutn, Domingo</t>
  </si>
  <si>
    <t>Domingo Ulzurrutn</t>
  </si>
  <si>
    <t>án : á tenientes á los subtenientes D. Manuel Espejo , á Don Vicente González Yebra , graduado de capitán , *y al subteniente de artilleros á caballo D. Domingo Ulzurrutn. Igualmente se ha servido conferir la comandancia del segundo ba­ tallón de voluntarios de Cataluña , que se halla de guarnición en la Carraca, al teniente …</t>
  </si>
  <si>
    <t>Una</t>
  </si>
  <si>
    <t>do esto puede servir de respuesta i las preguntas de vuestra carta de fecha de este día, Londres 22 de julio. y aua creo que conveudrá comunicarlo al capitán Una caita fecha en Ind’gul á 28 de febrero, Farreó. que nos ba traído ¡a flota que acaba de llegar, coa- ,, Tengo el honor de ser &amp;c. = Dauchi , conde firma la noticia d…</t>
  </si>
  <si>
    <t>La pérdida de los servios ha sido bas­ tante considerable, y han quedado heridos el es­ Lubeck j de octubre. forzado comaridfrnte Heiduk. Velko y el secretario Una diputación de nuestro senado ira á Hamdél sínodo Janeovics. burgo para esperar al príncipe de Pontccorvo, L.os- servios han celebrado hoi en Belgrado la‘ príncipe …</t>
  </si>
  <si>
    <t>Una, Josef</t>
  </si>
  <si>
    <t>Josef Una</t>
  </si>
  <si>
    <t>hi mas de un drés de Morales , D.' Franci co Muñoz , D. Ber­ siglo qne España fuese amiga y aliada de la Francia. nardo Cañete, D. Antonio Caballero, D. Josef Una revolución extraordinaria precipitó del tro­ Garrido, D. M-inutl Nadales, D. Felipe Villaes- no la casa que reinaba en aquella nación. La rama cuss, D. Antonio A:ta…</t>
  </si>
  <si>
    <t>edano, de 3 fan. y 6 cel... Hp 2618* fon., 2 celem. y 11 estad., que lin­ Otro, camino de Getafe, de una f. y 6 c. 27 $94 da á oriente y poniente con D. Josef Una tierra en Ja Cobatilla entre el cami- -.. Sánchez de Santorcaz................. ......... 29.. 17 649 no nuevo y el del Salobral, de.6 cel. ; 11..17 *58-' Otra en l…</t>
  </si>
  <si>
    <t>Una, Juan Ló</t>
  </si>
  <si>
    <t>Juan Ló Una</t>
  </si>
  <si>
    <t>ue en el lugar del Una huerta á la calzada def Exi­ Vellón pertenecieron á la ca­ do ,’ de 3 fanegas..... ............... 640 7680 pellanía que tundo D. Juan Ló­ Una tierra regadía, inmediata á pez del Casar, y á la capella­ la Presa blanca, de 16 fan..... 750 9000 nía de Isidro Martin............... *749 20988 Un prado de pe…</t>
  </si>
  <si>
    <t>Unzaga, Francisco</t>
  </si>
  <si>
    <t>Francisco Unzaga</t>
  </si>
  <si>
    <t>...... Señores Barcia , padre é hijo. Coruña. .... D. Manuel Antonio Eizaurdi. Cuenca. .... Señores viuda de Escolar , No riega é hijo. Granada. .... D. Francisco- Unzaga, ó el que le represente. Jaén.. ... . . D. Ramón María Montoro. Mahon........... .. Doña Catalina Germán y Hagalde. Málaga............. D. Juan Ximeno. Murc…</t>
  </si>
  <si>
    <t>Uranga, Xavier</t>
  </si>
  <si>
    <t>Xavier Uranga</t>
  </si>
  <si>
    <t>entos, cabos y soldados ,757..— Nor­ te. Capitán D. Juan Francisco Granados, 10. Teniente D. Facundo Mel­ gares, 100. Alférez D. José Arzate, 39. Id, D. Xavier Uranga, 30. Ca­ pellán Fr. Francisco Buenavida, 50. Sargentos, cabos y soldados,405. — Príncipe. Capitán D. José Manrique , 150. Teniente D. Pedro Quiñones, 3. Alférez…</t>
  </si>
  <si>
    <t>Urbana</t>
  </si>
  <si>
    <t>n la historia eclesiástica, es oí de San del siglo v de la iglesia, que habiendo degradado el At.unsio para que se 1c reintegrase en su silla de AJe- obispo Urbana al presbítero Apiario, y recurrido este xandría. El papa no se determinó á decidir por sí solo al papa Zósímo, el qual mandó instaurar de nuevo la «obre este asunt…</t>
  </si>
  <si>
    <t>Urbano, Antonio</t>
  </si>
  <si>
    <t>Antonio Urbano</t>
  </si>
  <si>
    <t>® leja, linde con D. Fernando Tres marjales de riego, pago del Perez y Francisco Mesa: 24 Henchidero, linde con casa de marjales, en el mismoCauleja, D. Antonio Urbano y la ace­ linde con Doña Josefa Rico y quia , arrendados á Esteban de D« Josef López , arrendados Mira en............,V¡................... 299 2400 con los 12…</t>
  </si>
  <si>
    <t>Urbina, Atanasio</t>
  </si>
  <si>
    <t>Atanasio Urbina</t>
  </si>
  <si>
    <t>mpa y D. Francisco Noriega, 100. Doña Ignacia de León, 20. D. Teodoro Csneros, 18 D. Martin Barron, 2$. D. Cirios Rubio, 12. D. José Simón Birraza, 8 D. Atanasio Urbina, 10. D. Camilo Peynado, 10. D Juan José Salcedo , 6. D. Faustino Peynado, 6. Varios individuos 53 y 4 reales.--- Sta. Bár­ bara. El subdelegado D. Manuel Herd…</t>
  </si>
  <si>
    <t>Urbna</t>
  </si>
  <si>
    <t>mera antecá­ hora en que iba á salir el acompañamiento, su apro­ mara, desde donde, acompañado del conde de ximación y su llegada al palacio. El gran mariscal Urbna , primer gentilhombre, pasó á la segunda fue recibido al apearse de la carroza por el señor etn- antecámara , donde estabao reunidos todos con­ bax.idor con su co…</t>
  </si>
  <si>
    <t>Urdapilleta, Francisco</t>
  </si>
  <si>
    <t>Francisco Urdapilleta</t>
  </si>
  <si>
    <t>chaga , D. Francisco Galan , D. Bernardo Cobian , y D. Francisco San Pedro ; subtenencias á D. Víctor Restrebada, D. Nicolás Marino, D. Miguel Souto, D. Francisco Urdapilleta, D. Hilario Naveyra , y D. Ramón Vasadre : en el se­ gundo de la Princesa , subtenencia k D. Joaquín Roca y Soriano : en el de la reunión murciana, subt…</t>
  </si>
  <si>
    <t>Urdapilleta, Martin</t>
  </si>
  <si>
    <t>Martin Urdapilleta</t>
  </si>
  <si>
    <t>o del Paso Troncoso, 100. D. Prudencio Gutiérrez, 100. D. Pedro Francisco de Anza , 100. D. Juan de Dios Troncoso, 100. D. Alexandro Troncoso. , 100. D. Martin Urdapilleta, £0. I). José de la Lanza , 100. Señores Llano y Regato, 100. D. Pedro García la Lausa , 200. D. Domingo Madariaga, 25. D. Juan Manuel Muñoz , 200. D. Joaq…</t>
  </si>
  <si>
    <t>Ure, Antonio</t>
  </si>
  <si>
    <t>Antonio Ure</t>
  </si>
  <si>
    <t>Capitán Honorato In­ da , 16. Teniente Juan Ureña, 14. Alférez Vicente Hernande z, 10. Los sar­ gentos, cabos y soldados, 158. D. Urbano Sánchez, 23. D. Antonio Ure11a, 9 y 4 rs.—Ciudad de Crispe. El tesorero interina .D. Ignacio B ;s.rmante, 100. El interventor D. Lázaro Morales , 45. El subdelegado D. Te­ rnas Escalante, 10…</t>
  </si>
  <si>
    <t>Ureña</t>
  </si>
  <si>
    <t>ción francesa de Covarrubias, en la provincia de Burgos. De 112 enemigos solo quedaron con vi­ da 30 que fueron hechos prisioneros. El árde julio, el cura Ureña éh las inmediaciones del Vi­ sillo atacó á 50 franceses que escoltaban 50 cargas de plomo: mató 18 y se apoderó de las cargas. Salieron en busca de Ure­ ña las guarni…</t>
  </si>
  <si>
    <t>Ureña, Francisco</t>
  </si>
  <si>
    <t>Francisco Ureña</t>
  </si>
  <si>
    <t>laza. — Antes de ayer llegaron también 2 patriotas con 3 caballos y un prisionero que cogieron, dexarido tnuerr tos á otros 2 que le acompañaban. . . D. Francisco Ureña, comandante de cruzada en la Man­ cha , se*^cereó á Ciudad-Real el 19 del pasado, y después de haber muerto á 90- franceses qué salieron para Almagro,' obli­ …</t>
  </si>
  <si>
    <t>Uréña, Francisco</t>
  </si>
  <si>
    <t>Francisco Uréña</t>
  </si>
  <si>
    <t>barató á 400 infantes y 40 caballos enemigos junto á Villa egura el dia 20 de junio. Los franceses tuvie­ ron 6 muertos y 6 heridos. El 27 del mismo, D. Francisco Uréña, comandante de tina partida de 600 ginetes y 200 peones, sorprehendió en la Mancha dos partidas francesas de 50 hombres cada una que salían de Almagro. Murier…</t>
  </si>
  <si>
    <t>Uribe, José</t>
  </si>
  <si>
    <t>José Uribe</t>
  </si>
  <si>
    <t>el conciso y del diario, á 2 reales. Continúan los. donativos de la Nueva-Vizcaya, Compañía ÍP"volante. Capitán D. Andrés Mateos, 40 ps. fs. Teniente D. José Uribe, 8. Id. D. Manuel Perú, 8. Alférez¿D. José Ordaz, 10. Id. D. Agustín Geballos. 15 Capellán Fr. Bernardo Rincón , 25. Sár* antos, cabos y soldados, 401 y 2 rs. —Ciu…</t>
  </si>
  <si>
    <t>Uribe, Juan</t>
  </si>
  <si>
    <t>Juan Uribe</t>
  </si>
  <si>
    <t>á salir los ene­ migos que en ella hahia. El 4 hubo un encuentro entre los franceses y la partida de Moreno, que reforzada por la de ca­ ballería de D. Juan Uribe, obligó á huir al enemigo, hacién­ dole 5 prisioneros,. El dia anterior, 10 hombres de la partida de Moreno que hábian entrado disfrazados en Ubeda, se introduxeron…</t>
  </si>
  <si>
    <t>Urqqijo, Jnapz</t>
  </si>
  <si>
    <t>Jnapz Urqqijo</t>
  </si>
  <si>
    <t>Alvarez.................w-1.»-—. ‘39$*!.‘ D.-SiAibo Ramos...;............................ 14589 Bpnt. Mtsucls 2*7o2 D^Jian- Bautista Irribarren, como Doña Jnapz Urqqijo....... —................. • ' r 8&lt;*f ! i 7 , apoderado dé la obra pia titulada , DI Martin González de VilWáz.í..... 16064!' 17; ’vde Abaría é Imar...........…</t>
  </si>
  <si>
    <t>Urquides, José</t>
  </si>
  <si>
    <t>José Urquides</t>
  </si>
  <si>
    <t>150. D. Toribio de Mateo y Ramos, 300. D. Manuel Cayetano Espinosa, 150 D. Antonio de Cevallos, 200. D. Manuel Campoy, 10. D. Jasé Ignacio Ruiz, 10. D. José Urquides, 10. D. Ignacio Campoy, 20. D. Pedro Quirós, 10. D. Bernardo Zarala, 15. D Manuel Valenzuela, 14. Varios individuos, 78 y 4 rs. Los vecinos é indios de las misio…</t>
  </si>
  <si>
    <t>Urquidi, María y Doña Juana</t>
  </si>
  <si>
    <t>María y Doña Juana Urquidi</t>
  </si>
  <si>
    <t>rdo Martínez 200. D. Francisco Jíuregui, roo. José Pablo Bracannonte, 39 y 3 rs. Ramón Hernández, 1 xa.--Valle de S. Bartolomé. Don Estéban Mata, 10. Doña María y Doña Juana Urquidi, 50. D. Juan Ignacio Oliden, 40. D. José Ignacio Cordero, 20. D. Manuel EstaviLlo, 10. D. Francisco Díaz Velarde, 40. D. Joaquín Maynez , 10. Don…</t>
  </si>
  <si>
    <t>URQUIJO, ANTONIO de PORRAS AL MISMO</t>
  </si>
  <si>
    <t>ANTONIO de PORRAS AL MISMO URQUIJO</t>
  </si>
  <si>
    <t>205</t>
  </si>
  <si>
    <t>es, que parece haberse ido al otro lado del Océano. Consérvese vd. bueno como desea su buen amigo y compañe­ ro Arribas. — Amigo y señor Urquijo.” DE D. ANTONIO DE PORRAS AL MISMO URQUIJO. „Excmo. Sr. Muy Sr. mío y de mi mayor respeto: Por los partes dados á V. E. se habrá enterado del suceso de Ciudad-Real en 2 3 de febrero …</t>
  </si>
  <si>
    <t>Urquijo, Estéban</t>
  </si>
  <si>
    <t>Estéban Urquijo</t>
  </si>
  <si>
    <t>el Cardeñoso. S. M. ha expedido e! decreto siguiente: D. M .rtin Azcué. Extracto de las minutas de la secretaría de D. Andrés Cabello , hijo. Estado. D. Estéban Urquijo. En nuestro palacio de Madrid á 6 de junio D. Fermín Marquida. de ib 10. Batallón del quartel de la Plaza. Don Josef Napoleón por la gracia de Dios y por la c…</t>
  </si>
  <si>
    <t>Urquijs, Mariano</t>
  </si>
  <si>
    <t>Mariano Urquijs</t>
  </si>
  <si>
    <t>A miserable: te abrazo á tí y á mis Sa Majóte i a reine d1 Espugne.— Ee hijos. —AS. M. la rey na de Esparoí. — A París. ña. — Del rey. — En Parts. De D. Mariano Urquijs a D. Miguel Azanza, Madrid ,7 de agosto de iSio. —Compañero y amigo mió: por la adjunta, de ©fíelo verá vm. el nuevo chasco con Martin, á quien ya no espero d…</t>
  </si>
  <si>
    <t>Utiel, Nicolasa</t>
  </si>
  <si>
    <t>Nicolasa Utiel</t>
  </si>
  <si>
    <t>Eiías Pascual Ronda..... .................. 8700 D. Fulgencio de la Riva Agüero........ 2597 D. Euscbio Pareja.................................. 1190 D. Nicolasa Utiel.................................... 2888 D. Josef Ruiz.......................................... D. Pedro Scheropp................................ 631 D, Anton…</t>
  </si>
  <si>
    <t>Uwao</t>
  </si>
  <si>
    <t>el 6 de julio el mayor general Kulncw rechazó un fuerte ataque GRAN BRETA ÑA. dirigido contra el ata derecha, que duró quatro horas: el 8 el teniente general Uwao w con su Londres 14 de agosto. cuerpo, con el del teniente general Markow, y El 8 de este mes S. M. tuvo consejo en e! pa­ con una pequeña porcio.i del del general …</t>
  </si>
  <si>
    <t>V'elazquez, Francisco</t>
  </si>
  <si>
    <t>Francisco V'elazquez</t>
  </si>
  <si>
    <t>de Espa­ D. Miguel Móraquez. ña , hizo prisionero en aquel mismo dia á un comi­ Para la de Sorbilan y Polopos al ex-dominico sario de guerra enemigo. D. Francisco V'elazquez. El general Hugo ha dado parte desde Sigiienza ' Para la de Gualchos al ex-franciscano obser­ de la buena conducta de los regimientos Real Ex— vante D. M…</t>
  </si>
  <si>
    <t>V, Atz</t>
  </si>
  <si>
    <t>Atz V</t>
  </si>
  <si>
    <t>profundo res­ do varios días en las casas de los embaxadores de peto con que tengo el henar de ter, S¡:ñor, de Francia y de Rusia , y en la del señor conde Atz- V. M. e! mas humilde y obediente servidor y piifeld, embaxador del gran duque de Francfort. mo = Cátlus F. M. = Viena 14 de abril de 1S10.” Hai una gran concarrencia …</t>
  </si>
  <si>
    <t>V, Josef Caballero</t>
  </si>
  <si>
    <t>Josef Caballero V</t>
  </si>
  <si>
    <t>informó mui por menor de del Pozo y Onievá , de S. Pedro; Dr. D. Rafael estos sugetos de tony io reiativo ai estado de esta Mantera, de Santiago; Dr. D. Josef Caballero V de villa , población , fabricas , indusrria , comercio &amp;c. S. Nicolás de la ’-Axerquia ; D. Juan Henao, de dexándolos admirados de sus luces, de su amor pa­…</t>
  </si>
  <si>
    <t>Va, Francisco</t>
  </si>
  <si>
    <t>Francisco Va</t>
  </si>
  <si>
    <t>. 265 liar» Ca^o, T&gt;. Juan Ortuz&amp;r, D, A1onso Levba, D Francisco Va­ ca y D. Fernando Sánchez ; y ei de secretario de la sargentía ma­ yor con ía graduación de subrigadier, á D. Juan Antonio Liona. Ei Concejo de R- g-ncia se ha servido conferir ios empleos de coron</t>
  </si>
  <si>
    <t>Vacas, Manuel F-rnaudtz</t>
  </si>
  <si>
    <t>Manuel F-rnaudtz Vacas</t>
  </si>
  <si>
    <t>ra el de la cuerpo de baile. Aldea oel Puente a D. Pe&lt;ro Est. Hancz: para el de En el de la Cruz, i las sel* de la tarde, se execuOncina y la Aldea á D. Manuel F-rnaudtz Vacas; tará la comedia en dos actos titulada Isabel primera i’e y para d beneficio surtidero d- Boadilia de Ri' — Rusia, ó el Hombre singular, con una buena …</t>
  </si>
  <si>
    <t>Vadivia, Fernando</t>
  </si>
  <si>
    <t>Fernando Vadivia</t>
  </si>
  <si>
    <t>s bergan­ D. Francisco Riveros. tines North Star y Peacock tienen orden de mar­ D. Rafael Ponce. A char al mismo puerto para tomar á sti bordo y con­ D. Fernando Vadivia, ducir aquí tas rfpulaciones.de los paquebotes que hai en Falmouth, Ls quales manifiestan un espíri­ Subtenientes. tu de insubordinación y Je poca disdiplina…</t>
  </si>
  <si>
    <t>Vago, Manuel de la Paz López</t>
  </si>
  <si>
    <t>Manuel de la Paz López Vago</t>
  </si>
  <si>
    <t>a de Ubeda se componía de tos sugetos si­ las diputaciones de Montero, Cañete de las Torres, guientes: Villafranca, la Rambla, Montemayor, Pedro Abad D. Manuel de la Paz López Vago, corregidor; y Lucena. D. Francisco de Paula Aguilar y D. Francisco An­ Por Montoro se presentó D. Josef Borbio, al­ tonio de Ros, Veintiquatros, …</t>
  </si>
  <si>
    <t>Vagues, Marcos</t>
  </si>
  <si>
    <t>Marcos Vagues</t>
  </si>
  <si>
    <t>10. D. Francisco Díaz Velarde, 40. D. Joaquín Maynez , 10. Don Agustín Soto, 20. D. José Ramón Luxan, 10. Fr. Juan Cnacon , 25. D. Eugenio Perez, 30. D. Marcos Vagues, 130. Varios individuos, ^4 y 4 rs. --- Gnuvizamey. D. Ramón Re villa, 50. Fr. Luis Salgado, 20. D. Juan José Cobos, 10. D. Martin Zubizar, 100. D. Juan Zubizar…</t>
  </si>
  <si>
    <t>Váidas, Andrés Roniéro</t>
  </si>
  <si>
    <t>Andrés Roniéro Váidas</t>
  </si>
  <si>
    <t>'.'.'...//..,..,,,*0335 ,37 &lt;; D. Jqaqúm XI D? Mártir} de Leones..................... , . . 23P41C14Ci D. Mapsós Peifotenj¡..¿ó.i...¿í¿gI xin^46c-r^l D. Andrés Roniéro Váidas...........rr;¡ i . 6585 ¿V-J'í í?-i Jd^sGarcíji Abj?lU...I—L.,í„..áD ’..’ci4*oi D. .Antonio Be ni to,................ ,.a f , , i^j^crc-Cí D.^Feíii^Rdo …</t>
  </si>
  <si>
    <t>Váidas, José Ignacio</t>
  </si>
  <si>
    <t>José Ignacio Váidas</t>
  </si>
  <si>
    <t>miel Uclés, y subtenencias á D. José Ignacio Váidas, X). Juan Martin, D. Celestino Laencina y D. Felipe Meoro : en el pri­ mero de Sevilla grado de subteniente al sargento primero D. Ma­ nuel Robles; y en el de Murcia, subtenencia á D. José</t>
  </si>
  <si>
    <t>Vaidcesñ, Amonio</t>
  </si>
  <si>
    <t>Amonio Vaidcesñ</t>
  </si>
  <si>
    <t>alcázar de Sevilla á tS de abril de 1810. Para la junta criminal extraordinaria en Grana­ Don Jose'f Napoleón por la gracia de Dios y da nombramos a D. Amonio Vaidcesñ.,', oidor del por la constitución del estado, REI de ias Espa- mismo tribunal, presidente de ia insinuada juma. ñas y lie las ludías- 1. “ A I&gt;. Antonio Gaaxar…</t>
  </si>
  <si>
    <t>VaIdcs, Francisco</t>
  </si>
  <si>
    <t>Francisco VaIdcs</t>
  </si>
  <si>
    <t>. José Olea : á sub-brigadieres á les cadetes D. Juan Talero, D. Faus­ tino Guillen y D. Joaquín Tuquet: y á cadetes á los guardias 1&gt;. Roque Torres, D. Francisco VaIdcs, D. Manuel Pardo y D. José Sierra. Ei rey nuestro Sr. D. Fernando víi, y en su } real nombre , el Con­ sejo de Regencia de España é Indias , se ha servido co…</t>
  </si>
  <si>
    <t>Vaidés, Francisco</t>
  </si>
  <si>
    <t>Francisco Vaidés</t>
  </si>
  <si>
    <t>el 6 del corrien­ te una avanzada francesa junto al pueblo de la Morera, matando 6 hombres de ella, y haciendo 2 prisioneros. Igual operación hi­ zo D. Francisco Vaidés, teniente del regimiento de la Princesa y comandante del campo volante de la división del general Ba­ llesteros , con 500 franceses que se hallaban en la vill…</t>
  </si>
  <si>
    <t>Vaíenzuéla, José María</t>
  </si>
  <si>
    <t>José María Vaíenzuéla</t>
  </si>
  <si>
    <t>­ ción de Pérote, 300. El oidor D.José.Metía, 300. Eí fiscal de lo civil D. Ambrosio S? gasurrieta, 300. El alcalde del crimen Don Juan Collado, 300. D. José María Vaíenzuéla por parte de un sugeto que no quiere descubrir su nombre, 300. La cofradía de S. Ignacio de Loyola y acompañamiento del Sacramento de la par­ roquia de …</t>
  </si>
  <si>
    <t>Vaienzueu, Juan Manuel</t>
  </si>
  <si>
    <t>Juan Manuel Vaienzueu</t>
  </si>
  <si>
    <t>. D. Ramón Fernandez de Quiroga........................................ D. Manuel Gomes. J.‘.......... .......................... ................. . D. Juan Manuel Vaienzueu. D. Miguel Calderón do Barca. 6a• »«• D. Gervasio López Faodo........................ ................................... D Sebastian Loche. fc” .......…</t>
  </si>
  <si>
    <t>Vaiibran, Ventura</t>
  </si>
  <si>
    <t>Ventura Vaiibran</t>
  </si>
  <si>
    <t>D. J sé Nieto y un soldado heridos, 3 caballos entre mu rtos y heridos; también fué herido en el mismo tiempo. de la acción ti co­ misario ordenador D. Ventura Vaiibran,al que le mataron su caballo, no habiendo tenido ninguna desgracia los cuerpos de I.iberia, Gerona y se­ gundo de Aragón. La pérdida del enemigo ha sido dexar…</t>
  </si>
  <si>
    <t>Vaíois, Pedro</t>
  </si>
  <si>
    <t>Pedro Vaíois</t>
  </si>
  <si>
    <t>ncisco Xavier Losa , vista , 10 D. Juan José Ruiz de Bustamante, subdelegado, 250. Alcalde del primer voto D. Francisco del Valle. 12. Id. de segundo D. Pedro Vaíois, 50. Don Fanón de Ochoa, 65. D. Salvador Porras, 50. D. Eugenio Vizoso, 50. D. Martin Mariñelarena, 12. D. Pedro Ignacio Irigoyen , i&lt;&gt;. D. Juan Trillo. 8. D. Ge…</t>
  </si>
  <si>
    <t>Valazé</t>
  </si>
  <si>
    <t>es za , y continuar nuestras obras para coronar la de esta arma han manifestado el mayor denuedo. contraescarpa qoe era necesario atacar por medio El coronel Valazé, comandante de ingenieros del de minas. Todo esto se executó á pesar del fuégo exército y del sitio, ha manifestado mucho espiri­ de bombas , de' grabadas y de fu…</t>
  </si>
  <si>
    <t>Valbuena, Miguel</t>
  </si>
  <si>
    <t>Miguel Valbuena</t>
  </si>
  <si>
    <t>e, y D. Pablo Baliñani; ayudantías, á D. Francisco Valdés, y D. Félix Camarasa ; te­ nencias, á D. Manuel Sainz, D. Juan Conde, D. Francisco Carrion, D. Miguel Valbuena, D. Rafael Sánchez Saravia, D. Mi­ guel Guajardo, D. José Arechaga, D. Antonio López, D. Juan Arango, D. José Herrera, D. Clemente Grima, D. Bautista Vila, D.…</t>
  </si>
  <si>
    <t>Valbuena, Pedro Nolasco</t>
  </si>
  <si>
    <t>Pedro Nolasco Valbuena</t>
  </si>
  <si>
    <t>de Charches al ex-dominico D. Juan mucha superficialidad en la parte política. Cabrera. Los retratos que hace de algunos personages Para la de Gor 4 D. Pedro Nolasco Valbuena, do tienen nada de original, y aqu se hallan ea cx-gerónimo, lector y prior. ellos rasgos que los desfiguran. Para la de Fiñana á D. Josef de Zafra, ex-…</t>
  </si>
  <si>
    <t>Valcarcel, Ignacio</t>
  </si>
  <si>
    <t>Ignacio Valcarcel</t>
  </si>
  <si>
    <t>reguntas y reflexiones rápidas se puede infe­ Orden Real de España á D. Juan Miguel Peres rir que este importante ramo se pondrá en el esta­ Tafdlla, D. Ignacio Valcarcel, D. Silvestre de do mas bridante, y entonces los ingenios sevillanos Ib.rra y Gaündo, D. Ditgo Hidalgo, y D. Fran­ recobrarán aquel grado de esplendor y glo…</t>
  </si>
  <si>
    <t>Valcarcel, José</t>
  </si>
  <si>
    <t>José Valcarcel</t>
  </si>
  <si>
    <t>Aróstegui, suplente per la de Alava: D. Francisco Gutiérrez de la Huerta, suplen­ te por la de .Burgos: D. Juan Gallego, sapiente por la de Zamora : D. José Valcarcel, suplente por la de Salamanca: D, José Zorraquin, • suplente por la de Madrid: D. Manuel García Herreros , suplente por la de Soria: D. José de Cea, suplente po…</t>
  </si>
  <si>
    <t>Valcárcel, Manuel</t>
  </si>
  <si>
    <t>Manuel Valcárcel</t>
  </si>
  <si>
    <t>as, por la de Lugo: D. Pedro Ribera y Pardo, por la de Betanzos : D. Luis Rodríguez del Monte por idem: Don Antonio Vázquez de Parga, por la de Lugo: D. Manuel Valcárcel por idem: D. Francisco Morros, por Cataluña: D. José Vega y Sentmerrat,por la ciudad de Cerveia:_D. Félix Aytés, por Cataluña : Don Pvamon Urges por idem: D.…</t>
  </si>
  <si>
    <t>Valdelornar, Fernando</t>
  </si>
  <si>
    <t>Fernando Valdelornar</t>
  </si>
  <si>
    <t>cio de 23 desde Sta. C »loma &lt;le Queráis ,-que una guerrilla de su división compuesta de 30 húsares de Granada al mando del teniente del mismo cuerpo D. Fernando Valdelornar, atacó en las inmediaciones de Momblanch á una partida enemiga de 50 hombres, de que mató 30 3 é hizo 10 prisioneros. El congreso provincial l ha recibid…</t>
  </si>
  <si>
    <t>Valdencbro</t>
  </si>
  <si>
    <t>guardan por aquella parte 13000 hombres de refuerzo que estad n v a en Sevilla y mucho dinero.— Habiendo creído de mi ol í gucion el consultar con el general Valdencbro sobre las cp ¡.o</t>
  </si>
  <si>
    <t>Valdenebro</t>
  </si>
  <si>
    <t>niente coronel del regimiento de caballería de Alcántara . D. «Gregorio Fernandez, que se halla en Ubrique formando ;un esq liad ron por comisión del general Valdenebro, tiene ya .'■8Q hombres bien mentados, pero le faltan espadas, pistolas y algunas monturas. El sargento mayor del regimiento pro­ vincial ¡de Ronda con un cap…</t>
  </si>
  <si>
    <t>Valderrain, Felipe</t>
  </si>
  <si>
    <t>Felipe Valderrain</t>
  </si>
  <si>
    <t>José Antonio Peña, 20. Id. D. Ignacio Perqueyía, 6. Los sargentos, cabos y soldados, 54? y 4 rs. — Orcasitas. Capican tí. José Laredo, 184. Teniente D. Felipe Valderrain ,15. Cadete D. Ma­ nuel Rodríguez , 10. Les sargentos, cabos y soldados, 546 y 6 rs. — Buenavista. Capitán el coronel D. Pedro Villaescusa, 100 Teniente D! B…</t>
  </si>
  <si>
    <t>Valdés, Alfonso Areco Melendez</t>
  </si>
  <si>
    <t>Alfonso Areco Melendez Valdés</t>
  </si>
  <si>
    <t>. Hemos perdido una barca napolitana que se Valladr/id, vacante por muerte de D. Blas Guer­ apartó del convoi, y hemos tenido j hombres muer­ rero: á D. Alfonso Areco Melendez Valdés, pres­ tos y 10 á 12 heridos. bítero, para una capellanía real de la capilla de Esta última tentativa ha tenido un resultado S. Fernando en la c…</t>
  </si>
  <si>
    <t>Valdés, Francisco</t>
  </si>
  <si>
    <t>Francisco Valdés</t>
  </si>
  <si>
    <t>Francisco Sapena, D. Cristóbal Dócio, D. Manuel Bausa, D. Juan Doz, D. Jayme Perj, D. Juan Nioa , D. Juan Vasadre, y D. Pablo Baliñani; ayudantías, á D. Francisco Valdés, y D. Félix Camarasa ; te­ nencias, á D. Manuel Sainz, D. Juan Conde, D. Francisco Carrion, D. Miguel Valbuena, D. Rafael Sánchez Saravia, D. Mi­ guel Guajar…</t>
  </si>
  <si>
    <t>Valdes, Vicente</t>
  </si>
  <si>
    <t>Vicente Valdes</t>
  </si>
  <si>
    <t>ría Du­ ran., 50. D. José Esparza, 100. D. José Horna, 6. D. Juan Bautista Bonifaq, 5. D. José Joaquín Lugo, 5. D. Julián Rivas, 5. Manuel Frayre, 5. D. Vicente Valdes, 10. Silverio Fabela, 10 Antonio Abad y Nungaray, 5. Varios individuos, 20 y 3 rs. Los vecinos de Cinco Se­ ñores, 26. Los del Peñón, Reyes y Sta. Clara, 36 y …</t>
  </si>
  <si>
    <t>Valdi</t>
  </si>
  <si>
    <t>elo entre los persó enteramente: entre los prisioneros se halla el hombres qne el modo ó arbitrio de extinguir para comandante del cuerpo, que era el coronel Valdi- siempre las semillas de un veneno, ej mas propa­ . vía. El cuerpo que habia desembarcado en Algece­ gado y destroctor de ia especie humana. ras, y que se había ad…</t>
  </si>
  <si>
    <t>Valdivia</t>
  </si>
  <si>
    <t>de los volteadores Federico del 4.0 cuerpo del exército,.]a quadrilb, de serra­ Voídinge , Perrot y Virgon del regimiento 9.0, nos, cuyo aefe era el coronel Valdivia , en las airy Alraand del 4}.0 turas de Ojen cerca de Mirladla. T::du est3 qua,,Mientras la expedición, se dirigió Mr. Bcn- drilla ha sido muerr, ó prisionera: 4…</t>
  </si>
  <si>
    <t>Valdivieso, Tuan</t>
  </si>
  <si>
    <t>Tuan Valdivieso</t>
  </si>
  <si>
    <t>a. Subtenientes. D. Ramón Rada. D. Antonio Robillar. D. Ramón Nocedal. . D. Eduardo Santiago Palomares. D. Fcrinin Carnerero Vela* D. Claudio Botelú. D. Tuan Valdivieso. D. J osef Navarro. Tenientes. D. Josef Ortiz Herboso. D. Andrés Saez. D. Gabriel de Alearáz. D. Santiago Sedaño. D. Juan de Adanero. D. Francisco Cabañas. D.…</t>
  </si>
  <si>
    <t>Valée</t>
  </si>
  <si>
    <t>dos del 121.0, otras En la noche del 7 las trincheras quedaron otra dos del 3.0 del Vístula, y 400 t'abajado-es arma­ vez inundadas de agua; pero el general Valée re­ dos de palas y azadones, asaltó el reducto gran­ paró, mediante su actividad y aero, en poco item- de , de que se apoderó con igual presteza. Los tra­ po todos …</t>
  </si>
  <si>
    <t>Valen, Andrés Romero</t>
  </si>
  <si>
    <t>Andrés Romero Valen</t>
  </si>
  <si>
    <t>. Dignaos , Señor, rodear vuestro trono de un pueblo fic.iz , reconocido y fiel.” £1 ministro de Negocios extranjeros presentó Circular del limo. Sr. D. Andrés Romero Valen seguida á prestar el juramento á todos los dipu­ des, consejero de Estado, y comisario regio de es— • tados. te reino. t S. M. respondió á la diputación l…</t>
  </si>
  <si>
    <t>Valenchana, Juan</t>
  </si>
  <si>
    <t>Juan Valenchana</t>
  </si>
  <si>
    <t>asas. El Marques de los Zoidos..... D. Luis Le Clair........... , D. Pedro Luis Napoli. D. Mariano Herranx........... . D. Josef Gamarra........... . D. Juan Valenchana.............. D. Jaime Rostan. •#•-»••«•* ••*•••••»«••■»•« D. Josef Paniagua. D. fíustaqnio Villaseftor....... D. Manuel Gamarra. D. Pedro Sao Micbel.........…</t>
  </si>
  <si>
    <t>Valencia, Tomas</t>
  </si>
  <si>
    <t>Tomas Valencia</t>
  </si>
  <si>
    <t>1 y 3 —Pitic. D. Manuel Rodríguez, 100; D. José Buelna, 25. D. Xavier Díaz, 25. D. Ignacio León, 25. D. Ig­ nacio Araíza, 25. D. Ignacio Serrano, 10. D. Tomas Valencia, 10. D. José López, 10. D. Agustín Pesqueyra, ió. D. Juan Antonio Bernal, 10. D. Ignacio Noriega, 8. D. José María Moreno, 10. Varios indivi­ duos, 71 y 1 real…</t>
  </si>
  <si>
    <t>Valeneue, Serafín</t>
  </si>
  <si>
    <t>Serafín Valeneue</t>
  </si>
  <si>
    <t>trataron de arrestar á curato de Santa María de Mérida, en Extremadu­ un agente de Policía que se presentó quando iban ra v vacante por privación de D. Serafín Valeneue- ú principiar el robo, no obstante que les acreditó la: á D. Josef de Aya la, presbítero, ex-capuchi­ serlo. no , y cura ecónomo que fue de S. Bartolomé de Po…</t>
  </si>
  <si>
    <t>Valentín</t>
  </si>
  <si>
    <t>a 1800 franceses. El coronel D. Salvador Escandon atacó el 18 cerca de Mar­ góles en las montañas del mismo Cangas á 800, enemigos .man­ dados por el general Valentín, de que solo escaparon unos 50 que se refugiaron, parte á Villavieiosa y parte al Inhestó. Un edecán del general enemigo Bonnet, que había ido á Burgos á solici…</t>
  </si>
  <si>
    <t>cía y García, 100. Don Diego Barren , *200. D. Pedro José Caraso , 200. D. Julián Judice , 200. D. Jo­ sé Ramón Recaño.., 100. Guivcrt y Tulsó , 100. D. Valentín . Revilla, 200. Viuda de Torre y compañía , 100. D. Valentín de Huerta , 100. D. Mar­ tin Oiazagasti, .100. D. .Lian Francisco de Abarca , 100. D. Melchor de Aja­ rí…</t>
  </si>
  <si>
    <t>Valenzuela, Josef</t>
  </si>
  <si>
    <t>Josef Valenzuela</t>
  </si>
  <si>
    <t>mant. D. Manuel Saez de Prado. Capitanes. D. Vicente Romero de Tejada. D. Francisco Xavier Ruiz de Mendoza. D. Ramón Tamayo. D. Manuel de S. Vicente. D. Josef Valenzuela. D. Juan López de Quevedo. D. Francisco Fernandez Ibarra. Subtenientes. D. Fermín Sánchez Toscano. D. Félix Izaguirre. D. Josef Acevedo. Se la apellida antig…</t>
  </si>
  <si>
    <t>Valenzuela, Juan</t>
  </si>
  <si>
    <t>Juan Valenzuela</t>
  </si>
  <si>
    <t>r. Dionisio O iederra , 20. D. Juan Fernan­ dez, 200. D. Rafael Valenzuela, 100. D Felipe Siquerios, 40. D. José Vazqu z, 40. D. Manuel Sistiaga, 20. D Juan Valenzuela, 20. D. Fran­ cisco Valenzuela, 10 D. Francisco García, 20 D. Reyes García, 20. D. Tomas Rico, 10. D. José de Oscosa, 10. D. Francisco Córdoba, 12: D. Vicente …</t>
  </si>
  <si>
    <t>Valenzuela, Juan Manuel</t>
  </si>
  <si>
    <t>Juan Manuel Valenzuela</t>
  </si>
  <si>
    <t>oso. D. Felipe Colmenares. EL marques dei Valle de la Paloma. D. Mariano Mari. D. Estéban Corones Alberola. D. Joaquín Manuel de Villalba. Tenientes. D. Juan Manuel Valenzuela. D. Francisco Flores. D. Josef Antonio Rivas. D. Ramón Fernandez. D. Manuel Duro. D. Manuel Andrés. D. Francisco Lefebre Daraur. D. Juan de S. Juan. D.…</t>
  </si>
  <si>
    <t>Valenzuela, Lorenzo</t>
  </si>
  <si>
    <t>Lorenzo Valenzuela</t>
  </si>
  <si>
    <t>dada de na modo agradable, y ex-franciscano observante • lector y guardián. algunas veces interesante, tales son Jas prendas que Para la de Alqnife á D. Lorenzo Valenzuela» embellecen esta obra en medio de diferente* de­ ex-franciscano descalzo, predicador y confesor. fectos qoe la deslucen. Para la de Aldeire i I&gt;. Pedro Arm…</t>
  </si>
  <si>
    <t>Valenzuela, Lúeas</t>
  </si>
  <si>
    <t>Lúeas Valenzuela</t>
  </si>
  <si>
    <t>aspar de Ochoa, 35. Id. D. Fran­ cisco Espinosa, 10. Sargentos, cabos y soldados, 404.— Primera Vio­ lante. Capitán D. Pedro Larramendi, 92. Teniente D. Lúeas Valenzuela, 5. Id. D. Gregorio Blanco, 10. Alférez D. Fermín Tarbe, 25. Id. D. Gorgonio Olivas, 3. Capellán D. Rafael Nevares, 3. D. José Ronqui­ llo, 15. Sargentos, ca…</t>
  </si>
  <si>
    <t>Valenzuela, Manuel</t>
  </si>
  <si>
    <t>Manuel Valenzuela</t>
  </si>
  <si>
    <t>allos, 200. D. Manuel Campoy, 10. D. Jasé Ignacio Ruiz, 10. D. José Urquides, 10. D. Ignacio Campoy, 20. D. Pedro Quirós, 10. D. Bernardo Zarala, 15. D Manuel Valenzuela, 14. Varios individuos, 78 y 4 rs. Los vecinos é indios de las misiones de Sta. Cruz, Nabojoa y Camoa, 168 y 5 rs. Varios individuos del real de la Aduana, 1…</t>
  </si>
  <si>
    <t>Valenzuela, Rafael</t>
  </si>
  <si>
    <t>Rafael Valenzuela</t>
  </si>
  <si>
    <t>an­ cisca Vázquez, 7. Varios individuos, 154 y 6 rs. ■—Aíulatos. D. Do­ mingo Goyenecnea, 200. Fr. Dionisio O iederra , 20. D. Juan Fernan­ dez, 200. D. Rafael Valenzuela, 100. D Felipe Siquerios, 40. D. José Vazqu z, 40. D. Manuel Sistiaga, 20. D Juan Valenzuela, 20. D. Fran­ cisco Valenzuela, 10 D. Francisco García, 20 D. R…</t>
  </si>
  <si>
    <t>Valero, Juan</t>
  </si>
  <si>
    <t>Juan Valero</t>
  </si>
  <si>
    <t>y 12 heridos. Entré los primeros se cuenta á D. José Berenguer, capitán* de tiradores de Castilla ^ y entre tos segundos al teniente del mismo cuerpo D. Juan Valero , ambos oficiales de mérito so­ bresaliente , y que solicitaron con ansia ser los primeros para el asalto. Los enemigos tuvieron 41 muertos , 32 heridos y 78 pris…</t>
  </si>
  <si>
    <t>Valero, Manuel Becerril</t>
  </si>
  <si>
    <t>Manuel Becerril Valero</t>
  </si>
  <si>
    <t>por entre la* filas de la tro­ Nos Córdoba , justicia y regimiento de ella, á pa para acercarse i S. M.; y habiéndole pregunta­ saber: el corregidor D. Manuel Becerril Valero, y do qué quería» exclamó; Señor, que se nos dé de los veinteiquatros D. Josef Muñoz de Velasco, trabajar, porque hace mucho tiempo que estatfiot tenien…</t>
  </si>
  <si>
    <t>Valero, Tadeo</t>
  </si>
  <si>
    <t>Tadeo Valero</t>
  </si>
  <si>
    <t>, y concluye en el sitio una.................... .................... 2268 272x6 que haceresquina á la hacien­ Uh pédazo de olivar ¿e: 3 suer­ da de D. Tadeo Valero, su tes unidas en el mismo térmi­ cabida 25} aranzadas y 7 ma­ no y sitio de los Lagares, com­ tas de castaño........ . 1000 12000 puesto de 15 aranzadas y 5 Otra…</t>
  </si>
  <si>
    <t>Valiejo, Francisco Xavier</t>
  </si>
  <si>
    <t>Francisco Xavier Valiejo</t>
  </si>
  <si>
    <t>rro­ quia do Santo Toma»; 50. D. Baltasar Pombo, 25. Ei administra­ dor de rentas unidas dei Fresnillo D. Manuel Fernandez , 50. El interventor deid. D. Francisco Xavier Valiejo, SO. El guarda de id. D.Tcíix González , 20. Varios individuos de Acapetlahuacao, 49 pesos :!■§ rs. D. Francisco Mateos y Molina, vecino de Puebla, 2…</t>
  </si>
  <si>
    <t>Valladares, José</t>
  </si>
  <si>
    <t>José Valladares</t>
  </si>
  <si>
    <t>ando del teniente coronel D. Cristóbal Solar de Cclis, la tropa del ayudan­ te del regimiento de la Princesa D. Francisco Valdés, y las guerrillas de D. José Valladares se tiroteaban á una legua de Aracena , y ve cían en retirada, per atacarlos un número muy considerable de enemigos: para sostenerlos, mandé al regimiento de i…</t>
  </si>
  <si>
    <t>Valle, Domingo Luisdel</t>
  </si>
  <si>
    <t>Domingo Luisdel Valle</t>
  </si>
  <si>
    <t>uel de Castilla, alférez de dragones de Aimansa, D. Mariano Miguel Polo, subteniente del de Amé­ rica, D. Francisco de Barraycua, de el del Príncipe, D. Domingo Luisdel Valle, del de España, D. Mariano de Gsycoechea, del de Africa, D. Cir­ ios de Capetillo y D. José Oñativia, cadetes del provincial de Murcia, y al de igual cl…</t>
  </si>
  <si>
    <t>Valle, Ignacio</t>
  </si>
  <si>
    <t>Ignacio Valle</t>
  </si>
  <si>
    <t>te , 100, El -contador ie la dirección de alcabalas D José Mariano de Arce, 100. D. Ildefonso Aivarez dei Cbsmío, vecino del Valle de Santiago , 100. D. Ignacio Valle, escribnno de S. M, , 100. D. José Nicolás Sa gado, cobrador de la ju­ risdicción Je Tasco , 100. Ei teniente de milicias sueltas D. José María Infanzón-, 100 ;…</t>
  </si>
  <si>
    <t>Valle, Juan</t>
  </si>
  <si>
    <t>Juan Valle</t>
  </si>
  <si>
    <t>: D. Antonio Olivero?,' por la provincia de Extremadura : D. Ramón Povcr, por la isla de Puerto Rico: D. Ramón Saris , por la ciudad de Barce­ lona : D. Juan Valle, por Cataluña: D. Plácido de Moritolni, por la ciudad de Tarragona : D. José Alonso y López , por la junta superior de Galicia: D. José María Suarez deRioboo, por …</t>
  </si>
  <si>
    <t>Vallecilla, Diego</t>
  </si>
  <si>
    <t>Diego Vallecilla</t>
  </si>
  <si>
    <t>a-, quando l&lt; s habitantes del nuevo mun­ gobernador de la ciudad y provincia de Cumaná do no tenían; en el g- b'er.io ninguna porción del dirigido á D. Diego Vallecilla, su secretario. •poder que ¡es pertenece legítimamente. * Esperamos por momentos las gazetas de Cara­ La junta central declaró expresamente que mi­ cas, en l…</t>
  </si>
  <si>
    <t>Vallejo, Gonzalo</t>
  </si>
  <si>
    <t>Gonzalo Vallejo</t>
  </si>
  <si>
    <t>cos ; y la verdadera teórica solo puede nacer del nada de Gracias á Dios , según las noticias qne did análisis y combinación de un gran número de ob­ D. Gonzalo- Vallejo en 1788 y D. Josef del Rio servaciones hechas con precisión y .proHxidad. Tal ea 1793 , concluye el autor con la noticia siguien­ es el camino seguro que pue…</t>
  </si>
  <si>
    <t>Vallés, Baltasar</t>
  </si>
  <si>
    <t>Baltasar Vallés</t>
  </si>
  <si>
    <t>nte de tu lanía D,. Pa­ ; 3.0 ; Di Josef María Gírate. blo Ayala y Colon, oidor de lachauciUeiía de Va* _: 4v! ,.D. Joeef Martínez. lladotid. , 4&gt;•, «D. Baltasar Vallés, fiscal. . ‘ Jueces. artículo vr. ' v 1.® D. Francisco Naranjo. •: a.® D.Esiéban La-Madcid.., -i " : :; .; Patencia. i. i 3*® O* ^GScf M.lld ^dgUU4. * ,■ D. r…</t>
  </si>
  <si>
    <t>Valtierra, Diego</t>
  </si>
  <si>
    <t>Diego Valtierra</t>
  </si>
  <si>
    <t>al Cerro, Otra en Buenavista, de 243 estad...... 11 242 de una f., que rinda á oriente y norte Otra'en Ca. rapozucia, de una fin, y joo con tierra de D. Diego Valtierra.;....r &gt;7” *7 - 605 estadales.............................................. 80 J760 GfTÁH2. -í' Otra en Camuerzo, de 2 fan. y 2 0«.estad. 57 &gt;&gt;54 Una tierra e…</t>
  </si>
  <si>
    <t>Valverde, Blas</t>
  </si>
  <si>
    <t>Blas Valverde</t>
  </si>
  <si>
    <t>el recibimiento que le preparaba esta infantería ligera á D. Gabri 1 Gayo: tenientes de ciudad á su regreso de Lérida, entró inesperada­ infantería á D. Blas Valverde, á D. Alberto Lemente en ella el domingo 20 del corriente entre Grand y á D. Jaime Fransoi: teniente del regi­ ocho y nueve d« la noche. Inmediatamente pasa­ mi…</t>
  </si>
  <si>
    <t>Valvidares, Eduardo</t>
  </si>
  <si>
    <t>Eduardo Valvidares</t>
  </si>
  <si>
    <t>a fixido .... Marques de Tablantes. en circo por el art. iv del acta de las constitucio­ D. Antonio Bernís. nes susodichas , queda reducido á qoarrn. D. Eduardo Valvidares. art. iv. El departamento de las bocas del Es­ D. Josef del Valle. calda pertenecerá al tribunal imperial de Bru.'éUs.” D. Juan Josef Cerero. Ei domingo po…</t>
  </si>
  <si>
    <t>Van-Hassell</t>
  </si>
  <si>
    <t>de la nación j esas mismos ven­ to de infantería, y del depósito del i.° de cazado- drán antes de mucho d arruinar los edificios de la. tes, el mayer general Van-Hassell y su estado ma­ misma Cádiz , d perseguir nuestro comercio , y á yor han prestado el juramento de fidelidad y obe­ robar é incendiar los pukblos de nuestras …</t>
  </si>
  <si>
    <t>Van-Hogeopoth</t>
  </si>
  <si>
    <t>quienes puedan com— Cabos........................... 75 prehender se conformen á ellas rigurosamente. Soldados...................... 00 El mencionado ministro Van-Hogeopoth. ART. V. En las compañías cuya fuerza exigie­ Amsterdan 19 de julio de 1810. se tener dos tenientes , unode ellas tendrá el ca­ rácter de.ayudante, y goza…</t>
  </si>
  <si>
    <t>Vandamme</t>
  </si>
  <si>
    <t>448</t>
  </si>
  <si>
    <t>rítimos mas felici­ dad de la que ha tenido hasta ahora. Se ha hablado mucho en los periódicos de la fuga del ge­ neral Sarrasin y de sus motivos. El general Vandamme, su gefe, y comandante de las tropas acantonadas en Boloña, en una carta á Napoleón publicada en los diarios franceses, des­ pués de hacer grandes elogios de su…</t>
  </si>
  <si>
    <t>Vanderas, Manuel</t>
  </si>
  <si>
    <t>Manuel Vanderas</t>
  </si>
  <si>
    <t>isco Posada y D. Francisco Peyro , 20. D. Jo­ sé Vidal , 10. B. Ignacio Serrano y B. Pedro Troto , 10. D. Tomas IJrrea , 5. I&gt;. José (le la Vega, 25. D. Manuel -Vanderas , 50. D. Jacinto Gaxiola, 11. D. José M aria Verdugo , 50. Varios individuos , 119 y 5'rs. — Rio de Sonora. D. Francisco Caxigas, 10. D. IBrnardo Urabo y B. …</t>
  </si>
  <si>
    <t>Vanhaleo, Antonio</t>
  </si>
  <si>
    <t>Antonio Vanhaleo</t>
  </si>
  <si>
    <t>En el de los Caños del Peral, á las siete de la no­ D. Agustín Feito................ 13013 23 che, se representará por Ja compañía italiana la ópera D. Antonio Vanhaleo...................... 13086 19 bufa »n dos actos titulada el Príncipe de Taranto, in­ D. Patricio Sainz............................... 200 termediada del bole…</t>
  </si>
  <si>
    <t>Vara, Fernando</t>
  </si>
  <si>
    <t>Fernando Vara</t>
  </si>
  <si>
    <t>Bartolomé Gómez Roxo, i la ciudad de Velez-Málaa^, , vacante por muerte D. Miguel Otero, tenieóte de cora dé la misma. de D. Josef d¿ Martos , alDr. D. Fernando Vara, Y para el de la'parroquia de S. Juan de ia cura propio de la parroquia de Moclinejó.7' villa déCoin, vacante-por muerte de D. Rodrigo ■ Para otro vacante en la-…</t>
  </si>
  <si>
    <t>Varea, Esteban</t>
  </si>
  <si>
    <t>Esteban Varea</t>
  </si>
  <si>
    <t>/ 357 así es mi voluntad ; y .que a1 traslado* impreso de ésta mi cé­ dula, firmada de D. Esteban Varea, mi secretar!© y del pro­ pio consejo, se le dé la misma fe y crédito que á su original. Dada en Cádiz á 20, de junio de 1810. — YO EL REY. — Por el Consejo de Regencia: Xavier de Castaños,</t>
  </si>
  <si>
    <t>e os corresponda, sin permitir su contravención en mane-Y.alguria: qué áp es mi voluntad ; y que al traslado impreso de d~ esta ti cédula,; nVmádo dé D. Esteban Varea, mi secretario, y del propio Consejo cuco 4©i rey , lo, hice ¿escribir por 5ui: mandado-: ' pttr bciipaciorí del secretario, .génei^í- t~ Colon t.-r D, José Nav…</t>
  </si>
  <si>
    <t>Varea, Francisco</t>
  </si>
  <si>
    <t>Francisco Varea</t>
  </si>
  <si>
    <t>n el colegio, de donde, habiendo cerrado la puerta , ya no pudieron salir , y en las tentativas de la tarde murió cd subtcuieiite de i mismo batallón D. Francisco Varea. ,,A cosa de una hora de mi entrada el 8 en Teruel, y después de tomados los puntos para contener la salida del colegio al enemigo, se me avisó que al pueblo …</t>
  </si>
  <si>
    <t>Várela, Agustín</t>
  </si>
  <si>
    <t>Agustín Várela</t>
  </si>
  <si>
    <t>om­ gados; que han sido conducidos aquí 10 corsarios pañías á D. Alonso Gómese Morán, para ayudan­ que montan too cañones, con una gran cantidad te á D. Agustín Várela,y para abanderado á Don de armas de toda especie; que han sido restituidos Francisco de P^ula Valera. i los súbd'tos de S. M. otros iór buques; qoe han - Para …</t>
  </si>
  <si>
    <t>Varela, Josef</t>
  </si>
  <si>
    <t>Josef Varela</t>
  </si>
  <si>
    <t>y escribió D. Jorge Juan fuera obra larga, asi caladas (2). Estos ilustrados marinos, juntamente como parece cosa incomprehensible que sobré tan­ con D. Josef Varela, practicaron ¡guales observa­ tos méritos, tantos útiles desvelos, y tan impor­ ciones en ia campaña que hicieron en la fragata tantes como notorios servicios, h…</t>
  </si>
  <si>
    <t>Varela, Josef González</t>
  </si>
  <si>
    <t>Josef González Varela</t>
  </si>
  <si>
    <t>de Navarra , presidente. D,, Ignacio Roale^., fiscal. , , ¡ . Jueces. 1.® D. Manuel Buedo. ARTICULO, XII. 2.® D. Nicolás Rodríguez. Gitadalaxara. 3.® D. Josef González Varela. * D. Roqne Moyna y Mazarredo, oidor de la 4.0 D. Fermín Cosío.; -c audiencia de Navarra, presiente.&gt;, D. Antonio Cano Mnñoz, fiscal. . ART. Vil. Nuestr…</t>
  </si>
  <si>
    <t>Várela, Josef Joaquio</t>
  </si>
  <si>
    <t>Josef Joaquio Várela</t>
  </si>
  <si>
    <t>. Josef Batalon. S.\.. D. J uan de Ribera y Céspedes. D. Jorge Escudero. D. Julián Apartci................... D. Gabriel Fe rnaodez de Ol­ mos. lo.*. D. Josef Joaquio Várela. Séptimo batallón. Para avadante primero D, Pedro Ferrar, para segundo D. Fraocisco Lcftbre Dabaos, y para abande­ rado D. Tomas Molina. i. '............…</t>
  </si>
  <si>
    <t>Vareta, Pedro</t>
  </si>
  <si>
    <t>Pedro Vareta</t>
  </si>
  <si>
    <t>­ ran. bertad , y que 'hemos cogido a! enemigo too hom­ P ra capitán de la tercera compañía á D. Anto­ bres prisioneros. nio Varóla , para teniente á D. Pedro Vareta , y „ La dimisión inglesa compuesta de tres fraga­ para subteniente á D. Juan López Tinoco. &lt; tas, una corbeta y dos britks ha evitado el com­ art. iv. En la vil…</t>
  </si>
  <si>
    <t>Vargas, Antonio</t>
  </si>
  <si>
    <t>Antonio Vargas</t>
  </si>
  <si>
    <t>0'v' -v... . 4, .,g -d .i-, i Capitán, Pt Juan Erraoz, '' - v;,T r v- Capitán, D. Fernun Rodríguez. , -...Teniente, D. Alfonso Aguado.’ _‘ ’ Teniente D. Antonio Vargas. - . . &gt; Subteniente, D. CuÍlYeunptIJerez V^Jásco* Subteniente, D. Gaspar G’atveJt''1" t Compañía de Vilíantieva dé la JCañada Compañía de Alcatd de d loo plaz…</t>
  </si>
  <si>
    <t>rez D. José Moreno, 4. Id. D. Manuel García, 20. Capellán Fr. Francisco Es­ cobar, 40. Sargentos, cabos y soldados, 1194. — Tercera Volante. jCapitan D. Antonio Vargas, 60. Teniente D. José Antonio de Arce, 15% Alférez D. Pablo Rongel, 8. Id. D. Francisco Minjarez, 15. Capellán Fr. Manuel’ Acevedo, 10. Sargentos, cabos y sold…</t>
  </si>
  <si>
    <t>Vargas, Joscf</t>
  </si>
  <si>
    <t>Joscf Vargas</t>
  </si>
  <si>
    <t>.................. 320 7°40 Un olivar, llamado la Redención, con 6^5 pies, que linda por el poniente-con. el camino de Toledo, y por surcan olivar de D. Joscf Vargas................................. loco 22000 Otro olivar, llamado, las Seis, con 200 olivas nuevas, que linda por norte con el camino de Cervatos, y por levante y…</t>
  </si>
  <si>
    <t>Vargas, Josef</t>
  </si>
  <si>
    <t>Josef Vargas</t>
  </si>
  <si>
    <t>Joaquín Onis. D. Josef Fernandez Zúñiga. D. Josef María Monserrat. D. Ramón Echaetea. D. Gaspar Soiiveres. Subtenientes. D. Juan Ncpomuceno Rosales. D. Josef Vargas. D. Julián Castañou. D. Diego Giraldo. D. Juan Crespo. D. Andrés Almarza. D. Antonio Reyelo. D. JnrefTubó. D. Joaquín Pacheco. D. Pedro Josef Mayora. D. Esteban B…</t>
  </si>
  <si>
    <t>Varias, Fran</t>
  </si>
  <si>
    <t>Fran Varias</t>
  </si>
  <si>
    <t>elo pertenecieron á me- ■ • - í. - .. : vega, viña, olivar secano, y morías.................................. 2484..!7 -.37.814 • prados, arrendado á D. Fran­ Varias tierras que: en el lugar..... • - X ' cisco de Toro, presbítero,en. 8860 105600 de Alarpardo pertenecieron í " Una casería llamada de la Trini­ memorias.........…</t>
  </si>
  <si>
    <t>Variatínski</t>
  </si>
  <si>
    <t>os que han sido quemados. ó sepultados debí- Jfíunich jp de setiembre. aro de fas ruinas de sus propias casas. S. A. I. él El 13 de.este mes S. E. el príncipe Variatínski, archiduque palatino estaba en el consejo quando se ministro de Rusia cerca de nuestra corte, celebró oyó que las campanas tocaban á fuego, y al mo­ con Ja …</t>
  </si>
  <si>
    <t>VARIEDADES, Ma</t>
  </si>
  <si>
    <t>Ma VARIEDADES</t>
  </si>
  <si>
    <t>e Mariano Luis de Urquijo.” á D. Manuel Barte, ex-frandscano descalzo» lec­ tor» guardián y examinador sinodal. Para la de Santiago de dicha ciudad á D. Ma­ VARIEDADES. nuel Jordán» ex-carmelíta descalzo» prior» defini­ dor y examinador sinodal. Concluye el artículo de ayer. Para la de Sta. Ana de la misma á D. Antonio Aguile…</t>
  </si>
  <si>
    <t>Varo, Josei María</t>
  </si>
  <si>
    <t>Josei María Varo</t>
  </si>
  <si>
    <t>•aofta por renocm dé D. Joief López Yaste, al cioo de las disposiciones &lt;jo* teogo tomadas para -jprdíbítero D. Josei"María Varo. exigir de sús familias una multa de odio rs. diario*. ! Parid de Horta|fchaelos , vacante por muerte ,, Dios, guárde í V. mochos años. Córdoba ie D.Bartolomé Caballero Duran:, al ¿Jiesbíte</t>
  </si>
  <si>
    <t>Varsi, Josef</t>
  </si>
  <si>
    <t>Josef Varsi</t>
  </si>
  <si>
    <t>utista Guítart, del consejo de S. M., juta En el regimiento núm. i.# de cazadores i ca­ de primera instancia, por auto dado en a 2 de mayo del ballo, D. Josef Varsi á capitán. presente año cita y emplaza á las personas que guarían En el regimiento núm. 4.0 de cazadores á ca­ tener derecho á la herencia y bienes de Doña Franci…</t>
  </si>
  <si>
    <t>Varsovia</t>
  </si>
  <si>
    <t>augusta esposa. de la catedral, el clero asistente, el príncipe arzo­ El príncipe de Orange ha ido ai ducado d« bispo con el SS. Sacramento, S. M. el Emperador Varsovia para visitar las posesiones que tiene to con SS. AA. 11. 8Ce. V varios cuerpos de tropas». aquel país. En la carrera estaba firmada la tropa de la guar­ nició…</t>
  </si>
  <si>
    <t>Vartureu, Ramón</t>
  </si>
  <si>
    <t>Ramón Vartureu</t>
  </si>
  <si>
    <t>aso Machuca. D. Mariano Lfanderal. D. Pascual Carsi. D. Víctor Moreno. D J uan de ios Heros. D Vicente Per^ti. Tenientes. D. Gregorio Simón de Diego. D. Ramón Vartureu. D Macuel Alevio. D. Diego Castro. D. Juan Lecanda. • D. Josef Casalc. D. Plácido Ffexalde. D. Ramón Pando. D. Cj i*o Garc.a. D. Tomas García Domínguez. D Nico…</t>
  </si>
  <si>
    <t>Vasadre, Juan</t>
  </si>
  <si>
    <t>Juan Vasadre</t>
  </si>
  <si>
    <t>to mayor, k D. Juan de Dios Alguer ; compañías á D. Francisco Sapena, D. Cristóbal Dócio, D. Manuel Bausa, D. Juan Doz, D. Jayme Perj, D. Juan Nioa , D. Juan Vasadre, y D. Pablo Baliñani; ayudantías, á D. Francisco Valdés, y D. Félix Camarasa ; te­ nencias, á D. Manuel Sainz, D. Juan Conde, D. Francisco Carrion, D. Miguel Val…</t>
  </si>
  <si>
    <t>Vasadre, Ramón</t>
  </si>
  <si>
    <t>Ramón Vasadre</t>
  </si>
  <si>
    <t>y D. Francisco San Pedro ; subtenencias á D. Víctor Restrebada, D. Nicolás Marino, D. Miguel Souto, D. Francisco Urdapilleta, D. Hilario Naveyra , y D. Ramón Vasadre : en el se­ gundo de la Princesa , subtenencia k D. Joaquín Roca y Soriano : en el de la reunión murciana, subtenencia á D. José Perez Delgado : en el batallón d…</t>
  </si>
  <si>
    <t>Vatenzucla, Manuel</t>
  </si>
  <si>
    <t>Manuel Vatenzucla</t>
  </si>
  <si>
    <t>en la boca Capitanes. del estrecho á todo buque ingles, por pequeño que El marques de la Regalía. sea, hasta cerciorarse si está ó no armado, y en el D. Manuel Vatenzucla. entre tanto se envían piquetes de guardias turcas á D. Mateo de Mora y Lomas. su bordo. Una embarcación inglesa de comercio, D. Nicolás de la Iglesia Le ro…</t>
  </si>
  <si>
    <t>Vaughan, Cárlos</t>
  </si>
  <si>
    <t>Cárlos Vaughan</t>
  </si>
  <si>
    <t>ton, i®. El señor D. Juan Thuillier, i®. E.í señor D. Tomas Withington, i®. El señor D. Carlos O’Gorman, i@¡. El sensor D. Tomas Barber, 10. El señor D. Cárlos Vaughan, i®. El señor D. Diego Duff, cónsul de S. M. B., 5©. El señor D. Andrés Archdekin, yice-cónsul de S. M. B., 2©. El señor D. Duncan Shavv, 3©. El señor D. Tomas…</t>
  </si>
  <si>
    <t>Vaughan, Carlos</t>
  </si>
  <si>
    <t>Carlos Vaughan</t>
  </si>
  <si>
    <t>Glass , 3000. El Sr. D. Tomas Barber, 2000: El Sr. D. Tomás Tucker, 1000. El Sr. D. Tomas Goddard, 2000. El Sr. D. Guillermo Branscomb , 2000. El Sr. D. Carlos Vaughan , 2000. Ei Sr. D. Alexaúdo Briarly , 1000. El Sr. D. Diego DufF, cónsul dé S. M. B. , 3000. El Sr. D. Gedeon Cranstoun , 2000. El Excmo. Sr. D. Enrique Wellesl…</t>
  </si>
  <si>
    <t>Vazqu, José</t>
  </si>
  <si>
    <t>José Vazqu</t>
  </si>
  <si>
    <t>. ■—Aíulatos. D. Do­ mingo Goyenecnea, 200. Fr. Dionisio O iederra , 20. D. Juan Fernan­ dez, 200. D. Rafael Valenzuela, 100. D Felipe Siquerios, 40. D. José Vazqu z, 40. D. Manuel Sistiaga, 20. D Juan Valenzuela, 20. D. Fran­ cisco Valenzuela, 10 D. Francisco García, 20 D. Reyes García, 20. D. Tomas Rico, 10. D. José de Osco…</t>
  </si>
  <si>
    <t>Vázquez, Antonio</t>
  </si>
  <si>
    <t>Antonio Vázquez</t>
  </si>
  <si>
    <t>e la Moldavia, y ba vuelto á Skolc, Stnolna, cadete, D. Pedro Gerona, cadete , D.. Agostía Drohobieiz y Sambor por las ferrerías y salinas de Viado , D. Antonio Vázquez, D. Francisco Man­ Gaditzia. Un ingeniero de la comitiva iba dibuxaa- tilla y D. Francisco Viado. do todos los objetos dignos de aleación. Después de la satis…</t>
  </si>
  <si>
    <t>. Lázaro Serrano , ty. Di Francisco Sánchez, 10. D. Pedro de la Sema, 25. D. Francisco Rodrí­ guez, 100. D. Jacinto del Pino, 20. D Julián Romero, 25 D. Antonio Vázquez , 1$. D. José María Noriega, 25. D. Vicente Moreno , 10. Don Bernarda GiStellum, 10. D. Damian Segrega, 1 o. D. Juan Mendez, 13* D Manuel Cermeño, 10. Doña Ma…</t>
  </si>
  <si>
    <t>Vázquez, Francisco</t>
  </si>
  <si>
    <t>Francisco Vázquez</t>
  </si>
  <si>
    <t>Josefa. Ramírez sfí*» , * .58665 36 D. Ramón Monroy.............. 27°7’17 D. J*an Vicente .Pete*..—,29199 14 D. Manuel Rodríguez.......... . 8121 Sf D. Francisco Vázquez , ex-regular dp D. B as López Castrillo......... ........1.. 361 b. Cay c t a no,... ...... .... 60006 ■ ■ D. Jo cf Mcacado............................... 90…</t>
  </si>
  <si>
    <t>694 sobornales de grana , 4 id. en polvo, 3 id. de gra­ dilla y un caxon de alhajas. Continúan los donativos de la provincia de Sonora. Cieneguilla. D. Francisco Vázquez, lio. D. Lázaro Serrano , ty. Di Francisco Sánchez, 10. D. Pedro de la Sema, 25. D. Francisco Rodrí­ guez, 100. D. Jacinto del Pino, 20. D Julián Romero, 25 …</t>
  </si>
  <si>
    <t>Vázquez, Juan</t>
  </si>
  <si>
    <t>Juan Vázquez</t>
  </si>
  <si>
    <t>a de S. M. la Beiona, su á D. Josef Martínez: subteniente del regimiento capitán Duperre, que había salido de Francia qua- de Madrid, i.° de línea, á D. Juan Vázquez: tro meses hacia, pertenecía á esta división, y es­ subtenientes en el regimiento de Granada, 5.0 de coltaba dos presas; á saber: la fragata portuguesa línea, á …</t>
  </si>
  <si>
    <t>Vázquez, Juan Francisco</t>
  </si>
  <si>
    <t>Juan Francisco Vázquez</t>
  </si>
  <si>
    <t>ento y vecindario del lugar de A lp.sno., ha en­ tregado por donativo voluntario una brigada de 40.acémilas para el_ servicio de nuestros exéreitos. —D. Juan Francisco Vázquez, dirictor neneral de provisiones , ha dada 12 muías, que con todo el</t>
  </si>
  <si>
    <t>Vázquez, Luis</t>
  </si>
  <si>
    <t>Luis Vázquez</t>
  </si>
  <si>
    <t>presidente actual de su ilusHacienda quedan encargados de ia execucion del trísimo cabildo. ¿re&amp;ote decreto. = Firmado = YO EL REI. =: El. prebendado D. Luis Vázquez, secretario caPor *. M. su ministro secretario de Estado Maria­ pituiar , leyó desde el pulpito el decreto de amnis­ no vT jLií'* r d&lt;» —- TTroniio.” ■ - ¿- /.í.…</t>
  </si>
  <si>
    <t>Vázquez, Manuel</t>
  </si>
  <si>
    <t>Manuel Vázquez</t>
  </si>
  <si>
    <t>de la primera división del ex (licitó de Extrémadurá. Igualmente ha concedido empleos de alf reces en el regimien­ to de Reales Guardias españolas á D Manuel Vázquez, tenien­ te del de infantería i.° de ¿-.aboya; á D. Luis Sabates y de Cam­ po, subteniente del de Granada, á D. Antonio del Valle y Casti­ llo, subteniente del d…</t>
  </si>
  <si>
    <t>Vázquez, María Teresa</t>
  </si>
  <si>
    <t>María Teresa Vázquez</t>
  </si>
  <si>
    <t>1$. D. José María Noriega, 25. D. Vicente Moreno , 10. Don Bernarda GiStellum, 10. D. Damian Segrega, 1 o. D. Juan Mendez, 13* D Manuel Cermeño, 10. Doña María Teresa Vázquez, ió. Doña Fran­ cisca Vázquez, 7. Varios individuos, 154 y 6 rs. ■—Aíulatos. D. Do­ mingo Goyenecnea, 200. Fr. Dionisio O iederra , 20. D. Juan Fernan­ …</t>
  </si>
  <si>
    <t>Vázquez, Mariano Francisco</t>
  </si>
  <si>
    <t>Mariano Francisco Vázquez</t>
  </si>
  <si>
    <t>y siempre leal ciudad de Tláscala á 4 de junio de i8io:—José Muñoz.—D. Juan Temas Altamirano.— D. Juan Faustino Magiscatzin.—José Martin de Molina. — D. Mariano Francisco Vázquez. — Tomas Ruiz—Lic. José Dazay Artazo. Die­ go Vicente de Lisa - Manuel María Sánchez y Toraez — Nicolás José Rugerio. — D. José María de Aro. - Fran…</t>
  </si>
  <si>
    <t>Vázquez, Tomas</t>
  </si>
  <si>
    <t>Tomas Vázquez</t>
  </si>
  <si>
    <t>rcedes Piñuela.. • D.,-Manuel;Sánchez Toscano.—~......... 50000 Doña Manuela Roca.............. ;....... . - 6498 Doña Tomasa Quintillar, viuda, y su D. Tomas Vázquez..... ............................ 460*..25^ hijo D. Lucas Gil de la Cámara...... 1240 D. Fulgencio de la Riva Agüero......... 4449-25$ Los herederos de la marqu…</t>
  </si>
  <si>
    <t>Vcladicz, Josef</t>
  </si>
  <si>
    <t>Josef Vcladicz</t>
  </si>
  <si>
    <t>y decretamos lo siguiente: todas las autoridades decidirán de la verdad del articulo 1. ,, Nombramos corregidor de la hecho. ciudad de Guadalaxara á D. Josef Vcladicz de la El antidoto no es otra cosa que un trocisco Bastida. compuesto soluble en el agua: para usarlo se hu­ art. 11. Nombramos regidores de la munici­ medecerá …</t>
  </si>
  <si>
    <t>Vcrges</t>
  </si>
  <si>
    <t>s máquinas destinadas i economizar los oficiales. Este cnerpo ha sido enteramente disper­ brazos , y empleadas con tamosaceso.cn Francia, sado » y el general Vcrges ha entrado en Teruel. como la navette volante, la machine ti carder, El fuerte de Moulla» defendido solamente por van á ser establecidas aqui, adonde todavía no «…</t>
  </si>
  <si>
    <t>VD, Fernando</t>
  </si>
  <si>
    <t>Fernando VD</t>
  </si>
  <si>
    <t>sos sentimientos fueron y son para nuestros her­ manos de Europa un desahogo en su dolor por el pérfido cautiverio de nuestro amado soberano el señor D. Fernando VD * y un alivio á la masa de males que se desplomó sobre ellos. La España, llena de confianza, abraza á sus hijos de América, y no se cansa de darles este dulce tít…</t>
  </si>
  <si>
    <t>Ve, Antonio</t>
  </si>
  <si>
    <t>Antonio Ve</t>
  </si>
  <si>
    <t>uí, de Tívoli, de Veroli, de Para la dignidad de Chantre de la catedral de Ottá deíla Pieve, de Perugia y de Spoleto. Córdoba , vacante por muerte de D. Antonio Ve­ i tli. Las diócesis suprimidas se reunirán de este nero, á D. Juan Antonio de Castro. «»odo; las de Palestrina, Terrarios, Sezze, Piper- Para una canonpíi de la m…</t>
  </si>
  <si>
    <t>Ve, Francisco</t>
  </si>
  <si>
    <t>Francisco Ve</t>
  </si>
  <si>
    <t>ta, 25. — Cuencamé. D. Miguel Arróspide, too. D. José María Pedriza, 50. D. Tomas Troncoso, 3 — Papa:-qttiaro. El cura D. Jote Joaquín Escarzaga, 25. D. Francisco Ve11ot, 50. D. Pedro Barraza, 13. D. Julián y D. Juan Torrijas, 22. Don Rafael Peña, 10. D. Leandro Manzanera , zoo Varios individuos, 71 y 4 rs. {Se continuará.) C…</t>
  </si>
  <si>
    <t>Ve, Josef</t>
  </si>
  <si>
    <t>Josef Ve</t>
  </si>
  <si>
    <t>n dicho camino.......... 20 440 Otra en 1a Sagrilla, de 6 fan. y quartilla, lin­ Otra de fan. y media en Palomero, que ha­ de á oriente con tierra de D. Josef Ve­ ce mangada, y descabeza en el prado de nero................................................................... 142 3124 Leñar.............. ........................…</t>
  </si>
  <si>
    <t>Vega</t>
  </si>
  <si>
    <t>no, haciéndolos retroceder. Pero viendo que la coluna de la derecha que baxaba por S. Quin­ tín, tomaba la dirección por mi izquierda, dispuse que el teniente coronel Vega enviase dos compañías de las de su batallón , para deternerlos en su rápida marcha: lo que ve­ rificaron con tal valor, que impusieron respeto ai enemigo p…</t>
  </si>
  <si>
    <t>Vega, Diego Vie</t>
  </si>
  <si>
    <t>Diego Vie Vega</t>
  </si>
  <si>
    <t>984</t>
  </si>
  <si>
    <t>descolga­ ban 2! colimas con dirección á. la plaza; me adelanté con el primér batalloh*Jén úna posición ópórtuiia , mandado por su teniente Oortinél D. Diego Vie Vega, y siguiendo1 éort el segúndo al úsá^do ñJl capitán D; Francisco Claramun, cohtrarresté</t>
  </si>
  <si>
    <t>Vega, Pedro Timoteo</t>
  </si>
  <si>
    <t>Pedro Timoteo Vega</t>
  </si>
  <si>
    <t>, 416 y 5 jrs. D.José Marcos de Ibarra .y tí jqsé,j[qaqúm rCa¥o, ióó- tí- Miguel María Espinosa y D. Fer­ nando Rabágo, iob.* B. Carlos Rentería, ¿y. D. Pedro Timoteo Vega, 56. "O. Domirígó Gómez, 25* El gobernador intendente D. A’exo Gar­ cía Conde, *00. El ayudante inspector D. Antonio Texada, ioo. — Fronteras. Capican D. A…</t>
  </si>
  <si>
    <t>Vehsco, Miguel</t>
  </si>
  <si>
    <t>Miguel Vehsco</t>
  </si>
  <si>
    <t>uarda—almacén. Nota. En la gazetá de ayer, capítulo de Pa­ D. Francisco Aguilar, ayudante primero. rts , en donde dice una relación de las órdenes de D. Miguel Vehsco, ídem 2. la gran Bretaña, debe leerse una revocación. crítico Jota , no estoi tan pobrecito como algunos desea­ y si no responde y los señala, no hai duda que e…</t>
  </si>
  <si>
    <t>Veiarde, José</t>
  </si>
  <si>
    <t>José Veiarde</t>
  </si>
  <si>
    <t>es, los tenientes coroneles D. José de Santa Cruz, y D. Jo é Falo; á tenientes coroneles, los sargentos ma­ yores de brigada D. Francisco Serrallac , D. José Veiarde, y D. Joaquín Grandona ; á sargentos mayores de brigada, los capita­ nes D. Pedro Salazar, D. M :r. iel Arschav&amp;la, D. Melchor Sil­ vestre , y D. Nicolás Verdejo…</t>
  </si>
  <si>
    <t>Veiasco, Joaquiu</t>
  </si>
  <si>
    <t>Joaquiu Veiasco</t>
  </si>
  <si>
    <t>riales de Toledo, D Saturnino Seguía con 50 hombres del mismo cueipc, acompañado de un ofi­ cial y 18 t radares ingleses, dei iinérp.etü del Portazgo D. Joaquiu Veiasco , subteniente de voluntarios de la Patria, y de ios salineros pr. cuo s del terrero Francisco José del Ró , Manuel M■ifi-ú'L y A toijio Gutiérrez ; situándose…</t>
  </si>
  <si>
    <t>Veiasco, Luis</t>
  </si>
  <si>
    <t>Luis Veiasco</t>
  </si>
  <si>
    <t>D. Joaquín Leyba, suplente por Chile: D. Miguel Riesco, suplente por idem: D. Francisco López Lisperguer, suplente por el vireynato de Buenos-Ayres: D. Luis Veiasco, suplente por idem: D. Manuel Rodrigo, suplente por idem: D. Andrés de Llano, su­ plente por Goatemala: Don Manuel de Llano, suplente por. idem: D. José Aivarez d…</t>
  </si>
  <si>
    <t>Vejez, AUxandro</t>
  </si>
  <si>
    <t>AUxandro Vejez</t>
  </si>
  <si>
    <t>de Unjuijo *•'3311 Doñac Manuela— Montafies, tbhdeía 4328 2íft Da jfOSvCfdfi TOMÍaiaiíittMlSíiMH - Í970 i. yluái de Tiiii;;;;;;;;;.......C.;Av.^.:::v D. AUxandro Vejez y. Sauz "-••47% .. i D. Francisco Navarrov.'.'....„..&gt;..í.';.V^U. 1666 20 f B. Antonio Castejon ' .^aj40'. D. Bernardíno Pandeavenas.'.-r....;.;.1.. D. Francis…</t>
  </si>
  <si>
    <t>Velarde, Francisco Díaz</t>
  </si>
  <si>
    <t>Francisco Díaz Velarde</t>
  </si>
  <si>
    <t>rtolomé. Don Estéban Mata, 10. Doña María y Doña Juana Urquidi, 50. D. Juan Ignacio Oliden, 40. D. José Ignacio Cordero, 20. D. Manuel EstaviLlo, 10. D. Francisco Díaz Velarde, 40. D. Joaquín Maynez , 10. Don Agustín Soto, 20. D. José Ramón Luxan, 10. Fr. Juan Cnacon , 25. D. Eugenio Perez, 30. D. Marcos Vagues, 130. Varios i…</t>
  </si>
  <si>
    <t>Velarde, Joaquín</t>
  </si>
  <si>
    <t>Joaquín Velarde</t>
  </si>
  <si>
    <t>l, 10. D. Ignacio Noriega, 8. D. José María Moreno, 10. Varios indivi­ duos, 71 y 1 real. — Fuerte. D. Gaspar Zañudo, 200. D. Estéban de la Vega, 50. D. Joaquín Velarde, 25. D. Joaquín de la Huerta y Don Francisco Cevailos, 50. Varios individuos, 156 y 5 reales. (JV continuará) CADIZ ; EN LA IMPRENTA REAL.</t>
  </si>
  <si>
    <t>Velarde, José</t>
  </si>
  <si>
    <t>José Velarde</t>
  </si>
  <si>
    <t>e las anteriores do­ naciones se han hecho las ofertas siguientes. — El capitán D. José Ron­ quillo por el tiempo de la guerra, 15 pesos cada mes. El sargento José Velarde durante el mismo tiempo, 6 pesos cada mes. El soldado Aniceto Estrada por igual tiempo , 2 pesos cada mes. D. Bernardo Martínez ofre­ ce entregar en caxas …</t>
  </si>
  <si>
    <t>Velasco</t>
  </si>
  <si>
    <t>s había llegado á Tihens. A las io de la noche atacaron con vigor la ca­ beza del puente , y fueron rechazados sufriéndo una pérdida considerable. El gobernador Velasco , que se había negado á abandonar su puesto á pe.: sar del deplorable estado de su saludé sintió mucho alivio en ella. Dia 9. A las 12 de la noche el enemigo …</t>
  </si>
  <si>
    <t>ie.se metido en los desfiladeros de Bica-Moxcns, y cA gete dt/i estarlo mayor situó oportunamente en las alturas de ’Vaíhnoll parte de la sección del brigadier Velasco, cuyas tro­ pas rechazaron con mucho valor un destacamento enemigo, que intenté pasar á Vails. — Luego que se supo que el enemi­ go habia evacuado á Alcober, m…</t>
  </si>
  <si>
    <t>Velasco, Francisco</t>
  </si>
  <si>
    <t>Francisco Velasco</t>
  </si>
  <si>
    <t>0 porque se ha suscrito para los valientes zaragozanos, entrega ahora quatro vales de acciones de á i® reales cada uno, y ademas ^ pesos en efectivo. D. Francisco Velasco , oficial i.° de la secretaría de ía comandan­ cia general, 25. D. Mariano Hinojos, tercero, 25. D. Pedro Simón del Campo, quarto, 50. D. Joaquín Palou , ar…</t>
  </si>
  <si>
    <t>Velasco, Joaquín</t>
  </si>
  <si>
    <t>Joaquín Velasco</t>
  </si>
  <si>
    <t>ín Escobar . D. Miguel Federico, D. Francisco Blanco , D. Bartc lomé Blanco D. Joaquin Gómez, D. José Flaquer, D. Lean­ dro Rubira , D. José Velasco, D. Joaquín Velasco, D. Caytt no Vico, D. Manuel Aranda , D. Antonio Sánchez Navarro , D. José Ocaña, y D. Miguel Larraz. Empleos de alféreces en el regimien­ to de Reales Guardi…</t>
  </si>
  <si>
    <t>Velasco, José</t>
  </si>
  <si>
    <t>José Velasco</t>
  </si>
  <si>
    <t>Ferrer, D. Agustín Escobar . D. Miguel Federico, D. Francisco Blanco , D. Bartc lomé Blanco D. Joaquin Gómez, D. José Flaquer, D. Lean­ dro Rubira , D. José Velasco, D. Joaquín Velasco, D. Caytt no Vico, D. Manuel Aranda , D. Antonio Sánchez Navarro , D. José Ocaña, y D. Miguel Larraz. Empleos de alféreces en el regimien­ to …</t>
  </si>
  <si>
    <t>V. S. quiera comunicárme. — Otra. Acabo de recibir la ad­ junta del comandante de las armas de Algeciras i). J uan Espronccda, y del mayor del campo D. José Velasco, y en razón de su contenido y de lo favorable del viento, tomaré posición á la vista de S. Roque, y espe­ raré los avisos de V. S. con preferencia á lo que propus…</t>
  </si>
  <si>
    <t>Velasco, Josef</t>
  </si>
  <si>
    <t>Josef Velasco</t>
  </si>
  <si>
    <t>. Josef de la Concha , capitán re­ por la constitución del estado» REI de las España* tirado» y administrador de rentas de Carmona; •y de las Indias. D. Josef Velasco, capitán de artillería; D. Rami­ Oido nuestro gran consejo de ia Orden Real ro Bobadilla, capitán de cazadores de infantería de España, hemos decretado y decret…</t>
  </si>
  <si>
    <t>Velase, Eduardo</t>
  </si>
  <si>
    <t>Eduardo Velase</t>
  </si>
  <si>
    <t>de infante'.--! i de Aragón se ha servido con­ ceder compañías á D. Feíix Mijares, y D. José Montero ; ayundamía , á D. Martin Sierra ; tenencias, á D. Eduardo Velase»; D. Vicente Cabañas , D. Manuel Laget, D. Miguel Navarro, D. Antonio Aznar , y D. Laureano Sauz; y subtenencias, ? X). Bruno Soaso, D. Antonio Llamas, D. Loren…</t>
  </si>
  <si>
    <t>Velazquez, Isidro</t>
  </si>
  <si>
    <t>Isidro Velazquez</t>
  </si>
  <si>
    <t>rez. Subtenientes. D. Julián Pombo. D. Fermín Alfaro. D. Francisco Xavier Toledano. I). Manuel Carrillo. D. Ignacio Abadía. D. Manuel Antonio Ibañez. D. Isidro Velazquez. D. Josef María Acosta. D. Manuel Novales. D. Eugenio Aguilar. D. Francisco Peralta. D. Manuel Badana. D. Mateo Gil de Sola. D. Vicenre Tejada. D. Domingo Ve…</t>
  </si>
  <si>
    <t>Veloz, Bernardo</t>
  </si>
  <si>
    <t>Bernardo Veloz</t>
  </si>
  <si>
    <t>, 15. D. Hermenegildo La pisco , 10. D. Francasco Encinas , 15. Varios individuos , 21 pesos y 4 reales. •—- Barot/eca. El cura D. José Villegas, 50. D. Bernardo Veloz200. j&gt;. José López, 100. D. Tiburcio Toledo, 50/ D. Miguel Rivera , 25. El pres­ idien) B. Miguel Encinas, 20. B, Nicolás Mesías , 19 .y 4 rs. B. Mariano Campa…</t>
  </si>
  <si>
    <t>Veluti, Francisco de Paula</t>
  </si>
  <si>
    <t>Francisco de Paula Veluti</t>
  </si>
  <si>
    <t>oria natural&gt; ha corrido, los parages mas Galbsi, D. Santiago Moré, Don Joan Porcada, notables de las montañas de la Bukowina, aunque D. Josef Soria, D. Francisco de Paula Veluti, mui escabrosos. S. A. 1. ha visitado las fronteras D. Francisco de Paula Micas, D. Carlos fimo, de la Moldavia, y ba vuelto á Skolc, Stnolna, cadet…</t>
  </si>
  <si>
    <t>Ven</t>
  </si>
  <si>
    <t>yor, á D. Luis Fernando Mon ; segundas tenencias de fusileros, á. D. José de Lemus, D. José Vaádés y Casasola, D. Tadeo Miranda y Mon, D Miguel Lacy, D. Ven­ tura Escario, D. Juan Nepomuceno Heredia , y D. José María dé Mena ; y empleos de alféreces de granaderos, á D. José Antonio Fació, y D. Ramón de Zuloaga ; y de cazadore…</t>
  </si>
  <si>
    <t>Venegas, Francisco</t>
  </si>
  <si>
    <t>Francisco Venegas</t>
  </si>
  <si>
    <t>Ramón Díaz, y D. Pedro Payo; ayudantías á D. Alberto Nazarre, y D. Francisco Mo­ ren za ; tenencias , á D. Antonio Fernandez, D. Fernando Azevedo , y D. Francisco Venegas; y subtenencias, á D. Patricio Auge, D. Tomas Manzanares, y 1). José María de Otero ; y en el batallón de tiradores de Ciudad-Rodrigo subtenencia , á Don Pa…</t>
  </si>
  <si>
    <t>' Gáray.~ Manuel de Viya y Givaxi.~Alberto Herrero.±~: Francisco Ilute de Septien. rr Valentín Revilla, rr Francisco García Fuer* tófi'rr Ejccmo. Sr. D. Francisco Venegas. (Se continuará.) -------- UJtKliü ------Doña Juana Ltfuñez de Villavicencio, Doña Getrudis González de Urra, Doña María Gregoria de Aranda y Buenrostro y D…</t>
  </si>
  <si>
    <t>icipo á V. E. á quien Dios prospere muchos años. Antequera de Oaxaca, 24 de mayo de 1810. — Excmo. Señor— Antonio , obispo de Antequera. — Excmo. Sr. D. Francisco Venegas, presidente de la junta superior de gobierno de Cádiz.” IX. Del consulado de Veracruz. tÉ Excmo. Sr: : Se ha impuesto este consulado con admiración y com­ p…</t>
  </si>
  <si>
    <t>y justos sentimientos. — Dios guarde á V. E. muchos años. Guadalaxara y mayo 28 de 1810.— Excmo. Sr.__ Juan Cruz, obispo de Guadalaxara. — Excmo Sr. D. Francisco Venegas.” XII. De la ciudad de Santafé, capital del nuevo reyno de Granada. &lt;c Excmo Sr.: El cabildo de la capital de este reyno de Granada, al mismo, tiempo que ha …</t>
  </si>
  <si>
    <t>Venegas, Francisco Viceute</t>
  </si>
  <si>
    <t>Francisco Viceute Venegas</t>
  </si>
  <si>
    <t>a, deán de Sevilla: á D. Juan Acisclo de Vera y Delgado , arzobispo de l.aodicea, coadministrador del arzobispa­ do y arcediano titular de Sevilla; á D. Francisco Viceute Venegas, arcediano de Niebla ; á D. Francisco Xavier Vilialta, arcediano de Reyna; á D. JuauDermudez &gt; dignidad de prior; ai Excmo. Sr„ D. Pedro Gravina , a…</t>
  </si>
  <si>
    <t>Venegas, Francisco Xavier</t>
  </si>
  <si>
    <t>Francisco Xavier Venegas</t>
  </si>
  <si>
    <t>onocian su actividad y valor. — Wellington ” ESPAÑA. México 1.5 de setiembre. Ayer tomó posesión del víreynato, y entró en esta capital el Excma. Sr. D. Francisco Xavier Venegas. La. real audiencia gobernadora salió á recibirlo ala villa de Guadalupe, donde^despúes de hecha la entrega del bas­ tón , se presentaron al nuevo ví…</t>
  </si>
  <si>
    <t>Venene, Josef María</t>
  </si>
  <si>
    <t>Josef María Venene</t>
  </si>
  <si>
    <t>la Bar­ art. iu. La plana mayor de este esquadron se rera, D. Josef Rech y Ferrando, D. Manuel Ra- compondrá de un comandante, un ayudante, un quejo, D. Josef María Venene, D. Miguel Osor- porta y dos trompetas. no, D. Joaquín María de la Cueva, D. Antonio art. iv. Esta tropa no* hará parte de nuestra Mier y D. Juan Josef Rom…</t>
  </si>
  <si>
    <t>Venero, Antonio</t>
  </si>
  <si>
    <t>Antonio Venero</t>
  </si>
  <si>
    <t>nda á oriente y mediodia Una viña de 3 aranzadas y 3 quartillas , que con viña de Eulogio López......................... 1r *4 2 litad 1 con otras de D. Antonio Venero por Otra camino de la cueva en dicha Jarilla, de mediodía............................................................ 36..17 803 aranzada y media con pocas cep…</t>
  </si>
  <si>
    <t>Venero, Josef</t>
  </si>
  <si>
    <t>Josef Venero</t>
  </si>
  <si>
    <t>e la Ontanilla, Otra al propio sitio de 4 fan., que linda á linde tierras de Olías....................................... 59 1298 oriente y norte con D. Josef Venero........ II 242 Otra de 8 fan. camino de la Cruz, lindante Una viña en Palomero, en los Higuerones, con dicho camino y los Olías....................... 72-17 *595…</t>
  </si>
  <si>
    <t>poniente con la arro­ en punta, y linda á poniente con retama­ yada................ .................................................. 95 2090 res de D. Josef Venero............................... 54..17 ii99 Otra en la Náxera, de 4 fan., que linda á Otra de 7 tan., camino del Molino, que á oriente con monjas de Santa Juana..…</t>
  </si>
  <si>
    <t>Venganza</t>
  </si>
  <si>
    <t>imientos, caminos de grandeza y opulencia* ignorados ántes.” NOTICIAS DE ESPAÑA. Tarragona 13 de diciembre. Han fondeado en este puerto la fragata de rey Venganza con tres millones de reales para este exército ; y el místico de guerra Aguila con un millón dé reales para la plaza de'Gerona. Martorell 15 de diciembre. El dia 5 …</t>
  </si>
  <si>
    <t>Ventades, Domingo</t>
  </si>
  <si>
    <t>Domingo Ventades</t>
  </si>
  <si>
    <t>zquez. D. Josef María Acosta. D. Manuel Novales. D. Eugenio Aguilar. D. Francisco Peralta. D. Manuel Badana. D. Mateo Gil de Sola. D. Vicenre Tejada. D. Domingo Ventades. D. Julián Sojo. D. Tomas Ibargiien. Tenientes. D. Ramón García Ximenez. Batallón del quartel de S. Isidro D. Josef Cabredo. D. Bartolomé Gómez. Capitanes. D…</t>
  </si>
  <si>
    <t>Ventura</t>
  </si>
  <si>
    <t>antes del estrecho, Entre tanto se adelantaba igualmente la hidro­ de su-sudo, clima y producciones naturales; de grafía de la América septentrional: D. Ventura todo lo que disfruta el público una excelente re­ BarcaiztegUi habia trazado en 1788 una carta de la lación con correctos mapas, y un epítome históri­ costa oriental …</t>
  </si>
  <si>
    <t>VeOtra, Josef</t>
  </si>
  <si>
    <t>Josef VeOtra</t>
  </si>
  <si>
    <t>n capellanía Una tierra camino de Humanes, de 3 fan. y de Animas................................—• ............ 290 6380 3 celem., linde con casas de D. Josef VeOtra junto ,á la antecedente, de 5 fan., 2 néro................................................................... 14.. 17 319 celem. y 14 estad., que linca á oriente…</t>
  </si>
  <si>
    <t>Ver</t>
  </si>
  <si>
    <t>eranza de ver pronto en toda actividad esta in­ muertos y 32 heridos. mensa cantidad de telares , hoi enteramente des­ El ty atacaron 1800 hombres al general Ver- ocupados ; pues S. M. bo ha encontrado sino 1200 ges en Daroca» quien lea mató é hirió mas de 400» trabajadores. ' : .y les hizo 217 prisioneros» entre ios qoe hai …</t>
  </si>
  <si>
    <t>Ver, José</t>
  </si>
  <si>
    <t>José Ver</t>
  </si>
  <si>
    <t>denuedo- y prontitud, que no tuvieron tiempo para dispararlos cañones ya cargados, y los hicimos pri ioneros sin escapar uno solo.—El ayudante mayor D. José Ver­ dugo, que mandaba 30 hombres por la derecha, atacó la bate­ ría del puerto, que constaba de un obús real y uíi cañón de 16, la que abandonaron los enemigos, habiendo…</t>
  </si>
  <si>
    <t>Verano, Francisco Fernandez</t>
  </si>
  <si>
    <t>Francisco Fernandez Verano</t>
  </si>
  <si>
    <t>uan Antonio Mexia. — Vicen­ te Becerra. — José María Dávila. — Francisco Sauri.” En el real cuerpo de guardias de Corps ha promovido S. M. á exénto k D. Francisco Fernandez Verano ; á brigadier á D. Juan Rodríguez de Llano : á subrigadier á D. Juan Gómez de Cádiz; y k cadetes á D. Manuel Nóvales y D. Ramón Rodrigo. CADIZ: EN …</t>
  </si>
  <si>
    <t>Verde, Campo</t>
  </si>
  <si>
    <t>Campo Verde</t>
  </si>
  <si>
    <t>nuestra par e he.nos tenido un muerto y 3 heridos , habiendo retrocedido nues­ tras tropas á su anterior posición sin otra novedad. La divi­ sión del brigadier Campo Verde consiguió ñor sí , y con el auxilio de la del mando del brigadier D. Amonio Porta, la derrota completa de los enemigos en los términos que ex­ presa el par…</t>
  </si>
  <si>
    <t>Verde, José</t>
  </si>
  <si>
    <t>José Verde</t>
  </si>
  <si>
    <t>enemigo tuvo 43 muertos y mas de lOOdieriíos: y quedaron libres los presos que conducían , entre eliós; el presbítero de Valdeolivas D. José Garrido, D. José Verde,‘ vecino de Cifuentes , y los alcaldes de Trillo , Solanilles y'otros. D. Pascual Caho, uno de los españoles mas perversos que han seguido el bando de los francese…</t>
  </si>
  <si>
    <t>Verdeil</t>
  </si>
  <si>
    <t>l estos padres , madres y hermanos arrodillados con será probablemente presidida y dirigida por el la mayor devoción al pie de los altares, derraman­ doctor Verdeil, en recompensa de sus servicios, y do lágrimas , y orando fervorosamente por las al­ de su mérito y talentos extraordinarios. La refor­ mas de estos dos valientes…</t>
  </si>
  <si>
    <t>Verdejo, Nicolás</t>
  </si>
  <si>
    <t>Nicolás Verdejo</t>
  </si>
  <si>
    <t>eiarde, y D. Joaquín Grandona ; á sargentos mayores de brigada, los capita­ nes D. Pedro Salazar, D. M :r. iel Arschav&amp;la, D. Melchor Sil­ vestre , y D. Nicolás Verdejo ; á capitanes, los tenientes D. An­ drés Rodríguez, D. Félix de Toda, D. Juan Pablo Sebastian, y D. Francisco Huarte; á tenientes , los subtenientes D. Franci…</t>
  </si>
  <si>
    <t>Verdier</t>
  </si>
  <si>
    <t>tshizo fue­ go en las alturas de Santa Susana ; y según el parte que acaba de darnos, le causó alguna pérdida , matindole’el caballo que monta­ ba el general Verdier, á quien sacaron debaxo de la si la segu­ ramente contuso. Añade el mismo Pocalló que. srgun le han in­ formado, pasaron por Malgrar quatro carros de hesid« s. E…</t>
  </si>
  <si>
    <t>201</t>
  </si>
  <si>
    <t>, se presentarán otra vez y volverán k pelear por la causa de Bjnaparte, que anticipadamente les ha pagado con tanta gene­ rosidad sus servicios. El general Verdier con fecha de 2 3 de marzo en Blanes hi­ zo nueva intimación ai gobernador de Hostalrich, que la des­ echó coa el mismo valor y dignidad que las anteriores. El gob…</t>
  </si>
  <si>
    <t>Verdonces, Josef</t>
  </si>
  <si>
    <t>Josef Verdonces</t>
  </si>
  <si>
    <t>ecie, y por entre una espesa tesorero de la catedral de Valladniid, vacante por nube de humo, dos doncellas, que por su trage y renuncia del canónigo D. Josef Verdonces: á Don su rápido vuelo se parecían á aquellos genios qua Bernardo Josef Gómez, presbítero, ex-cisterciense, nos pintan las novelas orientales. para uaa ración…</t>
  </si>
  <si>
    <t>Verdun, Deuloup</t>
  </si>
  <si>
    <t>Deuloup Verdun</t>
  </si>
  <si>
    <t>E 1810. GRAN DUCADO DE VARSOVIA. ALEMANIA. Varsovia i y de noviembre de /Sqp. Hambtirgo 4 de diciembre. El 13 de este mes dos destacamentos el uno El general Deuloup Verdun ha hecho manio­ polaco y el otro austríaco , de igual fuerza , han brar á medio dia la división wcstfdian ¡, que está entrado en VViiiczk.,* , cuyas salin…</t>
  </si>
  <si>
    <t>Verdura, Vicente</t>
  </si>
  <si>
    <t>Vicente Verdura</t>
  </si>
  <si>
    <t>s compañías los indivi­ S. M., el ministro secretario de Estados Firma­ duos siguientes: dos Mariano Luis de Urquijo.” Capitanes. D. Gregorio García. D. Vicente Verdura. Aviso. D. Josef Rodríguez Mexía. En 18 de febrero de 1809 falleció en esta corte Don D. Manuel Casado. Estéban Casabona, vecino y del comercio de Ja misma, n…</t>
  </si>
  <si>
    <t>Vergara, Josef</t>
  </si>
  <si>
    <t>Josef Vergara</t>
  </si>
  <si>
    <t>cerra te­ do =Maiano Luis de Urquijo.” niente, y D. Josef de Torres Pedrosa subteniente. art. vi. . Eu la villa de Ptdrera se formará media compañíi. D. Josef Vergara está nombrado TEATROS. capitán, y D. Pedro Talavera subteniente. art. vii. En la villa de los Corrales se for­ En el del Príncipe, i fas siete de 1 a noche , se…</t>
  </si>
  <si>
    <t>Vergés</t>
  </si>
  <si>
    <t>os atrincheramientos Inmediatamente que nuestras baterías rompie­ que defienden sus costados. ron el fuego, principió también el suyo el castillo, El general Vergés, con el segundo batallón del sosteniéndose con la mayor viveza por ambas par­ 114.a, quatro compañías escogidas del 1 21.°, y too tes por espacio de algunas horas…</t>
  </si>
  <si>
    <t>Verges</t>
  </si>
  <si>
    <t>sioneros, entre ellos 2 españoles (que al momento fueron pasados por las armas), varias mochilas, cargas de tri­ go y otros efectos, con el coche del general Verges, coman­ dante francés. La guarnición de Oalafcayud que venia á reu­ nirse á la de Daroca , fue también batida antes de conseguirdo, y de este modo quedaron libres…</t>
  </si>
  <si>
    <t>551</t>
  </si>
  <si>
    <t>551 pado por la partida de 70 caballos de 3D, Fidel Mallen, que batió y puso en fuga á los franceses * y de resultas el general Verges evacuó á Teruel el dia siguiente, llevan lose 400 fane­ gas de trigo , 90 de cebada y 100QQ duros que exigió con la mayor dureza y amenazas de saqueo y exterminio. Entre tanto se ha rehecho ya…</t>
  </si>
  <si>
    <t>e ellas no se dice que so haya formalizado el sitio , ni embestido 3a plaza. “ El. 17 dejulio , dice la relación , atacaron en Daroca 1800 hombres al general Verges, el qual mató 6 hirió 400 de ellos, é hizo.24-7 prisioneros ,, inclusos 17 oficiales. Este cuerpo ha sido, dispersado enteramente (1) y y el general Verges ha en­…</t>
  </si>
  <si>
    <t>Vermis, Fadriqne</t>
  </si>
  <si>
    <t>Fadriqne Vermis</t>
  </si>
  <si>
    <t>¿ continuación sé: sidos inmediatos las demas autoridadfes, ¿efes de expresan: . V ; contadurías y administraciones, los tribunales, las Capitanes.¡' D. Fadriqne Vermis, D.Ignacio diputaciones de las fábricas de paños y comercio, Argote, D. Rodrigo Fraz de Mesa, D. - Diego ‘ Ids nobles y demás personás de diitlncion i.convi­ …</t>
  </si>
  <si>
    <t>Very, Tomas</t>
  </si>
  <si>
    <t>Tomas Very</t>
  </si>
  <si>
    <t>n el regimiento de reales guar­ dias españolas. ' . En atención á los servicios y mérito del mariscal de campo D. Juan de Ugalde , y de los coroneles D. Tomas Very y conde de Ayamans, se ha digeado S. M. promoverlos al primero á teniente general, y á los otros des á brigadieres de infantería de sus exércitos. S. M¿ se ha serv…</t>
  </si>
  <si>
    <t>Vetges</t>
  </si>
  <si>
    <t>l de España á los señores pañías encogida' del 114.*' han h¿ch^&gt; se arrepin­ Alíáro Fernando de Aguilar ( D. Diego de). tieran de su atrevimiento. El general Vetges llego Aítamirano ( D. Pedro). opnrtil minen te: CQri el regimiento 131.“ para arro­ Barrouge (D. Juan Bautista), mayor del primer jarlo-. , matarles 300 homores.»…</t>
  </si>
  <si>
    <t>Vhlaiba, Joaquín Manad</t>
  </si>
  <si>
    <t>Joaquín Manad Vhlaiba</t>
  </si>
  <si>
    <t>López Faodo........................ ................................... D Sebastian Loche. fc” ...................................................... D. Joaquín Manad Vhlaiba. D. Joan Paradis. ............................................................................................................ 0 Josef Agustín Míret. D.…</t>
  </si>
  <si>
    <t>Vi, Antonio</t>
  </si>
  <si>
    <t>Antonio Vi</t>
  </si>
  <si>
    <t>l primer ayudante mayor D. Dionisio Máznelo; y empleos de primeros ayudantes mayores al pri­ mer teniente D. Nicolás Melgarejo, y ai segundo ayudante D. Antonio Vi lia franca. Semanario patrió ico núm. 33, con el qua! se continúa esta obra, sus­ pendida en Sevilla por las restricciones que todavía teman entre nosotros la facu…</t>
  </si>
  <si>
    <t>VI, Fernando</t>
  </si>
  <si>
    <t>Fernando VI</t>
  </si>
  <si>
    <t>r á los sugetos que se hagan acreedores á ello pnr-aigon mérito distinguido que contravg*n en la gloriosa defensa de ios derechos de nuestro legítimo Rey Fernando VI í, de ia independencia de Empana, y de la sagrada Religión que profesamosha tenido á bij.r« resolver: que quaudo concurran di­ chas circunstancias en algún-suget…</t>
  </si>
  <si>
    <t>Vi, Manuel</t>
  </si>
  <si>
    <t>Manuel Vi</t>
  </si>
  <si>
    <t>. José Laguna , 100. Id. D/Fernando de Soria Santacruz, 110. D. Diego Ponce de León, teniente de navio, 20.—Alféreces de navio. D. Domingo Mesa , 30. D. Manuel Vi lia vicencío, 120. D. Félix Gastartlbide, 60. Id. de fragata, D. Martin Temoson , 50. — Cuerpo de pilotos. D. Joaquín Cundin , 70. D. José de la Peña, 70. D. Doming…</t>
  </si>
  <si>
    <t>Viado, Francisco</t>
  </si>
  <si>
    <t>Francisco Viado</t>
  </si>
  <si>
    <t>ieiz y Sambor por las ferrerías y salinas de Viado , D. Antonio Vázquez, D. Francisco Man­ Gaditzia. Un ingeniero de la comitiva iba dibuxaa- tilla y D. Francisco Viado. do todos los objetos dignos de aleación. Después de la satisfacción que tuvo el señor Dalmau de participar de los aplausos que dio todo ESPAÑA. el concarso á…</t>
  </si>
  <si>
    <t>Vial</t>
  </si>
  <si>
    <t>nos presentan la Isla de 16 de este mes en la montaña de Mirabuena1 quaLeón y Cádiz nos cubre de la mayor-adicción y tro bandas de empecinados ; y el coronel Vial, co­ desconsuelo. ¿Qué verdadero patriota no se pene­ mandante de la coiuna, mandó atacarlos inmedia­ trará del mas vivo dolor al ver en tan corto espa­ tamente. ci…</t>
  </si>
  <si>
    <t>de enero. Han llegado noticias mas exactas y circunstanciadas acerca de la última expedición de los franceses contra la provincia de Guadalaxara. El coronel Vial marchó de úrden del general Belliard , go­ bernador de Madrid , con 800 infantes y 300 caballos de Gua­ dañara y y dirigiéndose por Cogolludo , llegó el 12 de mayo i</t>
  </si>
  <si>
    <t>con vuestra colima en Tarancon én lugar de dirigi ­ ros á G uacl alaxara, según os previne en órden de ayer , y os he remitido hoy por triplicada. El general Vial va á dexar 4 Morata para pasar a Guadalaxara, á menos que no lo nece­ sitéis en vuestro socorro si el enemigó os carga demasiado i lo que deberá prevenírsele; pero …</t>
  </si>
  <si>
    <t>Víale, Manuel</t>
  </si>
  <si>
    <t>Manuel Víale</t>
  </si>
  <si>
    <t>ñora Doña Margagarita Morphy de Shavv , 500. El señor D. Juan Collins, 1®. El señor X). C. Fi.tzgerald, 1®. La señora Doña María Glass, $00. El señor D. Manuel Víale, vecino de Gibraltar , 20. El señor D. Gideon Cranstovvn, ie). La señora Doña Felisa Dómine de Vaughan, 500. Por una apuesta ganada á D. Federico Grellet por D. …</t>
  </si>
  <si>
    <t>Viaña, Francisco</t>
  </si>
  <si>
    <t>Francisco Viaña</t>
  </si>
  <si>
    <t>.... . 4164'12 D. Ftáncisco de la Quintana...........;.' 50006. D. Francisco Sardina........................ 2140 D. Manuel Sánchez Tcseano.• 8c'Cob* D. Francisco Viaña............................ . 245,70 Doñá Gqrónima Aguiiar.....'.UVA.¡i 11240. D. Antonio Ronvillard..................... 1708: i8! D.'Pedro Madrid...........…</t>
  </si>
  <si>
    <t>3‘ D. Nicolás-de los Fieros......................... 43750 El marques de Branciforte.-...v-.y.*.*** * *5*455- * ‘ Albert é hijos............... 3845 D. Francisco Viaña—....... .................... ' *3;I'33-14 D- Luis de Goyeneche y Muzquiz....... 120914.. 12 ■ D. Rodrigo Zorrilla y Monrci....... . - ‘*3593 Los señores Dovat,…</t>
  </si>
  <si>
    <t>Viberlacher</t>
  </si>
  <si>
    <t>s del banco de esta capital del valor de ha dado un Comentario sobre las bodas aldoi9 florines. brandinas. La Historia universal de la literatura* El doctor Viberlacher ha publicado una me­ por Eichon * está para concluirse. La de la Iglesia moria para probar que la «ostra que se forma ca cristiana* por Mr, Hencke, está acaba…</t>
  </si>
  <si>
    <t>Víc</t>
  </si>
  <si>
    <t>n la de los ducta ; sin embargq, todo esto debía haberse pre­ honorables miembros del partido opuesto. Creo que visto: mas si el objeto era atacar al mariscal Víc­ el general Wellington ha manifestado mucha habi­ tor, lord Wellington debería haberse batido en lidad en esta acción; pero pienso que esta habili­ retirada en el m…</t>
  </si>
  <si>
    <t>Vic</t>
  </si>
  <si>
    <t>erosa oferta» Epístola poética, declamando contra los apóstatas de la patria : es­ crita por un voluntario del exército. Se hallará en la librería de D. Vic­ toriano Pajares, calle ancha, á 2 rs. y medio Alarmas escritas la primera en abril y la segunda en setien-bre, de­ dicadas á los exércitos españoles; se venden en la cal…</t>
  </si>
  <si>
    <t>Vicario, Pedro del Puerto</t>
  </si>
  <si>
    <t>Pedro del Puerto Vicario</t>
  </si>
  <si>
    <t>. José María Carde ña’, 100. D. José Cenen y Castilla , 100. X). Luis-de Elexaldre, 100 D. Pedro García del Valle, 100. Den Juan Antonio Aguilar, 50. D. Pedro del Puerto Vicario ,.100, D. Clemente de Sta. Cruíz, 100. í&gt;. Benito Barin , 50. D. Vicente María de la Portilla 50. Don Juan Lagrava, 50. D. Juan de Guisasola, 100. D,…</t>
  </si>
  <si>
    <t>Vice-Condestable</t>
  </si>
  <si>
    <t>as esperanzas. Hoi , que- estas se han xei de Italia , Archicanciller de Estado, y SS. A A. SS. realizado con la gloria de vuestras últimas campa­ el Príncipe Vice-Condestable, y el Principe Více- ñas y sabiduría de vuastra administración 4 experi­ Grand-E lector han estado presentes. menta el Senado una satisfacción grande e…</t>
  </si>
  <si>
    <t>Vicen</t>
  </si>
  <si>
    <t>lféreces a los cadetes D. Buenaventura de Mena, D. Pedro Cabañas, y D. Carlos Pozzodivorgo,. y al teniente del batallón de voluntarios de . la Serena D. Vicen­ te Segurado. Asimismo ha concedido el Consejo tenencia en el batallón de vo­ luntarios de Campomaycr al. teniente. I).. Valerio de. León, subteniente agregado al mismo…</t>
  </si>
  <si>
    <t>Vicente</t>
  </si>
  <si>
    <t>dier de exército. S. M. la Emperatriz, la qual después de haber [le­ Gorda Puerta ( D. Luis). gado á esta ciudad y haber descansado, comió con Hore ( D. Vicente ). lo íntimo del corazón. Pocas veces se divierte Ossian. que tenían las naciones del Norte en la antigüedad. S« Casi siempre se le oye el tona lúgubre que dan las pa…</t>
  </si>
  <si>
    <t>todas las personas macho, diputado; D. Andrés Muñoz, síndico del principales de Córdoba. S. M. se dignó honrarle común; D. Cristóbal Carrillo, prior; D. Vicente con su presencia, y también fueron convidados los Moreno, presbítero; D. Juan de Lirio y D. An­ señores ministros y toda la corte. El júbilo fue drés de Rus, por la n…</t>
  </si>
  <si>
    <t>s, pa* tros consejeros de Estado D. Ignacio Joven de Sa­ sages graciosos, chanzas ligeras y singulares rasgos his­ las , D. Manuel María Cambronera , D. Vicente tóricos para recreo del espíritu y adorno del entendi­ González Arnao, D. Manuel Sixto Espinosa y miento, sacado de varios autores é idiomas. Véndeso D. Ignacio Muzqu…</t>
  </si>
  <si>
    <t>f de junio. En el del Príncipe, á las ocho de la noche, se re­ presentará por la compañía española la com-dia er cin­ - El REI ha venido en nombrar á D. Vicente co actos titulada el Vano humillado, y un fi- de fiesta •Rico, y fi.-rnabé, presbítero, para una capellanía dé D. Ramón de la Cruz. A. lores en la o meoi -. Se­ de la…</t>
  </si>
  <si>
    <t>llón de Naudet ( O. Heorique), tirador de nuestra guardia la guardia cívica de Madrid. real. Teran (D. Josef Antonio) , coronel de infantería. Niaut (D. Vicente), granadero., idem. Torrecilla.(masques de la), comandante de bata­ Pag? ( D. Juan), cabo de tiradores, idem. llón de la guardia cívica de Madrid. Pailaiuci» (Barón d…</t>
  </si>
  <si>
    <t>tor lo que mas sorprehende es el ver que la vegeta­ general dei real cuerpo de artillería. ción, la qual está tixada, por decirlo asi, en la Duarte ( D. Vicente), sargento segundo del regi­ Suiza á una elevación de 1© toesas, excede toda­ miento de Castilla, i.° Je infantería ligera. vía eo 660 a los 62o de latitud boreal. A …</t>
  </si>
  <si>
    <t>rce,,25. D Manuel Echeverría^, ^o.iD. jiian Mi­ guel Gil, 30 , D. Blas A-yarez, 52. D¿ CriscóbailPerez, 15Ó:• D^abriel rez, 25. D. José ..Suarez, 13. D. Vicente: Rodríguez , 10 Dájosé Áná3nib? Gil , 12. D. Francisco Gagiola, 10. D* Secundino Gil ,18 D. José Ma.riá Viniegra, 12. D José Antonio Sandoval , 79. D Hermenegildo Per…</t>
  </si>
  <si>
    <t>Vicente, Manuel</t>
  </si>
  <si>
    <t>Manuel Vicente</t>
  </si>
  <si>
    <t>sef), soldado de cabañería ligera Carón ( D. Pedro), gastador del mismo cuerpo. de ídem. Castilla ( D. Antonio ), comandante de batallón de lbarroia (D. Manuel Vicente de), canónigo de la la guardia cívica de Madrid. santa iglesia de Toledo. Caballero (D. Félix ), eapitao de inválidos hábiles Idrac (D. Santos), trompeta de ar…</t>
  </si>
  <si>
    <t>Vicente, Sihastim de Pi</t>
  </si>
  <si>
    <t>Sihastim de Pi Vicente</t>
  </si>
  <si>
    <t>na, D. Ramón de Acha, de Hacienda conde de Cabarrus ; en este día i su D. Ag í tin de Igartua , D. Matías O mina &gt; y D m pr.seucia y la del Ex.mu. Sr D. Sihastim de Pi­ Vicente de E heguren, Doña María y D„, Jo»efa de Aljama, coa mas otras siete en la c ud-d de Orduña á principios de noviembre del año proxi no , ñuela, é 1 mo…</t>
  </si>
  <si>
    <t>VicenteTofiño</t>
  </si>
  <si>
    <t>ra que ahora se da á les son dignos de memoria los señores D. Jorge luz , para inspirar al publico la confianza que debe Juan, D. Josef de Mazarredo, D. VicenteTofiño, tener en la exactitud y prolijidad de los medios, D. Joan Francisco Aguirre , y D. Luis Godin , di­ qué se usaron, y del esmeró que se puso en su rector de gua…</t>
  </si>
  <si>
    <t>Vicmt</t>
  </si>
  <si>
    <t>tiene otro costas de España , que acompañó al atlas m.iríumo objeto que hacer mas. teliz vuestra suerte, y pone­ trabajólo bjxo la dirección del Sr. D. Vicmt* ros en estado de aspirar , por medio de un REI Tolmo , se supusieron los métodos con que se ha­ clemente é. ilustrado, y de una constitución sabia bían trazado ús carta…</t>
  </si>
  <si>
    <t>Víctor</t>
  </si>
  <si>
    <t>del de, artillería Senarmentos de Roma y de Trasimeno, mont á visitar el cuerpo de exército que manda el 6. ° La ciudad de Roma es Tá 'segunda ciudad mariscal Víctor, y las obras y fortificaciones qne del imperio. El corregidor de Roma estará presen­ se construyen en Puerto Real y Chiclana, y los te al juramento del Emperador…</t>
  </si>
  <si>
    <t>os de tropas y de insurgentes, y á proporción de los progresos de aquellas se liarán observaciones sobre estos y sobre la opinión. — Djsdier. VI. Del mariscal Víctor al príncipe de Wagrdm (Bertbier Traducción* Tuve el honor de hacer presenter a V. A. S.'eh íos últimos dias de marzo la penuria que padecen los oficiales y 'sold…</t>
  </si>
  <si>
    <t>Cayetano), capitán en el Real Ir­ gero en Génova , y uno en Sabona, para qae pue­ landés. dan habitar en ellos las religiosas de todas las ór­ Sanz (D. Víctor), teniente del mismo cuerpo. denes que quieran. Sauz ( D. Alexandro) , idem. art. ix. Todos los bienes de los conventos su­ Torre (D. Josef de la ), sargento segando de…</t>
  </si>
  <si>
    <t>Victoria, Ignacio</t>
  </si>
  <si>
    <t>Ignacio Victoria</t>
  </si>
  <si>
    <t>an Antonio Garaso, ioco. Conde de Maulé D. Nicolás de la Cruz, 1000. Marquesa de Bclgida, 408. Paul Larriera y compañía , 1500. Don Juan de Vega , 60 D. Ignacio Victoria, 20. Doña María de Vega, 2oDoña María Salas, 60. Conde de Talara, 6co Dones y Canadell, icoo. D. Manuel Jesús Fernandez , 300. D. Francisco Díaz , 2CQ. D. Be…</t>
  </si>
  <si>
    <t>Victorino, Francisco</t>
  </si>
  <si>
    <t>Francisco Victorino</t>
  </si>
  <si>
    <t>rdenes. En este tiempo, reforzada mi partida con los 60 infan­ tes catalanes al cargo del capitán D. Benito Pelu, y 40 caballos al del de igual clase D. Francisco Victorino, de la cruzada de Alburquerque, que me envió V. S. , resolví cargar sobre ellos con dos fuertes^ guerrillas per derecha é izquierda, adelantándolas con la…</t>
  </si>
  <si>
    <t>Vida, Manuel</t>
  </si>
  <si>
    <t>Manuel Vida</t>
  </si>
  <si>
    <t>ar. turbadores del público sniícgo, presiden á los que Ayudante, c! conde de Cancelada. consiguen dar alcance, y los conducen á la Caro­ Abanderado , D. Manuel Vida*. lina á disposición del gobierno. Los que mas se han distinguido en esta guerra crmtra los enemigos de Batallón del quartel de Avapies. la propiedad y del orden …</t>
  </si>
  <si>
    <t>Vidal, Antonio</t>
  </si>
  <si>
    <t>Antonio Vidal</t>
  </si>
  <si>
    <t>ari general á favor suyo, que la comisión en­ infantería ligera , á subteniente al sargento primero cargada de juzgarlo solo tendría que examinar, si D. Antonio Vidal : en el de cazadores á caballo á la Opinión pública no habia sido engañada por al­ capitán al teniente que fue de Carabineros reales guna ilusión de aquellas qu…</t>
  </si>
  <si>
    <t>Vidal, Manuel</t>
  </si>
  <si>
    <t>Manuel Vidal</t>
  </si>
  <si>
    <t>ó Pabon , 100. D. Nicolás Campe­ ro , 100. D. Manuel de Villa y Gibaja, 200. D» Felipe Vivanco, 50. D. Francis­ co García Puertas., 100. El Escribano D. Manuel Vidal , 100. D. Rafael de Ibarra , 100. D. Francisco Ascorve , 50. D. Juan Lucas Oíavarricta , 400. D. Roque Martínez, 50. D. José Antonio de Cevallos , 100. D..Juan F…</t>
  </si>
  <si>
    <t>Vidal, Salvador</t>
  </si>
  <si>
    <t>Salvador Vidal</t>
  </si>
  <si>
    <t>Martínez de Baños, alcalde ascenso de D. Antonio Josef Cortés á juez del tri­ mayor de Málaga. bunal criminal de la misma ciudad, á D. Rodrigo 4.0 A D. Salvador Vidal, alcalde mayor de María de Moscoso, abogado en Sevilla: para la al­ Antequera. caldía mayor segunda de Granada, vacante por as­ Y á D. Romualdo Mazariegos, alca…</t>
  </si>
  <si>
    <t>Vidatirre, Manuel</t>
  </si>
  <si>
    <t>Manuel Vidatirre</t>
  </si>
  <si>
    <t>y demas habitantes de aquellos paí­ ses que se han unido con nosotros para sostener la justa causa. Todos quedaron convenidos en este primer punto, y D. Manuel Vidatirre, uno de los socios, se ofreció á escribir una proclama á los ame­ ricanos , que se une á esta representación; de lo que se le dieron las de­ bidas grecas. z …</t>
  </si>
  <si>
    <t>Vidaurre, Manuel</t>
  </si>
  <si>
    <t>Manuel Vidaurre</t>
  </si>
  <si>
    <t>en el diario á los socios, y que no se posterguen siempre que con­ curran cinco individuos ademas de los oficiales y presidente. 7 Que al exempio de D. Manuel Vidaurre que ofreció 60 reales ca­ da año, y los adelantó, los subscriptores que han Lecho ofertas y quie­ ran constituirse en los mismos términos, se obliguen al tesor…</t>
  </si>
  <si>
    <t>rpo de artillería de S. M. B. , 200. EL, Sr. D. A. D,, 100 El Excmo, Sr, D. Teodoro José de Piñeiro , encargado de negocios de Portugal, 3000. El Sr. D. Manuel Vidaurre , ÓOPO. Él Sr. D. Da­ vid. Malcolm, 1000. El Sr. D. Eduardo Clough Taylor, por mano del se­ ñor D. Diego Guillermo Glass, 2000. La Sra. Doña Josefa Gamo ríe. …</t>
  </si>
  <si>
    <t>Vidlacampa</t>
  </si>
  <si>
    <t>or consiguiente que sus fuerzas de ningún modo tenian por objeto ocuparse en la arriesgada empre­ sa de invadir este hermoso reyno. — La división del brigadier Vidlacampa se hallaba apostada el dia 2 en Villel, y es regular ha­ ya vuelto á cubrir las ciudades de Teruel, Albarracin y sus par­ tidos. Sevilla 17 de enero. Todo q…</t>
  </si>
  <si>
    <t>Vidondo, IX Ramón</t>
  </si>
  <si>
    <t>IX Ramón Vidondo</t>
  </si>
  <si>
    <t>. Tiradores. Capitán IX Ramón Vidondo, te— recibimiento del pueblo. Un inmenso gentío llena­ Oteóte D. Juan de Ortega, otro» D. Antonio Lla­ ba toda la carrera desde mucho mas allá de las mas , subteniente D. Francisco París, o</t>
  </si>
  <si>
    <t>Vidriera</t>
  </si>
  <si>
    <t>e Apodaca, prac­ de 1671, y lo que es mas, tratando Cervantes de Ve- ticaron los tres la observación , que se calculó con suma necia en la novela del licenciado Vidriera, habló de su prolixída^, y dió una longitud 20 al O. de la estima, famoso arsenal, que es el lugar (añade) donde se fa­ y confórme con la que daba la variaci…</t>
  </si>
  <si>
    <t>Viejo, Julián</t>
  </si>
  <si>
    <t>Julián Viejo</t>
  </si>
  <si>
    <t>n poco, y después se frotará con él la palidad de ella á D. Juan Manuel de Gaona , i parte, sea qual fuere, manos, lanceta ó utensilio D. Juan Dot, á D. Julián Viejo, á D. Gregorio que haya tocado persona ó parte infestada, á cuya García , á D. Antonio Mediano y á D. Juan de maniobra seguirán unas quantas lavaciones cou agua …</t>
  </si>
  <si>
    <t>VIERA, Feraando de Bruai BA</t>
  </si>
  <si>
    <t>Feraando de Bruai BA VIERA</t>
  </si>
  <si>
    <t>gran mariscal de este reino conde Dohna á forme á los servicios que hayan hecho. la edad de 69 años. En la guerra de siete años fue primer edecán del duque Feraando de Bruai- BA VIERA. •vvick. Munich 2$ de abril. El conde Wellingerode, gran mariscal de pa­ lacio , que fue hecho prisionero en Ilalberstadc Mañana ó pasado mañan…</t>
  </si>
  <si>
    <t>Vierre, Luis María</t>
  </si>
  <si>
    <t>Luis María Vierre</t>
  </si>
  <si>
    <t>ral de aduanas. La línea de tiradores de su guardia teniente á D. David' de lasque existen -.n ia frontera de Francia se con Banner , y subteniente á D. Luis María Vierre. En servará h.-sta i ° de enero de i8ti , desde cuyo el regimiento 4.0 de cazadores á caballo capitán á dia se quitará, y será líbre la comunicación de la D…</t>
  </si>
  <si>
    <t>Vigo, Juan Mendez</t>
  </si>
  <si>
    <t>Juan Mendez Vigo</t>
  </si>
  <si>
    <t>mayor facultativa del propio cuerpo á D* Francisco Melendez de la Pola, D. Andrés Hernán­ dez Sta. Cruz, D. Francisco Zarracina , D. Miguel González, D. Juan Mendez Vigo , D. Manuel Moreno , D. Pedro Masdetr, D. Joaquin Goñi, D. Juan Vial y D. Celestino Gastón. Conociendo S. M. el rey de las Dos-Sicilias la falta de fusiles q…</t>
  </si>
  <si>
    <t>VII, Femando</t>
  </si>
  <si>
    <t>Femando VII</t>
  </si>
  <si>
    <t>tjdcs medios y con el mayor esfuerzo el aumento y defensa de ía religión, la libertad de nuestro amado monarca el señor D. Femando VII, para que se restituya á su solio y al seno de sus líeles vasallos, la defensa y con­ servación de su corona, el honor de sus armas y de la nación , que te­ niendo la gloria de obedecerle y</t>
  </si>
  <si>
    <t>mover eon igual energía , diligencia y esmero , y hacer valer los derechos imprescriptibles de la dinastía reynante en España en la persona del señor D. Femando VII (que Dios guarde) y de sus legítimos sucesores eon arreglo á las leyes fundamentales del reyno, entendido de que sobre los expresados puntos no podrá ni deberá di…</t>
  </si>
  <si>
    <t>VII, Fernando</t>
  </si>
  <si>
    <t>Fernando VII</t>
  </si>
  <si>
    <t>­ tido varias preciosas alhajas de su pontifical, valuadas eu mas de 203 pesos, de las que hace donativo á favor de la nación y de nuestro rey el Sr. D. Fernando VII. La suprema Junta que en su real nombre gobierna sus dominios, ha mandado se le den las mas expresivas gracias, y anuncia con gusto á la nación este gene­ roso d…</t>
  </si>
  <si>
    <t>s generales en xefe de los e.vírcitos de operaciones la real orden siguiente. uLa Junta suprema de gobierno del reyno en nombre del rey nues­ tro Sr. D. Fernando VII, ha llegado á saber con mucho disgusto el</t>
  </si>
  <si>
    <t>cesas en la Península duran­ te la última campaña. — S. M. nos encarga os informemos que el Gobierno español , en nombre y en virtud de autoridad del Rey Fernando VII , ha resuelto se junten las Cortes generales y ex­ traordinarias de la nación. S. M. espera que estas disposiciones da­ rán un nuevo vigor á los consejos y exér…</t>
  </si>
  <si>
    <t>ar los regimientos que hacen par­ te de estos cuerpos caminan á incorporarse con ellos. NOTICIAS DE ESPAÑA. r Cádiz 26 de marzo, Píruivli lo el Señor D. Fernando VII , y en su real nombre el Consejo de Regencia de España é Indias, del gozo general que debe causar la noticia de que en los puntos mas distantes de 11 dominación …</t>
  </si>
  <si>
    <t>esté por ahora al cargo inmediato del real colegio de medicina y cirugía de Cádiz. l^Por decreto de 30 del pasado se ha servido el R?y nüestro señor D. Fernando VII, y en su real nombre el Consejo de Regen-</t>
  </si>
  <si>
    <t>112</t>
  </si>
  <si>
    <t>e regocijo por la creación de tan respetable Cuerpo supremo, y en testimonio del amor debido ala red persona de nuestro deseado y,legítimo sobe­ rano D. Fernando VII : pues se promete: del alto y,distinguido mérito que caracteriza á todos y á cada uno de dos R gentes el mas pronto y feliz éxito de la santa y justa causa eti q…</t>
  </si>
  <si>
    <t>124</t>
  </si>
  <si>
    <t>os detienen en las cadenas que queréis de veras romper. Mienten esos infames : la Junta s uparior de O as­ tilla la Vieja en el real nombre del señor D. Fernando VII,, oslo asegura así : corred sin deteneros, abandonando esa caterva de malvadas , á uniros á vuestros antiguos compañeros de armas, los verdaderos españoles, que …</t>
  </si>
  <si>
    <t>VÍÍ, Fernando</t>
  </si>
  <si>
    <t>Fernando VÍÍ</t>
  </si>
  <si>
    <t>172</t>
  </si>
  <si>
    <t>, la de la provincia de Guadalaxara , y la del corregimiento de Tortosa, inalterables en su amor y fi.ieiiíad á nuestro legítimo so­ berano el señor D. Fernando VÍÍ, y en ia adhesión y respeto á las autoridades que le representan , man ¡fiaran en ios siguientes ofi­ cios su sumisión al supremo Consejo de Regencia. 1.® ,, Seño…</t>
  </si>
  <si>
    <t>zcan de nuestro suelo los feroces enemigos que pretenden subyugarnos ; y por fin , que restituido k su real trono nuestro muy amado soberano ei señor D. Fernando VII, brille nuestra sagrada religión é independencia, único honor y gloria á que as­ pira esta junta, siempre sumisa y dispuesta al cumplimiento de las órdenes de V.…</t>
  </si>
  <si>
    <t>213</t>
  </si>
  <si>
    <t>213 que directa ó indirectamente se dirija í separarla del vasallaje que ha jurado á su legítimo rey y señor natura! el señor D. Fernando VII, y á sus legítimos sucesores; pues sea qual fuere la suerte final de la penín­ sula ó de qmlquiera otra porcien del imperio español , Valladoiid de Mechonean debe ser siempre del patrim…</t>
  </si>
  <si>
    <t>229</t>
  </si>
  <si>
    <t>r y de fidelidad, no es fácil que pretendan obscurecer sus brillantes hechos ensor­ deciendo k sus clamores. El Consejo de Regencia en nombre del Sr. D. Fernando VII, nuestro legítimo soberano, «s indulta de quaiquiera delito que os haya retraído ¿el servicio, con tal de que antes de quince dias contados desde la publicación …</t>
  </si>
  <si>
    <t>partes del cargamento no sean de vino y aguardiente. — Hablan también del próximo viage de Bonaparte á España, y de otro que suponen va á ha­ cer el rey Fernando VII dentro de Francia. Añaden que desde el viage de Nafióleoñ se trabaja coh mucha actividad éu los puertos y astilleros del norte dé Francia y en los de Holanda.</t>
  </si>
  <si>
    <t>Viiialia, FranciscoXavier</t>
  </si>
  <si>
    <t>FranciscoXavier Viiialia</t>
  </si>
  <si>
    <t>ía 'activarán por todos medios las ven­ co Vicente Veregas, arcediano de Niebla, y canó­ tas en pública subasta de los bienes nacionales si­ nigo j á D. FranciscoXavier Viiialia , arcediano dé tos en su distrito, por las reglas que nuestros de= Reina; á D. Juan Be.mudez, dignidad de prior; á cretos de 9 de junio y 27 de setie…</t>
  </si>
  <si>
    <t>Viilaimyor, Simón</t>
  </si>
  <si>
    <t>Simón Viilaimyor</t>
  </si>
  <si>
    <t>ientos que les son tan propios. ría de línea á D. Ramón de Aoiz y Susa, coronel El limo, ayuntamiento ha señalado para ia ce­ de caballería de línea. D. Simón Viilaimyor que­ lebración d* las fiestas los dias 27 , 28 y 29 de es­ da admitido al servieio de S. M. en clase de capi­ te mes. .* tán de infantería de línea. Necesita…</t>
  </si>
  <si>
    <t>Viilamii, Felipe</t>
  </si>
  <si>
    <t>Felipe Viilamii</t>
  </si>
  <si>
    <t>omodarlos , adelantán­ dome yo con el resto de tropas hasta 2 leguas de dicho pueblo, en donde me situé á campo raso. Las tres guerrillas al mando de D. Felipe Viilamii , sargento mayor de Covadonga , de D. Ma­ nuel Benedicto, y de D. Luis Corral , mi ayudante de campo, unidas al coronel D. Ja\ me Butler, sargento mayor de Le…</t>
  </si>
  <si>
    <t>Viilare, Pedro</t>
  </si>
  <si>
    <t>Pedro Viilare</t>
  </si>
  <si>
    <t>comandante del tercer esquadron del propio cuerpo ; esta resulta i D. José de Elorduy, capitán dei de cabañería del Príncipe ; com­ pañía ai ayudante D. Pedro Viilare»! ; ayudantía á D. Vicenta Blanco, y esta resulta al capitán graduado D. José María d# Aguilar; en el 2.a de Lusitania ayudantía i D. Miguel Domín­ guez, tenien…</t>
  </si>
  <si>
    <t>Viilavicencío, Juan</t>
  </si>
  <si>
    <t>Juan Viilavicencío</t>
  </si>
  <si>
    <t>,- ;; ; :EF Cdhsfek*' '{áé*Regencia •'*!&lt;&amp; lerdo con %athfacéio.h --estafe ■'noticias comuT' ¿Cadas por el-te ni en te 'general ‘de! la real arma­ da D. Juan Viilavicencío# y en vista de lá-eondúeta á&gt;bsér-</t>
  </si>
  <si>
    <t>Vil, Celestino</t>
  </si>
  <si>
    <t>Celestino Vil</t>
  </si>
  <si>
    <t>de Errado., creada por ¿cníent¿&amp;; á O Lili* Le?ag¿, D. Adriano Cirios1 real decreto de 24 de mayo de este año para entenVautbier. tí. Juan Viraváux, D. Celestino Vil- * der én todos los asuntos relativos á indemnizaciones b; :s, tí. Jésíis María Bóúdgoct y D. Pedro Tei- y confiscaciones, ha colocado su secretaría en el pi­ ii…</t>
  </si>
  <si>
    <t>Vil, Fernando</t>
  </si>
  <si>
    <t>Fernando Vil</t>
  </si>
  <si>
    <t>patria, se esfuerzan á auxiliarla con sus bienes del modo mas- liberal y magnánimo. El .Consejo de Regencia á nombre de nuestro amado monarca el Sr. D. Fernando Vil ha mandado que se den á todos las gracias; que se forme un catálogo con distinción de los que mas han sobresalido, y se inserten en la gazeta los nombres de estos…</t>
  </si>
  <si>
    <t>por el bien de ella, y de los desvelos que le merece principalmente la salvación de*la patria, ha determi­ nado en el real nombre del rey nuestro Sr. D. Fernando Vil, que las cortes extraordinarias y generales mandadas convocar se realicen ala mayor brevedad, á cuyo intento quiere se executen Inmediatamente las elecciones de …</t>
  </si>
  <si>
    <t>Vil, FERNANDO</t>
  </si>
  <si>
    <t>FERNANDO Vil</t>
  </si>
  <si>
    <t>s personales reúne la circunstancia de pertenecer á la augusta familia dé Barbón, y de estar enlazado por los vínculos de la sangre con nuestro amado rey FERNANDO Vil. Se han extraviado nueve vales reales de 600 pesos, crea­ ción de 1.® de mayo, señalados con los números 398,452, 398,302 , 3$7,645 , 385,896 , 384,856 , 412,55…</t>
  </si>
  <si>
    <t>era , D. Diego Ju­ go y D. Andrés Moreno se dirigieron primero, oyó con hor­ ror sus proposiciones; reiteró solemnemente el juramento de fidelidad al rey FERNANDO Vil y á los depositarios de su au­ toridad en España; avisó inmediatamente de las novedades ocurridas en la capital al gobernador de Maracaybo D. Fer­ nando Miyares…</t>
  </si>
  <si>
    <t>que se compuso el cabildo, les recibí juramento que hicieron por el Señor crucificado y santos Evangelios, de obedecer á nuestro rev y señor natural D. FERNANDO Vil, y defender todos los derechos de su dinastía, y este rey no de las Indias que le per­ tenece, como asimismo obedecer, cumplir y executar las ór­ denes del suprem…</t>
  </si>
  <si>
    <t>Vil, IX Fernando</t>
  </si>
  <si>
    <t>IX Fernando Vil</t>
  </si>
  <si>
    <t>uno, como se les ha pagado hasta aquí. gadiz 26 de abril. El Consejo de Regencia , que representa la autoridad suprema en nombre de nuestro legítimo rey IX Fernando Vil , queriendo recor­ dar la loable y religiosa costumbre , usada por todos los reyes de Es­ paña , de andar las estaciones en público aparato el dia de jueves s…</t>
  </si>
  <si>
    <t>Vila, Bautista</t>
  </si>
  <si>
    <t>Bautista Vila</t>
  </si>
  <si>
    <t>el Valbuena, D. Rafael Sánchez Saravia, D. Mi­ guel Guajardo, D. José Arechaga, D. Antonio López, D. Juan Arango, D. José Herrera, D. Clemente Grima, D. Bautista Vila, D. Casimiro Brodet, D. Guillelmo Claramunt, D. Bernardo Cobian y D. Francisco Juárez ; y subtenencias, á D. Juaii de la Fuente , D. Mtnuel Martinez , D. Pió Mo…</t>
  </si>
  <si>
    <t>Vila, Mariano</t>
  </si>
  <si>
    <t>Mariano Vila</t>
  </si>
  <si>
    <t>amps para sostenerlo con sus somatenes ; y que D. Baltasar P»Uíse,r sé dirigiese sobré García con todo su destacamento de 300 hombres, sos;tenido por D. Mariano Vila con el suyo- de 120. Dadas ya las respectivas instrucciones, mandó romper el mego á las 7 de la mañana en todos los pun­ tos de ataqué, el que sé empeñó cón el m…</t>
  </si>
  <si>
    <t>Vilhirrutia, Antonio</t>
  </si>
  <si>
    <t>Antonio Vilhirrutia</t>
  </si>
  <si>
    <t>49 lidades de estilo á las 10 de esta mañana en el salón prin ípal de este real palacio, con asistencia del presidente D. Ro­ que Abarca, del regente D. Antonio Vilhirrutia, de los oido^ res D. Juan José Jtecacho y D. Juan Nepomuceno Hernán­ dez de Alba, de los fiscales D. Juan Ignacio Fernandez'Münilla y D. Vicente Alonso Ar…</t>
  </si>
  <si>
    <t>Viliaba</t>
  </si>
  <si>
    <t>ue verda­ dero era á Horta ; y así , después de pasir las órdenes conve­ nientes ai teniente coronel D. José Ortega, comandante de dicho punto , y al coronel Viliaba, á las dos de la mañana del IO me puse en marcha con los batallones primero de Aragón y Daroca al C)U de Engrao, donde debian reunirse todas las tropas , y ha­ c…</t>
  </si>
  <si>
    <t>Vilialta, Francisco Xavier</t>
  </si>
  <si>
    <t>Francisco Xavier Vilialta</t>
  </si>
  <si>
    <t>o , arzobispo de l.aodicea, coadministrador del arzobispa­ do y arcediano titular de Sevilla; á D. Francisco Viceute Venegas, arcediano de Niebla ; á D. Francisco Xavier Vilialta, arcediano de Reyna; á D. JuauDermudez &gt; dignidad de prior; ai Excmo. Sr„ D. Pedro Gravina , arcediano de C armón a ( actual nuncio de S. S. en esto…</t>
  </si>
  <si>
    <t>Vilíaseñor, Ramón</t>
  </si>
  <si>
    <t>Ramón Vilíaseñor</t>
  </si>
  <si>
    <t>ncia de Sonora. Trinidad. D. Severino Legarreta, SO.* D. Salvador Mongo , 40. D. Ignacio Mongo, 10. Varios individuos, 104. El cura de Arivechi, 1.5. D. Ramón Vilíaseñor, 10. D. Pasqual Murrieta, l£L Varios individuos , 56 y 6 rs. El cura de Zaguánpa, ltb B. Santos Aguayo , 10. B. Vicente Valenzuola , 10. Varios individuos, O…</t>
  </si>
  <si>
    <t>Viliet, Pedro Giroud Je</t>
  </si>
  <si>
    <t>Pedro Giroud Je Viliet</t>
  </si>
  <si>
    <t>avanzó hácia Teruel, la que ocupó, envian­ D. Juan López Q jevtdo......................... 9369 19 do tropas á Rubieios, de donde la pretendida jun­ D. Pedro Giroud Je Viliet.................... 207250 ta de Aragón se dio prisa á escapar. D. Cipriano Layar......................................... 397 5 Sus habitantes salieron…</t>
  </si>
  <si>
    <t>Villa, Josef</t>
  </si>
  <si>
    <t>Josef Villa</t>
  </si>
  <si>
    <t>e AUSTRIA. Quesada, D. Bernardino Argore , D. Mariano Gambeta, D. Juan Martínez Ttrroba, D. Juan de Lemberg 19 de agosto. la Calle, guardia de honor, D Josef Villa, Don Cayetano Janear, D. Josef Molinos, subteniente, El archidoqne Ranerio, llorado de sn gasto D. Carlos Beramendi, D. Luis Cañete, D. Juan por la historia natura…</t>
  </si>
  <si>
    <t>Villa, Mariano</t>
  </si>
  <si>
    <t>Mariano Villa</t>
  </si>
  <si>
    <t>ilo en la execulos Supino y D. Luis Perez; á tenientes á los sub­ cíod , tales son las principales prendas tjue lo ca­ tenientes D. Carlos Ferraniiz, D. Mariano Villa- racterizan. El que publicase un pouna que las nueva, D. Joaquín Fuentes y D. Antonio Rusi, reuniese todas, llamaría con tanta fuerza la aten­ y á subteniente a…</t>
  </si>
  <si>
    <t>Villabrille, Miguel</t>
  </si>
  <si>
    <t>Miguel Villabrille</t>
  </si>
  <si>
    <t>ga, con 60 caballos de Cantabria para ínter* ceptar toda comunicación con la capital. Una columna vo­ lante de 2Q0 hombres á las órdenes del teniente D. Miguel Villabrille, se colocó en Pica para cubrir los caminos de Pola y Noreña, y con el resto de las fuerzas tomamos posición en los altos de Caldones á vista de Gljon al am…</t>
  </si>
  <si>
    <t>Villacampa</t>
  </si>
  <si>
    <t>8 de enero. Esta ciudad que ha sufrido por espacio de 8 dias la presencia de las tropas francesas , se halla ya ocupada de nuevo por la división dei brigadier Villacampa, que esta tarde sa­ le para Celia, acercándose á la del general Labal, cuyos destaca­ mentos se extienden hasta Villafranca. Esperamos que en llegando alguna…</t>
  </si>
  <si>
    <t>y particularmente en esta bizarra acción el te­ niente D. Valero Ripol, y el sargento 2.Q Joaquín Anadón. Del 24. Eí 13 del que rige atacó y batió el general Villacampa entre el Frasno y Calatayud á 650 franceses. Murieron en la acción D. José Alcalde , oficial español juramentado al servicio de José Bonaparte, y D. Pedro Ten…</t>
  </si>
  <si>
    <t>brándose el feliz éxito de la expedición de Valencia, y los supuestos triunfos contra los espa­ ñoles con repique de campanas, Te Deum y gigantes. Ei general Villacampa volvió ayer a Exea con su división, á los 14 dias de su partida. Había caminado ya cinco jornadas por la ruta de Aifambra, Montalban , Monforte , Herrera y Co…</t>
  </si>
  <si>
    <t>. Se había concluido la función, y el cansancio extremado apenas permitía aun á nuestros soldados victorear ei nombre del deseádo Fernando, quando el brigadier Villacampa tuvo aviso cierto de que el general Chíopic&amp;i se % oreaba rápidamente con fuerzas dobles y mu­ cha artillería. Al punto dispuso ha retirada al puerto del Fr…</t>
  </si>
  <si>
    <t>s á las que ya die­ ron de su lealtad k fines de mayo próximo pasado, quando amenazados por la división francesa que venia en seguimien­ to de la del general Villacampa , y penetró hasta el lugar de Valdemorillo, distante de aquí quatro leguas , se refugiaron k los bosques y cuevas de la Sierra , prefiriendo la compañía de la…</t>
  </si>
  <si>
    <t>430</t>
  </si>
  <si>
    <t>fué atacada el 4 del corriente: pero que los franceses eran pocos , y fueron batidos y recha­ zados. Con lo qual, y con haber llegado la división del general Villacampa á Teruel, se mira como muy probable que los franceses hesi tan, á lo menos por ahora, de la empresa de .s.tiar aquella plaza. Tarragona 10 de julio.-—Fd 3 del…</t>
  </si>
  <si>
    <t>la de Daroca , fue también batida antes de conseguirdo, y de este modo quedaron libres de enemigos ambas ciu­ dades. Posteriormente escribe el mismo general Villacampa des­ de Alustante con fecha del 18 , dando cuenta de que el 15 había salido de Daroca para situarse en el puerto de Cariñe­ na , y que el 16 al amanecer se pre…</t>
  </si>
  <si>
    <t>400 fane­ gas de trigo , 90 de cebada y 100QQ duros que exigió con la mayor dureza y amenazas de saqueo y exterminio. Entre tanto se ha rehecho ya el general Villacampa, y ha vuelto á ocupar el puerto de Cariñena , la ribera de Miedes y Vdlafeliche; ha puesto su quartel general enCalatayud y cor­ tado á los enemigos de Daroca…</t>
  </si>
  <si>
    <t>e campo D. Fran­ cisco Marcó del Pont por su ayudante de campo, que el co­ ronel Plique fué presentado muerto y cosido á herirlas por sus soldados al general Villacampa. Este se ha reunido en Montalban con su división en el día de a ver con motivo de saber que la división enemiga de Daroea hacia movimiento, observándole , y\p…</t>
  </si>
  <si>
    <t>Villacampa, Pedro</t>
  </si>
  <si>
    <t>Pedro Villacampa</t>
  </si>
  <si>
    <t>s Prín­ cipe , ha interceptado en .las cercanías de Burgos un correo fran­ cés, haciendo prisioneros á 25 soldados que lo escoltaban.— La división de D. Pedro Villacampa , compuesta de 2300 hombres y 5 piezas de artillería, entré en esta ciudad el dia 28 del corriente después de haber burlado k los : franceses , que con fuerz…</t>
  </si>
  <si>
    <t>Villaeampa</t>
  </si>
  <si>
    <t>que el general Villaeampa sostuvo en Andorra el 6 de setiem­ bre. Había salido ¡esté general el 4 dé Monréal dél Gampo para pasar á Montalvan, y en el camino tuvo aviso de que el mis­ mo dia habían salido de Mohtalvan para Esterqueí 200 infan­ tes france</t>
  </si>
  <si>
    <t>ha sido juzgado según las leyes y sentenciado á la pena de muerte que lia sufrido. Sq sabe que después de la acción de Andorra, el general Villaeampa, continuando su expedición, logró alcanzar un cuerpo de 400 franceses que arrolló destruyendo mas de la mi­ tad 3 que éntrelos prisioneros se contaba un teniente coronel de infa…</t>
  </si>
  <si>
    <t>Villaes, Felipe</t>
  </si>
  <si>
    <t>Felipe Villaes</t>
  </si>
  <si>
    <t>ga y aliada de la Francia. nardo Cañete, D. Antonio Caballero, D. Josef Una revolución extraordinaria precipitó del tro­ Garrido, D. M-inutl Nadales, D. Felipe Villaes- no la casa que reinaba en aquella nación. La rama cuss, D. Antonio A:taro, D. Manuel Ximenez, de ella reinante en España debió sostenerla, y no medios racione…</t>
  </si>
  <si>
    <t>Villaescusa, Francisco</t>
  </si>
  <si>
    <t>Francisco Villaescusa</t>
  </si>
  <si>
    <t>Luis d« Vaiguaraera. Urquijo.’' art. ni. Nombramos para capitán de este re­ Córdoba 34 de marzo. gimiento á D. Josef Gutiérrez: para tenientes á ■ r. D. Francisco Villaescusa, D. Bernardo Alarcon, Es la noche del dia 19 del corriente se abrió, D. Josef Enjuto, D. Luis Gatcía Tribiáo, D. Jo­ en obsequio de los días de nuestro …</t>
  </si>
  <si>
    <t>Villaescusa, Juan José</t>
  </si>
  <si>
    <t>Juan José Villaescusa</t>
  </si>
  <si>
    <t>y soldados, 546 y 6 rs. — Buenavista. Capitán el coronel D. Pedro Villaescusa, 100 Teniente D! Benito Espinosa, 20. Alférez D. Ignacio Elias, 10. Id, D. Juan José Villaescusa, 8, Capellán D. José María Herreros, 12. Cadete D. José María Redondo, ry. Id. D. Francisco ViÜaescusa, 5. Los sargentos, ca­ bos y soldados, 146. Babi&gt;…</t>
  </si>
  <si>
    <t>Villalba, Clemente</t>
  </si>
  <si>
    <t>Clemente Villalba</t>
  </si>
  <si>
    <t>. Matías de Mor y Ríos.... D. Josef Villanas; D. Rafael Yarce..... D. Estéban Moreno..... ......... I&gt;. Manuel López. D. Güilísimo González.......... D. Clemente Villalba. D. Francisco Lopes Moya.... D. Joan Colmenero. D. Clemente Mesbiele...........- D. Pedro M*ría Brost, D. Josef María SorroialD. Mariano Triviño,.., D, Albe…</t>
  </si>
  <si>
    <t>Villalba, Mariano</t>
  </si>
  <si>
    <t>Mariano Villalba</t>
  </si>
  <si>
    <t>ero, de Baza. sabir por ellos los baques que necesitan repararse. En la prefectura de Jaén. IMPERIO FRANCES. D. Fernando Chaves, subprefecto de Jaén. D. Mariano Villalba, de la Carolina. Roma 4 de abril. D. Miguel García, de Ubeda. Eu Villa-Falumbara se |ban descubierto poco En la prefectura de Málaga. hí varias antigüedades …</t>
  </si>
  <si>
    <t>Villalobos, José</t>
  </si>
  <si>
    <t>José Villalobos</t>
  </si>
  <si>
    <t>iraron á les montes y despoblados. — Las avanzadas del exército del centro han vuelto á ocupar sus antiguas posi­ ciones. Las guerrillas del mando de D. José Villalobos llegan hasta mas allá úrl Chiribel, tres leguas de Velez, y han cogido 700 cabezas de ganado al envn ve*</t>
  </si>
  <si>
    <t>, les Velez, Chiribel y Cúliar. Ha­ ce tres dias que el teniente D. Bernardo Márquez , ccmardante de una de las guerrillas que están á las órdenes de D. José Villalobos , hallándose en. Albcx, pueblo situado á la izquierda del camino real, supo que un cuerpo considerable de caballería enemiga se había adelantado hasta Vcíez-R…</t>
  </si>
  <si>
    <t>con su partida de Cambil ha sorprehendido en Poyatos una descubierta francesa, y cogido prisioneros á los 26 soldados de caballería que la componían. D. José Villalobos atacó el 9 del corriente con 120 caba­ llos k 200 enemigos de igual clase que se dirigían á los pue­ blos de Huesear, Orce y Galera con el objeto de exigir ra…</t>
  </si>
  <si>
    <t>Villalobos, Pablo</t>
  </si>
  <si>
    <t>Pablo Villalobos</t>
  </si>
  <si>
    <t>Cabada , menor, D. J&lt;sé Blanco, 16. Varios individuos 157. — Ciénega de los Olivos. El subdelegado D. Atanasio Loya, 283. D. José Antonio Loya, 125*. D. Pablo Villalobos, 50. D. Ciríaco Salas, 20. D. Juan de Dios Rodríguez, 2 4. D. Francisco Obregon, 27. Varios individuos, ;r. Los naturales de Sta. Cruz de Valerio, 13. Id. de…</t>
  </si>
  <si>
    <t>Villalucnga, Josel</t>
  </si>
  <si>
    <t>Josel Villalucnga</t>
  </si>
  <si>
    <t>....................................... XIOO 13200 Otra casa junto al coliseo de comedias, perteneciente á la memoria fundada en di­ cho conven o por D. Josel Villalucnga.............-....................................... .................... 500 6000 Otra casa eu L calle de los Jardines, perteneciente á otra meim ría funda…</t>
  </si>
  <si>
    <t>Villamil, Domingo</t>
  </si>
  <si>
    <t>Domingo Villamil</t>
  </si>
  <si>
    <t>Torre. D. Francisco Saez. D. Diego del Rio. D. Francisco Acevedo. D. Luis Bordeta. D. Roque Bunio, hijo. D. Vicente Marañen. D. Agustín de la Canal. D. Domingo Villamil. D. Agustín del Mazo. D. Isidro Gutiérrez. Tenientes. D. Manuel González del Rio. D. Josef Ramón de Aguiar. D. Domingo Prieto. “•••i D. Pedro Soler. D. Fermín…</t>
  </si>
  <si>
    <t>Villamond</t>
  </si>
  <si>
    <t>o, de la mal ajustada investidura de invencible en Collsuspina , cediendo el campo á los Sres. O-Donell y Porta ; otro emisario del archi-tirano , el general Villamond, hizo sus tan esforzadas como estériles tentativas contra el valle de Aran, dando nueva ocasión de manifestar su valor patriótico á los acredi­ tados y famosos…</t>
  </si>
  <si>
    <t>Villanal, Manuel Fernandez</t>
  </si>
  <si>
    <t>Manuel Fernandez Villanal</t>
  </si>
  <si>
    <t>157</t>
  </si>
  <si>
    <t>las campan'as de reserva del Va Íes, remite á esta Junta superior el parte siguiente. „Excmo. Peííor : Los tiradores al ipsndo del teniente cere­ nel D. Manuel Fernandez Villanal;, y las pr-rtidas al regladas del</t>
  </si>
  <si>
    <t>Villanas, Josef</t>
  </si>
  <si>
    <t>Josef Villanas</t>
  </si>
  <si>
    <t>iral... D. Valdoméro Gallego, D. Gerónimo Wolls. D. Tomas Campillo, D. Mariano Fernandez del Canto; D. Narciso Batía..... D. Matías de Mor y Ríos.... D. Josef Villanas; D. Rafael Yarce..... D. Estéban Moreno..... ......... I&gt;. Manuel López. D. Güilísimo González.......... D. Clemente Villalba. D. Francisco Lopes Moya.... D. J…</t>
  </si>
  <si>
    <t>Villanueva, Josef</t>
  </si>
  <si>
    <t>Josef Villanueva</t>
  </si>
  <si>
    <t>de las ocho á las 3. * A D. Fernando Camborda, corregidor de nueve y media de la noche, el que concluirá á fin de Llerena. noviembre del mismo. 4.0 A D. Josef Villanueva. Los sugetosqm* quieran incorporarse como discípulos Y á D. Antonio Fernandez Gallegos, abogado en esta academia se presentarán S dicho profesor, quien del c…</t>
  </si>
  <si>
    <t>Villaoquina</t>
  </si>
  <si>
    <t>isco. Hemos decretado y decretamos lo que sigue: Comandante, el marques de la Torrecilla. ,, Qucd iri nombrados para comandantes , ayu­ Ayudante , el conde Villaoquina. dantes y abanderados de los jo batallones de mi­ Abanderado, D. Joan Villa y Olier. licia cívica de esta corre los individuos siguientes: Nuestros ministros d…</t>
  </si>
  <si>
    <t>Villarino, Francisco Xavier</t>
  </si>
  <si>
    <t>Francisco Xavier Villarino</t>
  </si>
  <si>
    <t>o , D. Juan Manuel Coghen, D. José María de Casasola, D. Ra­ món de Melgarejo, D. José de las Cuevas, D. Ramón de Zuluaga, D. José María de Vergara , D. Francisco Xavier Villarino, D. Juan de Vargas, D. Bernabé Sánchez, y D. Antonio Fació. En el batallón de infantería de gastadores de Aragón, la comandancia al teniente corone…</t>
  </si>
  <si>
    <t>Villaseñor, Eustasio</t>
  </si>
  <si>
    <t>Eustasio Villaseñor</t>
  </si>
  <si>
    <t>a. de i8ro. D&lt;m Josef Napoleón por la gracia de Dios y Cápitan , D. Francisco María Dufóo. por la c-nistnucion del estado, REI de las Espa- Teniente, D. Eustasio Villaseñor. ñas v de las Indias. Subteniente* D. JoSeí Gamarra y Cambronero. ■ . 7 ■. Visto el informe de nuestro ministro de la Batallón del quartel de S. Isidro. G…</t>
  </si>
  <si>
    <t>Villasusan, Juan José</t>
  </si>
  <si>
    <t>Juan José Villasusan</t>
  </si>
  <si>
    <t>100. D. Juan Gómez de la Puente , vecino de Irapuaío , 100 ; y otros 100 anualmente. D. Froylan González Higueras , de Guanajuato , 2G0. El bachiller D. Juan José Villasusan , 100. Por conducto "del obispo do Oaxaca , de su diócesi, 10,032. D. José Rafael y D. José Antonio de la Garsa , vecinos de Aguayo , por mitad , SCO. Va…</t>
  </si>
  <si>
    <t>Villavicencio, Vicente</t>
  </si>
  <si>
    <t>Vicente Villavicencio</t>
  </si>
  <si>
    <t>a no* hará parte de nuestra Mier y D. Juan Josef Romero. guardia en los dias que señalemos. Tenientes. art. v. Los individuos de esta guardia se cos­ D. Vicente Villavicencio, D. Josef María Gar­ tearán su vestuario, caballo y montura. cía , D. Manuel de Aguí lar y Cueto, D. Fernan­ art. vr. Nuestro ministro de Guerra queda d…</t>
  </si>
  <si>
    <t>Villegas, Francisco</t>
  </si>
  <si>
    <t>Francisco Villegas</t>
  </si>
  <si>
    <t>odo el estado may r, salió a caba­ nieute D. Antonio Cabrón, subteniente D. Joa­ llo á encontrarse con S. M. á media legua de Córquín Q iicoza, otro, D. Francisco Villegas. . doba. También le recibieron mas »llá de ¡as puer­ Tiradores. Capitán D. Fernando Campero, sub­ tas el señor comisario regio, el reverendo obispo, tenien…</t>
  </si>
  <si>
    <t>Villegas, José</t>
  </si>
  <si>
    <t>José Villegas</t>
  </si>
  <si>
    <t>dero, 200. D. José Gómez Soriano, oficial segundo, 50. Id. quarto, D. Ignacio de la Corcova, 60. D. Pedro Elizondo, oficial quinto, 25. Id. graduado, D. José Villegas, 25. D. José Battlé y Carreo, asentista de víveres de Montevideo, 150. Id. de Buenos-Ayres, 100. Dependientes de las provisiones de víveres de deposito. D. Fran…</t>
  </si>
  <si>
    <t>Villegas, José Ignacio</t>
  </si>
  <si>
    <t>José Ignacio Villegas</t>
  </si>
  <si>
    <t>0. D. Antonio Armendariz y Doña Francisca Amparan, 12 Varios iodir viduos 48 y 6 rs. Los vecinos de S. Miguel de Crrrogordo, 17 y 5. --Cosiguiriacht. D. José Ignacio Villegas, á mas de lo ontribaido como minero, 50. D. Vicente Nepomuceno de Herrera, 10. Varios pobres, 95. — Guanacevi. El subdelegado D. Pedro Carrete, 25. El c…</t>
  </si>
  <si>
    <t>Villegas, Josef</t>
  </si>
  <si>
    <t>Josef Villegas</t>
  </si>
  <si>
    <t>litares españoles &amp;c. &amp;c. 8cc. bro, teniente coronel retirado; á D. JosefMotezu-: ma, mariscal de campo de los reales exércitos; í Málaga $ de marzo. D. Josef Villegas , alcalde ordinario de la ciudad Hoi ha pasado S. M. á pie á la catedral, acom­ de Áreos de la Frontera, y á D.. Fermín Doz, te* pañado de toda su real comitiv…</t>
  </si>
  <si>
    <t>Villegas, León</t>
  </si>
  <si>
    <t>León Villegas</t>
  </si>
  <si>
    <t>starán aquí dos ó tres dias, y que luego irán á tenientes á D. Martin Rodríguez, D. Josef GiralBrusélas, cayos habitantes los esperan con ausia. do y D. León Villegas: capitán segundo del cuer­ po de artillería al marques de Paterna : subteniente ESPAÑA. de la compañia fixa de artilleros de la plaza de Má­ laga á D. Juan Form…</t>
  </si>
  <si>
    <t>Villemanci</t>
  </si>
  <si>
    <t>ia; y asi no ex­ terrible , está también acantonado en dicha ciudad, trañaría yo ver renovadas las escenas que se vieron donde te halia igualmente el conde Villemanci, en ei año de 1794.“ intendente general del exército. En Straubiog se ha El odio de los habitantes de la Martinica con­ abierto un teatro francés. tra los ing’o…</t>
  </si>
  <si>
    <t>Villémanci</t>
  </si>
  <si>
    <t>icot de jas catas y cierras que se. les dieroa jero intimo de $, M. el Reí dé Bavíera; ei siena— ai tiempo de poblar, quedan desde ahora declara* dor conde Villémanci, intendeote genenl del exér- dos dueños absolutos en posesión y propiedad de cito de Alemania» y el baron de Cro bois de Sud- las casas y tierra que ocupan y la…</t>
  </si>
  <si>
    <t>Villodas, Manuel</t>
  </si>
  <si>
    <t>Manuel Villodas</t>
  </si>
  <si>
    <t>gata, 200 —Te­ nientes de navio. D. Domingo Navarro, no. D. Juan Lacre, 110 D Ma­ nuel Laiglesia, nd.—Idem de fragata. D. Joaquín SUgasri , 80. I jem D. Manuel Villodas,-3o. JlI contador oficial quarto D Francisco Tomas Estrada, cedió la mitad del sueldo en donativo de 28 de junio de 188#, y en el presente da la mitad del res…</t>
  </si>
  <si>
    <t>Vimpfen</t>
  </si>
  <si>
    <t>335</t>
  </si>
  <si>
    <t>hazañas anteriores, y tienen en respeto al enemigo. El coronal Di José de S. Juan , comandante de.la di­ visión dé VilUfránca, ha hecho de ór jen del general Vimpfen un mo vimiento sobre la plaza de Barcelona, aproximándose tanto á ella, qué"le hicieron fuego fc metralla* La división se portó coala jnayor serenidad y bizarría…</t>
  </si>
  <si>
    <t>Viñaís, Salvador</t>
  </si>
  <si>
    <t>Salvador Viñaís</t>
  </si>
  <si>
    <t>dem: D. Francisco Morros, por Cataluña: D. José Vega y Sentmerrat,por la ciudad de Cerveia:_D. Félix Aytés, por Cataluña : Don Pvamon Urges por idem: D. Salvador Viñaís por idem: D. Jayme Creus por idem : D. Ramón de Lledós por idem: D.~ José An­ tonio Castellarnau por ídem: D. Antonio María de Parga, por la pro­ vincia de Sa…</t>
  </si>
  <si>
    <t>Vinuesa, Josef</t>
  </si>
  <si>
    <t>Josef Vinuesa</t>
  </si>
  <si>
    <t>er otras que su total ruina y la calamidad de La junta criminal ha dirigido por medio de su toda esta comarca. S. M. ha aprobado altamente presidente D. Josef Vinuesa un exhorto á los pue­ este pensamiento tan patriótico; y asi esta ciudad, blos del distrito de esta chanciilería, y señalada­ como las diputaciones de las otras…</t>
  </si>
  <si>
    <t>Virago</t>
  </si>
  <si>
    <t>149 SUPLEMENTO A LA GAZETA DE MADRID DEL VIERNES I I DE MAYO DE l8lO. PROVINCIA DE TOLEDO. A o^ / D Virago fegünao «r h¡¿ finca* de tienes nnctortalcs ¿jzif ¿¿*í?**z /»*»*■ 7 \rt *rmm •*.ít decretos de.p de junio y 17 de setiembre det año último. Productos Valore* en rs. vb. en r». "o. Primeramente en toda la cerca del conven…</t>
  </si>
  <si>
    <t>Virei</t>
  </si>
  <si>
    <t>senado se juntará el sábado 16 del corrien­ dente, ha respondido en estos término* al diicurto te en el logair acostumbrado de sus sesiones á las del Príncipe Virei. 11 de la mañana. s= Firmado = Napoleón. = Por Principe. el Emperador, el ministro secretario de Estado.es Firmados H. B. duque de Bassano. j,QuandoS.M. el Empera…</t>
  </si>
  <si>
    <t>s, único alivio dignp.de sus corazones." 8 los de que para asegurar el bien de los estados es necesario dar oídos i los Consejos de una sabia'pre­ El Príncipe Virei, habiendo obtenidoen seguida la palabra , se expresó en.los términos siguientes: visión , recordar sin cesar lo pasado, examinar lo Principe. ■ ' i presente, y po…</t>
  </si>
  <si>
    <t>cipios y sus ideas, que asegu­ los Reyes de Holanda, de VVesrfalia y de Ñipó­ ren á nuestros últimos nietos la duración de todos les , de S. A. I. el Príncipe Virei, de las Reinas de los bienes que le deberá nuestra patria; y la pers­ España, de Holanda, de Westfaiia.y de Nápoies, pectiva de la felicidad presente y futura de …</t>
  </si>
  <si>
    <t>Vistas, FdigeSaaz UIMII</t>
  </si>
  <si>
    <t>FdigeSaaz UIMII Vistas</t>
  </si>
  <si>
    <t>Anoz............ . 86800 la constitución del Estado &gt; REI de: ía$:Españas y de Doña Angela Francisca .Ramos........ 15735 30’ las Indias. . : - i &lt;1 D. FdigeSaaz UIMII •■■«•••« ««»■*• 122052 12 Vistas las consultas de la comisión de liquidación D. Tomas de Arsn.......... ........ .......... 92400 T de la deuda del Estado; lo …</t>
  </si>
  <si>
    <t>ViÜaescusa, Francisco</t>
  </si>
  <si>
    <t>Francisco ViÜaescusa</t>
  </si>
  <si>
    <t>pinosa, 20. Alférez D. Ignacio Elias, 10. Id, D. Juan José Villaescusa, 8, Capellán D. José María Herreros, 12. Cadete D. José María Redondo, ry. Id. D. Francisco ViÜaescusa, 5. Los sargentos, ca­ bos y soldados, 146. Babi&gt;pe. Comandante el teniente D. Ildefonso Bsimal, 20. Los sargentos y ópatas, 104. — Bacoachi Comandante D…</t>
  </si>
  <si>
    <t>ViÜaescusa, Pedro</t>
  </si>
  <si>
    <t>Pedro ViÜaescusa</t>
  </si>
  <si>
    <t>cabos y soldados:,, 212. — Sta. Cruz- Capitán D. Do­ mingo? ¡Espinosa, 50. Teniente D. Fernando Bustamante, 50. Alférez tí. Francisco Rivera, 10. Id. D. Pedro ViÜaescusa, ro. Cade:? D. Ra­ món Espinosa, 5. Los sargentos, cabos y soldados, 297 y 2 rs — Turson. Capitán tí. José Zóñiga, 50. Teniente D. Manuel Árbizu, 25. Al­ fér…</t>
  </si>
  <si>
    <t>Vivanco, José</t>
  </si>
  <si>
    <t>José Vivanco</t>
  </si>
  <si>
    <t>. de Buenos-Ayres, 100. Dependientes de las provisiones de víveres de deposito. D. Francis­ co García, maestre, 27. Id. D. Juan Bautista Palmero, 14. D José Vivanco, encirgado, 10. Juan Antonio Diaz, despensero, 6. Fernando An­ tonio García, alguacil de agua, 11. Juan Burañes, tonelero, 27. Id. Ber­ nardo Lobeyra, 13. {Se con…</t>
  </si>
  <si>
    <t>Vive, Josef</t>
  </si>
  <si>
    <t>Josef Vive</t>
  </si>
  <si>
    <t>bastian del Conde Va­ D. Luis Losada y Calvo. lle jo. 6.*.......... D. Ramón García Ximenez.......................................................... D. Josef Vive*. 7.* ........ D. Josef Cabredo........ D. Pedro González Scpúlveda. 8.*.......... D. Bartolomé Gómez,. D. Joaqurn Sánchez. 9.a.......... D. Josef Chacón..........…</t>
  </si>
  <si>
    <t>Vizoso, Eugenio</t>
  </si>
  <si>
    <t>Eugenio Vizoso</t>
  </si>
  <si>
    <t>elegado, 250. Alcalde del primer voto D. Francisco del Valle. 12. Id. de segundo D. Pedro Vaíois, 50. Don Fanón de Ochoa, 65. D. Salvador Porras, 50. D. Eugenio Vizoso, 50. D. Martin Mariñelarena, 12. D. Pedro Ignacio Irigoyen , i&lt;&gt;. D. Juan Trillo. 8. D. Gerónimo Maeeira, 50. D. Sabino de la Pedrueza, 33. D. Rafael Zubia , 2…</t>
  </si>
  <si>
    <t>Vohelhuber</t>
  </si>
  <si>
    <t>ros corsarios y Offtn 8 de abril. bergantines de guerra apostados en aquellas aguas han apresado dos buqnes grandes ingleses que iban El teniente fdd mariscal Vohelhuber, coman­ cargados de mástiles y de granos. dante general de artillería en Hungría, oficial mui Acaba de firmarse un convenio entre el Reí de estimado en todo …</t>
  </si>
  <si>
    <t>Voith</t>
  </si>
  <si>
    <t>uestros temores sobre este parti­ la orilla izquierda del Danubio; el coronel Geppert de los de la orilla izquierda del Teiss, y el tenien­ cular. te coronel Voith de los de la derecha del Danubio. ' Las noticias del exército no son mui satisfacto­ Se asegura que el señor Schouppe, consejero rias. Se sabe que los rusos han pa…</t>
  </si>
  <si>
    <t>Voítubcck</t>
  </si>
  <si>
    <t>¡Latidas , que llegaron á esta tes, sadó por la éschasa i Helleroetlais, donde* e*-- ciudad*.el 1; y 16,déoste mes. El confiero de tabi esperando ei brigadier Voítubcck para tdmar prefectura Dubóscq hizo las veces del pre­ el inando de este buque. - r&gt;* o fecto, manifestó á los oficiales, sargentos y solda­ dos que lian milit…</t>
  </si>
  <si>
    <t>Volen</t>
  </si>
  <si>
    <t>reconocimiento de las casas.—El capitán Bu­ llen acaba de decirme que es forzoso remolcar la Cambrian k Mahon, pero que no entrará en el puerto.—-Él capitán Volen de la fragata inglesa Voluntaria ha sido herido en esta ex­ pedición ; y tanto este como Bullen han trabajado incesante­ mente, creyéndolos por tanto dignos, de Ja …</t>
  </si>
  <si>
    <t>Vondenarih</t>
  </si>
  <si>
    <t>i todos los días i pa­ Copenhague #5 de entro. searse por junto á los baluartes de esta ciudad: este príncipe disfruta de una salud mui robusta. - El conde Vondenarih, pariente mui cercano Se dice que los hermanos del Emperador ten­ del conde Bernstorff, ha salido hoi para Estockol- drán en lo sucesivo su corte ccn 150® flori…</t>
  </si>
  <si>
    <t>Vos</t>
  </si>
  <si>
    <t>ia llegado aquí el general Moulin , que fue gO« ,,¡Qué reconocidos le estarán los franceses! bernador de Augsburgo. Sitos la antardn , porque os aman d Vos: la amaEl qaartel general de S. A. el príncipe de Eck- rdn por todas sus virtudes; la amarán sobre todo mühl llegó el 21 y el 22 á Ratisbooa. por la felicidad á que Vos mi…</t>
  </si>
  <si>
    <t>VVellesiey, Henrique</t>
  </si>
  <si>
    <t>Henrique VVellesiey</t>
  </si>
  <si>
    <t>señor D. B. Frere, $®. El se­ ñor D. Francisco Christin, 10. El señor D. Guillermo Branscombe, 1®. El señor D. Alexandro Bryerly, i0. El Excmo. señor D. Henrique VVellesiey, 5^. El señor D. Eduardo Grellet, 500. La señora Doña Margagarita Morphy de Shavv , 500. El señor D. Juan Collins, 1®. El señor X). C. Fi.tzgerald, 1®. La…</t>
  </si>
  <si>
    <t>VVibaa</t>
  </si>
  <si>
    <t>trono de Suecia. la militar de los cadetes de Neustadt; S. M. iba Esperamos qne esta cesión se hará en paz y con acompañado del caballerizo mayor el conde VVibaa, decoro; ademas de que se han dado tas mejores de Sn ayudante el mayor general Kutschera. disposiciones para reprimir todo desorden. uestro augusto Soberano se dignó…</t>
  </si>
  <si>
    <t>VVindel, Gregorio</t>
  </si>
  <si>
    <t>Gregorio VVindel</t>
  </si>
  <si>
    <t>ejas, 94. El mismo, en una letra á cargo de la dirección de reales provisiones, que aun no se ha cobrado, 9906. D. José Looez, 1®. El desechado, 200. D. Gregorio VVindel, 20. A. B., 100. D. Benito Herrera, zoo. D. Ri­ cardo Meade, 2000. D. Tadeo Sánchez Escandon, 60. Marques de las Hormazas, 3000. D. José Alvareda é hijos, 30…</t>
  </si>
  <si>
    <t>VVitinglían</t>
  </si>
  <si>
    <t>y valor con que los cuerpos se portaron. Manifiesta igualmente el General en xefe : que varios esquadrones de caballería estuvieron á las órdenes del general VVitinglían ; que al mariscal de campo D. Luis Lacy, mayor ge­ neral de infantería del exército , le dió las instrucciones para que dirigiese el movimiento por la parte …</t>
  </si>
  <si>
    <t>VVrcdc</t>
  </si>
  <si>
    <t>hecho aquí una rior de los círculos del Inn, de Salzach y del Da­ ■gran sensación; su autor ha prometido continuar­ nubio interior ; que ei teniente general VVrcdc ten­</t>
  </si>
  <si>
    <t>Wainow</t>
  </si>
  <si>
    <t>porme­ bía reunido coa Koubandjói» que sos ejércitos nores de esta acción gloriosa ; reunidos habían pasado el Z;intra» y que se-habíais El teniente general Wainow llegó á Rudsacampado eo ia confluencia de este rio coa el Da­ cbnck el tres de setiembre coa su división. El ge­ nubio. . neral en gefe la dexó. descansar todo el …</t>
  </si>
  <si>
    <t>Wallace</t>
  </si>
  <si>
    <t>ión de infantería francesa llegó á la cumbre de la cordillera á tiem­ po que fué atacada con la mayor bizarría por el regimien­ to 88, mandado por el teniente coronel Wallace, por el regi­ miento nüm. 4&lt;5 , mandado por el teniente coronel Meade y el regimiento portugués nüm. 8 , mandado por el teniente coronel Douglas, todos …</t>
  </si>
  <si>
    <t>Wallis</t>
  </si>
  <si>
    <t>junio. Praga zx de junio. El Emperador llegó el dia 4 á Berann, donde El Emperador, antes de salir de aqni, ha man- . fue recibido S. M. por S. E. el conde Wallis; «a dade entregar á S. E. el conde Wallis la suma de seguida marchó a Zditzy Horzowitz, y visitó las 6® florines para que los distribuya entre ios indi­ ferreías qu…</t>
  </si>
  <si>
    <t>do por el señor Maliz, salió ayer de Conferencias : el ministerio de lo Interior lo desem­ aquí para Cassel, donde debe reemplazar al Prín­ peñará el conde Wallis, que ha sido hasta ahora cipe de Repnim en las funciones de ministro de gobernador de Bohemia. El conde Zichi, que fue Rusia cerca del Reí de Westfalia. presidente …</t>
  </si>
  <si>
    <t>ientos austría­ tes seria despojarlos de la autoridad soberana que cos , y que marcharán á Hongría. habian usurpado, y que tan indecorosamente exerEl conde Wallis, gobernador civil de Praga» cian. Pero abora que ven esta autoridad reducida á. continúa todavía en este empleo, y aun no ha re­ un vano nombre, pronta á desaparece…</t>
  </si>
  <si>
    <t>de armas S. A. I. el archiduqoe Carlos, cuya á los señalados servicios qae ha hecho al estado el presencia les lleaó de la mas viva alegría y satis­ conde Wallis, consejero íntimo, y burgrave de facción. Después de la oración fúnebre y de todo Bohemia , en todos los destinos que se 1c han con­ el oficio, el preste bendixo la …</t>
  </si>
  <si>
    <t>isado á aumentar considerablemente las contri­ «brixburgraf A&amp; Praga, que es él mismo qae tenia buciones para sostener ia guerra actual contra In­ el conde Wallis; y el barón Rosetti ha sido nont-- glaterra, los súbditos de aquel reino continúan ha­ brado presidente de ia regencia de Austria en lu­ ciendo donativos patriótico…</t>
  </si>
  <si>
    <t>en .el decreto de S. M. I. y R. cho en nuestro cambio. Ei 1$ de este mes se pre­ del 5 de agosto último sobre los'géneros coloniales. sentó S. E. el conde Wallis en la lonja para exa­ Las mercancías de esta especie qne se introduzcan minar los libros de arbitramento, y para ver cómo en lo sucesivo en los estados de Gotha y Al…</t>
  </si>
  <si>
    <t>Walmoden</t>
  </si>
  <si>
    <t>el Áia'df dé este mes. El 18 sé finalizarán las itsíMIét de la dieta ; pe­ Dresde 11 de octubres ro la'mayor parte de los diputados pasarán á Es— El conde Walmoden y otros varios generales tockolmo á fin de cumplimentar y rendir horne- austríacos han llegado á esta ciudad. nage al Príncipe heredero. : i B AVIERA. HUNGRIA. Mun…</t>
  </si>
  <si>
    <t>Warbourg</t>
  </si>
  <si>
    <t>e 700 barcos mercantes. Ds modo qoe núes-, ba visto .han merecido su aprobación. Con esta tros corsarios se enriquecen considerablemente &amp; ocasión el profesor Warbourg ha hecho acuñar en costa del comercio ingles. prest-ocia de S. M. una medalla, que tiene ca un lado el busto de Cristiano, vn con esta leyenda; BA VIERA. r Div…</t>
  </si>
  <si>
    <t>Watcrs</t>
  </si>
  <si>
    <t>endo 48 prisioneros á retaguardia del exército enemigo, y matando ademas otros 9. También ha cogido muchos prisio­ neros á retaguardia del enemigo el teniente coronel Watcrs, á quien destiné para este efecto con pequeños destacamentos de infantería y caballería. Los apuros que el enemigo experimenta en órden á subsis­ tencias…</t>
  </si>
  <si>
    <t>Watewil</t>
  </si>
  <si>
    <t>ad todo tráfico mercantil tros de Prusia y de Baviera. Ayer por la noche se con esa nación enemiga de todo el género humano: ha vuelto S. E. el señor general Watewil , lan- toda relación con los ingleses dé hoi en adelante es damman actual, y ha sido recibido coa repetidas un crimen. Pero ¿cómo podréis conservarla con salvas …</t>
  </si>
  <si>
    <t>WatzdorfF</t>
  </si>
  <si>
    <t>344</t>
  </si>
  <si>
    <t>» van á ser ven­ no dé.Cóboorg y Saalfeld , mandamos por la ‘pre­ didos en pequeñas porciones*. sente : que la nueva tarifa de impuestos que pagan El general WatzdorfF, ministro de Saxooia, ha cñ. Francia los género»' coloniales , en virtud del tenido ya la pritnera audiencia de S. M. decreto imperial de f de agosto de 1810, …</t>
  </si>
  <si>
    <t>Watzdoríf</t>
  </si>
  <si>
    <t>gunta irónica á los católicos, Nuestros diarios traen la noticia de oficio d« y 00 fue menester mas para alborotarse; de forma haber sido nombrad© el general Watzdoríf para el que esta ironía fue la señal de un motín general. empleo de ministro plenipotenciario de S^xonia en Unos y otros se golpearon furiosamente. Los cató­ P…</t>
  </si>
  <si>
    <t>Weber, Antonio</t>
  </si>
  <si>
    <t>Antonio Weber</t>
  </si>
  <si>
    <t>res el de Zamora á D. Diego López de Gordoa , canó­ Don Josef Antonio Barandalla, alcalde mayor nigo doctoral de la catedral de Córdoba. de Parla , y D. Antonio Weber, capitán de la guar­ Nuestro ministro interino de Negocios ecle­ dia de honor de Sevilla. siásticos queda encargado de la execucion de este art. ir. Nuestros gr…</t>
  </si>
  <si>
    <t>Wei</t>
  </si>
  <si>
    <t>u it-a pi-s -. d • i-¡líetufe «ierto tp-e esta a mas de 20 teguas de divOn-,. i.i. g o , .1 r • O / , 1 1 ■ I / f jt|. )•'.(•&gt; *;-C iS. vciiii1 ; 1: ;d Wei.1 Que- írjh franceses fian t. t¡ :d&gt;&gt; i,.¡e repau.-r &lt;1 /. c- Ili’ • ! -&gt;.¡ i; 1 dev.rst &gt;&lt;|.i el p is ■'.•'f*-’1 o: -d.i.f Y/ &gt; v Al­ ■X«te á enuya ríe j-, tu.vías, si-i:…</t>
  </si>
  <si>
    <t>Weiss</t>
  </si>
  <si>
    <t>Kaftén formará una Sumario de las noticias agradables que se han de las colecciones mas interesantes de la academia. recibido del campo imperial. El profesor Weiss, de Leipsick , qne ha residido largo tiempo en París, tendrá la superintendencia ,, El enemigo de la verdadera fe que estaba de­ de este gabinete, y dará en él las…</t>
  </si>
  <si>
    <t>Wellcslei</t>
  </si>
  <si>
    <t>e vayan á insultarlos y robarlos exércitos españoles , acaba de abandonarlos cobar­ las partidas de bandidos y de salteadores de cami­ demente ; y el general Wellcslei, que lo manda, no nos. De esta manera va manifestándose mas y mas ha tenido el menor rubor ni empacho para avisar la opinión ; y los verdaderos españoles , los…</t>
  </si>
  <si>
    <t>Wellesley, Enrique</t>
  </si>
  <si>
    <t>Enrique Wellesley</t>
  </si>
  <si>
    <t>Vaughan , 2000. Ei Sr. D. Alexaúdo Briarly , 1000. El Sr. D. Diego DufF, cónsul dé S. M. B. , 3000. El Sr. D. Gedeon Cranstoun , 2000. El Excmo. Sr. D. Enrique Wellesley , 5000. El Sr. D. Joaquín de Villanueva , 1000. El Sr. D. F. M. H., ve­ cino de Madrid , 750. — Importa el total de esta lista núm. 2.° la cantidad de 73,159…</t>
  </si>
  <si>
    <t>a 10 de julió de 1810. —- De acuerdo de S. E. —- Andrés Esteban y Gómez 9 vocal secretario.” CADIZ 16 DE AGOSTO. , m ' ' _ ' ' ' ' 1 } ' - ‘ &gt; El Sr. D. Enrique Wellesley, ministró de S.M. B. &gt; ha püsadd al primer secretario de estado la copia que acompañé de la carta que el conde de Liverpool, ministro de la guerra , há diri…</t>
  </si>
  <si>
    <t>Wellfngton</t>
  </si>
  <si>
    <t>o de. los agentes del- horrible atentada por serviros á vosotros, que se han sacrificado por el contra Copenhague. En fin , él es un hombre de la es­ general Wellfngton , y que le han asegurado 9u retira-- pecie de lo» Drake , de los Wickanv, de los Jackson. da, será posible que queráis excluirlos del cange, y que Quando los …</t>
  </si>
  <si>
    <t>Wellingerode</t>
  </si>
  <si>
    <t>e hayan hecho. la edad de 69 años. En la guerra de siete años fue primer edecán del duque Feraando de Bruai- BA VIERA. •vvick. Munich 2$ de abril. El conde Wellingerode, gran mariscal de pa­ lacio , que fue hecho prisionero en Ilalberstadc Mañana ó pasado mañana llegará aquí el regi­ por el duque de Oels, y llevado á Inglater…</t>
  </si>
  <si>
    <t>os posteriormente caballeros. ha puesto en marcha para Hannóver á las órdenes S. M. confirió después varias dignidades de la orden. del Sr. Meironet, conde Wellingerode. El Emperador y la Emperatriz, acompañados En virtud de una orden del gobierno todos los de las archiduquesas Teresa y Leopoldina, de propietarios dé los capi…</t>
  </si>
  <si>
    <t>Wellingtojt</t>
  </si>
  <si>
    <t>tos dias ha i estorbado las operaciones en grande, y ¡lian contribuido á em­ peorar la situación de Massená. Extracto del oficio del Exento. Sr. lord vizconde Wellingtojt, al Excmó. Sr. D. Miguel Percyra Forjaz, relativo á los dias anterioras á la acción de Busacó. „ •. El segundo cuerpo del exército enemigo, &amp; las órdenes de…</t>
  </si>
  <si>
    <t>Wellington</t>
  </si>
  <si>
    <t>Ntm. 84 GAZETA DE LA REGENCIA DE ESPAÑA É INDIAS DEL SABADO 20 DE OCTUBRE DE 1810 PORTUGAL. Lisboa 8 de octubre. Oficios del Exeme. Sr. Lord, vizconde Wellington, al Ereme. Sr. D. Miguel Pereyra Forjaz. “ limo, y Excmo. Sr.: Luego que el enemigo avanzo de Celorico y Troncoso sobre Viseo, las diferentes divisiones de milicias …</t>
  </si>
  <si>
    <t>tas partes comandante del 9.0 cuerpo, d S. A. S. el prín­ del exército al camino qne va de Coimbra á Opor­ cipe de Wagram, mayor general. to. Pero el general Wellington habia ya principia­ do su retirada, repasando el Mondegof y abando­ Quartel general de Valladolid xa de octubre nando esta excelente posición y todos los recu…</t>
  </si>
  <si>
    <t>ord Wellington de , vivo por una y otra parte. Este puñado de cívico* fecha del 13. esforzados y valientes consiguió por fin hacer qne Se sabe que el general Wellington ha criedo los ingleses se volviesen á embarcar precipitada­ conveniente el retirarse, porque el mariscal Masse­ mente. La fragata protegió sn retirada con un …</t>
  </si>
  <si>
    <t>ó entre 7 y 8 de la noche, y duró hasta tas 10. Se brindó por» el principe-Regente ,- pon Sj?M. por S. M. C Di Fernando ehmariscalfsBéresford^ por el mariscal Wellington, y por el marques ide la Romana. Después principió él bayle» que duró bastada mañana siguien­ te , concurriendo á él gran númerp de personas de distin? cion …</t>
  </si>
  <si>
    <t>Wellington, Miguel Perevra Forjaz</t>
  </si>
  <si>
    <t>Miguel Perevra Forjaz Wellington</t>
  </si>
  <si>
    <t>mo despacho/ sobre las operaciones de la presente campaña — Mis últimas cartas de Cádiz son del 92 de setiembre. — Tengo el fr ñor,, &amp;c. — Excmo. Sr. D. Miguel Perevra Forjaz — Wellington.. P. S. He sabido que el general Graindorge y el general, Foit, pertenecientes ambos al segundo cuerpo, quedaron he­ ridos en ía acción del…</t>
  </si>
  <si>
    <t>Wenzel-Lichtenstein</t>
  </si>
  <si>
    <t>un ayuda de ceremonias, acompañada baxador de Austria , el príncipe Josef de Scfvwart- por la condesa de Brignole , dama del palacio de la zember; el príncipe Wenzel-Lichtenstein; el ge­ Emperatriz, é introducida á la audiencia de S. M. neral conde de Niepperg, y el conde de Belgredi» por S. E. el gran maestre de ceremonias, …</t>
  </si>
  <si>
    <t>Werle</t>
  </si>
  <si>
    <t>Alora con un destacamento de la guarnición de Málaga, y Ja de Juan Fernandez que sostuvo en el Padul una acción-muy sangrienta contra las tropas del general Werle. La partida del 'Mantequero entró por el propio mes en Triana ; sorprehendió é hizo prisionero un cuerpo de guardia, y en seguida pasó á la Cartujade donde extraxo …</t>
  </si>
  <si>
    <t>Wetethall</t>
  </si>
  <si>
    <t>utáis al oro. Ño quere­ compañías de caballería , y un destacamento dj ar­ mos, lo vuelvo á decir, oir hablar de vosotros: tillería á las órdenes del general Wetethall se han sepultaos en un profundo silencio.” embarcado en el Cabo para Madras. Este escrito es en el dia tanto mas curioso, quanto la Puerta en la actualidad sos…</t>
  </si>
  <si>
    <t>Wetheraü</t>
  </si>
  <si>
    <t>mui satisfecha altura de la isla de Francia , á fin de hacer alguna acerca del estado de tales obras, é informada de tentativa contra el enemigo. El general Wetheraü los auxilios que se necesitan para continuarlas. A se estaba preparando para ir á la India con oo re­ consecuencia de esto ha adoptado el presupuesto gimiento. N…</t>
  </si>
  <si>
    <t>WeÜesley, Enrique</t>
  </si>
  <si>
    <t>Enrique WeÜesley</t>
  </si>
  <si>
    <t>iz 11 de marzo. El día 6 del corriente fue presentado al Supremo Consejo de Re­ gencia de España c Indias, residente en la Isla de León, el Honorable D. Enrique WeÜesley, en calidad de Ministro plenipotenciario y ex­ traordinario de S. M Británica cerca de nuestro Gobierno soberano. En este acto, en que S. S. entregó sus cred…</t>
  </si>
  <si>
    <t>WeUirigrón</t>
  </si>
  <si>
    <t>tras expediciones en Es­ litares? Propongo pues’que la cámara decrete ac­ paña. Elcocde de Liverpool propuso que se diesen ciones dfe'gracias al lord‘conde WeUirigrón y al gradas en nombre d&lt;£ la cámara al lord Wellington, exército que manda por la victoria brillante alcaageneral en gefe de nuestro exército. ,, Jamas creí, za…</t>
  </si>
  <si>
    <t>White</t>
  </si>
  <si>
    <t>619 am SUPLEMENTO A LA GAZETA DE LA REGENCIA DEL MARTES 4 DE SETIEMBRE DE 181®. PORTUGAL, Lisboa de agosto. Según escriben de la Beyra inferior, el capitán White, comandante de un esquadron compuesto de una compañía inglesa del regimiento número 13 de caballe­ ría, y otra portuguesa del regimiento número 4, encontró el dia 22…</t>
  </si>
  <si>
    <t>Wiíldenow</t>
  </si>
  <si>
    <t>de Dolma , el gran canciller Beime , el director de teatros DINAMARCA. Intfland , poeta dramático , el consejero de Estado Guillermo de Humboldt, e! profesor Wiíldenow, Copenhague 23 de enero de 1810. el gentilhombre Alexandro de Humboldt, el con­ Ayer tarde pasó por aquí un correo sueco qua sejero de Estado Hufeland, el seño…</t>
  </si>
  <si>
    <t>Wiison</t>
  </si>
  <si>
    <t>NannarnV, uno de los princi­ nodados. El coronel Martindell marcha contra pales cemindares de las poiesiones del visir. Mar­ Ameer, y entre tanto el capitán Wiison con los charon contra él seis compañías del regimiento 16.0 regimientos l.° y 7.0 y con el primer batallón del de infantería del pais, baxo las órdenes del ma­ 17.…</t>
  </si>
  <si>
    <t>Wilde, Felipe Francisco</t>
  </si>
  <si>
    <t>Felipe Francisco Wilde</t>
  </si>
  <si>
    <t>istencia. No es tan fácil como se babia pen­ Anteayer falleció á los 71 años de edad $. A. sado el civilizar ¿aquellos saiv.igí.s: los adultos son ft príncipe Felipe Francisco Wilde, obispo de Spi- todos holgazanes, y se embriagan continuamente; ra , conde de Walderodoiff. • jr asi es que estos misioneros no tieneQ esperanza …</t>
  </si>
  <si>
    <t>Wilson</t>
  </si>
  <si>
    <t>nocimiento en el Sobral con. 2OQ0; ca­ ballos á iguaL nütnero dp infantes , que fueron rechazados in­ mediatamente con alguna pérdida.—El 4 estaba el coronel Wilson.en Mortagoa á 6 leguas do Coimbra, detras .del exérr cito francés,, con 2 batallones y 15Q caballos. En.ia^ inmedia­ ciones se hallaban los generales Siivevra y B…</t>
  </si>
  <si>
    <t>Wílson</t>
  </si>
  <si>
    <t>— Todo está tranquilo en el «norte de Portugal: he oido que uno de*les destacamentos de las trepas del mando del ge­ neral Raceliar á las órdenes del coronel Wílson estaba en po­ sesión dé Busaco el 6 del corriente : é igualmente se dice que el coronel Trant ha entrado en Coimbrajpero como todos lo&amp; habitantes han abandona-; …</t>
  </si>
  <si>
    <t>Miller ha cogido 350 hom­ bres del exército enemigo que habían quedado extraviados y andaban robando; y aun continuaban apareciendo algunos otros. El coronel Wilson con su vanguardia entró en Condeixa el 10 ú 11 del corriente.—Los prisioneros han sido enviados á Oporto.— G. C. Beresford.” Casal Cochim 20 de octubre de 1810.—“…</t>
  </si>
  <si>
    <t>Winoff</t>
  </si>
  <si>
    <t>de los dos exércitot han sido varias, muchas yeron en el mayor desorden. Al mismo tiempo el veces contradictorias, y siempre poco seguras, por mayor general Winoff se apoderó de Casledgi y venir la m;yor*parte de ellas por persouas que haa de Provadia, y el mayor general Tsizirow se pre­ tratado de pintarlas según el interés …</t>
  </si>
  <si>
    <t>Withington, Tomas</t>
  </si>
  <si>
    <t>Tomas Withington</t>
  </si>
  <si>
    <t>s. Lista de suscripción: núm. i. — El señor D. Juan Corsbie, rs. vn. i.® El señor D. Guillermo Beeston, i®. El señor D. Juan Thuillier, i®. E.í señor D. Tomas Withington, i®. El señor D. Carlos O’Gorman, i@¡. El sensor D. Tomas Barber, 10. El señor D. Cárlos Vaughan, i®. El señor D. Diego Duff, cónsul de S. M. B., 5©. El seño…</t>
  </si>
  <si>
    <t>Wnrmser</t>
  </si>
  <si>
    <t>, Rusilow , Skomorc.chy , Potok , Sokulec y sidente del copsejo áulico de guerra, y al señor Hubin en el círculo de Zalesczyk; y frente de Cristiano, conde Wnrmser, comendador de Ja dr­ Derenictny la línea de demaicaeion austríaca pa­ den real de S. Estéban , gobernador de la Gallitzia; sará por la orilla derecha del Dniéster…</t>
  </si>
  <si>
    <t>Woinoff</t>
  </si>
  <si>
    <t>, una cantidad considerable do El i.° de este mes intentaron los turcos hacer ana pólvora y plomo ^ y un gran repuesto de arma* salida; pero el mayor general Woinoff, que había viejas. La guarnición , compuesta de 732 turcos previsto sus proyectos» les salió al encuentro, y y de 92 pandaros, ha quedado prisionera de guetAPBND…</t>
  </si>
  <si>
    <t>Woinoul</t>
  </si>
  <si>
    <t>flota de las ludias. {The Sun.) camino de Schumla á Kassari, á fin de conservar por medio de las montanas la comunicación con el „ Del a t. teniente general Woinoul, que está en Tcheli- Esta mañana hemos recibido canas def qnartel kawa. Un destacamento de cerca de 1© torcos, general del lord Wellington, fechas en Cetorico £ q…</t>
  </si>
  <si>
    <t>Woinow</t>
  </si>
  <si>
    <t>ral Lewis, que ros, que salieron de Schnmla, babian sido persegui­ la defendía, habia formado en ella un gran qoadro dos y derrotados por el teniente general Woinow i la derecha, y á la izquierda dos, cuyo mando y el mayor general conde Strqgonow, y dexaron hibia confiado al edecán general príncipe Troubets- loo muertos, 200 …</t>
  </si>
  <si>
    <t>s rosas 00 han tenido mejor éxito que las an­ Al mismo tiempo logró abrirse comunicación con teriores. Habiendo sido rechazados en todos los el mayor general Woinow, que ocupa á Tseliponto* con ana pérdida mui considerable de hom­ kavak, lo que acaba de asegurar el bloqueo de bres y caballos, se hallan de día en dia más estre…</t>
  </si>
  <si>
    <t>Wolls, Gerónimo</t>
  </si>
  <si>
    <t>Gerónimo Wolls</t>
  </si>
  <si>
    <t>30*5 fempaifeo ^ Capttaaat. «ratona*. Subtaaltittas. ' D. Antonio Leiral... D. Valdoméro Gallego, D. Gerónimo Wolls. D. Tomas Campillo, D. Mariano Fernandez del Canto; D. Narciso Batía..... D. Matías de Mor y Ríos.... D. Josef Villanas; D. Rafael Yarce..... D. Estéban Moreno..... ......... I&gt;. Manuel Lóp</t>
  </si>
  <si>
    <t>Wolterbeck</t>
  </si>
  <si>
    <t>c; Tres regimientos de caballería francesa, qoe vie­ el Real Hoiandes de 90 cañones á las órdenes dei nen del m-ite de A emania, van a acantonarse en brigadier Wolterbeck; la fragata la Minerva man­ los contornos de Batnberg y de Baireuth, y en el dada por el teniente coronel Osewardc; ia fragata paíatinado superior. la Frise…</t>
  </si>
  <si>
    <t>Wratislaw</t>
  </si>
  <si>
    <t>l conde Czernin, que fueron nombrados regidor. comendadores en el mes de marzo último, como El regimiento j.° de infantería, que ha estado también al conde Wratislaw y al barón de Koiz, bastante tiempo de guarnición en esta ciadad, se que han sido nombrados posteriormente caballeros. ha puesto en marcha para Hannóver á las ór…</t>
  </si>
  <si>
    <t>Wrbna</t>
  </si>
  <si>
    <t>s coa el ala derecha del Viena aj de agosto. cuerpo det teniente general Zass. El cuerpo del exército grande qoe está delante S. M. I. ha nombrado al conde Wrbna presi­ de Schomla ha tenido varias acciones en extremo dente de la comisión encargada de U amoruzaeion brillantes, y mui ventajosas para nnestras tropas. de los bill…</t>
  </si>
  <si>
    <t>Wrede</t>
  </si>
  <si>
    <t>al Norte. Munich 19 de febrero. Dresde s&gt; de febrero. El Emperador Napoleos h.» concedido al te­ Nuestros generales han tomado los mismos tí­ niente general Wrede una pensión de 30Q trancos tulos que los generales fraoceses: los tenientes ge­ de renta en el país de Inviertel, que el Austria ha nerales se hallan ahora generale…</t>
  </si>
  <si>
    <t>ofesan loe p 1, y permita también pte nos dé pronto un prin­ iu;úfantes de esta ciudad. : , cipe digno de suceder te. El dia .paúbliQii á t«?d¡^ • Ei general Wrede brindó después: VAvj /.»</t>
  </si>
  <si>
    <t>parte de S. M. católica el Rei de Jas Inapreciables ventajas que se les siguen de depen­ Españas; der de una gran potencia, y asi es que cada día ‘Al general Wrede, qne ha venido con ¡goal dan nuevos testimonios de afecto á su augusto So­ comisión de parte del Rei de Snecia; berano el Emperador Napoleón, á quien deben to­ Al …</t>
  </si>
  <si>
    <t>Wreden</t>
  </si>
  <si>
    <t>dable que le era ver que el conde, á pesar truir en las cercanías de aquella ciu Jad. El tenien­ de su avanzada edad, estuviese aun en disposición te coronel Wreden ha sido nombrado comandante de hacer un viage tan largo v tan penoso. El feld­ de dicha plaza, adonde ha ido de guarnición el se­ mariscal ha contestado á S. M. ,…</t>
  </si>
  <si>
    <t>Wtasemski</t>
  </si>
  <si>
    <t>giano rebelde llamado el Czartwitch AUxandro, los fuertes de Brezowo y de Zibray al mis­ habían formado el proyecto de penetrar repenti­ mo tiempo el príncipe Wtasemski se ha apodera­ namente por Akalrike hasta Teflis, capital de la do en la orilla izquierda del Danubio de la forta­ Georgia. Habiendo sido descubierto este pla…</t>
  </si>
  <si>
    <t>Wurmser</t>
  </si>
  <si>
    <t>de su retrato , y guarneci­ saben todavía las particularidades del combate ni su da de brillantes, al feid-mariscal conde Beliegarresultado. de, y al conde Wurmser, plenipotenciarios del El dia 18 se hallaban Juntos 14 corsarios en la Austria para el tratado firin.do en Leopoldo el 19 rada de Elsir.gnr. Las barcas cañoneras h…</t>
  </si>
  <si>
    <t>Wxa</t>
  </si>
  <si>
    <t>Nnm. 202. #7f GAZETA DE MADIUpr DEL SABADO ai DE JULIO DE 1810. O i tí TURQUIA. de S. M. I. El Emperador Wxa á todo», y á cada uno de por si, la libertad de pesmanecer en aque­ Const antinopla io de mayo. llas provincias, ó de salir de ellas en el término do En estos úlrimos dias se ha notado algon desa­</t>
  </si>
  <si>
    <t>Wxede</t>
  </si>
  <si>
    <t>sclavonia hasta Semlin dimisión como miembro del consejo de Estado , y para visitar las fronteras militares del lado de la ha sido reemplazado por el general Wxede. Turquía , las quales no ha visitado ninguno de nuestros Soberanos, excepto Josef n. El archidu­ DINAMARCA. que palatino está aguardando en Setnlin áS. Ai. L, le a…</t>
  </si>
  <si>
    <t>X, Fernando</t>
  </si>
  <si>
    <t>Fernando X</t>
  </si>
  <si>
    <t>r esta cantidad. ■ • J te por ascenso de D. Francisco de A rmenta y Bái;- v. En el término de 1$ dias, contados desde ronj i cínongía de; la misma, á D. Fernando X¡“tanpublicación del presente decreto, quedarán di- menez Valle)". ' ' “Éueltos los cabildos catedrales cuyas sillas están N óettVo ministro Interinó de Negocios ec…</t>
  </si>
  <si>
    <t>X, Josef</t>
  </si>
  <si>
    <t>Josef X</t>
  </si>
  <si>
    <t>o Burdett mas ra­ tega , predicador jubilado de su ctnve to r twa la zón , mas peso y mas recursos para sostenerla de S. Luis di ex-carmelita ca zado D. Josef X-.neque los que ha tenido Wi.kes en el mayor auge nez: para la de S. Cristóbal al ex- ti añascado des­ de su favor popular. ( Se concluirá.. ) ea.zo D. Juan María de l…</t>
  </si>
  <si>
    <t>X, Manuel</t>
  </si>
  <si>
    <t>Manuel X</t>
  </si>
  <si>
    <t>elia y de Todi i ia de por ascenso-de D.-Juin-Antonio de Castro á la tPerugia. Y las de Assisi, Nocera, Foligno y Ter- dignidad de Chantre de ella, á D. Manuel X.me­ -tolS la de Spóleto. nea y Hoyo. * -‘‘IT; Los obispos conservados, coya meta epis­ Para otra canppgía dé la propia catedral á Don copal disfrute de una renta men…</t>
  </si>
  <si>
    <t>X-tmeoez, Francisco</t>
  </si>
  <si>
    <t>Francisco X-tmeoez</t>
  </si>
  <si>
    <t>Í74 D. Francisco X-tmeoez» regidor. • - Art.'ix. Xa* sacristías que con este motivo re­ El marques de Pilares. sulten vanantes; las que por otras causas lo esteta ’’Blr corregidor’.tá; misara -ylU?. . , U en la .actualidad,</t>
  </si>
  <si>
    <t>Xa, Antonio</t>
  </si>
  <si>
    <t>Antonio Xa</t>
  </si>
  <si>
    <t>M. qne en el hospital de la bernarse este pueblo y los demas del reino. Misericordia de esta ciudad hablan quedado en el D. Juan Bautista Alberola , D. Antonio Xa­ mas deplorable abandono los militares españoles en­ vier de Lora y Cerillo , D. Josef Quintín Martí­ fermos por la fuga precipitada de los facultativos y nez de Az…</t>
  </si>
  <si>
    <t>Xa, Francisco</t>
  </si>
  <si>
    <t>Francisco Xa</t>
  </si>
  <si>
    <t>guras , y hacer la guerra parcial v muy frecuente de los puestos, de las partidas y de las sorpresas.” En atención á los méritos y servicios del Dr.. D. Francisco Xa­ vier de Bal mis, médico y cirujano honorario, de. cámara, y ai acier­ to con que desempeñó el cargo de director de la real expedición de la vacuna al rededor de…</t>
  </si>
  <si>
    <t>Xalkreoth</t>
  </si>
  <si>
    <t>aquí una gran sensación. Riga 2 / de febrero. S. M. queriendo dar á nuestro nuevo goberna­ S. M. I. ha pasado revista á las tropas de la dor el señor conde Xalkreoth una prueba evidente qaínta división que han llegado de-Botnia á las ór­ de su particular estimación, le presentó en la últi­ denes del general de infantería cond…</t>
  </si>
  <si>
    <t>Xaramiilo, Juan</t>
  </si>
  <si>
    <t>Juan Xaramiilo</t>
  </si>
  <si>
    <t>. D. Ignacio Agudo y Andrade. D. Manuel Calvo. 4: .......... D. Matías Cesáreo.................. D. Vicente de la Torre......... JX Francisco Bian. í D. Juan Xaramiilo.................. D. Sebastian del Conde Va­ D. Luis Losada y Calvo. lle jo. 6.*.......... D. Ramón García Ximenez.............................................…</t>
  </si>
  <si>
    <t>Xaramitlo, Fabio</t>
  </si>
  <si>
    <t>Fabio Xaramitlo</t>
  </si>
  <si>
    <t>la tercera división del ministerio de Ignacio RuizCampai, regidor perpetuo, maestran­ lo Interior D. Cristóbal Cladera queda encargado te de Granada; D. Fabio Xaramitlo, secretario mas en Madrid de la secretaría de este ministerio hasta antiguo del ayuntamiento. sueva orden. da fixat carteianes en les parages públicos, sino l…</t>
  </si>
  <si>
    <t>Xaranv, Juan</t>
  </si>
  <si>
    <t>Juan Xaranv</t>
  </si>
  <si>
    <t>qoeda encardado de la execucion de este decreto. = Fir- Capitán, D. Francisco Ruiz Sabeli. mado = YO EL R El. =: Por S. M. su ministro se­ Teniente, D. Juan Xaranv.llo. cretario de Estado Mariano Luis de Urquijo." Subteniente, D. Antonio Aquilino Agallen. Extracto de las minutas de la secretaría de Batallón del quartel de Ava…</t>
  </si>
  <si>
    <t>Xauienski</t>
  </si>
  <si>
    <t>riendo terminar había sido enviado coo quatro batallones á la ciu­ esta acción, mandó al general de infantería conde dad de Sistow, ha participado al general en gefe Xauienski que á tas cinco y. media empezase un que aquella plaza se ha entregado por capitulación. fuerte cañoneo, y que envíase inmediatamente des­ Se ha permit…</t>
  </si>
  <si>
    <t>Xavier</t>
  </si>
  <si>
    <t>l gobernador participó al comandante que el bido una herida en el sitio de Zaragoza por ra puebto'se había armado para rechazar á los ingleses, primo D. Xavier, á quien vi quando pasó por aquí en caso que se atreviesea á pisar de nuevo nn ter­ prisionero de guerra. Las inquietudes que esto me ritorio, en donde su ¡nombre era …</t>
  </si>
  <si>
    <t>nte por des quando vivian y servían baxo la dinastía de la casa de Borbon, y vuestros tíos D. Gerónimo y los Reyes moros': ¿Vuestro tío el marques de D. Xavier, hermanos de mi abuelo, se hicieron Mondejar era un hombre vil quando peleaba con inatar con igual furor, el primero en Xátiva con el mayor ardor pur la casa de Aostrí…</t>
  </si>
  <si>
    <t>Xavier, Francisco</t>
  </si>
  <si>
    <t>Francisco Xavier</t>
  </si>
  <si>
    <t>mar las ar­ mas 5 pero que son muy'pocos los que puede juntar por haberse fugado los demás. Almazan 25 de marzo . Por el parte délas acciones que dió D. Francisco Xavier. Mi­ na, comandante de las guerrillas de* Navarra , en los dias 6 , 11 y 16 del corriente , consta; que el dia 6 atacaron sus voluntarios, con los del comand…</t>
  </si>
  <si>
    <t>las com­ jas de oro. Los intermedios de arriba lo están cop pañías de caballería de Córdoba. tapices de los Gobelins, que representan asuntos Munmiz (D. Francisco Xavier), comandante da sagrados, ejecutados según los diseños de Coipel y las compañías de cazadores de Córdoba. Jouvenet. Los demas adornos son de tela de seda art…</t>
  </si>
  <si>
    <t>siguiente», en que los papas fueron poco á poco re­ gún merecían. servando á su juicio Todas las causas eclesiásticas y la Habiendo ocurrido al señor D. Francisco Xavier dispensación de todas las gracias espirituales, quedando Lizama, obispo electo de Teruel, algunas dudas ó es­ los obispos hechos unos esqueletos; lo convenie…</t>
  </si>
  <si>
    <t>. Joaquín), capitán de ca­ Scheün (D Santiago), granadero., ídem. ballería. Sedaño (D. .Eustaquio .Xavier) , director espiritual Moi.ralbo y Tabaré* (D. Francisco Xavier), ayudan­ de nuestros caballeros pages. te de maestro de ceremonias de nuestro real palacio. Soler (D. Francisco), coronel del regimiento nú­ Mom 'ya ( D. Ag…</t>
  </si>
  <si>
    <t>Xavier, Franeiseo</t>
  </si>
  <si>
    <t>Franeiseo Xavier</t>
  </si>
  <si>
    <t>uces acreedores á la veneración y aprecio universal, quales son el Sr. obispo de Oren se D. Pedro de Quevedo , y ios Sres. D. Francisco de Saavedra , D. Franeiseo Xavier,de Cas­ taños, D. Antonio de Escaño y D. Miguel de Eardizabal, re­ presentante nombrado por este reyno para la Junta suprema. Esta plausible noticia consta p…</t>
  </si>
  <si>
    <t>Xi, Ventura</t>
  </si>
  <si>
    <t>Ventura Xi</t>
  </si>
  <si>
    <t>de ayer sabernos, que los enemigos se retiran de alguna parte la Mancha , ha­ biendo sido segunda vez rechazados en Puerto-llano por la par­ tida de D. Ventura Xi úenez, sir. embargo que sí presentarían con bastantes fuerzas. En esta acción se ha bailado parte de la división de Copons que estaba en Mestanza. 29. Con esta fech…</t>
  </si>
  <si>
    <t>Ximcnez, Felipe</t>
  </si>
  <si>
    <t>Felipe Ximcnez</t>
  </si>
  <si>
    <t>atadas calamidades como habían padecido. ¡OxaZitus, teniente D. Bernardo Fernandez, subte­ lá los pocos que prolongan todavía una lid tan des­ niente D. Felipe Ximcnez, otro, D. Francisco igual como sangrienta hubieran visto este dia los Rox»s. semblantes del pueblo de Córdoba ! Acaso la com­ Segunda de ídem. Capitán D. Domin…</t>
  </si>
  <si>
    <t>Ximcnez, María</t>
  </si>
  <si>
    <t>María Ximcnez</t>
  </si>
  <si>
    <t>de Arroyo................ 1320 462 3696 Otra ; en id., que vive Manuel Otra, calle de Antón Gómez, Carmona....... ......................... que vive Doña María Ximcnez. 286 2288 154 1232 Otra, calle del Pilar, que vive Otra , calle Cortez, arrendada á Josefa del Castillo...... 132 ioj6 Pedro Verguillos.................... *75…</t>
  </si>
  <si>
    <t>Xime, Francisco</t>
  </si>
  <si>
    <t>Francisco Xime</t>
  </si>
  <si>
    <t>io D. Cristóbal Gaona y Rafael Ariza en................ ....... ......... 3OO 3600 López, arrendados á D. An­ Tres marjales de riego, pago de tonio y D. Francisco Xime- • 1. la Alcodalia, linde con Don nez en................................... . 269 : }I29 Baltasar de Lara, arrendados Quince marjales de riego, en á D. Josef A…</t>
  </si>
  <si>
    <t>Ximelogar</t>
  </si>
  <si>
    <t>cesi­ contra los foragidos que aspiran á turbarla. Muchas taría de ingresos extraordinarios, ¿ que solo daba de ellas, como la de Ubedu , la de Torre D. Ximelogar la temeraria resistencia de Cádiz por los gas­ no , B.ftos, Porcuna, B,i!en, Menxibar y J,¡ valtos que causaba: que aun ahora tampoco admitía quinao han expresado e…</t>
  </si>
  <si>
    <t>Xímenes, Ventura</t>
  </si>
  <si>
    <t>Ventura Xímenes</t>
  </si>
  <si>
    <t>tidarios y guerrillas se multiplican de tal modo tn las provincias de i© interior del reyno , que no es fácil dar noticia extensa de todas ellas. ' ^ D. Ventura Xímenes avisaba con fecha de 18 de mayo qú&lt;r después de ahuyentar de la villa de Pueitollano á un cuerpo de l9 franceses, obligándolos á abandonar el trigo y demas ef…</t>
  </si>
  <si>
    <t>Ximenez, Antonio</t>
  </si>
  <si>
    <t>Antonio Ximenez</t>
  </si>
  <si>
    <t>. chas sacristías résulta qüe el de algunas asciende 6 Para la de Álbuñol al ex-franciscano descalzo pasa de 5© rs. anuales^ «a dividirán en dos, con D. Antonio Ximenez. arreglo al artículo iv déí citado decreto. Y en él Para la de Capileira al ex-trinitario descalzo caso de que no llegue áL, qnota de los 200 duca­ D. Josef'G…</t>
  </si>
  <si>
    <t>Ximenez, Gerónimo Martin</t>
  </si>
  <si>
    <t>Gerónimo Martin Ximenez</t>
  </si>
  <si>
    <t>ipdimen- A L). Nicolás María Dávila para el de Talavete en la gran dificultad de proporcionarse y de ra la vieja. conservar el fluido de la vacuna. A D. Gerónimo Martin Ximenez para el d* S. M., queriendo dar a sus pueblos un nuevo Riba tejada. testimonio de *u solicitud paternal, ha abierto á su A D. Simón Cob Buelves para e…</t>
  </si>
  <si>
    <t>Ximenez, Josef García</t>
  </si>
  <si>
    <t>Josef García Ximenez</t>
  </si>
  <si>
    <t>ta Vallejo, ex-bene­ la Presa................................................ 731 3 dictino.................................................... 44000 D. Josef García Ximenez, como ma­ D.Francisco Gobierno, ex franciscano. 44000 rido de Doña María Luisa deVelo D. JorefMcasa, id., y D. Eugenio y Arce............................…</t>
  </si>
  <si>
    <t>Ximenez, Manuel</t>
  </si>
  <si>
    <t>Manuel Ximenez</t>
  </si>
  <si>
    <t>dinaria precipitó del tro­ Garrido, D. M-inutl Nadales, D. Felipe Villaes- no la casa que reinaba en aquella nación. La rama cuss, D. Antonio A:taro, D. Manuel Ximenez, de ella reinante en España debió sostenerla, y no medios racioneros. dexar tas armas hasta restablecerla en aquel trono, Por el c bildo de la real colegiata d…</t>
  </si>
  <si>
    <t>mino del valle de la Tejonera... ao 440 Otra de ip celem., detras de la ermita de S. Pedro, linde á oriente con tierra de EL FILADO. la capellanía de D. Manuel Ximenez... *3-*7 297 Otra de media fin., pegada al Barral, con La alameda de nuestra Señora de la Pove- el que linda á mediodía, y á oriente con da. el.cerco y asiento…</t>
  </si>
  <si>
    <t>Ximenez, Ramón García</t>
  </si>
  <si>
    <t>Ramón García Ximenez</t>
  </si>
  <si>
    <t>D. Francisco Peralta. D. Manuel Badana. D. Mateo Gil de Sola. D. Vicenre Tejada. D. Domingo Ventades. D. Julián Sojo. D. Tomas Ibargiien. Tenientes. D. Ramón García Ximenez. Batallón del quartel de S. Isidro D. Josef Cabredo. D. Bartolomé Gómez. Capitanes. D. Josef Chacón. D. Agustín Gamell. D. Tomas Perez. D. Bernardo Barril…</t>
  </si>
  <si>
    <t>e la Torre......... JX Francisco Bian. í D. Juan Xaramiilo.................. D. Sebastian del Conde Va­ D. Luis Losada y Calvo. lle jo. 6.*.......... D. Ramón García Ximenez.......................................................... D. Josef Vive*. 7.* ........ D. Josef Cabredo........ D. Pedro González Scpúlveda. 8.*.........…</t>
  </si>
  <si>
    <t>Ximenez, Sebastian</t>
  </si>
  <si>
    <t>Sebastian Ximenez</t>
  </si>
  <si>
    <t>deraron de la mi"' to'nio' Aznar , para teniente á D. Josef María de casi sin resistencia, quedando la guarnición inglesa León , y para subteniente ¿ D. Sebastian Ximenez prisionera de guerra. , • Rubio. J1 Habiendo yo llenado ya los deseos de S..M* Para teniente de la primera compañía á D. Juan creí * para no debilitar las t…</t>
  </si>
  <si>
    <t>Ximenez, Teresa García</t>
  </si>
  <si>
    <t>Teresa García Ximenez</t>
  </si>
  <si>
    <t>Jado............ ..... wv... 1805 • ' D. Fernando Perez Rico;..»-..:........... 11000 - D. Jorge Simitier....................................... ^017 Doña Teresa García Ximenez..».»...... 1940 27 D. F rancisco Xavier Landes...i....6;.; 9386 Doña María Dolores Salced6,-viuda ■••-* D. Francisco Aceñero»........... icioS: * de H…</t>
  </si>
  <si>
    <t>Ximenez, Tomas</t>
  </si>
  <si>
    <t>Tomas Ximenez</t>
  </si>
  <si>
    <t>-T 7" — , Desde Jaén hasta Córdoba se han presentado á mayor de la justicia D. Tomas Ximenez, S, M: varias diputaciones. El dia 10 se presentaron á S. M. en Córdoba La de Ubeda se componía de tos sugetos si­ las diputaciones de Montero, Cañete de las Torres, guientes: Villafranca,</t>
  </si>
  <si>
    <t>Ximenez, Ventura</t>
  </si>
  <si>
    <t>Ventura Ximenez</t>
  </si>
  <si>
    <t>el quartel general del exército enemigo que estaba en Almagro se traslada á Daymie!, y aun se añade, que de aiií pasaiá á Villa-rubia. La partida de D. Ventura Ximenez queda en Abenoja. 7 de enero. En el parte con esta fecha se dice, que seguir los avisos de algunos confidentes del día 4, los enemigos parece que han retirado …</t>
  </si>
  <si>
    <t>hacer vana nuestra natural y noble resis­ tencia. Murcia 8 de marzo. Los últimos partes de S. Clemente anuncian que D. Juan Martin ( el empecinado) y D. Ventura Ximenez , han apresado una conducta de millón y medio de reales que los franceses condu­ elan á Madrid, matando y aprehendiendo á sus conductores; lo mismo ha sucedid…</t>
  </si>
  <si>
    <t>Ximeno, Juan</t>
  </si>
  <si>
    <t>Juan Ximeno</t>
  </si>
  <si>
    <t>cisco- Unzaga, ó el que le represente. Jaén.. ... . . D. Ramón María Montoro. Mahon........... .. Doña Catalina Germán y Hagalde. Málaga............. D. Juan Ximeno. Murcia. ..... -Señores Moreda y Ladalid. Oviedo. . ... . Señores D. Manuel Rubiano y Nieto. Palma............... D. Martin Mallol. - Santander. . . . Señores Vid…</t>
  </si>
  <si>
    <t>Ximeuez, Josef</t>
  </si>
  <si>
    <t>Josef Ximeuez</t>
  </si>
  <si>
    <t>alguna que se pague sin las formali­ Guarnido: para la de la Puebla de Zgra al ex- dades contenidas en el artículo anterior. frar ciscado observante D. Josef Ximeuez : para ia ART. m. Nuestro m¡, i tro de Hacienda queda de Molvizar al ex-franciscano observante Ó. Joa­ ene'.rg.irlo de la execu nn del pr. seote decreto.zr quín …</t>
  </si>
  <si>
    <t>Ximeuez, Salvador</t>
  </si>
  <si>
    <t>Salvador Ximeuez</t>
  </si>
  <si>
    <t>D. Pedro Obregon para entender en ios Tenientes. D. Jaime Mayol, D. Jorge Ostman, ramos de marina del tramo de costa de este tercio D. Juan de León, D. Salvador Ximeuez , D. Ra­ naval, y proveer en él lo conveniente para los ar-r fael Arana, D. Emilio Chuis , D. Josef de Lara, mamentos que se juzguen necesarios á su seguridad…</t>
  </si>
  <si>
    <t>Ximewéz, Ventura</t>
  </si>
  <si>
    <t>Ventura Ximewéz</t>
  </si>
  <si>
    <t>se anuncie al público para satisfacción de los mismos. Badajoz 12 de julio. — España ha perdido uno de los mas intrépidos defensores en la persona de D. Ventura Ximewéz, muerto de resultas de las heridas recibidas en el servicio de Dios y de la patria. Este célebre partidario 3 reforzado por otras dos guerrillas, acometió el …</t>
  </si>
  <si>
    <t>Xítriplo, Ge</t>
  </si>
  <si>
    <t>Ge Xítriplo</t>
  </si>
  <si>
    <t>de tos de seda , lino y lana; y buscando al cura para las leyes , teman el castigo los malos., y sirva de maltratarle, pasaron á la casa de sn cuñado D. Ge­ «Xítriplo á todos. rónimo de Campos, forran de Usenselo, y robaron Si la Providencia no hubiera dispuesto que ter­ quanto pudieron en dinero y alhajas de plata , y minase…</t>
  </si>
  <si>
    <t>XJe, Josef</t>
  </si>
  <si>
    <t>Josef XJe</t>
  </si>
  <si>
    <t>nquiló en sus la iglesia parroquial de S. Nicolás de la Villa, á hogares esperando el término de Jos acontecimien­ petición de su cura párroco el Dr. D. Josef XJe—. tos y . de las escena; que han ocurrido entre noso­ lendez, catedrático del real colegio de la Asun­ tros, solo aspiran baxo pretextos especiosos i saciar ción. E…</t>
  </si>
  <si>
    <t>Xuisa, María</t>
  </si>
  <si>
    <t>María Xuisa</t>
  </si>
  <si>
    <t>En seguida el presidente del senado puso á los ciar al senado su próximo matrimonio con la archi­ pies del trono otra representación concebida en los duquesa María Xuisa, hija del Emperador ds Aus­ términos siguientes: tria. „Sb8or: V. M. I. y R. ha hecho comunicar ,,El senado, Señor, experimenta la viva ale­ al senado, por m…</t>
  </si>
  <si>
    <t>y Aalet, Antonio Serra</t>
  </si>
  <si>
    <t>Antonio Serra y Aalet</t>
  </si>
  <si>
    <t>alternos del hospi­ cio de México, inclusos algunos mendigos de la casa, 114 pesos fuertes y 4 rs. D. Miguel de la Parra , vecino de Xiquilpan , 200. D. Antonio Serra y Aalet , vecino dé Villahermosa de Tabásco , 400, y 110 al año. Los sirvientes de la hacienda de Teoloyuc«Ui , 7$. D. Miguel Sastre , veeian</t>
  </si>
  <si>
    <t>y Abreu, Jayme Ruiz</t>
  </si>
  <si>
    <t>Jayme Ruiz y Abreu</t>
  </si>
  <si>
    <t>mayor á I). Francisco de Sales Moa.; segunda tenencia de granaderos á D. Juan de Beamurguia; id. de cazadores á D. Luis Centurio i; id de fusileros á D. Jayme Ruiz y Abreu, D. Ig­ nacio Medina y Huet, D. Antonio Aguilera y J). Mariano López ; em­ pleos de alféreces de cazadores á D. Manuel Momi y D. Ramón Parada, todos indivi…</t>
  </si>
  <si>
    <t>y Acha, Juana de Muga</t>
  </si>
  <si>
    <t>Juana de Muga y Acha</t>
  </si>
  <si>
    <t>Mezcorta...................... 84293 17 Doña Camila de Arriaga..................... . 10800 D. Simón Gutiérrez.............................. 5 297 8f Doña Juana de Muga y Acha............. 6300 D. Gregorio Rivacoba......................... 2895 81 Doña María Ignacia de Recalde......... 10800 Doña Juana de Urquijo, como totora…</t>
  </si>
  <si>
    <t>y Acuña, Eustasio Viliaseñor</t>
  </si>
  <si>
    <t>Eustasio Viliaseñor y Acuña</t>
  </si>
  <si>
    <t>e géneros en el comercio con el reino de batallón de la milicia cívica de esta capital, debe Italia , y al proyecto de un tratado con la Bavie— decir D. Eustasio Viliaseñor y Acuña. ra, para asegurar los derechos de los acreedores En ia misma, pág. 100; „ donde dice haber si­ respectivos en caso de bancarrota. do nombrado D, …</t>
  </si>
  <si>
    <t>y Acuña, Juan Manuel de Robles</t>
  </si>
  <si>
    <t>Juan Manuel de Robles y Acuña</t>
  </si>
  <si>
    <t>l qnal serian estériles sus conatos y deseos. Y de este ayuntamiento, y secretario dé la sociedad: llega ahora á los pies de V. M. ansiosa de merecer D. Juan Manuel de Robles y Acuña, veintiuna- una mirada halagüeña que io fique su reai agrado, tro de esre ayuntamiento: D. Manuel Benavides y y las soberanas insinuaciones á qu…</t>
  </si>
  <si>
    <t>y Agnirre, Francisco Aranza</t>
  </si>
  <si>
    <t>Francisco Aranza y Agnirre</t>
  </si>
  <si>
    <t>isco Mancheño, alcalde mayor dirección de D. Miguel Dolz, profesor de matemáti­ de Ecija. cas, se presentaron á eximen público, en el qua! dieron Y á D. Francisco Aranza y Agnirre, fiscal. una prueba de su aplicación, respondiendo á quantas preguntas se les hicieron pertenecientes á Ja aritmética articulo vir. mercantil, camb…</t>
  </si>
  <si>
    <t>y Al, Pedro Irigoyen</t>
  </si>
  <si>
    <t>Pedro Irigoyen y Al</t>
  </si>
  <si>
    <t>cente Ferrer Cabrera........ *.... 113400 Que á una suma importan 2.498110 reales y ao Doña María Antonia Portería por sn maravedís de vellón. marido D. Pedro Irigoyen y Al- art. 11. Se entregarán á estos interesados la* inansa................................................ 36000 cédulas hipotecarias correspondientes, solame…</t>
  </si>
  <si>
    <t>y Aldao, Angel Salazar</t>
  </si>
  <si>
    <t>Angel Salazar y Aldao</t>
  </si>
  <si>
    <t>D. Francisco Juárez ; y subtenencias, á D. Juaii de la Fuente , D. Mtnuel Martinez , D. Pió Moron , D. Francisco Alonso , D. Bernab S María de Faez , D. Angel Salazar y Aldao, D. José Pereyra, D. Blas Peinador, D. Antonio Rubín, D. Ra­ món Momeo , D. José Benito Perez , D. Faustino Diez , D. To­ mas Rodríguez, D. Bernardo Gua…</t>
  </si>
  <si>
    <t>y Almansa, Pedro Irigoen</t>
  </si>
  <si>
    <t>Pedro Irigoen y Almansa</t>
  </si>
  <si>
    <t>ndro Sar.dobal............................ 18579 1 D. Andrés Alfonso de Choya............. 2 2000 D. Pedro Flores Quevedo................... 39 í 9 1 D. Pedro Irigoen y Almansa............. 67200 D. Frutos de Alvaro Benito................. 99102 2 D. Antonio Leiral y Doña María de D. Andrés Requena............................…</t>
  </si>
  <si>
    <t>y Almazara, Andrés Para el de Carmenes</t>
  </si>
  <si>
    <t>Andrés Para el de Carmenes y Almazara</t>
  </si>
  <si>
    <t>cilla, a D. Mitui Para el de Santiago de Villalpando, vacante Ramos , presbítero, cora de Villaturiel y Marne. por muerte de D. Froilan Hernández , á D. Andrés Para el de Carmenes y Almazara, vacante por Casero, tonsurado. promoción de t). Pedro de la Vega al de S. Justo Para el de Pesagnero, vacante por muerte de de los Oter…</t>
  </si>
  <si>
    <t>y Andino, Josef Medina</t>
  </si>
  <si>
    <t>Josef Medina y Andino</t>
  </si>
  <si>
    <t>ción con qne estos honrados ciudadanos se conducen, conociendo qne la situación de su Tenientes. patria exige que se ilustre la Opinión con estos sa­ D. Josef Medina y Andino. crificios para establecer la tranquilidad, pues ella D. Francisco Bcrruezo. es el único remedio 'para tantos males como han D. Josef Mario. causado una…</t>
  </si>
  <si>
    <t>y Andrade, Ignacio Agudo</t>
  </si>
  <si>
    <t>Ignacio Agudo y Andrade</t>
  </si>
  <si>
    <t>96900 La marquesa de Branchiforte.v...i..;L 35063 8 D. Epifanio Rafael Cu riel Pérez....... 180000 Doña Josefa Vázquez de Silva.'....;.... 24380 1 i D. Ignacio Agudo y Andrade, como 5,2 8 * 3 -, 1 17.f marido de Doña NicolasaRengeret. 26400 Doña Feliciana Barra.............. ............. 26400 Que i una sumí Importaircincp'm…</t>
  </si>
  <si>
    <t>io Aquilino Aguilera. D. Antonio Aimrita. .................................................. D. Santiago Sedaño................. D. Antonio González. D. Ignacio Agudo y Andrade. D. Manuel Calvo. 4: .......... D. Matías Cesáreo.................. D. Vicente de la Torre......... JX Francisco Bian. í D. Juan Xaramiilo............…</t>
  </si>
  <si>
    <t>y Ar, Luis de Mita</t>
  </si>
  <si>
    <t>Luis de Mita y Ar</t>
  </si>
  <si>
    <t>, en qne el pueblo cris­ ajastado también á ia latina para facilitar su estu­ tiano de esta diócesis tenia costumbre de oír la pa­ dio; compuesto pnr D. Luis de Mita y Ar&gt;uj», labra divina de boca del predicador regular que se profesor de humanidades en esta Corte. La claridad le asignaba, exige imperiosamente de los curas, d…</t>
  </si>
  <si>
    <t>y Ar, Vicente Lobo</t>
  </si>
  <si>
    <t>Vicente Lobo y Ar</t>
  </si>
  <si>
    <t>de subasta, con arreglo bién canónigo, todos de esta iglesia de Sevilla ;á á nuestro decreto de 29 de diciembre último, en D. Vicente Ferrer García, D. Vicente Lobo y Ar- los mismos términos que este lo dispone con res­ Jona, D. Andrés A maya, D. Miguel de Madaria- pecto al intendente de Madrid. ga y D. Nicolás Lesso y Garro,…</t>
  </si>
  <si>
    <t>y Arce, Eugenio</t>
  </si>
  <si>
    <t>Eugenio y Arce</t>
  </si>
  <si>
    <t>........... 44000 D. Josef García Ximenez, como ma­ D.Francisco Gobierno, ex franciscano. 44000 rido de Doña María Luisa deVelo D. JorefMcasa, id., y D. Eugenio y Arce.................................................. 1125 de Castro , ex- mercenario di scalzo. 88000 D. Manuel Moresqui........................... 25200 D. Anton…</t>
  </si>
  <si>
    <t>y Arcos, Rafael Martel</t>
  </si>
  <si>
    <t>Rafael Martel y Arcos</t>
  </si>
  <si>
    <t>ías de D. Tomas Gniral y Salazar. milicia cívica que á Cada uno se detalla. D. Miguel Josef Moreno. art. 11. ;En lá villa de Olvera , de la provincia D. Rafael Martel y Arcos. de Sevilla, se fórniárá'tjna segunda compañía. D. Joaquín Dandtya y Balleras.</t>
  </si>
  <si>
    <t>y Ardena, Pedro Rocabruna</t>
  </si>
  <si>
    <t>Pedro Rocabruna y Ardena</t>
  </si>
  <si>
    <t>mingo.Omlin; segunda tenencia de granaderos á D. Irádro Mon­ tero y Idem 'de cazadores; a D. José de Reart, ídem de fusileros á Don l uis Viladomar , D. Pedro Rocabruna y Ardena, D. Cárlos González Eíanos, D. Diego Guillen de Boussereau, D. Joaquín Ruiz y Abreu y D. Alberto Felipe de Ealdrich : empleo de alférez de granaderos…</t>
  </si>
  <si>
    <t>y Arguelles, Fernando Mon</t>
  </si>
  <si>
    <t>Fernando Mon y Arguelles</t>
  </si>
  <si>
    <t>Granada, á D. Antonio del Valle y Casti­ llo, subteniente del de Irlanda; á D. José Joaquín de la Mata, ayu­ dante del l.° de infantería de España; á D. Fernando Mon y Arguelles , teniente del 2.° de voluntarios de Madrid ¿ á D. Ma-</t>
  </si>
  <si>
    <t>y Arjona, Vicente Lobo</t>
  </si>
  <si>
    <t>Vicente Lobo y Arjona</t>
  </si>
  <si>
    <t>D. Felipe Cassoni , canónigos de la santa iglesia de Sevilla ; k D.. Vicente F«rrer García, D. Vicente Lobo y Arjona , D. Andrés Amaya, D.. Miguel de MaÁauaga y D. Nicolás Leso y Garro, ra­ cioneros d* ia sn&gt;ama ; á D. Miguel LuL González, D. Joaquín de Reyna y D. Francisco de Saits Rodríguez, medios racio</t>
  </si>
  <si>
    <t>y Arrieta, Leonor de Torres</t>
  </si>
  <si>
    <t>Leonor de Torres y Arrieta</t>
  </si>
  <si>
    <t>r.J- • 2'oéó : D. Josef Salcedo, de id. id.* ........... 44000'' Dóña-María Cecilia de;Arrieta^...¿ D Juan Martin .de Urda, id......’.;.;.... '4496*0 Doña Leonor de Torres y Arrieta..... i9tg ,íJrí D. Juan Martin León de Urda , id.... '44°00: ' D. Ildefonso Simón , ex-bcnedictino. -■ : 44660¡ D. Manuel Antonio Fernandez* Ce- …</t>
  </si>
  <si>
    <t>y Atienza, Juan García de Francisco Perez</t>
  </si>
  <si>
    <t>Juan García de Francisco Perez y Atienza</t>
  </si>
  <si>
    <t>Josef Hernández: pa­ franciscano descalzo D. Manuel de Luque : para la ra la de Churriana al ex mercenario descalzo Don de Algarinejo al cx-gerónimo D. Juan García de Francisco Perez y Atienza: para la de Maracena Lira: para la de Monte frío al ex-carmelita descal­ al ex-gu-ardian y predicador franciscano D. Joa­ zo D. Mateo …</t>
  </si>
  <si>
    <t>y Axpe, Muría Francisca de Zuloaga</t>
  </si>
  <si>
    <t>Muría Francisca de Zuloaga y Axpe</t>
  </si>
  <si>
    <t>art. 111. Los habitantes conservarán sus pro­ mentos sus tres hermanos D. Juan Antonio , Doña piedades , y de ningún modo se les molestará á Agueda y Doña Muría Francisca de Zuloaga y Axpe, causa de sus opiniones. pidiendo seles declarase por herederos del susodicho, y • arT. iv. Las municiones de guerra y la arti-, se les en…</t>
  </si>
  <si>
    <t>y Azara, Ensebio Bardaxi</t>
  </si>
  <si>
    <t>Ensebio Bardaxi y Azara</t>
  </si>
  <si>
    <t>ia en ios sentimientos que han motivado el decreto de las Cortes - y rogar á V. E. acéptalas seguridades de mi mas alta consideración-VFzllesky.— Sr. D. Ensebio Bardaxi y Azara.” Habiendo procedido las Cortes generales y extraordinarias a' la reno­ vación de su presidente, vice-presidente, y el mas antiguo de sus dos se­ cret…</t>
  </si>
  <si>
    <t>y Azara, Ensebio de Bardaxí</t>
  </si>
  <si>
    <t>Ensebio de Bardaxí y Azara</t>
  </si>
  <si>
    <t>, si este llega á di­ cha pla,za. — Dios guarde á V. E. muchos anos. Tarragona 29 de arrosco de 1810. —Exorno, Sr. — Enrique O-Donell. —* Exorno. Sr. D. Ensebio de Bardaxí y Azara.” Ei Consejo de Regencia sumamente satisfecho de todos es­ tos brillantes sucesos, debidos al talento, no menos que al va­ lor y actividad del capi…</t>
  </si>
  <si>
    <t>y Azara, Eusebió Bardaacb</t>
  </si>
  <si>
    <t>Eusebió Bardaacb y Azara</t>
  </si>
  <si>
    <t>á su cumplimiento. Pedro de Agar , presidente. — El marques del Cas telar. — J^osé AfariaPuig.zz-YLvi la real Isla de León á 13 de noviembre der&amp;io.A D. Eusebió Bardaacb y Azara. • .. • • ■ . . ó •::; ’ ; ... Catecismo político para instrucción del pueblo español. Esceqtfader-' nito , cuya publicación han retardado varios inc…</t>
  </si>
  <si>
    <t>y Azara, Eusebió Bardaxi</t>
  </si>
  <si>
    <t>Eusebió Bardaxi y Azara</t>
  </si>
  <si>
    <t>á su cumplimiento. Pedro Agar, presidente.— Marques del Castelar—José Triaría Puig Samper. — En la real Isla de León á 19 de noviembre de 1810.'” — A D. Eusebió Bardaxi y Azara. El Sr. Ministro de estado ha dirigido al Sr. D. Enrique Elellesley, ministro de Inglaterra, copia del decreto anterior con el ofi­ cio siguiente: ,,M…</t>
  </si>
  <si>
    <t>y Azara, Eusebio de Bardaxí</t>
  </si>
  <si>
    <t>Eusebio de Bardaxí y Azara</t>
  </si>
  <si>
    <t>can atraso los asuntos del real servicio, ha venido el rey nuestro señor don Fernando vii , y en su real nombre el Consejo de Regencia, en mandar que D. Eusebio de Bardaxí y Azara se encargue interinamente de la secretaría de estado y del despacho de la guerra. Tendreislo entendido, y lo comunicareis ái quien cor­ responda. —…</t>
  </si>
  <si>
    <t>y Azara, Eusebio de Bkrdaxí</t>
  </si>
  <si>
    <t>Eusebio de Bkrdaxí y Azara</t>
  </si>
  <si>
    <t>í'^^^ de Saave4ra9v&gt;rs~ sidente, —r Xavk^J^Castaños. ^ Antonio:de Escaño. de Lar¡iizdbal y ÜríBe.^Eú la real‘Isla dé’Léóíi aV- de ocíübré de í8iür— A D. Eusebio dé Bkrdaxí y Azara.” rv : '-5 ¿ ' - . . 4 . f ‘ v « •/e *. -'i ■ CADIZ: EN LA IMPRENTA REAL.</t>
  </si>
  <si>
    <t>y B, IBrnardo Urabo</t>
  </si>
  <si>
    <t>IBrnardo Urabo y B</t>
  </si>
  <si>
    <t>anuel -Vanderas , 50. D. Jacinto Gaxiola, 11. D. José M aria Verdugo , 50. Varios individuos , 119 y 5'rs. — Rio de Sonora. D. Francisco Caxigas, 10. D. IBrnardo Urabo y B. Francisco Salcido , 20. Varios individuos , 37. Los vecinos de Fronteras, 74 y 2. rs.— Rosario. B. Rafael Rendon , IO. D. José Castañeda , 25. D. Manuel E…</t>
  </si>
  <si>
    <t>y Baeza, Pedro Prado</t>
  </si>
  <si>
    <t>Pedro Prado y Baeza</t>
  </si>
  <si>
    <t>r D- Agustín Pedrayes........ ................ '8980'. D. Juan Faure Cadet.v........... 5505 8| D. Maouet de Lázaro........................ 2197 í 29 D. Pedro Prado' y Baeza.....¡ g02 17* D, Joaquín; Calvóme.,......... .«.'.i....... 23736' ¡ 28 i Doña Francisca de Guizaburuaga^'.i^': 1985 17Doña Alfonsa GHavarri............. …</t>
  </si>
  <si>
    <t>y Balleras, Joaquín Dandtya</t>
  </si>
  <si>
    <t>Joaquín Dandtya y Balleras</t>
  </si>
  <si>
    <t>a. D. Miguel Josef Moreno. art. 11. ;En lá villa de Olvera , de la provincia D. Rafael Martel y Arcos. de Sevilla, se fórniárá'tjna segunda compañía. D. Joaquín Dandtya y Balleras.</t>
  </si>
  <si>
    <t>y Basadre, Josef Saavedru</t>
  </si>
  <si>
    <t>Josef Saavedru y Basadre</t>
  </si>
  <si>
    <t>6§i ,. . , ARTICULO II. - ' ! ' . ■ i. Jueces. * . l.*&gt; D. Fabian .Sánchez de la-Faente. Toledo. : 1 -■ 2.0 D. Josef Saavedru y Basadre. í'-‘. í f:1 •• * -’w Queda nombrado presidente de tu lanía D,. Pa­ ; 3.0 ; Di Josef María Gírate. blo Ayala y Colon, oidor de lachauciUeiía de Va* _: 4v! ,.D. Joeef Martínez. lladotid. , 4</t>
  </si>
  <si>
    <t>y Beaumont, Francisco Xavier de Lizana</t>
  </si>
  <si>
    <t>Francisco Xavier de Lizana y Beaumont</t>
  </si>
  <si>
    <t>aña^ y creen que destinarlos á aquel pais , es destinarlos al se­ pulcro. ESPAÑA. Adéxice 25 de abril. Con fecha de hoy ha expedido el arzobispoyirey D. Francisco Xavier de Lizana y Beaumont la circular siguiente: “Habiendo dispuesto la Providencia divina, que para que no esten ©cultos los designios depravados de nuestros ene…</t>
  </si>
  <si>
    <t>y Benaveote, MaDuel de Marios y Don Cayetano Muñoz</t>
  </si>
  <si>
    <t>MaDuel de Marios y Don Cayetano Muñoz y Benaveote</t>
  </si>
  <si>
    <t>la Cuerda, obispo de Málaga; y dugo: en el de Córdoba , 7.° de línea, subtenientes para este obispado que dexa vacante á D. Manuel á D. Josef Garda, D. MaDuel de Marios y Don Cayetano Muñoz y Benaveote, auxiliar de la dió­ Josef Gallo: en el de Jaén, 8.° de línea, subte..u-nte cesis de Sevilla: para este arzobispado á D. Migu…</t>
  </si>
  <si>
    <t>y Blazquez, Jnsei Vinuefa</t>
  </si>
  <si>
    <t>Jnsei Vinuefa y Blazquez</t>
  </si>
  <si>
    <t>concurso celebrado en su metró­ poli , se ha dignado S. M. nombrar ios sugetos si­ Señor: guientes ; „ Acepto el gobierno de Roma á que V. M. El Dr. D. Jnsei Vinuefa y Blazquez para el ha reñido ¡a bondad de elevarme en premio de los ^ curato de C-ir-tvña. corto; servicios que be tenido la gran felicidad de D. Ma riauo Lázaro…</t>
  </si>
  <si>
    <t>y Bueno, Domingo de Gefe</t>
  </si>
  <si>
    <t>Domingo de Gefe y Bueno</t>
  </si>
  <si>
    <t>».. V.., '-/w*;:25* Los hijos y herCdéiós^de D. PolicarD. Salvador Souiats..——...i.¡..... ■ -34.29. i7 po'de vt^uijojír........................... Vt D. Domingo de Gefe y Bueno.w..v.... .v dióf* i,7' D. Pedro Franep:;.;d;;........v...'.C..'...í! x4478 ,23" Doña: María CtuzSancho...-.w.v.&gt; •■**••• *' át66. D. Vicente Goiiziiez…</t>
  </si>
  <si>
    <t>y Cabeza, María de Vivero</t>
  </si>
  <si>
    <t>María de Vivero y Cabeza</t>
  </si>
  <si>
    <t>edro Ramón.Fernandez..................... 26520-5 mentario de Doña Juana Macarti..... *1054..25$ D. Estebad Corones Alberola....,........ ■ 3697-17 ’ Doña María de Vivero y Cabeza........ .2797..25! D. Bernardo Rodríguez....................... 202 293-27 D. Bernardo Rodríguez......... . 6317-17 B* A6atias Cano....... ........…</t>
  </si>
  <si>
    <t>y Cabeza, Rita de Vivero</t>
  </si>
  <si>
    <t>Rita de Vivero y Cabeza</t>
  </si>
  <si>
    <t>. Se entregarán á estos interesados la* inansa................................................ 36000 cédulas hipotecarias correspondientes, solamente Doña Rita de Vivero y Cabeza , y admi-¡bles en pago de bienes nacionales, con arre­ en su nombre su marido D. Simón glo á nuestro decreto de 14 de octubre del año an­ Mediano...…</t>
  </si>
  <si>
    <t>y Cambronero, JoSeí Gamarra</t>
  </si>
  <si>
    <t>JoSeí Gamarra y Cambronero</t>
  </si>
  <si>
    <t>itan , D. Francisco María Dufóo. por la c-nistnucion del estado, REI de las Espa- Teniente, D. Eustasio Villaseñor. ñas v de las Indias. Subteniente* D. JoSeí Gamarra y Cambronero. ■ . 7 ■. Visto el informe de nuestro ministro de la Batallón del quartel de S. Isidro. Gueira, hemos decretado y decretamos lo que sigile : Capitá…</t>
  </si>
  <si>
    <t>y Carreo, José Battlé</t>
  </si>
  <si>
    <t>José Battlé y Carreo</t>
  </si>
  <si>
    <t>ez Soriano, oficial segundo, 50. Id. quarto, D. Ignacio de la Corcova, 60. D. Pedro Elizondo, oficial quinto, 25. Id. graduado, D. José Villegas, 25. D. José Battlé y Carreo, asentista de víveres de Montevideo, 150. Id. de Buenos-Ayres, 100. Dependientes de las provisiones de víveres de deposito. D. Francis­ co García, maestr…</t>
  </si>
  <si>
    <t>y Carretas, Josef Cevallos</t>
  </si>
  <si>
    <t>Josef Cevallos y Carretas</t>
  </si>
  <si>
    <t>ron 17 bocas de fuego de todo calibre, y uria gran eu la auxiliar del campo de la Verdad, vacante por cantidad de municiones de guerra. promoción dfe D. Josef Cevallos y Carretas 4 al Las tropas inglesas que le defendían han mos­ presbítero D. Francisco Martiaez y Vega. trado mucho valor; su pérdida debe ser considera­ Para e…</t>
  </si>
  <si>
    <t>y Carroz, Juan del Castillo</t>
  </si>
  <si>
    <t>Juan del Castillo y Carroz</t>
  </si>
  <si>
    <t>ara el servicio del exército, que se han recibido ya en el depósito del regimiento de dragones de Lusitania. En atención á los méritos y servicios de D. Juan del Castillo y Carroz, director general de correos y camines, y al patriotismo que manifestó huyendo de Madrid por no servir al rey intruso , tu­ vo &amp; bien ei rey nuestr…</t>
  </si>
  <si>
    <t>y Carvajal, Rafael Sequera</t>
  </si>
  <si>
    <t>Rafael Sequera y Carvajal</t>
  </si>
  <si>
    <t>beza se hallan de comandante el Sr. D Luis D.ívila Ponce Cardaba 18 de marzo. de León, director de la real sociedad patriótica ;de su ayudante el Sr. D. Rafael Sequera y Carvajal, Programa de la fiesta de S. M. católica Do&gt;r primogénito del conde de la Puebla; el Sr. D. Cris­ Josrf Navoi.eüX i, Rei de España y de In­ tóbal Fe…</t>
  </si>
  <si>
    <t>y Casasola, José Vaádés</t>
  </si>
  <si>
    <t>José Vaádés y Casasola</t>
  </si>
  <si>
    <t>encia de Cazadores , á D. Antonio de Agüera; segunda ayundantía mayor, á D. Luis Fernando Mon ; segundas tenencias de fusileros, á. D. José de Lemus, D. José Vaádés y Casasola, D. Tadeo Miranda y Mon, D Miguel Lacy, D. Ven­ tura Escario, D. Juan Nepomuceno Heredia , y D. José María dé Mena ; y empleos de alféreces de granader…</t>
  </si>
  <si>
    <t>y Casti, Antonio del Valle</t>
  </si>
  <si>
    <t>Antonio del Valle y Casti</t>
  </si>
  <si>
    <t>es Guardias españolas á D Manuel Vázquez, tenien­ te del de infantería i.° de ¿-.aboya; á D. Luis Sabates y de Cam­ po, subteniente del de Granada, á D. Antonio del Valle y Casti­ llo, subteniente del de Irlanda; á D. José Joaquín de la Mata, ayu­ dante del l.° de infantería de España; á D. Fernando Mon y Arguelles , teniente…</t>
  </si>
  <si>
    <t>y Castilla, José Cenen</t>
  </si>
  <si>
    <t>José Cenen y Castilla</t>
  </si>
  <si>
    <t>pal D. José Antonio Carvajal , 100. D. Angel López Stn. Ana, 50. D José Ramón Petancour, £0, I&gt;. Antonio Figueroá, 100. D. José María Carde ña’, 100. D. José Cenen y Castilla , 100. X). Luis-de Elexaldre, 100 D. Pedro García del Valle, 100. Den Juan Antonio Aguilar, 50. D. Pedro del Puerto Vicario ,.100, D. Clemente de Sta. C…</t>
  </si>
  <si>
    <t>y Cereza, Narciso Alvaro</t>
  </si>
  <si>
    <t>Narciso Alvaro y Cereza</t>
  </si>
  <si>
    <t>lez y facilidad de su estilo. El Tesoro Alvarez de Cienfiregos, quien las publicó baxo ei nom­ no ha tenido tan bnena fortuna como los Calave­ bre de D. Narciso Alvaro y Cereza: un lomo en 8.° be ras y y con leer la pieza se concibe fácilmente el vende en la librería de la viuda de Quitoga, calle de por qué. las Carretas, cas…</t>
  </si>
  <si>
    <t>y Cidron, Bernardo Correa</t>
  </si>
  <si>
    <t>Bernardo Correa y Cidron</t>
  </si>
  <si>
    <t>las Espa— bertad para que los desmonten, cerquen y destí—* fias y de las Indias. neo á plantío , á labor ó á pasto. Animismo se Jes' ,, Nomt&gt;rainos á D. Bernardo Correa y Cidron, estimula con la exéncíon de diezmos y de rríbntos presbítero, y cora rector de la parroquia de la ca­ por 10 años, y de la de canon, qué es atüi cor…</t>
  </si>
  <si>
    <t>y CiJoo, Diego Guerrero</t>
  </si>
  <si>
    <t>Diego Guerrero y CiJoo</t>
  </si>
  <si>
    <t>Torreblanca. sarán en el coche de la coronación los campos Elí­ D. Nicolás Jorge Arezpacochaga. seos y las Tullerías , y seguirán hasta la casa de la D. Diego Guerrero y CiJoo. villa. Para este dia se dice que se están concluyen­ D. Ignacio de Cáceres. do seis carrozas , cuyas caxas serán todas de cris­ Secretarios. tal. En e…</t>
  </si>
  <si>
    <t>y Closas, Domingo Font</t>
  </si>
  <si>
    <t>Domingo Font y Closas</t>
  </si>
  <si>
    <t>4 de junio próximo pasado , con el motivo del cumpleaños del augus­ to monarca decano de Europa ei Sr. D. Jorge III. Ambos se ven­ den en la casa de D. Domingo Font y Closas, calle de S. Francisco. Prontuario de guias para la instrucción de los $ angelitos y ca­ bos de infantería. Se liall&amp;xá á 4 reales vellón en la librería …</t>
  </si>
  <si>
    <t>y Coca, Benito de Castro</t>
  </si>
  <si>
    <t>Benito de Castro y Coca</t>
  </si>
  <si>
    <t>rtí­ fermos por la fuga precipitada de los facultativos y nez de Azagra, D. D:ego de Torres Espinosa, empleados en su administración, dio las órdenes D. Benito de Castro y Coca, D. Miguel Navarro líídS ürgyí'itÉ» ¿íl Exorno. Sr. ¡Xa«rv¿üc$ u£ tiinjCíisrij y_A_______ T\ rtliuyi/ y JW. T___ •' UC JUdU .1 - /-» ✓'V. I *. t TV Vj…</t>
  </si>
  <si>
    <t>y Colomet, Pedro Torres</t>
  </si>
  <si>
    <t>Pedro Torres y Colomet</t>
  </si>
  <si>
    <t>a de Atanzon. ascéoso de D. Simón Cob Suelves al de CasalgorPara el de. Cerralbo, vacante por muerte de do, á D. Florencio Bratnti, clérigo de prima. D. Pedro Torres y Colomet, á D. Juan Luengo Para el de Perales de Milla , vacante por ascen­ Mayoral, cura de Techada. so de D. Alfonso Gabriel Rod'rigaez al de ValdiPara el dé …</t>
  </si>
  <si>
    <t>y Cortes, Pedro de Surga</t>
  </si>
  <si>
    <t>Pedro de Surga y Cortes</t>
  </si>
  <si>
    <t>lazquez, y á los sargentos primeros D. Domingo Pesrez y D. José Dieguez. Ei Consejo de Regencia, se ha dignado promover á brigadieres á los coroneles D. Pedro de Surga y Cortes, D. Francesco de Mazarreda y D. Juan de ía Cruz Mourgeon, yá sargentos may ores de los regimien­ tos de infantería de la Reyna y leales de Fernando VI…</t>
  </si>
  <si>
    <t>y Cosío, Manuel Gil</t>
  </si>
  <si>
    <t>Manuel Gil y Cosío</t>
  </si>
  <si>
    <t>. Gerónimo José Malagairba , 25. Sarrat y Marciria compañía, 100. D. Salvador Carrau , 25. D, Gabriel Gómez , 100. i&gt;.-Manuel Antonio de Tsasi , 200. D. Manuel Gil y Cosío, 100. D. José Ramón de Gorostiza , 100. D. Ignacio Albiní , 25. D. Alberto Herrero, 100. D. Domingo Q'utierrez , 100. D. Miguel Cabalen , 100. D. Cayetano …</t>
  </si>
  <si>
    <t>y D, Aíexandro de Horé</t>
  </si>
  <si>
    <t>Aíexandro de Horé y D</t>
  </si>
  <si>
    <t>ignado conferir los empleos de co­ roneles de los regimientos de infantería de Ordenes militares y voluntarios de la Patria á los tenientes coroneles D. Aíexandro de Horé y D. Igna­ cio Balanzat: el de teniente coronel-del-de Truxií:o, a] teniente coronel 'agregado D. Juan Bautista Doral; y en el regimiento de- infantería de …</t>
  </si>
  <si>
    <t>y D, Alberto Monge</t>
  </si>
  <si>
    <t>Alberto Monge y D</t>
  </si>
  <si>
    <t>erina en esta ciudad , compuesta de los profesores D Pedro José Bermudez, boticario de cámara de S. M., D. José Escribe, honorario de la misma dase , D. Alberto Monge y D. Juan Silvestre Rodríguez Sánchez , individuo supernumerario , para examinar á los que quieren revalidarse en esta facultad, y para desempeñar las demas fun…</t>
  </si>
  <si>
    <t>y D, Alonso Tobillo</t>
  </si>
  <si>
    <t>Alonso Tobillo y D</t>
  </si>
  <si>
    <t>rse 4 esto su pérdida, atendida la duración y viveza del combate, en que se distin­ guieren particularmente los comandantes Gcrmoz, Gallego y Tinoco, D. Alonso Tobillo y D. Juan Peralta, vecino de Corles. Durante la refriega llegó dé refuerzo 4 los patriotas una partida del regimiento pr&lt; vincial de Ronda con su comán­ dame D…</t>
  </si>
  <si>
    <t>y D, Ambrosio</t>
  </si>
  <si>
    <t>Ambrosio y D</t>
  </si>
  <si>
    <t>tres lanzadas , y se les cogieron 14 caballos , fin otra pérdida por nue tra parte que la ce 4 herido?.. Distinguiéronse en esta acción los tenientes D. Ambrosio y D. José Martin, D. Antonio Mnig de Strecrubitz y D. Antonio Mangas ; los sargentos pihueros D. J ¡sé' D ez , y José y Alonso García; ei sargento segundo Isidoro Iz…</t>
  </si>
  <si>
    <t>y D, Andrés Caballero</t>
  </si>
  <si>
    <t>Andrés Caballero y D</t>
  </si>
  <si>
    <t>fuego contra las tropas francesas apostadas en la cañada y caída del Cristo. Dispuso también Maurelle, que las divisiones de los capitanes de fragata D. Andrés Caballero y D. Pedro Lázaro se formasen en línea contra las avenidas del pueblo de Palos, y pasó con 6 faluchos á reunirse con Torrontegui. A pesar del fuego de un obú…</t>
  </si>
  <si>
    <t>y D, Andrés Martínez</t>
  </si>
  <si>
    <t>Andrés Martínez y D</t>
  </si>
  <si>
    <t>. Enrique Huelen, D. Agustín Cabrera, D. Manuel Ibarroia , D. Gregorio Arroyo, D. JuanMuguiro , D. Ramón Sánchez , D. José Goyti, D. Domingo Angulo , D. Andrés Martínez y D. Antonio Valderas ; y subte­ nencias , á D. José Perez , D. Jorge Bertolld , D. José Fernandez, D. Miguel Henriquez , D. Blas Marín, D. Antonio Ferrer, D.…</t>
  </si>
  <si>
    <t>y D, Angel</t>
  </si>
  <si>
    <t>Angel y D</t>
  </si>
  <si>
    <t>la villa de Monterey el grande , 10,163. D. Rafael de Ortega , sargento mayor de dragones de Mechonean , 2000. El coronel D. Cárlos de Crrutia , 500. D. Angel y D. Eustoquio de la Cuesta , vecinos de México , 800. D. José Elorencio Barragan , de Rio-A7erde , 2000; y anualmente 1000. D. Juan Nepomuceno de Oviedo y «ríos habita…</t>
  </si>
  <si>
    <t>y D, Antonio Aguiiar</t>
  </si>
  <si>
    <t>Antonio Aguiiar y D</t>
  </si>
  <si>
    <t>eto. = Firmado = YO EL REI. = Por Valdivia , D. Josef Martínez , D. Gregorio Corral, S. M. su ministro secretario de Estado=Firmadc= D. Juan Escovar, D. Antonio Aguiiar y D. An­ Mariano Luis de Urquijo.” tonio Guzman. En el de Granada, $.° de línea, subtenientes á Don Josef Napoleón por la gracia de Dios y D. Antonio Cortijo,…</t>
  </si>
  <si>
    <t>y D, Antonio Casals</t>
  </si>
  <si>
    <t>Antonio Casals y D</t>
  </si>
  <si>
    <t>bteniente de la misma D. Salvador Llovera, quien en la retirada se batió á sablazos con el enemigo , y asimismo los de igual clase y del mismo cuerpo D. Antonio Casals y D. An­ tonio Basols, no menos que el sargento segundo Jacinto So­ ler y el tambor José García, joven de doce años , que vien­ do que dos soldados huian de la…</t>
  </si>
  <si>
    <t>y D, Antonio de Castillo</t>
  </si>
  <si>
    <t>Antonio de Castillo y D</t>
  </si>
  <si>
    <t>los dos primeros de granaderos; subtenencias de granaderos á los de fusileros D. Manuel Suarez y D. José María Cuca­ lón, y de bandera á los cadetes D. Antonio de Castillo y D. Feliz Velazquez, y á los sargentos primeros D. Domingo Pesrez y D. José Dieguez. Ei Consejo de Regencia, se ha dignado promover á brigadieres á los co…</t>
  </si>
  <si>
    <t>y D, Antonio de Escaño</t>
  </si>
  <si>
    <t>Antonio de Escaño y D</t>
  </si>
  <si>
    <t>precio universal, quales son el Sr. obispo de Oren se D. Pedro de Quevedo , y ios Sres. D. Francisco de Saavedra , D. Franeiseo Xavier,de Cas­ taños, D. Antonio de Escaño y D. Miguel de Eardizabal, re­ presentante nombrado por este reyno para la Junta suprema. Esta plausible noticia consta por una proclama de la Jun­ ta super…</t>
  </si>
  <si>
    <t>y D, Antonio de León</t>
  </si>
  <si>
    <t>Antonio de León y D</t>
  </si>
  <si>
    <t>111 Nuestro ministro de Guerra queda dantes a D. Domingo Rigal y D. Antonio de Zea, encargado de la exccucion de este decreto. =Fir • y abanderados á D. Antonio de León y D. £ugemado = YO EL REI. a Por S. M. su ministro se­ oio Agacino. cretario de Estado Mariano Luis de Urquijo." art. v'. Los capitanes, tenientes y subtenien…</t>
  </si>
  <si>
    <t>y D, Antonio Fominaya</t>
  </si>
  <si>
    <t>Antonio Fominaya y D</t>
  </si>
  <si>
    <t>fusileros á los ayudan­ tes D. Lorenzo Escudero y D. Bernardo Vaiiarino, y al teniente de gra­ naderos D. Miguel Carballo; ayudantías á ios tenientes D. Antonio Fominaya y D. Antonio Fernandez Rebustillo j tenencia de granaderos al de fusileros D. José López, y de fusileros á los subtenientes D. José María Merlano, D. Juan de…</t>
  </si>
  <si>
    <t>y D, Antonio Guerra</t>
  </si>
  <si>
    <t>Antonio Guerra y D</t>
  </si>
  <si>
    <t>s G biliari. Mariano de Marros , D. Francisco de Paula Barbero, D. Manuel Díaz» D. Andrés Portielmelo, Don París 9 de enero de 1810. Bartolomé Velez, D. Antonio Guerra y D. An­ tonio Ximenez, y los diputados del comurt Don La primera división del gran tren de artillería» Martin Ruiz, D. Francisco de la Porrera, estando que ll…</t>
  </si>
  <si>
    <t>y D, Antonio Josef Carrero</t>
  </si>
  <si>
    <t>Antonio Josef Carrero y D</t>
  </si>
  <si>
    <t>ambién propietario, pa­ Ultimamente* S. M. espera que los pueblos ra procarador síndico personero. aceleren el momento de ia paz y de la felicidad de D. Antonio Josef Carrero y D. Aparicio So­ la España* prestándose inmediatamente á la obe­ riano , propietarios * para diputados. diencia * sin dar lugar á que se empleen medios…</t>
  </si>
  <si>
    <t>y D, Antonio Mnig de Strecrubitz</t>
  </si>
  <si>
    <t>Antonio Mnig de Strecrubitz y D</t>
  </si>
  <si>
    <t>ron 14 caballos , fin otra pérdida por nue tra parte que la ce 4 herido?.. Distinguiéronse en esta acción los tenientes D. Ambrosio y D. José Martin, D. Antonio Mnig de Strecrubitz y D. Antonio Mangas ; los sargentos pihueros D. J ¡sé' D ez , y José y Alonso García; ei sargento segundo Isidoro Iz­ quierdo y el soldado N. el C…</t>
  </si>
  <si>
    <t>y D, Bartolomé Monzon</t>
  </si>
  <si>
    <t>Bartolomé Monzon y D</t>
  </si>
  <si>
    <t>la misma pla­ con sus ge fes del modo menos gravoso de proveer­ za que obtenía de alguacil mayor. las de lo exrricramente necesario, evitando asi el D. Bartolomé Monzon y D. Josef Villarejo, desorden de que el soldado basque militarmente propietarios en esta villa* para regidores. su subsistencia. O. Manuel Carmona * también …</t>
  </si>
  <si>
    <t>y D, Bernardo Cobian</t>
  </si>
  <si>
    <t>Bernardo Cobian y D</t>
  </si>
  <si>
    <t>D. José Arechaga, D. Antonio López, D. Juan Arango, D. José Herrera, D. Clemente Grima, D. Bautista Vila, D. Casimiro Brodet, D. Guillelmo Claramunt, D. Bernardo Cobian y D. Francisco Juárez ; y subtenencias, á D. Juaii de la Fuente , D. Mtnuel Martinez , D. Pió Moron , D. Francisco Alonso , D. Bernab S María de Faez , D. Ang…</t>
  </si>
  <si>
    <t>y D, Bernardo Cobián</t>
  </si>
  <si>
    <t>Bernardo Cobián y D</t>
  </si>
  <si>
    <t>les ofrecían los enemigos. Entre los heridos 6 con­ tusos se cuentan los 4 oficiales del expresado regimiento Don Tomas Rodríguez, D. Blas Peinador, D. Bernardo Cobián y D. Casimiro Brodet. Con fecha de 9 del corriente participa el comandante de guerrilla D. Isidoro Mir que ha obligado k los enemigos k evacuar el castillo de …</t>
  </si>
  <si>
    <t>y D, Blas Rol</t>
  </si>
  <si>
    <t>Blas Rol y D</t>
  </si>
  <si>
    <t>dos* y en su vergonzosa fuga al vigoroso ataque de mis guerri­ llas , mandadas por los subtenientes, con grado de tenientes, del batallón de mi mando D. Blas Rol y D. Isidro Alvarez , se han recogido varios fu­ siles, mochilas y efectos militares que estorbaban al enemigo en su carrera. . Éstos dignos oficiales se han hecho a…</t>
  </si>
  <si>
    <t>y D, Cárlcs de Gand</t>
  </si>
  <si>
    <t>Cárlcs de Gand y D</t>
  </si>
  <si>
    <t>ey nuestro Señor Don Fernando VII, que Dios guarde , se ha dignado promover á tenientes generales do sus reales exércitos , á ios mariscales de campo D. Cárlcs de Gand y D. Antonio Samper: á mariscales de campo , á los brigadieres D. Félix Co^on, D. Antonio García Conde, D. Gaspar de Vigodet, D. Luis Laoy, y D. Francisco Co­ …</t>
  </si>
  <si>
    <t>y D, Celestino Laencina</t>
  </si>
  <si>
    <t>Celestino Laencina y D</t>
  </si>
  <si>
    <t>miel Uclés, y subtenencias á D. José Ignacio Váidas, X). Juan Martin, D. Celestino Laencina y D. Felipe Meoro : en el pri­ mero de Sevilla grado de subteniente al sargento primero D. Ma­ nuel Robles; y en el de Murcia, subtenencia á D. José María Solano. Por el particular mérito que h</t>
  </si>
  <si>
    <t>y D, Ciríaco Cevalios</t>
  </si>
  <si>
    <t>Ciríaco Cevalios y D</t>
  </si>
  <si>
    <t>urbulencias que han agitado á la nación , se ha vis­ Para el seno Mexicano se destinaron en x8ot á to protegida del gobierno Jy ha podido coordinar y D. Ciríaco Cevalios y D. Manuel Herrera, que concluir las dos cartas Mauicntes, que con las de­ debían mandar aquellas guarda-costas, y conciliar más obras que tiene publMdas , …</t>
  </si>
  <si>
    <t>y D, Cristóbal Tomas</t>
  </si>
  <si>
    <t>Cristóbal Tomas y D</t>
  </si>
  <si>
    <t>io, nardo Arce. S. i!J. se ba servido no nbrar primero y segun­ do ayudantes de ciruja del regimiento de grana­ TBATHOS. deros de su g'iftrdia reaJ a D. Cristóbal Tomas y D. Juan Bernabé: prímer ayudante de cirugía del En el de los Caños del Peral, á las ocho de la no­ che, se representará por la compañía italiana la ópera te…</t>
  </si>
  <si>
    <t>y D, Daniel Dresayre</t>
  </si>
  <si>
    <t>Daniel Dresayre y D</t>
  </si>
  <si>
    <t>­ migos que conducían una acémila hacia el foso, mató á 2 , y se traxo la acémila y los 2 restantes prisioneros. - En el parte dado por los cap:tañes D. Daniel Dresayre y D. Cosme Oliveras, al coronel 'Creeft, se dice que habiendo atacado con 200 infantes y 25 caballos á unos 400 hombres de infantería y 40 coraceros enemigos …</t>
  </si>
  <si>
    <t>y D, Diego Zapata</t>
  </si>
  <si>
    <t>Diego Zapata y D</t>
  </si>
  <si>
    <t>rios de la Patria , co?npañías á D. Pedro Al­ cántara Rute , D. Francisco de Cárdenas , D. Antonio Labrandero , y D. Francisco Federic ; ayudantes, á D. Diego Zapata y D. J¡ a i Diestre; tenencias, á D. Fernando de Prado, D. Manuel Sa­ ladar, D. Félix Aznar , D. Dionisio Angulo , D. Enrique Huelen, D. Agustín Cabrera, D. Manu…</t>
  </si>
  <si>
    <t>y D, Dionisio Gaiiano</t>
  </si>
  <si>
    <t>Dionisio Gaiiano y D</t>
  </si>
  <si>
    <t>nidad , é indulto general, que se anunció inme­ dición, se han reunido las que produxo el viage d« diatamente delante del santo aliar; y á mis cortas D. Dionisio Gaiiano y D. Cayetano VaIJés al re­ luces ha parecido claramente asomarse por su real conocimiento del estrecho de Fuca, de que ya se temblante un corazón mui pacífi…</t>
  </si>
  <si>
    <t>y D, Domingo Pesrez</t>
  </si>
  <si>
    <t>Domingo Pesrez y D</t>
  </si>
  <si>
    <t>ileros D. Manuel Suarez y D. José María Cuca­ lón, y de bandera á los cadetes D. Antonio de Castillo y D. Feliz Velazquez, y á los sargentos primeros D. Domingo Pesrez y D. José Dieguez. Ei Consejo de Regencia, se ha dignado promover á brigadieres á los coroneles D. Pedro de Surga y Cortes, D. Francesco de Mazarreda y D. Juan…</t>
  </si>
  <si>
    <t>y D, Edmun do O-Ronan</t>
  </si>
  <si>
    <t>Edmun do O-Ronan y D</t>
  </si>
  <si>
    <t>mbrada bizarría. Por las alturas de la izquierda del enemigo, fué este igualmente atacado por varias partidas á las órdenes de mis ayudantes de campo D. Edmun­ do O-Ronan y D. Manuel Llauder, quienes , igualmente que Sarsfiel con su división, han perseguido al enemigo en su mar­ cha , habiendo los dos primeros desalojado su r…</t>
  </si>
  <si>
    <t>y D, Edmundo O-Ronan</t>
  </si>
  <si>
    <t>Edmundo O-Ronan y D</t>
  </si>
  <si>
    <t>res atacaron la retaguardia ene­ miga, persiguiéndola hasta cerca de Monblanch.—Finalmente los ayudantes del general en gefe, los tenientes coroneles D. Edmundo O-Ronan y D. Manuel Llaüdér persiguieron al enemigo con 200 infantes y 50 caballos hasta Espluga de Francolí, haciéndole notable daño. El resultado de es­ tas accione…</t>
  </si>
  <si>
    <t>y D, Estanislao de Lugo</t>
  </si>
  <si>
    <t>Estanislao de Lugo y D</t>
  </si>
  <si>
    <t>Compondrán esta junta el prefecto de En esta ciudad se ha publicado el decreto si­ la provincia D. Pedro.de Mora y Lomas, qne la guiente: presidirá; D. Estanislao de Lugo y D. Manuel ,,Napoleón 8cc. Queriendo introducir en nues­ Cambronero, consejeros de Estado; D. Mariano tro reino d¿ Italia el uso de las máquinas que Agnsti…</t>
  </si>
  <si>
    <t>y D, Estanislao Sánchez Salvador</t>
  </si>
  <si>
    <t>Estanislao Sánchez Salvador y D</t>
  </si>
  <si>
    <t>7 como se dixo equivoca­ damente) manifiesta ei distinguido mérito que contraxeron en aquella jornada los coroneles D. Pablo Morillo, D. Félix Prats, D. Estanislao Sánchez Salvador y D. Manuel Mirabas: hace particular memoria del soldado de caballería de Borbon Juan José León, que libertó al capitán de la Princesa D. Manuel B…</t>
  </si>
  <si>
    <t>y D, Esteban Llovera</t>
  </si>
  <si>
    <t>Esteban Llovera y D</t>
  </si>
  <si>
    <t>esgracia por nuestra parte que el barón de Eróles herido de un bayonetazo, y un soldado aúmismo herido. Dice el citado gefe que los sargentos mayores D. Esteban Llovera y D. Mi­ guel de Córdoba, el primero del batallón de expatriados y el .segundo de la segunda sección ligera, han maniobrado con mucho acierto y heroica sereni…</t>
  </si>
  <si>
    <t>y D, Estiban Cosme y Planas</t>
  </si>
  <si>
    <t>Estiban Cosme y Planas y D</t>
  </si>
  <si>
    <t>de París , adonde había ido á cumplimentar , en nona» húsares de á caballo de la propia guardia real k bre de su Soberano, á S. M. I. y R. con motivo D. Estiban Cosme y Planas y D. Antonio Her­ de su matrimonio. Hoi ha salido para Berlín. nández: primero y segundo ayudantes de cirugía París ap de junté. en la artillería, tren…</t>
  </si>
  <si>
    <t>y D, Felipe Martínez</t>
  </si>
  <si>
    <t>Felipe Martínez y D</t>
  </si>
  <si>
    <t>ieron en un bergantín mercante, con destino que se ignora, el cápitan general Emparan , el subinspector de artillería Don Agustín García, los oidores D. Felipe Martínez y D. Anto­ nio Julián Alvarez , y el teniente coronel D. Joaquín Osorno. -El intendente D. Vicente Basadre, el oidor D. José Gutiér­ rez del Rivero, el corone…</t>
  </si>
  <si>
    <t>y D, Felipe Navarrete</t>
  </si>
  <si>
    <t>Felipe Navarrete y D</t>
  </si>
  <si>
    <t>iales y saldados lian peleado con entusiasmo. Nuestra pérdida en las dos acciones del 24 fue de 16 muertos y 82 heridos , entre ellos 2 subalternos , D. Felipe Navarrete y D. Gaspar Serranos, y los capitanes de granaderos de Saboya y primero de Valencia, D. Joaquín Lozano y D. Pedro García Benitez : este último lo fue mortalm…</t>
  </si>
  <si>
    <t>y D, Fernando Caamaño</t>
  </si>
  <si>
    <t>Fernando Caamaño y D</t>
  </si>
  <si>
    <t>ntonio González, por la constitución del estado, REI de las Espa— D. Rodrigo Josef Gutiérrez , D. Leandro Gutiér­ ñas y de las Indias. rez de Medina, D. Fernando Caamaño y D. Mi­ Oido el informe de nuestro ministro de lo In­ guel Baldaran. terior , que fuese devoto de tal ó tal santo; de aquí las apari­ donde no se observe un…</t>
  </si>
  <si>
    <t>y D, Fernando de la Cimpa</t>
  </si>
  <si>
    <t>Fernando de la Cimpa y D</t>
  </si>
  <si>
    <t>El cura D. Diego Bruno, 25. El subdelegado D José María Cor­ ral, 50. D. José Trinidad Fábela, 10. D Francisco A-ean, too D. Vi­ cente Sitveira, 20. D. Fernando de la Cimpa y D. Francisco Noriega, 100. Doña Ignacia de León, 20. D. Teodoro Csneros, 18 D. Martin Barron, 2$. D. Cirios Rubio, 12. D. José Simón Birraza, 8 D. Atana…</t>
  </si>
  <si>
    <t>y D, Fernando Juan de Zurita</t>
  </si>
  <si>
    <t>Fernando Juan de Zurita y D</t>
  </si>
  <si>
    <t>de Oro zoo y Zayas, D. Tomas de Heredia , D. Félix Gi man , D. Ramón de Parada, D. .Agustín María Salvador y Vidal, D. Manuel María Rodríguez Rubio, D. Fernando Juan de Zurita y D. Luis María Montero. Igualmente se ha servido $. M. conferir la tenencia coronela</t>
  </si>
  <si>
    <t>y D, Fernando Pereira</t>
  </si>
  <si>
    <t>Fernando Pereira y D</t>
  </si>
  <si>
    <t>de la isla de Francia *&gt;or la gel Braulaincourt.: y subtenientes á los señores Vaembarcacii n Augusto del comercio de Burdeos: rin , Brion , Mailiot, D. Fernando Pereira y D. Joa­ ,,La fragata ce S. M. la Vémts t después de na quín Rendon. crucero de 8 meses, llegó «131 de diciembre al Por decretó dél mismo dia el conde de Ga…</t>
  </si>
  <si>
    <t>y D, Francesco de Mazarreda</t>
  </si>
  <si>
    <t>Francesco de Mazarreda y D</t>
  </si>
  <si>
    <t>rimeros D. Domingo Pesrez y D. José Dieguez. Ei Consejo de Regencia, se ha dignado promover á brigadieres á los coroneles D. Pedro de Surga y Cortes, D. Francesco de Mazarreda y D. Juan de ía Cruz Mourgeon, yá sargentos may ores de los regimien­ tos de infantería de la Reyna y leales de Fernando VII á los capitanes -O. Gines …</t>
  </si>
  <si>
    <t>y D, Francisco Agustín de la Copa</t>
  </si>
  <si>
    <t>Francisco Agustín de la Copa y D</t>
  </si>
  <si>
    <t>sfacción de gozar de la presencia del Mo­ da , regente de la jurisdicción; D. Pablo de Agui­ narca , prenda segura de lá paz que va á suceder á lera, D. Francisco Agustín de la Copa y D. Ecr- nuestros porfiados disturbios. nardino Solis , tn nombre del ayuntamiento; Don En la fiesta de toros del lunes 9 hubo un in­ Cristóbal …</t>
  </si>
  <si>
    <t>y D, Francisco de Gordon Rozas</t>
  </si>
  <si>
    <t>Francisco de Gordon Rozas y D</t>
  </si>
  <si>
    <t>Piedra.................................. 691 24 D. Gabriel Rodríguez de Ccbrian...... 1Ó860 IÓ860 13 Q D. Andrés García deRoxas................. 1470 D. Francisco de Gordon Rozas y D. Lucio de la Peña................. .............. I9121 18 Rada........................................................ 9732 *9 D. Tídeo de Osul…</t>
  </si>
  <si>
    <t>y D, Francisco de Paula Aguilar</t>
  </si>
  <si>
    <t>Francisco de Paula Aguilar y D</t>
  </si>
  <si>
    <t>ones de Montero, Cañete de las Torres, guientes: Villafranca, la Rambla, Montemayor, Pedro Abad D. Manuel de la Paz López Vago, corregidor; y Lucena. D. Francisco de Paula Aguilar y D. Francisco An­ Por Montoro se presentó D. Josef Borbio, al­ tonio de Ros, Veintiquatros, por el cabildo; Don calde mayor; y por Cañete D. Migue…</t>
  </si>
  <si>
    <t>y D, Francisco Fmandez del Pino</t>
  </si>
  <si>
    <t>Francisco Fmandez del Pino y D</t>
  </si>
  <si>
    <t>diencia mandaba toda la campiñ 1 de Córdoba , habiendo de Sevilla á los a'c«ldes del crimen de la misma visitado las villar de Fernán Ntm-z, Aguilar, D. Francisco Fmandez del Pino y D. Josef Mier; Puente D. Gonzalo, Jauja, Benamexí, Montctnapjfa 'as do9 resultas ha nombrado á D. Marcos yor. Espejo y Rote, y las ciudades de Mo…</t>
  </si>
  <si>
    <t>y D, Francisco García Motitealegre</t>
  </si>
  <si>
    <t>Francisco García Motitealegre y D</t>
  </si>
  <si>
    <t>mento de que tanto necesitaban, y los conduxo de la causa con asistencia de los abogados defen­ el dia 16 á Saint-Valen. De estos siete marinos sores D. Francisco García Motitealegre y D. An­ tres pertenecen al puerto de Dieppe, y los otro* tonio Castilla ; y por sentencia de 8 del corriente, quarro son de Havre, de Alenzon, …</t>
  </si>
  <si>
    <t>y D, Francisco Maza</t>
  </si>
  <si>
    <t>Francisco Maza y D</t>
  </si>
  <si>
    <t>engamos la dicha de recibir dentro de núes— D. Raque L:llo , D. Luis Pellejero, D, Aiexan— tres muros á Napoleón ti Grande y d la augusta dro Zegers, D. Francisco Maza y D. Josef EscoAtaría Luisa. En fin los ciudadanos de todas cla­ var; ayudantes á D. Josef Pedrera y D. Ju¡n ses compiten en zelo y ardor para demostrar la sa­…</t>
  </si>
  <si>
    <t>y D, Francisco Moralés</t>
  </si>
  <si>
    <t>Francisco Moralés y D</t>
  </si>
  <si>
    <t>quella villa dos compañías de milicia cí­ &gt;. Blas Casabona» al presbítero D.. Francisco Es­ vica de infantería, nombrando para capitanes á cribano. ¡ D. Francisco Moralés y D. Jiían Merino; para te­ -r. 'Pará el'sd^uuddviurato de ia^de Sra: María de nientes i D. Juan Fernandez Caballejo y -D. Fe­ la «illa de JBaepa ¿-vacante …</t>
  </si>
  <si>
    <t>y D, Francisco Nieva</t>
  </si>
  <si>
    <t>Francisco Nieva y D</t>
  </si>
  <si>
    <t>tai Ion del mismo. En el prinivr batallón de voluntarios de Barcelona ha conce­ dido S. M. empleo de capitán 2.° á D. Ramón Sanjurjo; tenen­ cias, á D. Francisco Nieva y D. Francisco Vaildosura ; y subte­ nencias , a D. José Pueyo y D. Meíiton Ramos. En el de volunta­ rios de Gerona, segunda ayudantía k D. Francisco Delgado ;…</t>
  </si>
  <si>
    <t>y D, Francisco Posada</t>
  </si>
  <si>
    <t>Francisco Posada y D</t>
  </si>
  <si>
    <t>viduos , 59 y 8 rs. -— Ai/^dme. B. Pedro Forjas , 30. D. Antonio O bregón , 10. Varios individuos , 44 y 14 rs. — Culiacan. D. Pa­ blo Verdugo , 200. D. Francisco Posada y D. Francisco Peyro , 20. D. Jo­ sé Vidal , 10. B. Ignacio Serrano y B. Pedro Troto , 10. D. Tomas IJrrea , 5. I&gt;. José (le la Vega, 25. D. Manuel -Vanderas…</t>
  </si>
  <si>
    <t>y D, Francisco VVarleta</t>
  </si>
  <si>
    <t>Francisco VVarleta y D</t>
  </si>
  <si>
    <t>l de teniente coronel-del-de Truxií:o, a] teniente coronel 'agregado D. Juan Bautista Doral; y en el regimiento de- infantería de Murcia compañías ¿í D. Francisco VVarleta y D: Jaime Lafons; ayundantías á D. Rafael María de-la Peña y D: Teodoro Vico y Ariza 5 y tenencias á D. Miguel y D. Agustín Amat. Igualmente el Consejo de…</t>
  </si>
  <si>
    <t>y D, Gaspar Franco</t>
  </si>
  <si>
    <t>Gaspar Franco y D</t>
  </si>
  <si>
    <t>las Oórtes generales y extraordinarias, felizmente reunidas en la real Isla de León. Valencia 7 de noviembre. Las divisiones de los tenientecoroneles D. Gaspar Franco y D. Antonio Falcon se reunie­ ron de orden del general Bassecourt el 99 del pasado en Cer­ rera, con el designio de acometer al cuerpo francés acanto­ nado en …</t>
  </si>
  <si>
    <t>y D, Gregorio Alcaraz</t>
  </si>
  <si>
    <t>Gregorio Alcaraz y D</t>
  </si>
  <si>
    <t>Lugo k D. José de la Quadra , capitán de la legión del Rivero. También se ha dignado conceder en el regimiento de infan­ tería de Almería compañías á D. Gregorio Alcaraz y D. José Joa^ quin de Arespacochaga; tenencias á D. José Salazar y D. Ma-</t>
  </si>
  <si>
    <t>y D, Ignacio Calvo</t>
  </si>
  <si>
    <t>Ignacio Calvo y D</t>
  </si>
  <si>
    <t>a nombrado oficiales ■ría es una nieta de Marenso. de ordenanza á los capitanes de caballería de línea Las reliquias de los diferentes cnerpos enemi­ D. Ignacio Calvo y D. Joaquín Magalloo. gos no hubieran podido -replegarse, y se les hubie­ ra cogido-y desarmado, si por un acontecimiento fortuito no hubiese detenido al exérc…</t>
  </si>
  <si>
    <t>y D, Isidoro de la Torre</t>
  </si>
  <si>
    <t>Isidoro de la Torre y D</t>
  </si>
  <si>
    <t>ebustillo j tenencia de granaderos al de fusileros D. José López, y de fusileros á los subtenientes D. José María Merlano, D. Juan de Dios del Gordo, D. Isidoro de la Torre y D. Manuel Soriano, los dos primeros de granaderos; subtenencias de granaderos á los de fusileros D. Manuel Suarez y D. José María Cuca­ lón, y de bander…</t>
  </si>
  <si>
    <t>y D, Joaquín Antonio Navarro</t>
  </si>
  <si>
    <t>Joaquín Antonio Navarro y D</t>
  </si>
  <si>
    <t>­ cisco Salido, D. Juan Corral, D. Francisco Corral, D. Pedro An­ drés Gómez, D. Juan Sánchez, D. Jo;é Segovia, D. Marcos Jáuregai, D. Femando Negra, D. Joaquín Antonio Navarro y D. Antonio Ximenez; y á subtenientes, a D. Manuel Moreno y Vá­ rela, D. Gabriel Antonio Fernandez Alexo , D. Gaspar Diego de Torres y Figueroa, D. M…</t>
  </si>
  <si>
    <t>y D, Joaquín de Reyna</t>
  </si>
  <si>
    <t>Joaquín de Reyna y D</t>
  </si>
  <si>
    <t>, D. Vicente Lobo y Arjona , D. Andrés Amaya, D.. Miguel de MaÁauaga y D. Nicolás Leso y Garro, ra­ cioneros d* ia sn&gt;ama ; á D. Miguel LuL González, D. Joaquín de Reyna y D. Francisco de Saits Rodríguez, medios racionero* de ella ; k D. Manuel María Rodríguez , capellán mayor, y-.i D. José María Blanco , capellán de ía capil…</t>
  </si>
  <si>
    <t>y D, Joaquín Fuentes</t>
  </si>
  <si>
    <t>Joaquín Fuentes y D</t>
  </si>
  <si>
    <t>, tales son las principales prendas tjue lo ca­ tenientes D. Carlos Ferraniiz, D. Mariano Villa- racterizan. El que publicase un pouna que las nueva, D. Joaquín Fuentes y D. Antonio Rusi, reuniese todas, llamaría con tanta fuerza la aten­ y á subteniente al sargento primero D. Ramón ción de los amantes de las letras, y excita…</t>
  </si>
  <si>
    <t>y D, Joaquín Lozano</t>
  </si>
  <si>
    <t>Joaquín Lozano y D</t>
  </si>
  <si>
    <t>s y 82 heridos , entre ellos 2 subalternos , D. Felipe Navarrete y D. Gaspar Serranos, y los capitanes de granaderos de Saboya y primero de Valencia, D. Joaquín Lozano y D. Pedro García Benitez : este último lo fue mortalmente, y ha falleci­ do á los dos dias. — La pérdida del enemigo fué de 20 muer­ tos en la primera acción,…</t>
  </si>
  <si>
    <t>y D, Joaquín Márquez</t>
  </si>
  <si>
    <t>Joaquín Márquez y D</t>
  </si>
  <si>
    <t>ión ¿ los,descnbrimientos con que niente en el regimiento de Murcia , 2.° de infante­ O. Luis Prousr ha contribuidora'los adelantamien^ ría ligera: á D. Joaquín Márquez y D. Vicente tos de la química , al. mérito que ha contraido en­ Menibrillera subtenientes en el ;mismo regimiento: señándola por el espacio de 25-,años en Es…</t>
  </si>
  <si>
    <t>y D, Joaquín Navarro</t>
  </si>
  <si>
    <t>Joaquín Navarro y D</t>
  </si>
  <si>
    <t>omover en el real cuerpo de artillería á coroneles á los tejientes coroneles del propio cuerpo el teniente general D. José VVorster , los brigadieres D. Joaquín Navarro y D. Joaquín Ibarra, el coronel graduado D. Manuel Llano y D. Francisco Noveda : á tenientes coroneles al sargento mayor graduado de teniente coronel Don Pabl…</t>
  </si>
  <si>
    <t>y D, Joaquín Ruiz y Abreu</t>
  </si>
  <si>
    <t>Joaquín Ruiz y Abreu y D</t>
  </si>
  <si>
    <t>a D. José de Reart, ídem de fusileros á Don l uis Viladomar , D. Pedro Rocabruna y Ardena, D. Cárlos González Eíanos, D. Diego Guillen de Boussereau, D. Joaquín Ruiz y Abreu y D. Alberto Felipe de Ealdrich : empleo de alférez de granaderos á Don Esteban Pagcs de Bañüls: ídem de fusileros á D. Benito Liinas, D. An­ tonio de Fo…</t>
  </si>
  <si>
    <t>y D, Jorge Juan</t>
  </si>
  <si>
    <t>Jorge Juan y D</t>
  </si>
  <si>
    <t>tó vindicar á la nación del abandono ridional , extractada en la mayor parte de la diser­ y estupidez que se le acriminaba, por quienes no tación que D. Jorge Juan y D. Antonio de Uiloa conocían que estos eran vicios ó resabios mas pro­ publicaron sobre el mismo asunto en el año de 1749: pios de su gobierno, que del carácter …</t>
  </si>
  <si>
    <t>y D, Jorgt Juan</t>
  </si>
  <si>
    <t>Jorgt Juan y D</t>
  </si>
  <si>
    <t>ya se dió al público una rdea ventajóla en el estado vectos propuestos por D. Jorgt Juan y D. Dioni­ general de la armada del año de i8ot. Indicóse allí sio Alcalá Galiano para levantar la carta geográfica con mucha elegancia y precisión su origen y sas de España; y como D. Josef d</t>
  </si>
  <si>
    <t>y D, José Antonio de Almarza</t>
  </si>
  <si>
    <t>José Antonio de Almarza y D</t>
  </si>
  <si>
    <t>isco Pe­ reza y D. Joaquín de Amadeo, alcaldes ordinarios; el capitán de mili­ cias D. Felipe Quintana, D. Francisco Miguel Roldan, D. Diego de Meló, D. José Antonio de Almarza y D. José Ignacio Baralt, regido­ res; el primer alférez real; el segundo alcalde provincial; el tercero fiel executor; el quarto decano y alguacil ma…</t>
  </si>
  <si>
    <t>y D, José de Novo</t>
  </si>
  <si>
    <t>José de Novo y D</t>
  </si>
  <si>
    <t>istió en unos 90 heridos y 3&amp; muertos, contándose entre los primeros el capitán D. Antonio García , el teniente O. Bernardo Pita , y los subtenientes D. José de Novo* y D. Jacobo Pardo , todos del regimiento provincia! de Lugo. Al salir la guarnición , se apoderaron los franceses de los ca­ ballos , equipages y espadas de los…</t>
  </si>
  <si>
    <t>y D, José de Villaceballos</t>
  </si>
  <si>
    <t>José de Villaceballos y D</t>
  </si>
  <si>
    <t>ía de Guadix á t&gt;. José de Ansoategui y D. Benito de Berenguer; la comandancia de los terceros batallones de los de Guadalaxara y primero de Burgos á D José de Villaceballos y D. Anselmo Plaza; la del batallón de infantería ligera de voluntarios de Burgos á D. Francisco Gómez Barreda, y las sargentías mayores del mismo cuerpo…</t>
  </si>
  <si>
    <t>y D, José Diez de Texada</t>
  </si>
  <si>
    <t>José Diez de Texada y D</t>
  </si>
  <si>
    <t>nuel María de Guinea; al teniente coronel graduado X) Juan Galindo \ al sargento mayor D. José María de Reyna \ y á los tenientes coroneles graduados D. José Diez de Texada y D. José Miranda, Continúan los donativos de la Nueva-Kizcaya. D. Manuel Pacheco, 20. D. Francisco Soberon , 10. D. Juan Pes­ cador, 20. D. Mariano Garvi…</t>
  </si>
  <si>
    <t>y D, José García</t>
  </si>
  <si>
    <t>José García y D</t>
  </si>
  <si>
    <t>l de, Murcia tenencia al subteniente; D. Francisco Preilcr : en el de 'Africa tenencias al teniente agregado D. Angel Car­ ril!, y a los subtenientes D. José García y D. Joaquín Larramendi y y subtenencias al sargento primero D. Dionisio Racjabalal Cadete Don Felipe Calderón y al soldado distinguido D. José 'Antonio Andrés; y…</t>
  </si>
  <si>
    <t>y D, José Iiaag</t>
  </si>
  <si>
    <t>José Iiaag y D</t>
  </si>
  <si>
    <t>e los echó á la bayoneta, pasando á cuchillo á quantos lo sostenían, tenien­ do la desgracia de perder en el acto del asalto á los bizarros oficiales D. José Iiaag y D. Juan Barranco. Pero cargándo­ le dos batallones enemigos que tenian emboscados, le fué for­ zoso á Roten tomar un parapeto que habia á su derecha , don­ de se…</t>
  </si>
  <si>
    <t>y D, José Lagarda</t>
  </si>
  <si>
    <t>José Lagarda y D</t>
  </si>
  <si>
    <t>103</t>
  </si>
  <si>
    <t>o todas las guer­ rillas, y perseguido á los enemigos en su retirada, sostenidas por los batallones primero de Aragón y Daroca, al mando de sus xefes D. José Lagarda y D. Manuel Carbón , aquel los atacó por * el flanco derecho, los desalojó con la mayor ignominia, y los obligó á replegarse á lo mas alto de las montañas. Allí …</t>
  </si>
  <si>
    <t>y D, José María Sierra</t>
  </si>
  <si>
    <t>José María Sierra y D</t>
  </si>
  <si>
    <t>egimiento de voluntarios de'León á D. Cayetano deT iá.Cálle, capitán de vclúntarios de Madrid , tenencias en este á los subtenientes D. José Sánchez, D. José María Sierra y D. Antonio Gomfez dé la Torre , y subtenen­ cias al graduado D. Clemente Bueno y D Nicolás la Madrid, sargen­ to primero y cadete del mismo : tenencia en …</t>
  </si>
  <si>
    <t>y D, José Pueyo</t>
  </si>
  <si>
    <t>José Pueyo y D</t>
  </si>
  <si>
    <t>na ha conce­ dido S. M. empleo de capitán 2.° á D. Ramón Sanjurjo; tenen­ cias, á D. Francisco Nieva y D. Francisco Vaildosura ; y subte­ nencias , a D. José Pueyo y D. Meíiton Ramos. En el de volunta­ rios de Gerona, segunda ayudantía k D. Francisco Delgado ; te­ nencia. á D. Francisco Guarro ; y subtenencias, á D. Agustín M…</t>
  </si>
  <si>
    <t>y D, José Rafael</t>
  </si>
  <si>
    <t>José Rafael y D</t>
  </si>
  <si>
    <t>ylan González Higueras , de Guanajuato , 2G0. El bachiller D. Juan José Villasusan , 100. Por conducto "del obispo do Oaxaca , de su diócesi, 10,032. D. José Rafael y D. José Antonio de la Garsa , vecinos de Aguayo , por mitad , SCO. Varias señeras de la villa de Aguas-calientes , 49S. La con­ desa de Miravalle 300. I&gt;. Manue…</t>
  </si>
  <si>
    <t>y D, José Rogliani</t>
  </si>
  <si>
    <t>José Rogliani y D</t>
  </si>
  <si>
    <t>te general, al bri­ gadier de ios reales exéreitos D. Juan de Magan , 2 9 teniente de la tercera compañía del mismo ; el de exénto, á los brigadieres D. José Rogliani y D. Martin Tovar; el de brigadier, ai su bri­ gadier D. Antonio Barreiro ¿ el de cadete , k los guardias D. Ju*</t>
  </si>
  <si>
    <t>y D, José Roure</t>
  </si>
  <si>
    <t>José Roure y D</t>
  </si>
  <si>
    <t>6 prisioneros , y se cogieron 93 caballerías y va­ rios efectos. Se distinguieron en esta ocasión los oficiales D. Mariano Duran , D. Jua,n Obrador , D. José Roure y D. Sal­ vador Frígola. — El 15 de mayo acometió el mismo Fábregas</t>
  </si>
  <si>
    <t>y D, José Salazar</t>
  </si>
  <si>
    <t>José Salazar y D</t>
  </si>
  <si>
    <t>se ha dignado conceder en el regimiento de infan­ tería de Almería compañías á D. Gregorio Alcaraz y D. José Joa^ quin de Arespacochaga; tenencias á D. José Salazar y D. Ma-</t>
  </si>
  <si>
    <t>y D, Josef Companon</t>
  </si>
  <si>
    <t>Josef Companon y D</t>
  </si>
  <si>
    <t>de Plaven y de otras ciudades saxonas 4.0 de infantería de línea , subtenientes á D. Alon­ grandes cargamentos de muselinas, indianas &amp;c. so Antones, D. Josef Companon y D. Josef Re­ JL.a permanencia de los exércitos rusos en el Danu­ jón : cirujano primero á D. Francisco Xavier Lo­ bio ha puesto en circulación mucho numerari…</t>
  </si>
  <si>
    <t>y D, Josef de Espinosa</t>
  </si>
  <si>
    <t>Josef de Espinosa y D</t>
  </si>
  <si>
    <t>rina en febrero de 1805 » que tuvo á su cargo-has­ cieron por tierra desde Valparaíso á Buenos-Aires ta junio de 1808, en que representando su avan­ D. Josef de Espinosa y D. Felipe Banzá, descri­ zada edad y estado valetudinario, consiguió ser biendo esta ruta, y particularmente la célebre cor­ exonerado, con las expresiones…</t>
  </si>
  <si>
    <t>y D, Josef Ignacio Joven de Salas</t>
  </si>
  <si>
    <t>Josef Ignacio Joven de Salas y D</t>
  </si>
  <si>
    <t>prienda das i y que las armas no se emplearán allí sino en de¡ Excmo. Sr. D, Sebastian de Piñuela, é limos. la persecución de los malhechores. Sres. D. Josef Ignacio Joven de Salas y D. Pe­ ,, Esta declaración solemne impedirá el que dro Rarnon de. Echevarría , consejeros de Estado, muchos individuos abandonen sus casas, y el…</t>
  </si>
  <si>
    <t>y D, Josef Joaquín Ferrer</t>
  </si>
  <si>
    <t>Josef Joaquín Ferrer y D</t>
  </si>
  <si>
    <t>ciones de D. Pedro de es de 36 rs. vn. Cárdenas, D. Tomas Ugarre, D. Cosme Churruca, D. Dionisio Galiano, D. Mariano Isashiribil, y hs M. F. de N. de D. Josef Joaquín Ferrer y D. Sebastian Laso de la Vega , pilotos de mucha práctica y' sublimes co­ nocimientos, se ha logrado dexar bien conocidas TEATROS. aquellas castas para …</t>
  </si>
  <si>
    <t>y D, Josef Juncar</t>
  </si>
  <si>
    <t>Josef Juncar y D</t>
  </si>
  <si>
    <t>sfuerzos de la desespera­ neral de los reales exércitos; y á los señores Don ción ; pero el afecto paternal Con que distingue á Juan Bautista Castro, D. Josef Juncar y D. Juan estas provincias, hace que procure evitar el sobre­ Bouligni mariscales de campo. cargarlas con los gravámenes que indispensablemen­ S. M. ha nombrado …</t>
  </si>
  <si>
    <t>y D, Josef Lamas</t>
  </si>
  <si>
    <t>Josef Lamas y D</t>
  </si>
  <si>
    <t>emas obras públicas. y subtenientes á D. Francisco Cisneros, D. Ci­ priano Seguin, D. Pedro Montagut y D. Parrició TITULO QUINTO. Piera; y finalmente D Josef Lamas y D. Josef art. xii. El cuerpo legislativo de Holanda Andrés de.Casasola quedan nombrados comisarios nombrará en lo qne resta de este mes ana comí-, de Guerra de s…</t>
  </si>
  <si>
    <t>y D, Josef Mercado</t>
  </si>
  <si>
    <t>Josef Mercado y D</t>
  </si>
  <si>
    <t>s y'diez y siete y medio maravedís de vellón. . D. Antonio Fernandez......................... 2666 20 art. ir. Sceutregarán á estos’ inleresado'- lás D. Josef Mercado y D. Lorenzo Mer­ : t1 cédulas hipotecarias correspondientes con arreglo á cado..................................................... 77*4' nuestro decreto de 9 …</t>
  </si>
  <si>
    <t>y D, Josef Pedrera</t>
  </si>
  <si>
    <t>Josef Pedrera y D</t>
  </si>
  <si>
    <t>s á Napoleón ti Grande y d la augusta dro Zegers, D. Francisco Maza y D. Josef EscoAtaría Luisa. En fin los ciudadanos de todas cla­ var; ayudantes á D. Josef Pedrera y D. Ju¡n ses compiten en zelo y ardor para demostrar la sa­ OLog'.hui; tenientes á D. Juan Rain , D. Fran-. tisfacción y vivos deseos de ver y disfrutar de la …</t>
  </si>
  <si>
    <t>y D, Josef Roncaü</t>
  </si>
  <si>
    <t>Josef Roncaü y D</t>
  </si>
  <si>
    <t>ral, Don y que obraban por la fortaleza de sus conciencias, Manuel Arjona , penitenciario en ella, y á D. Fran­ permanecieron fieles. cisco Armenia , D. Josef Roncaü y D. Francisco Una nueva guerra continental y los socorros de Muñoz de Colmena, prebendados de la misma.— la Inglaterra han prolongado lucha tan desigual, y YO E…</t>
  </si>
  <si>
    <t>y D, Josef Valdivia</t>
  </si>
  <si>
    <t>Josef Valdivia y D</t>
  </si>
  <si>
    <t>hacia, pertenecía á esta división, y es­ subtenientes en el regimiento de Granada, 5.0 de coltaba dos presas; á saber: la fragata portuguesa línea, á D. Josef Valdivia y D. Antonio Negro: la Minerva, y la corbeta inglesa Víctor, llamada subteniente en el regimiento de Málaga, 6.° de lí­ antes Jena. nea, á D. Luis Pavist subte…</t>
  </si>
  <si>
    <t>y D, Josejf Muñoz de Veiasco</t>
  </si>
  <si>
    <t>Josejf Muñoz de Veiasco y D</t>
  </si>
  <si>
    <t>s grandes de España , los generales, los prin­ Orden Real de España al marques de Guardia cipales personages de la nación conocieron estas ver­ Real, D. Josejf Muñoz de Veiasco y D. Lorenzo dades. Yo mismo recibí ios juramentos que me Basabru , tenientes retirados de caballería ; á D. Ra­ prestaron libremente en Madrid. El ac…</t>
  </si>
  <si>
    <t>y D, Juan</t>
  </si>
  <si>
    <t>Juan y D</t>
  </si>
  <si>
    <t>.... 23007.. 22 medio de su apoderado D. Teodori- D. J uan Josef deMatuic, en nombre co Kraux............................................ *5°S4~33 de D. Juan y D. Manuel Matute Doña Juana López, viuda de D. Ni­ Arroniz...................i........................... 62614..25 colás de Arux..................................... …</t>
  </si>
  <si>
    <t>y D, Juan Abril</t>
  </si>
  <si>
    <t>Juan Abril y D</t>
  </si>
  <si>
    <t>enemigos tienen destinada para acompañar á los correos que entran y salen en dicha ciudad, habiéndose puesto al efecto de acuerdo con las partidas dé D. Juan Abril y D. Manuel Soldado. Apostada la compañía del primero en el pueblo de Gareilan, tuvo aviso de dirigirse á él una porción de enemigos custodiando varios car­ ros; y…</t>
  </si>
  <si>
    <t>y D, Juan Alaminos y Doña Jesusa</t>
  </si>
  <si>
    <t>Juan Alaminos y Doña Jesusa y D</t>
  </si>
  <si>
    <t>n, queda nom­ D. Mauricio de los Mártires y Do­ brado presidente de la de Málaga. ña Francisca de Velasco................. 24000 D. Bernardino Lillo, D. Juan Alaminos y Doña Jesusa y D. Joaquín Calvo, D. Bonifacio Amoraga quedan igualmente noiáhermanos...................... 24000 brados jueces de la misma junta. D. Pedro Meru…</t>
  </si>
  <si>
    <t>y D, Juan de Lángara</t>
  </si>
  <si>
    <t>Juan de Lángara y D</t>
  </si>
  <si>
    <t>en su Tesoro á principios del siglo xvir, y longitud de la nave. Aplaudido e*te pensamiento por AveJIo Valdes en su Diccionario náutico por los años D. Juan de Lángara y D. Sebastian de Apodaca, prac­ de 1671, y lo que es mas, tratando Cervantes de Ve- ticaron los tres la observación , que se calculó con suma necia en la nove…</t>
  </si>
  <si>
    <t>y D, Juan de Lirio</t>
  </si>
  <si>
    <t>Juan de Lirio y D</t>
  </si>
  <si>
    <t>órdoba. S. M. se dignó honrarle común; D. Cristóbal Carrillo, prior; D. Vicente con su presencia, y también fueron convidados los Moreno, presbítero; D. Juan de Lirio y D. An­ señores ministros y toda la corte. El júbilo fue drés de Rus, por la nobleza y el pueblo. universal, yen los rostros de todos se veia retra­ Los diputa…</t>
  </si>
  <si>
    <t>y D, Juan Fábregas</t>
  </si>
  <si>
    <t>Juan Fábregas y D</t>
  </si>
  <si>
    <t>principado* ha mandado imprimir la rél'asion de algunas acciones vale­ rosas de las partidas organizadas del corregimiento de Ge­ rona, mandadas por D. Juan Fábregas y D. Cosme Olive­ ras, que por un extravío accidental habian dexado de publi­ carse , y que no es j usfco queden sepultadas ere el olvido. — El 12 de marzo sorpr…</t>
  </si>
  <si>
    <t>y D, Juan Fernandez Caballejo</t>
  </si>
  <si>
    <t>Juan Fernandez Caballejo y D</t>
  </si>
  <si>
    <t>, nombrando para capitanes á cribano. ¡ D. Francisco Moralés y D. Jiían Merino; para te­ -r. 'Pará el'sd^uuddviurato de ia^de Sra: María de nientes i D. Juan Fernandez Caballejo y -D. Fe­ la «illa de JBaepa ¿-vacante por muerte de D. Mar­ lipe Carrillo, y para subtenientes i D. Pedro Al­ tin hAdprfeste, f ai 'presbítero D. Jo…</t>
  </si>
  <si>
    <t>y D, Juan García</t>
  </si>
  <si>
    <t>Juan García y D</t>
  </si>
  <si>
    <t>eniente coronel Don Felipe Agramunt con 15 dragones de su regí ni nto de M umancia , el teniente de coraceros españoles, v el aben z del mismo cuerpo D. Juan García y D. Jua i de Abadía que am­ bos mandaban SO coraceros y 70 tira lores cátala *es que vo­ luntariamente se ofrecieron á este servici &gt;.— La serenílad de estas val…</t>
  </si>
  <si>
    <t>y D, Juan Guerrero</t>
  </si>
  <si>
    <t>Juan Guerrero y D</t>
  </si>
  <si>
    <t>n este estado se dispuso atacarlos, dando la derecha á las partidas de José Fa­ jardo , D. Lorenzo Acebedo y D. Salvador García, el cen­ tro á las de D. Juan Guerrero y D. Alonso Ventura Mena, y Ja izquierda á la compañía fixa de Marbella mandada por el - alférez D. Angel Rábago, y á la partida de Cartagima á las órdenes de D…</t>
  </si>
  <si>
    <t>y D, Juan Ignacio Fernandez'Münilla</t>
  </si>
  <si>
    <t>Juan Ignacio Fernandez'Münilla y D</t>
  </si>
  <si>
    <t>Ro­ que Abarca, del regente D. Antonio Vilhirrutia, de los oido^ res D. Juan José Jtecacho y D. Juan Nepomuceno Hernán­ dez de Alba, de los fiscales D. Juan Ignacio Fernandez'Münilla y D. Vicente Alonso Artdrade, ministros de real hacien­ da; del reverendo obispo, venerable deaii, cabildo y cleroj del ilústre ayuntamiento de …</t>
  </si>
  <si>
    <t>y D, Juan José Barranco</t>
  </si>
  <si>
    <t>Juan José Barranco y D</t>
  </si>
  <si>
    <t>: la de los enemigos no se sa­ be, aunque debió de ser muy considerable* Al dia siguiente Agilitar reforzado con las partidas de D. Sebastian Tinoco, D. Juan José Barranco y D. Miguel López, vecino de Ubrique , y los ginetes del mando de Don Francisco Gómez y D. Roque Gallego pasó al sitio de Fuenblanquilla. Una guerrilla suy…</t>
  </si>
  <si>
    <t>y D, Juan José Jtecacho</t>
  </si>
  <si>
    <t>Juan José Jtecacho y D</t>
  </si>
  <si>
    <t>ana en el salón prin ípal de este real palacio, con asistencia del presidente D. Ro­ que Abarca, del regente D. Antonio Vilhirrutia, de los oido^ res D. Juan José Jtecacho y D. Juan Nepomuceno Hernán­ dez de Alba, de los fiscales D. Juan Ignacio Fernandez'Münilla y D. Vicente Alonso Artdrade, ministros de real hacien­ da; del…</t>
  </si>
  <si>
    <t>y D, Juan Quesada</t>
  </si>
  <si>
    <t>Juan Quesada y D</t>
  </si>
  <si>
    <t>Ramos, sargento l.p del regimiento de infantería de Murcia. En el regimiento de infantería de la R^yna, compañías á D. José Amí, D, Joaquín Loyzaga , D. Juan Quesada y D. Heraclio de Alais: ; tenencias de cazadores , á D. Pedro Benavides , y de fu­ sileros a D. Angel García , y subtenencia á D. Fernando Pmango ; y en el de Vo…</t>
  </si>
  <si>
    <t>y D, Juan Rivera</t>
  </si>
  <si>
    <t>Juan Rivera y D</t>
  </si>
  <si>
    <t>undante D. Ramón Puertolas ; ayudantía al teniente Don Francisco González; tenencias b los alféreces D. Pedro de la Ro­ cha, D. Fernando de la Rocha, D. Juan Rivera y D. Juan Ai* tonio Correa empleos de alférez á los porta estandartes D. Vi­ cente Vargas, D. Carlos Blance, D. Manuel Monti y D. Ma­ nuel Arjona; y estas resulta…</t>
  </si>
  <si>
    <t>y D, Juan Sánchez</t>
  </si>
  <si>
    <t>Juan Sánchez y D</t>
  </si>
  <si>
    <t>.................... — ** T D.’FraruFrn Antonio González........ 11003 28 D. Ci_■ ri-c-o L.tirat.................................. 37 La ' Fia pia de D. Juan Sánchez y D. Juan Rt n ■ ¡ de Etu-ain................. ! VÓ 37 Doña María Aievrlo, por su re­ 13. Ata h.ísi * Vmt aria ........................ . i 263 17 presentad.i.- …</t>
  </si>
  <si>
    <t>y D, Juan Vernaci</t>
  </si>
  <si>
    <t>Juan Vernaci y D</t>
  </si>
  <si>
    <t>. Este ex-capucliino y sus compañeros, Finalmente, las comisiones que llevaron i la qunndo ya amanecía la aurora del orden 3' la tran­ India oriental D. Juan Vernaci y D. Isidro Corquilidad, concurrieron á encender de nuevo el fue­ tazar &gt; deben adelantar mucho los conocimiento* go de la insurrección en Málaga, connituyéndose…</t>
  </si>
  <si>
    <t>y D, Juan Vial</t>
  </si>
  <si>
    <t>Juan Vial y D</t>
  </si>
  <si>
    <t>ndrés Hernán­ dez Sta. Cruz, D. Francisco Zarracina , D. Miguel González, D. Juan Mendez Vigo , D. Manuel Moreno , D. Pedro Masdetr, D. Joaquin Goñi, D. Juan Vial y D. Celestino Gastón. Conociendo S. M. el rey de las Dos-Sicilias la falta de fusiles que se experimenta en España , y hallándose por otro lado muy escasos de esta…</t>
  </si>
  <si>
    <t>y D, Julián</t>
  </si>
  <si>
    <t>Julián y D</t>
  </si>
  <si>
    <t>. José María Pedriza, 50. D. Tomas Troncoso, 3 — Papa:-qttiaro. El cura D. Jote Joaquín Escarzaga, 25. D. Francisco Ve11ot, 50. D. Pedro Barraza, 13. D. Julián y D. Juan Torrijas, 22. Don Rafael Peña, 10. D. Leandro Manzanera , zoo Varios individuos, 71 y 4 rs. {Se continuará.) CADIZ: EN LA IMPRENTA REAL.</t>
  </si>
  <si>
    <t>y D, Julio Riperr</t>
  </si>
  <si>
    <t>Julio Riperr y D</t>
  </si>
  <si>
    <t>prefecto marítimo, ha he­ Di Ignacio Calvo y D. Antonio Caraza: tejientes cho insertar en el diario de nuestra ciudad las no­ á D. Próspero Chariier, D. Julio Riperr y D. An­ ticias siguientes tr. ÍJas de la isla de Francia *&gt;or la gel Braulaincourt.: y subtenientes á los señores Vaembarcacii n Augusto del comercio de Burdeos…</t>
  </si>
  <si>
    <t>y D, Lorenzo Acebedo</t>
  </si>
  <si>
    <t>Lorenzo Acebedo y D</t>
  </si>
  <si>
    <t>encaminaron a Cart agima y ocuparon el cerro del Marchante. En este estado se dispuso atacarlos, dando la derecha á las partidas de José Fa­ jardo , D. Lorenzo Acebedo y D. Salvador García, el cen­ tro á las de D. Juan Guerrero y D. Alonso Ventura Mena, y Ja izquierda á la compañía fixa de Marbella mandada por el - alférez D.…</t>
  </si>
  <si>
    <t>y D, Lorenzo Escudero</t>
  </si>
  <si>
    <t>Lorenzo Escudero y D</t>
  </si>
  <si>
    <t>mpa­ ñías de granaderos en el mismo á los capitanes de fusileros D. Nicolás Díaz Granados y D. Luís Francisco García j de fusileros á los ayudan­ tes D. Lorenzo Escudero y D. Bernardo Vaiiarino, y al teniente de gra­ naderos D. Miguel Carballo; ayudantías á ios tenientes D. Antonio Fominaya y D. Antonio Fernandez Rebustillo j…</t>
  </si>
  <si>
    <t>y D, Luis Moutard</t>
  </si>
  <si>
    <t>Luis Moutard y D</t>
  </si>
  <si>
    <t>, mayor á Rusia. El objeto de su misión es cumplimentar en D. Albi .noDarivoire; comandantes de batallón á nombre de su Soberano á SS. MM. II. y RR.. D. Luis Moutard y D. Lorenzo Servert ; teniente El general Guil'.eminot, barón del imperio, ha á D. Santiago Tacbeler , y aban lera los á D. Fran­ marchado á España; y se asegur…</t>
  </si>
  <si>
    <t>y D, M'anuel García Viicaino</t>
  </si>
  <si>
    <t>M'anuel García Viicaino y D</t>
  </si>
  <si>
    <t>eñof general D. CSrlos Santiagó Tilií, featállóo *dl tifárqiés de Guardia- Real; para "ayu-, gobernador dé lá ciudad! y provinciaAcompañado dajntes i D. M'anuel García Viicaino y D. Josef dé otros señoreé genérales y muebá oficialidad , y-* CibÜás y Cácér», y para abanderado í D, Josef ocupábdo el lado del-evartgel!ó en lá ca…</t>
  </si>
  <si>
    <t>y D, Manuel Bordon</t>
  </si>
  <si>
    <t>Manuel Bordon y D</t>
  </si>
  <si>
    <t>rro y D. Antonio Ximenez; y á subtenientes, a D. Manuel Moreno y Vá­ rela, D. Gabriel Antonio Fernandez Alexo , D. Gaspar Diego de Torres y Figueroa, D. Manuel Bordon y D. Francisco Sainz Inestosa. Igualmente ha conferido el empleo de teniente coronel del regimiento provincial de Lugo k D. José de la Quadra , capitán de la le…</t>
  </si>
  <si>
    <t>y D, Manuel de Vorcy</t>
  </si>
  <si>
    <t>Manuel de Vorcy y D</t>
  </si>
  <si>
    <t>almente el Con­ sejo primera tenencia de granaderos al de fusileros D. Manuel de Terra­ zas; primeras tenencias de fusileros á los segundos tenientes D. Manuel de Vorcy y D. Manuel Liaño, este de Cazadores; .segunda tenencia de cazadores al capitán D. 3osef Rujz Alvarez, ayudante del regimiento de infantería , segundo de volu…</t>
  </si>
  <si>
    <t>y D, Manuel Eslenoz</t>
  </si>
  <si>
    <t>Manuel Eslenoz y D</t>
  </si>
  <si>
    <t>l mismo tribunal. 2. a A D. Juan Antonio de Aldama, alcalde El dia 1 del presente mes los Sres. D. Alexandro mayor de Sanlúcar de Barrameda. Novales, D. Manuel Eslenoz y D. Cirios Bonancini, 3.0 A D. Antonio Josef Cortés, alcalde mayor discípulos de la academia pública de Comercio cjue con la real aprobación se halla establec…</t>
  </si>
  <si>
    <t>y D, Manuel Momi</t>
  </si>
  <si>
    <t>Manuel Momi y D</t>
  </si>
  <si>
    <t>id de fusileros á D. Jayme Ruiz y Abreu, D. Ig­ nacio Medina y Huet, D. Antonio Aguilera y J). Mariano López ; em­ pleos de alféreces de cazadores á D. Manuel Momi y D. Ramón Parada, todos individuos del expresado real cuerpo ; y empleos de alféreces de fusileros en el mismo á D. Joaquín Montufar, ayudante del regimiento prov…</t>
  </si>
  <si>
    <t>y D, Manuel Monti</t>
  </si>
  <si>
    <t>Manuel Monti y D</t>
  </si>
  <si>
    <t>D. Fernando de la Rocha, D. Juan Rivera y D. Juan Ai* tonio Correa empleos de alférez á los porta estandartes D. Vi­ cente Vargas, D. Carlos Blance, D. Manuel Monti y D. Ma­ nuel Arjona; y estas resultas b los cadetes D. Enrique Lo^-esr, D. Joaquín Bustamente, D. Ramón de Moya y D. T&lt;iesf. ro Sotolongo, este último del de dra…</t>
  </si>
  <si>
    <t>y D, Manuel Nóvales</t>
  </si>
  <si>
    <t>Manuel Nóvales y D</t>
  </si>
  <si>
    <t>ido S. M. á exénto k D. Francisco Fernandez Verano ; á brigadier á D. Juan Rodríguez de Llano : á subrigadier á D. Juan Gómez de Cádiz; y k cadetes á D. Manuel Nóvales y D. Ramón Rodrigo. CADIZ: EN LA IMPRENTA REAL.</t>
  </si>
  <si>
    <t>y D, Manuel Pardo</t>
  </si>
  <si>
    <t>Manuel Pardo y D</t>
  </si>
  <si>
    <t>rigadieres á les cadetes D. Juan Talero, D. Faus­ tino Guillen y D. Joaquín Tuquet: y á cadetes á los guardias 1&gt;. Roque Torres, D. Francisco VaIdcs, D. Manuel Pardo y D. José Sierra. Ei rey nuestro Sr. D. Fernando víi, y en su } real nombre , el Con­ sejo de Regencia de España é Indias , se ha servido conferir la co-; manda …</t>
  </si>
  <si>
    <t>y D, Manuel SAazar</t>
  </si>
  <si>
    <t>Manuel SAazar y D</t>
  </si>
  <si>
    <t>el L&gt;. Fernando Salamanca; id. de caradores á D. Francisco de Paula Cásasela ; id. de fusileros á I). Marcos Nuñez de Abreu , D. Luis de S. Clemente, D. Manuel SAazar y D. Amonio Aguilar ; segunda ayudantía mayor á I). Francisco de Sales Moa.; segunda tenencia de granaderos á D. Juan de Beamurguia; id. de cazadores á D. Luis …</t>
  </si>
  <si>
    <t>y D, Manuel Suarez</t>
  </si>
  <si>
    <t>Manuel Suarez y D</t>
  </si>
  <si>
    <t>D. Juan de Dios del Gordo, D. Isidoro de la Torre y D. Manuel Soriano, los dos primeros de granaderos; subtenencias de granaderos á los de fusileros D. Manuel Suarez y D. José María Cuca­ lón, y de bandera á los cadetes D. Antonio de Castillo y D. Feliz Velazquez, y á los sargentos primeros D. Domingo Pesrez y D. José Dieguez…</t>
  </si>
  <si>
    <t>y D, Manuel Viljareal</t>
  </si>
  <si>
    <t>Manuel Viljareal y D</t>
  </si>
  <si>
    <t>aron á (a nadón. £1 tal con­ da ; y los tet.ientes D. Josef Mariaoo Brun, D. dea trato está compuesto de las qualidades y atribucio­ rónimo dei Pozo, D. Manuel Viljareal y D. Aa- nes ,de otros contratos nominados; pero su basa tonio Ruiz. descansa.en la permanencia del derecho feudal; y art- v. Nuestros ministros de lo Interi…</t>
  </si>
  <si>
    <t>y D, Marcelo Ayensa</t>
  </si>
  <si>
    <t>Marcelo Ayensa y D</t>
  </si>
  <si>
    <t>s y experiencias necesarias, dieron la vela para piain , los tenientes de navio D. Joaquín Marquina, el Callao de Lima, donde entraron el 23 de julio D. Marcelo Ayensa y D. Domingo Navarro, el de de 1793. Van unidos á esta memoria por via de fragata D, Juan Ibargoitia, el piloto D. Francisco apéndice: t.° un extracto de la de…</t>
  </si>
  <si>
    <t>y D, María</t>
  </si>
  <si>
    <t>María y D</t>
  </si>
  <si>
    <t>e Cabarrus ; en este día i su D. Ag í tin de Igartua , D. Matías O mina &gt; y D m pr.seucia y la del Ex.mu. Sr D. Sihastim de Pi­ Vicente de E heguren, Doña María y D„, Jo»efa de Aljama, coa mas otras siete en la c ud-d de Orduña á principios de noviembre del año proxi no , ñuela, é 1 mos. St ñores D. Josef Ignacio Joven de Sa …</t>
  </si>
  <si>
    <t>y D, Martin de Huici</t>
  </si>
  <si>
    <t>Martin de Huici y D</t>
  </si>
  <si>
    <t>guerra. El 6 del corriente salieron de aquí diputados por la muni­ cipalidad ceyca del rey D. Manuel García de la Prada, D. Frutos de Alvaro Benito, D. Martin de Huici y D. Tadeo Bravo del Ri~ vero , sugetos bien conocidos por su adhesión al gobierno intruso. Las noticias de la última mala nada dicen sobre entrada nueva de tr…</t>
  </si>
  <si>
    <t>y D, Melchor de Aymerich</t>
  </si>
  <si>
    <t>Melchor de Aymerich y D</t>
  </si>
  <si>
    <t>y de la Torré ; á mariscal de campo al brigadier D. Juan Antonio de la Mata , comandante general de la provincia de ; á brigadieres, á los coroneles D. Melchor de Aymerich y D. Barto­ lomé Cucalón, gobernadores de jas provincias de Cuenca y Gua­ yaquil; habiendo concedido S, M. también grado de coronel de infantería al tenien…</t>
  </si>
  <si>
    <t>y D, Miguel</t>
  </si>
  <si>
    <t>Miguel y D</t>
  </si>
  <si>
    <t>ía de Murcia compañías ¿í D. Francisco VVarleta y D: Jaime Lafons; ayundantías á D. Rafael María de-la Peña y D: Teodoro Vico y Ariza 5 y tenencias á D. Miguel y D. Agustín Amat. Igualmente el Consejo de Regencia se ha servido conferir el re­ gimiento de Caballería z.° de Aígarbe al brigadier D, Carlos Tasrsier5 teniente coro…</t>
  </si>
  <si>
    <t>y D, Miguel Becar</t>
  </si>
  <si>
    <t>Miguel Becar y D</t>
  </si>
  <si>
    <t>su real nom­ bre ia suprema Junta central gubernativa del reyno , de la causa juzgada en consejo de guerra de generales , contra D. Joaquín Astvaudi, D. Miguel Becar y D. Gerónimo Pulg de Amigo , co­ roneles de los regimientos de caballería del Infante , dragones de Almansa y cazadores imperiales de Toledo, en averiguación de…</t>
  </si>
  <si>
    <t>y D, Miguel Esprit</t>
  </si>
  <si>
    <t>Miguel Esprit y D</t>
  </si>
  <si>
    <t>mado amigo: ahora que sondas ocho de la mañana D. Nicolás Gubo, D. Carlos Canan, D. Severinoacabo de recibir la tuya, única que ha Legado á Bisinchí, D. Miguel Esprit y D. Prudencio Gó­ mis manos', y esta si se hubiera tardado, tal vez mez, subtenientes del regimiento de Jaén: tenien­ no me encontraría aqui el portador, pues …</t>
  </si>
  <si>
    <t>y D, Miguel Manzano</t>
  </si>
  <si>
    <t>Miguel Manzano y D</t>
  </si>
  <si>
    <t>ñía á D. Enrique Arias, ayu­ dantía á D. José María Landero , y subtenencias á D. Pasqual Torcano y D. Joaquín Ovilo: en el de Canarias, tenencias á. D. Miguel Manzano y D. Aureliano Carabeo, y subtenencias á D. J an de Blanca', D. Nicolás y D. Juan Calzadiila, D. Diego Pé­ rez y D. Juan Martin Creagh ; y ei tercer batallón d…</t>
  </si>
  <si>
    <t>y D, Nicolás</t>
  </si>
  <si>
    <t>Nicolás y D</t>
  </si>
  <si>
    <t>D. Pasqual Torcano y D. Joaquín Ovilo: en el de Canarias, tenencias á. D. Miguel Manzano y D. Aureliano Carabeo, y subtenencias á D. J an de Blanca', D. Nicolás y D. Juan Calzadiila, D. Diego Pé­ rez y D. Juan Martin Creagh ; y ei tercer batallón de la legión, de voluntarios del Rivero á D. Juan Saarez y Luaces. En el regimie…</t>
  </si>
  <si>
    <t>y D, Nicolás de Isidro</t>
  </si>
  <si>
    <t>Nicolás de Isidro y D</t>
  </si>
  <si>
    <t>udad: I&gt;. Juan Martin, y los franceses salieron al encuentro con un batallón de infantería, 400 caballos y 3 cañones. Nuestra infantería :ál mando dé D. Nicolás de Isidro y D. Juan Cajal ocupó un cerro de moderada elevación, y tenia cubierto su flaneo:izquierdo por las compañías del escuadrón del; QOrhandaqt^ Martin á las jór…</t>
  </si>
  <si>
    <t>y D, Nicolás Díaz Granados</t>
  </si>
  <si>
    <t>Nicolás Díaz Granados y D</t>
  </si>
  <si>
    <t>Bouroaan , capitán de granaderos ¿el propio regimiento; confiriendo también S. M. compa­ ñías de granaderos en el mismo á los capitanes de fusileros D. Nicolás Díaz Granados y D. Luís Francisco García j de fusileros á los ayudan­ tes D. Lorenzo Escudero y D. Bernardo Vaiiarino, y al teniente de gra­ naderos D. Miguel Carballo…</t>
  </si>
  <si>
    <t>y D, Pablo</t>
  </si>
  <si>
    <t>Pablo y D</t>
  </si>
  <si>
    <t>io Martin. Antonio de Urraza'en' el propio dia, en el que institu­ . IXrManuel Manso. yó por sus tínicos y universales herederos á sus dos her­ manos D. Pablo y D. Francisco Casabona, vecinos de Subtenientes. la nominada villa de Olot. Con este motivo se practi­ caron las correspondientes diligencias de inventario, D. Saturni…</t>
  </si>
  <si>
    <t>y D, Pasqual Torcano</t>
  </si>
  <si>
    <t>Pasqual Torcano y D</t>
  </si>
  <si>
    <t>. conferir en el 2.° batallón de in­ fantería da Ciudad-Rodrigo , compañía á D. Enrique Arias, ayu­ dantía á D. José María Landero , y subtenencias á D. Pasqual Torcano y D. Joaquín Ovilo: en el de Canarias, tenencias á. D. Miguel Manzano y D. Aureliano Carabeo, y subtenencias á D. J an de Blanca', D. Nicolás y D. Juan Calzad…</t>
  </si>
  <si>
    <t>y D, Pedro Cuir</t>
  </si>
  <si>
    <t>Pedro Cuir y D</t>
  </si>
  <si>
    <t>lunta­ rios de Gerona, segunda ayudantía k D. Francisco Delgado ; te­ nencia. á D. Francisco Guarro ; y subtenencias, á D. Agustín Ma­ gín D mienten, D. Pedro Cuir y D. Fra ncisco Sniglesias. Y en el de voluntarios J.p de Borbast.ro, cornosíiía á D. Manuel Alvares; empleo de capitán 2.° á D. Antonio Silgado; segunda ayudantía…</t>
  </si>
  <si>
    <t>y D, Pedro Eguiá</t>
  </si>
  <si>
    <t>Pedro Eguiá y D</t>
  </si>
  <si>
    <t>, y de ayudantes segundos á les capitanes D. Antonio Quiróga, graduado de teniente coronel, D. Joaquín Ezcario, D. Agustín Salazar , D. Luis Cepeda , D. Pedro Eguiá y D. José Revesr, al ayudan-' te D. Nicolás Sanz, y al teniente D. Angel García de Borunda. Prospecto del Diario de Cortes que se ha de publicar laxo de la sobe­ …</t>
  </si>
  <si>
    <t>y D, Pedro Lamperez</t>
  </si>
  <si>
    <t>Pedro Lamperez y D</t>
  </si>
  <si>
    <t>uín Aiarran , teniente de Imperiales de Toledo , acreditaron también su espí­ ritu y serenidad, como igualmente los ayudantes de V. S., los capitanes D. Pedro Lamperez y D. José Arespacochaga , y el capitán del regimien­ to de Osuna D. Fernando Alvarez, que durante la acción estuvieron á mi lado, contribuyendo en un todo á la…</t>
  </si>
  <si>
    <t>y D, Pedro Montagut</t>
  </si>
  <si>
    <t>Pedro Montagut y D</t>
  </si>
  <si>
    <t>los di—. fantería de líqea capitán á D. Nicolás de Torres; qu^s y demas obras públicas. y subtenientes á D. Francisco Cisneros, D. Ci­ priano Seguin, D. Pedro Montagut y D. Parrició TITULO QUINTO. Piera; y finalmente D Josef Lamas y D. Josef art. xii. El cuerpo legislativo de Holanda Andrés de.Casasola quedan nombrados comisa…</t>
  </si>
  <si>
    <t>y D, Rafael de la Peña</t>
  </si>
  <si>
    <t>Rafael de la Peña y D</t>
  </si>
  <si>
    <t>orrontegui, y ^ei de la misma clase y ayudante mili­ tar del distrito de Huelva D. D.iego Ureta, auxiliados de los tenientes del regimiento de Murcia D. Rafael de la Peña y D. Pedro Vico coi» algunos soldados del propio cuerpo. I CADIZ: EN LA IMPRENTA REAL. t</t>
  </si>
  <si>
    <t>y D, Rafael Medina y Lafita</t>
  </si>
  <si>
    <t>Rafael Medina y Lafita y D</t>
  </si>
  <si>
    <t>n la pluma de mano del secretario de empeñaron esta comisión fueron , por la ciudad, Estado de la familia imperial, y firmarán, hacien­ sus regidores D. Rafael Medina y Lafita y D. Jodo antes una reverencia al Emperador y á la Em­ sef Luminati. Por el cabildo de la catedral y el peratriz , según el orden dispuesto por el cere…</t>
  </si>
  <si>
    <t>y D, Ramón de Moya</t>
  </si>
  <si>
    <t>Ramón de Moya y D</t>
  </si>
  <si>
    <t>. Vi­ cente Vargas, D. Carlos Blance, D. Manuel Monti y D. Ma­ nuel Arjona; y estas resultas b los cadetes D. Enrique Lo^-esr, D. Joaquín Bustamente, D. Ramón de Moya y D. T&lt;iesf. ro Sotolongo, este último del de dragones de Viitdvicioso ; en el de Calatrava la comandancia del tercer esquadren ai sargento mayor dei mismo cuer…</t>
  </si>
  <si>
    <t>y D, Ramón Lauda</t>
  </si>
  <si>
    <t>Ramón Lauda y D</t>
  </si>
  <si>
    <t>: para este arzobispado á D. Miguel á D. Julián López: en el de Infantes, io.“de linea de Santander, obispo de Huesca; y para la mitra subtenientes á D. Ramón Lauda y D. Crótooal que dexa vacante á D. Manuel María Truxilio y Izquierdo: enei regimiento, i.°de infantería ligera, Jurado, obispo y abad mayor de Alcalá la Real: su…</t>
  </si>
  <si>
    <t>y D, Ramón Vitoria</t>
  </si>
  <si>
    <t>Ramón Vitoria y D</t>
  </si>
  <si>
    <t>r desde uno hasta mil conse­ cisco Gallardo y D. Alfonso Aparicio Penüla : pa­ cutivamente, ventaja que le hace preferible á todas las ra tenientes á D. Ramón Vitoria y D. Cristóbal reducciones de monedas francesas publicadas anterior­ Fernandez de la Cuesta; y para subtenientes á mente: un tomo en 8.° Se vende en la librería…</t>
  </si>
  <si>
    <t>y D, Raymnndo Hernando</t>
  </si>
  <si>
    <t>Raymnndo Hernando y D</t>
  </si>
  <si>
    <t>partida de FERNAN­ DO Vil, acometió en Puerto-Lapice á un destacamento francés, matándole 52 hombres , y haciendo 28 prisioneros.— Las par­ tidas de D. Raymnndo Hernando y D. Luis Gutiérrez han sacado de Colmenar de Órejaf, dos legues de Aranjuez a la derecha del Tajo, 2l caballos destinados ai servicio del ene­ migo. O No se…</t>
  </si>
  <si>
    <t>y D, Rodrigo de Mesa</t>
  </si>
  <si>
    <t>Rodrigo de Mesa y D</t>
  </si>
  <si>
    <t>smo recibí ios juramentos que me Basabru , tenientes retirados de caballería ; á D. Ra­ prestaron libremente en Madrid. El acaecimiento fael de Teha, D. Rodrigo de Mesa y D. Josef Se­ - de Bailen desconcertó todas las cabezas: el miedo rien , veintiquatro de esta ciudad ; á D. Diego Gordominó á los pusilánimes. Solo los mas i…</t>
  </si>
  <si>
    <t>y D, Salvador de Morales</t>
  </si>
  <si>
    <t>Salvador de Morales y D</t>
  </si>
  <si>
    <t>manda­ otro. do otra diputación al general Sebastiani para pres­ Se ha reanido con la de Almnñecar: se compotar á S. M. obediencia y fidelidad. ne de D. Salvador de Morales y D. Josef Piñeiro, regidores. Diputación del reino de Jaén. S. M. habló largamente con todas estas dipu­ Por la ciudad de Jaén: D. Ramón de Torres, tacio…</t>
  </si>
  <si>
    <t>y D, Saturnino Albuir</t>
  </si>
  <si>
    <t>Saturnino Albuir y D</t>
  </si>
  <si>
    <t>ra. El resultado fué que José, sin pasar &amp; Sigiienza, se volvió á Ma­ drid el dia SO. En el momento, la caballería del coronel Mar­ tin , mandada por D. Saturnino Albuir y D. Jo. é Mondecleu y la partida de D. Raymundo Hernando, se dirigieroná la reta­ guardia de la escolta, y con efecto pelearon el 21 y 22 en Tor­ re] on y e…</t>
  </si>
  <si>
    <t>y D, Tomas Isturiz</t>
  </si>
  <si>
    <t>Tomas Isturiz y D</t>
  </si>
  <si>
    <t>ax'c» las órdenes de este práctico y afortunado capitán.— Para dirigir las labores del equipo se han ofrecido voluntariamente el duque del Infantado, D. Tomas Isturiz y D. Ildefonso Ruiz del Rio: y para recibir y llevar cuenta de los donativos, tanto en dinero como en prendas ó géneros , se ha ofrecido con el mismo desinterés…</t>
  </si>
  <si>
    <t>y D, Valero Aguilera</t>
  </si>
  <si>
    <t>Valero Aguilera y D</t>
  </si>
  <si>
    <t>Molina y mayor general deesta división, el capitán D. Domingo Oto, los tenientes Don Francisco Utrera y D. José María Eguaguirre, los subte­ nientes D. Valero Aguilera y D. Manuel Layner, todos del mismo'batallón; el capitán del regimiento provincial de Soria D. Manuel García, y el subteniente del propio D. Fernando del Rio, …</t>
  </si>
  <si>
    <t>y D, Víctor Labouille</t>
  </si>
  <si>
    <t>Víctor Labouille y D</t>
  </si>
  <si>
    <t>dia veamos qué es lo que podemos prometernos en or­ D. Josef Monchoiby, D. Francisco Landry, Don den á la perfección de la literatura. Luis Aubineau, D. Víctor Labouille y D, Pedro La España, según la sabía organización de su Mathio. gobierno, y sus relaciones de amistad con el vasto art. tr. Nuestro gran canciller y gran tes…</t>
  </si>
  <si>
    <t>y Dandumont, Josef Bouchet</t>
  </si>
  <si>
    <t>Josef Bouchet y Dandumont</t>
  </si>
  <si>
    <t>.... 48403.-21 qual han sido convidados les principales pcrsonages D. Josef Lacroust........... ,.................. 7&gt;33i de la corte y de la ciudad. D. Josef Bouchet y Dandumont..... 1353..25I D. Antonio Saín2 de Rozas................... 2346..17 ESPAÑA. . D. Matías de Mor.......;......................... 992 D. Josef Bonar.…</t>
  </si>
  <si>
    <t>y Delgado, Juan Acisclo de Vera</t>
  </si>
  <si>
    <t>Juan Acisclo de Vera y Delgado</t>
  </si>
  <si>
    <t>vados de sus cargos, empleos y funciones al carde­ nal de Borbon , arzobispo de Toledo y Sevilla; k O. Fabián de Miranda y Sierra, deán de Sevilla: á D. Juan Acisclo de Vera y Delgado , arzobispo de l.aodicea, coadministrador del arzobispa­ do y arcediano titular de Sevilla; á D. Francisco Viceute Venegas, arcediano de Niebla…</t>
  </si>
  <si>
    <t>y Después, Ramón de Pineda</t>
  </si>
  <si>
    <t>Ramón de Pineda y Después</t>
  </si>
  <si>
    <t>inistro del culto reformado, al burgo-maes­ creto de .7 de mayo nombrar para uua ración en la tre , y al cuerpo municipal. santa iglesia de Córdoba á D. Ramón de Pineda y Después de la audiencia el Emperador montó á Arellaoo, medio-racionero de la misma: para la caballo, y reconoció mui despacio los establecimien­ inedia-raci…</t>
  </si>
  <si>
    <t>y Díaz, Cayetano Serrano</t>
  </si>
  <si>
    <t>Cayetano Serrano y Díaz</t>
  </si>
  <si>
    <t>.volúmenes. Sus opiniones influyeron tn la el coronel D. Manuel Osorio Calvache; los capí-* formación ide nuestros códigos ; y sus errores nos taues D. Cayetano Serrano y Díaz, D. Josef Fer-*J fueron-'xransmitidos con las leyes 28 y, lít. B.°» nandez Cortacero, D. Vicente Villarealy D&lt; Juan part.,1).leyes que debea olvidarse …</t>
  </si>
  <si>
    <t>y Doa, Francisco Corral</t>
  </si>
  <si>
    <t>Francisco Corral y Doa</t>
  </si>
  <si>
    <t>ral Souvaroft qae ha entrado Corral, y todos los otros mencionados , como igual­ ayer aqui con 200 pasageros de los baques Hau- mente los estudiantes D. Francisco Corral y Doa poult, Niso y Sirena, y de la isla de Santo Do­ Viceate de ' la Iglesia , que fueron también de los mingo. jóvenes que salieron en perseguimiento de to…</t>
  </si>
  <si>
    <t>y Don, Diego María Novoa</t>
  </si>
  <si>
    <t>Diego María Novoa y Don</t>
  </si>
  <si>
    <t>ia real á D. Juan Quinrano; de i8to. capitanes de la tercera y quarta compañías del ex­ Don Josef Napoleón por la gracia de Dios y presado bata Ion á D. Diego María Novoa y Don por la constitución del estado, REI de las Espa­ Baltasar de Vlllalba; teniente á D. Fernando Gui­ rtas y de las Indias. llen; subtenientes á D. Nicol…</t>
  </si>
  <si>
    <t>y Don, Fernando Match</t>
  </si>
  <si>
    <t>Fernando Match y Don</t>
  </si>
  <si>
    <t>á con el Sena por el de Bor- de Aragón á los alcaldes‘del crimen de ella D. Ma­ goña, á cuyas obras, abandonadas por el antiguo nuel García Quintana, D. Fernando Match y Don gobierno, se les ha dado un grande impulso. Ya Joaquín del Riégo; y para las tres plazas de alcal­ está abierta la navegación desde Dole á Dijon: las des…</t>
  </si>
  <si>
    <t>y Don, Joaquín Sánchez del Aguila</t>
  </si>
  <si>
    <t>Joaquín Sánchez del Aguila y Don</t>
  </si>
  <si>
    <t>mediante el esmero cod que se culti­ lo fue del regimiento de nobles Asturianos, y te­ va en todo ¿i el algodón , y la fácil y pronta sali­ nientes á D. Joaquín Sánchez del Aguila y Don da qae tiene. Odessa y Trieste deben sacar muchas Vicente Membrillera : en el regimiento de Córdo­ utilidades de este nuevo orden de cosas. b…</t>
  </si>
  <si>
    <t>y Dotnenech, Joaquín García</t>
  </si>
  <si>
    <t>Joaquín García y Dotnenech</t>
  </si>
  <si>
    <t>a, y principalmente niencia del decreto de S. M.; entre los quites merecen de Toledo, en los quales se arregló con claridad y dis­ particular mención D. Joaquín García y Dotnenech, tinción todo lo relativo á las dispensas matrimoniales, que escribió una erudita y fundada disertación sobre Jos nombramiento, confirmación y cons…</t>
  </si>
  <si>
    <t>y Dr, Joan Teruel</t>
  </si>
  <si>
    <t>Joan Teruel y Dr</t>
  </si>
  <si>
    <t>y cada tniaistcrio ‘recibirá las ordenet tfqas mixtas, física, química y botánica'D. Pedro partícoJares para este objeto. x Velutl, guardia de honor, D. Joan Teruel y Dr.Jo en Petersburgo ei 25 de julio de 1810.S Quevedo, D. Josef M¿rij Ibañ;z. De arquitectu­ Firmado = Ax-exandro. =£i conde de Román t- ra militar D. Andrés de…</t>
  </si>
  <si>
    <t>y Enderica, Juan Arteaga</t>
  </si>
  <si>
    <t>Juan Arteaga y Enderica</t>
  </si>
  <si>
    <t>do mandar que se le entregoen 20® fran­ tería de Toledo, 2.® de línea : á D. Juan Josef Ló­ cos para que los reparta entre los pobres. El Em­ pez y 4 D. Juan Arteaga y Enderica subtenientes perador, queriendo dexar al corregidor una prenda de infantería de línea: á D. TelesforoMariano sub­ particular y permanente de so estima…</t>
  </si>
  <si>
    <t>y Es, Julián Alonso</t>
  </si>
  <si>
    <t>Julián Alonso y Es</t>
  </si>
  <si>
    <t>12 del pre­ de 1S10. sente mea, comparezcan ante su señoría, y por el ofi­ Don Josef Napoleón por la gracia de Dios y cio del escribano,de provincia D. Julián Alonso y Es­ por la constitución del estado, REI de las Espa- trada , ¿ legitimar sus créditos por medio de procurador Sas y de las Indias. con poder bastante. se halla…</t>
  </si>
  <si>
    <t>y Estrada, Pedro Cantoral</t>
  </si>
  <si>
    <t>Pedro Cantoral y Estrada</t>
  </si>
  <si>
    <t>tana de las Torres, maes- posturas han alucinado á un pueblo tan digno de trante de Granada , regidor. ser feliz. Ai verá un REI, en cayo semblante r D. Pedro Cantoral y Estrada , regidor. se ve pintada la bondad, y de coya boca no salen * D. Miguel Cabillas , regidor. sino palabras de paz , de olvido de lo pasado, y de D. Fr…</t>
  </si>
  <si>
    <t>y Ferrando, Josef Rech</t>
  </si>
  <si>
    <t>Josef Rech y Ferrando</t>
  </si>
  <si>
    <t>sef Rivero, D. Antonio Aguirre, bos y 40 soldados. D. Juan de Dios Morquecho , D. Josef de la Bar­ art. iu. La plana mayor de este esquadron se rera, D. Josef Rech y Ferrando, D. Manuel Ra- compondrá de un comandante, un ayudante, un quejo, D. Josef María Venene, D. Miguel Osor- porta y dos trompetas. no, D. Joaquín María de …</t>
  </si>
  <si>
    <t>y Figueroa, Gaspar Diego de Torres</t>
  </si>
  <si>
    <t>Gaspar Diego de Torres y Figueroa</t>
  </si>
  <si>
    <t>Femando Negra, D. Joaquín Antonio Navarro y D. Antonio Ximenez; y á subtenientes, a D. Manuel Moreno y Vá­ rela, D. Gabriel Antonio Fernandez Alexo , D. Gaspar Diego de Torres y Figueroa, D. Manuel Bordon y D. Francisco Sainz Inestosa. Igualmente ha conferido el empleo de teniente coronel del regimiento provincial de Lugo k D…</t>
  </si>
  <si>
    <t>y Formosa, Juan Robira</t>
  </si>
  <si>
    <t>Juan Robira y Formosa</t>
  </si>
  <si>
    <t>nso Ruiz del Rio: y para recibir y llevar cuenta de los donativos, tanto en dinero como en prendas ó géneros , se ha ofrecido con el mismo desinterés D. Juan Robira y Formosa, que v’.ve enfrente del teatro núm. QQ, en cuya casa se recibirán los donativos , librando recibo al portador, y forman­ do lista de los contribuyentes.…</t>
  </si>
  <si>
    <t>y Francisquete, Juan Palarea</t>
  </si>
  <si>
    <t>Juan Palarea y Francisquete</t>
  </si>
  <si>
    <t>hombre muerto y 2 heridos. Este es el resultado de la acción, y lo comunico á V. S. para su inteligencia.— Dios &amp;c. — Sé también que las partidas de D. Juan Palarea y Francisquete han tenido nuevos encuentros con los enemi­ gos; mas no he recibido los detalles.” CADIZ 7 DE DICIEMBRE. CORTES. Con fecha de 15 de noviembre últim…</t>
  </si>
  <si>
    <t>y Fuentes, Francisco de Paula Valdivia</t>
  </si>
  <si>
    <t>Francisco de Paula Valdivia y Fuentes</t>
  </si>
  <si>
    <t>,'é hizo fuego sobreseí barco» que se alejó: este incidente dio lugar á que las torres se Capitanes. encendiesen, anunciando alguna-novedad , y á que D. Francisco de Paula Valdivia y Fuentes. algunos arrieros dixesen á la guardia cívica que se D. Rafael Ruiz de Peralta. habia empeñado una acción; pero lejos de mostrar­ D. Jua…</t>
  </si>
  <si>
    <t>y García, Antonio Sainz de Rozas</t>
  </si>
  <si>
    <t>Antonio Sainz de Rozas y García</t>
  </si>
  <si>
    <t>o Martínez de No­ D Juan Teran.......................................... 13079 M vales....................................................... 6678 17 D. Antonio Sainz de Rozas y García. 1963 17 D. Juan Bautista de Sarathaga......... 8032 8f D. Blas Martínez.................................... 6644 19 D. Dionisio López........…</t>
  </si>
  <si>
    <t>y García, Bartolomé García</t>
  </si>
  <si>
    <t>Bartolomé García y García</t>
  </si>
  <si>
    <t>aga , 100. D. Gregorio García Corral, 100. O. .Juan Irigoyén, 100. D. Juan Manuel Revuelta, 200. D. Pedro de la Puente;‘20Q. B. Isidro Zulueta , 200. D. Bartolomé García y García, 100. Don Diego Barren , *200. D. Pedro José Caraso , 200. D. Julián Judice , 200. D. Jo­ sé Ramón Recaño.., 100. Guivcrt y Tulsó , 100. D. Valentín…</t>
  </si>
  <si>
    <t>y García, Diego Xerez</t>
  </si>
  <si>
    <t>Diego Xerez y García</t>
  </si>
  <si>
    <t>uia , vacantepor ra , vacante por ascenso de D. Pedro -B&amp;rnabé y. fallecimiento'deGasparFeatnandez;, á Di Félix Romero ;á otro entera dé la propia-,á D. Diego Xerez y García, presbítero, teuiente de. cura de Enxnto i presbítero V enr-végular. ^- u &gt; -y • r . .la misma • * parroquia. - v:: ttyU'.W. .1. Patúi-elde la parroquial…</t>
  </si>
  <si>
    <t>y Garro, Josef Mena</t>
  </si>
  <si>
    <t>Josef Mena y Garro</t>
  </si>
  <si>
    <t>mismo tiempo la base y el resultado de su método. AVISO. i.1* Meter en botellas, en vasijas ó en redomas En virtud de facultad real concedida ul Sr. D. Josef Mena y Garro, duque de Tamames, para la venta las materias que se quieren conservar. de varias fincas, cuyo producto debe aplicarse al pago 2. a Taparlas con el cuidado …</t>
  </si>
  <si>
    <t>y Garro, Nicolás Leso</t>
  </si>
  <si>
    <t>Nicolás Leso y Garro</t>
  </si>
  <si>
    <t>assoni , canónigos de la santa iglesia de Sevilla ; k D.. Vicente F«rrer García, D. Vicente Lobo y Arjona , D. Andrés Amaya, D.. Miguel de MaÁauaga y D. Nicolás Leso y Garro, ra­ cioneros d* ia sn&gt;ama ; á D. Miguel LuL González, D. Joaquín de Reyna y D. Francisco de Saits Rodríguez, medios racionero* de ella ; k D. Manuel Mar…</t>
  </si>
  <si>
    <t>y Garro, Nicolás Lesso</t>
  </si>
  <si>
    <t>Nicolás Lesso y Garro</t>
  </si>
  <si>
    <t>Vicente Lobo y Ar- los mismos términos que este lo dispone con res­ Jona, D. Andrés A maya, D. Miguel de Madaria- pecto al intendente de Madrid. ga y D. Nicolás Lesso y Garro, racioneros de la art. ni. Nuestro ministro de Hacienda que­ misma; á D. Miguel Luis González , D. Joaquín da encargado de la execucion del presente dec…</t>
  </si>
  <si>
    <t>y Gaviria, Justino Matute</t>
  </si>
  <si>
    <t>Justino Matute y Gaviria</t>
  </si>
  <si>
    <t>Pablo Tenorio, de Arácena. de desembarazar y altanar el terreno que h.ú al re­ En la prefectura de Xeres. dador de este antiguo y precioso monumento. D. Justino Matute y Gaviria, subprefecto da Morlaix j 2 de abril. Xerez. Ayer desembarcaron eu esta ciudad dos comi­ D. Miguel Calvo de Rozas, de Cádiz. sarlos ingleses , que vi…</t>
  </si>
  <si>
    <t>y Gibaja, Manuel de Villa</t>
  </si>
  <si>
    <t>Manuel de Villa y Gibaja</t>
  </si>
  <si>
    <t>noya, 100. D. José Lagarda, 100. D. Antonio Celestino Navar­ ro , 100. D. José Marsan , 100. D. Joséjlgnació Pabon , 100. D. Nicolás Campe­ ro , 100. D. Manuel de Villa y Gibaja, 200. D» Felipe Vivanco, 50. D. Francis­ co García Puertas., 100. El Escribano D. Manuel Vidal , 100. D. Rafael de Ibarra , 100. D. Francisco Ascorve…</t>
  </si>
  <si>
    <t>y Gil, Francisco Tabeada</t>
  </si>
  <si>
    <t>Francisco Tabeada y Gil</t>
  </si>
  <si>
    <t>RTES 11 DE SETIEMBRE DE 1810. ESPAÑA. Villafranea del Bierzo lá de agosto. Capitulación hecha por los generales de los exéreilos porfíegucs y español D. Francisco Tabeada y Gil, comandante de las tropas de S. M. C., y D. Francisco de Silveyra Pinto de las de Portugal, con el comandante del batallón suizo al servicio del emper…</t>
  </si>
  <si>
    <t>y Goazalez, Francisco Peirou</t>
  </si>
  <si>
    <t>Francisco Peirou y Goazalez</t>
  </si>
  <si>
    <t>................ D.‘ Bernardo Espioalt y Co­ llado. D. Eugínio Roldan, D. Francisco Verdejo Paez.... D. Gabriel Leoneli. D. Josef González Oyuela.... D. Francisco Peirou y Goazalez. D. Mariano García de la Cruz. D. Autonio María Rodríguez. D. Antonio Uribarri D. Tomas Arenillas..;... D.' Josef Manuel López baña­ bas. D. Ramón…</t>
  </si>
  <si>
    <t>y Goitia, Josef Caballo</t>
  </si>
  <si>
    <t>Josef Caballo y Goitia</t>
  </si>
  <si>
    <t>A. v Snbtenienre , D. Francisco Farsante. Madrid a a de mayo. Batallón del quartel del Barquillo, S. M. ha expedido los decretos siguientes: Capitán, D. Josef Caballo y Goitia. Extracto de las minutas de la secretaría de Teniente, D. Gerónimo López Fando. Estado. Subteniente, D. Rafael de las Doblas. En nuestro palacio de Mad…</t>
  </si>
  <si>
    <t>y González, Pedro Meruendano</t>
  </si>
  <si>
    <t>Pedro Meruendano y González</t>
  </si>
  <si>
    <t>os y Doña Jesusa y D. Joaquín Calvo, D. Bonifacio Amoraga quedan igualmente noiáhermanos...................... 24000 brados jueces de la misma junta. D. Pedro Meruendano y González.... 44000 art. 11. Nuestro ministro de la Justicia cui­ Doña Francisca de Velasco, viuda, dará de la execucion del presente decreto. = Fir­ ■ y D.…</t>
  </si>
  <si>
    <t>y Gorbea, Lorenzo de Palacio</t>
  </si>
  <si>
    <t>Lorenzo de Palacio y Gorbea</t>
  </si>
  <si>
    <t>A ntonio de Benito y Picalomini.. 812 81 Doña Vicenta de Musita...................... 27616 14 D. Germán Laurencin........................... 4873 J7 D. Lorenzo de Palacio y Gorbea....... 3842I 31 D. Manuel Zavala................................. 13 5 3 2í Doña Tomasa Guerra............................ 20010 32 D. Andrés Saez…</t>
  </si>
  <si>
    <t>Doña Ignacia Ferriol........................... . 1084 14 Doña María Manuela Ortiz de Azurin. 5168 26 D. Estéban de la Torre............... . • 4837" D. Lorenzo de Palacio y Gorbea ....J i20000 El cabildo de curas y beneficiados 1 . , J 1 c. L ./ : \. D..Jacinto de Urria Nazaronduéhijos. : ■ 8coo de Madrid....................…</t>
  </si>
  <si>
    <t>y Gorbea, Lorenzo Palacio</t>
  </si>
  <si>
    <t>Lorenzo Palacio y Gorbea</t>
  </si>
  <si>
    <t>os.......... 6148 26 D. Manuel Sánchez Toscano:............ 7200 Los señores: Albert é hijos. -»47:*7 Doña Josefa. Lorenza Conger...-........ 2189 22 D. Lorenzo Palacio y Gorbea,.......... 309699 Di Juan Manuel Dominguez-yTorres. nci 17 D. £st¿baii.de ia Torre........................ 16714 Lüs señoreéDutari hermanos.;.'.ÍL...…</t>
  </si>
  <si>
    <t>y Guerra, Antonio Abadin</t>
  </si>
  <si>
    <t>Antonio Abadin y Guerra</t>
  </si>
  <si>
    <t>ero, por la de Cádiz : D. Manuel Ros, por la de San­ tiago : D. Francisco Papiol, por Cataluña: D. Pedro María Ric, por ía junta superior de Aragón : D. Antonio Abadin y Guerra, por la pro­ vincia de Mondoñedo: D. Antonio Payan, por la de la Coruña: Don Juan Bernardo Quiroga, por la de , Orense: D. Josef Ramón Becerra y Llama…</t>
  </si>
  <si>
    <t>y Hagalde, Catalina Germán</t>
  </si>
  <si>
    <t>Catalina Germán y Hagalde</t>
  </si>
  <si>
    <t>de Escolar , No riega é hijo. Granada. .... D. Francisco- Unzaga, ó el que le represente. Jaén.. ... . . D. Ramón María Montoro. Mahon........... .. Doña Catalina Germán y Hagalde. Málaga............. D. Juan Ximeno. Murcia. ..... -Señores Moreda y Ladalid. Oviedo. . ... . Señores D. Manuel Rubiano y Nieto. Palma.............…</t>
  </si>
  <si>
    <t>y Hernández, Manuel de Roxas</t>
  </si>
  <si>
    <t>Manuel de Roxas y Hernández</t>
  </si>
  <si>
    <t>a de nuestro decreto de amnistía general; ra otra canongía de la mismj catedral de Cór­ yisto el Informe de nuestro ministro de la Justicia, doba : á D. Manuel de Roxas y Hernández, ca­ y oido nuestro consejo de Estado, nónigo mas antiguo de la cblegiata de Santa Fe, Hemos decretado y decretamos lo siguiente: en el reino de G…</t>
  </si>
  <si>
    <t>amigo Palacio, y mande vmd. qu anto quiera á. su muy afecto amigo y seguro servidor Q. S. M. B. — Miguel José de Azanza , duque de Santa Fe. — Señor D. Manuel de Roxas y Hernández.,, „ Madrid y abril 17 de 1810. — Mi estimado amigo y compa­ ñero : he recibida su muy apreciable de vmd. de Córdoba de S del corriente; y estoy ya…</t>
  </si>
  <si>
    <t>y Huet, Eduar do Bret</t>
  </si>
  <si>
    <t>Eduar do Bret y Huet</t>
  </si>
  <si>
    <t>eos -Iglesias , el teniente de granaderos de América D. Eduar­ do Bret y Huet, el trompeta de húsares españoles, v las or­ denanzas del mismo cuerpo Antonio García y Alexi Carrete­ ro se han distinguido á mis ojos, y los considero acreedores á los favores de V. E.—Di</t>
  </si>
  <si>
    <t>y Huid, María de Pinedo</t>
  </si>
  <si>
    <t>María de Pinedo y Huid</t>
  </si>
  <si>
    <t>.............. 5 5^79 *3 sobre el arte de hablar unas quautas observacio­ Ei hospital de la corona de Aragón.... 49833 l4 nes que nos parecen útiles. Doña María de Pinedo y Huid........... 3032 17 Los gramáticos han dividido en ocho clases to­ Doña María del Carinen JLrran........ 3 131 18 dos los elementos del discurso human…</t>
  </si>
  <si>
    <t>y I, Antonio Ximenez</t>
  </si>
  <si>
    <t>Antonio Ximenez y I</t>
  </si>
  <si>
    <t>y oficialidad, como también de los comandantes de patriotas que estuvieron baxo sus órdenes, principalmente D. José Faxardo , D. "Lo­ renzo Acevedo, D. Antonio Ximenez y I). Gregorio Valiente. Todo lo que pongo en noticia de V. E. para que se sirva elevarlo á la de S. M., y. merezcan estos esforzados milita­ res y patriotas e…</t>
  </si>
  <si>
    <t>y I, Gefúninio Saormi</t>
  </si>
  <si>
    <t>Gefúninio Saormi y I</t>
  </si>
  <si>
    <t>e ó Borbofo$\Aghilar y Echevarría , que corrían el país entre VaiíadátlitLy 'téaítiora, y componían entre las 4 mas de 1000 caballos! . - *' • Las de D. Gefúninio Saormi y I). Tomas Príncipe reuni­ das, atacaron el I.° dteoctubre en Peñajiel á 9 leguas de Valiado lid, á 300 dragones y 200 infantes franceses, y los der­</t>
  </si>
  <si>
    <t>y I, Ouerhuber</t>
  </si>
  <si>
    <t>Ouerhuber y I</t>
  </si>
  <si>
    <t>ha prv^pptjt.d’o á U Hiero geógrafo Fílipiai de parte del reino de Italia;, diera suy cuentas, y la tacón d=1i ^«poosábi idad y. por lá de Bivicra el capitán Ouerhuber y I9*. de su administración, corno corni&gt;«rio ordenador que subtenientes Gr¡mmei&lt;eo y Hoerman. El capitán es del exérciio confederado, á con.I- 10x5100 de tu r…</t>
  </si>
  <si>
    <t>y Izquierdo, Manuel María Truxilio</t>
  </si>
  <si>
    <t>Manuel María Truxilio y Izquierdo</t>
  </si>
  <si>
    <t>López: en el de Infantes, io.“de linea de Santander, obispo de Huesca; y para la mitra subtenientes á D. Ramón Lauda y D. Crótooal que dexa vacante á D. Manuel María Truxilio y Izquierdo: enei regimiento, i.°de infantería ligera, Jurado, obispo y abad mayor de Alcalá la Real: subteniente á D. Francisco Mir. lugar de presentar…</t>
  </si>
  <si>
    <t>y J, Antonio Aguilera</t>
  </si>
  <si>
    <t>Antonio Aguilera y J</t>
  </si>
  <si>
    <t>ia de granaderos á D. Juan de Beamurguia; id. de cazadores á D. Luis Centurio i; id de fusileros á D. Jayme Ruiz y Abreu, D. Ig­ nacio Medina y Huet, D. Antonio Aguilera y J). Mariano López ; em­ pleos de alféreces de cazadores á D. Manuel Momi y D. Ramón Parada, todos individuos del expresado real cuerpo ; y empleos de alfér…</t>
  </si>
  <si>
    <t>y J, Luis Guarnerio</t>
  </si>
  <si>
    <t>Luis Guarnerio y J</t>
  </si>
  <si>
    <t>spector de sanidad de nuestra real desde él de 1815 guardia; D, Josef Mariano Moz¡óo,.vicé presiden­ te de la academia médica; D. Eugenio de la Peña, D. Luis Guarnerio y J&gt;. Sebastian Enche. IMPERIO FRANCES. art. m. Nombramos secretario de esta junta París a de noviembre. ,á D. Juan de Andújar. art. iv. Nuestro ministro de lo…</t>
  </si>
  <si>
    <t>y Jai, Alfonso Agnado</t>
  </si>
  <si>
    <t>Alfonso Agnado y Jai</t>
  </si>
  <si>
    <t>declarado vacante nuestra silla episcopal, destituyéndonos de ella por su propia autoridad, y provisto el obispado que tenemos del Espíritu Santo, en D. Alfonso Agnado y Jai aba ; y que dicho D. Alfonso, olvidado de todas las obligaciones de obispo, y aun de cristiano, ha admitido este nombramiento sacrilego, constituyéndose …</t>
  </si>
  <si>
    <t>y JD, Agustín Tourdonuet</t>
  </si>
  <si>
    <t>Agustín Tourdonuet y JD</t>
  </si>
  <si>
    <t>an encargados de la execucion del presen­ Choiseul, y por comandantes del primero y segun­ te decreto. =Firmados: YO EL REI.= Por S. M,¡ do esquadron D. Agustín Tourdonuet y JD. Juan su ministro secretario de Estado Mariano Luis d« Vaiguaraera. Urquijo.’' art. ni. Nombramos para capitán de este re­ Córdoba 34 de marzo. gimien…</t>
  </si>
  <si>
    <t>y Jo, Napoleón</t>
  </si>
  <si>
    <t>Napoleón y Jo</t>
  </si>
  <si>
    <t>ue ademas es reo convencido de concusio­ nes (1). —El Monitor de 17 de diciembre contiene el decreto del se­ nado, disolviendo el matrimonio entre el emperador Napoleón y Jo­ sefina, á la qual se señalan 8 millones de reales de renta anual, y el grado y título de emperatriz reyna coronada. Esta pieza, y las demasque acompañar…</t>
  </si>
  <si>
    <t>y Jurado, Josef Antonio Manzano</t>
  </si>
  <si>
    <t>Josef Antonio Manzano y Jurado</t>
  </si>
  <si>
    <t>tro de lo Interior, para que se tomasen las Antonio García Arellano, D. Pedro Torralba y providencias mas prontas y eficaces sobre este par­ Porcuna, D. Josef Antonio Manzano y Jurado, da , y en una sociedad de gentes que han apurado los frialdad; pues ya tienevmd. todos los dias á ciertas gen­ lugares comunes, referir sus su…</t>
  </si>
  <si>
    <t>y Jurado, Josef de Castro</t>
  </si>
  <si>
    <t>Josef de Castro y Jurado</t>
  </si>
  <si>
    <t>sserre, por el comercio; D. Juan de cil mayor; D= Rafael Zamorano y Jurado, dipu­ Aguilar, por la agricultura; D. Antonio Melgare­ tado del común , y D. Josef de Castro y Jurado, jo , por la nobleza; D. Antonio Aznar, adminis­ diputado por el pueb o. trador de rentas. Diputados por la Rambla D. Francisco García La diputación …</t>
  </si>
  <si>
    <t>y Juyol, Francisco Torres</t>
  </si>
  <si>
    <t>Francisco Torres y Juyol</t>
  </si>
  <si>
    <t>Couto , 100. D. Mariano Pasquel, 100. D. Manuel Elguero , 100. D. Juan Antonio Leunes , 100. D. Francisco Magarola , 50. D. Francisco Guer­ ra , 50. D. Francisco Torres y Juyol, 25. D. Bartolcmé Muriel, 25. D. José de las Plazas , 100. D. Manuel Calvo, 50. D. Francisco Puy, 50. D. Domingo Lagoa, 100. Señores Matorell , Pía y …</t>
  </si>
  <si>
    <t>y Larrszabal, Manuel Sobremonte</t>
  </si>
  <si>
    <t>Manuel Sobremonte y Larrszabal</t>
  </si>
  <si>
    <t>425</t>
  </si>
  <si>
    <t>castillo de Puntales sostiene contra los enemigos, ha sido causa de que la tarde del 14 del corriente perdiese el cuerpo de artillería ai subteniente D. Manuel Sobremonte y Larrszabal que mandaba una de sus baterías. Este joven americano , menor de 17 años, que se había ensayado eh otras acciones , fue muerto por un casco de …</t>
  </si>
  <si>
    <t>y Latterman, Ktenau</t>
  </si>
  <si>
    <t>Ktenau y Latterman</t>
  </si>
  <si>
    <t>ue el archiduque Fernando no tar­ ; V ; BAVIERA. dará tampoco en venir de Brun á pasar aqui algu­ nas semanas. íandthut i.° de febrero. Los generales conde Ktenau y Latterman han El cuerpo de exército del príncipe de Eckmühl, sido nombrados miembros del consejo áulico saprd¿ que hace ’ algunas semanas estaba acantonado en la …</t>
  </si>
  <si>
    <t>y Lauchareij, Pedro Carrera</t>
  </si>
  <si>
    <t>Pedro Carrera y Lauchareij</t>
  </si>
  <si>
    <t>. Antonio Carrion, de metgeñawos * ; ' ■ -Gta: calzado.................... . . ■44060'”-' ’ ’ descalzos......... ...................4.. ~ *44®®® ■, * D. Pedro Carrera y Lauchareij: id.,;-.1 44-^60 D. Alexandro Martínez'García , ’de *j : i .— D. Francisco Sánchez.......... . ..;;;.í£..v ’' 44660 [ agustinos recoleros.u...¿iJw.…</t>
  </si>
  <si>
    <t>y Lemas, Felipe Prado</t>
  </si>
  <si>
    <t>Felipe Prado y Lemas</t>
  </si>
  <si>
    <t>.......................... 73220 D. Josef Mallada.................................... 1444 D. Juan Teran......... ............................... 200 D. Felipe Prado y Lemas............ . 3249 D. Josef Antonio de Muxica............... 23OI3 23 D. A ntonio de Benito y Picalomini.. 812 81 Doña Vicenta de Musita.................…</t>
  </si>
  <si>
    <t>y León, Matías de Rueda</t>
  </si>
  <si>
    <t>Matías de Rueda y León</t>
  </si>
  <si>
    <t>atólica en su decreto de 6 de febrero auto- Gramática francesa para Oso de la nación espa­ tizó á formar «n los quatro reinos de Andalucía ñola , por D. Matías de Rueda y León, presbíte­ presentan medios suficientes de mantener el públi­ ro, natural de León. Esta gramática encierra las co sosiego; quatro calidades necesarias …</t>
  </si>
  <si>
    <t>y León, Matias de Rueda</t>
  </si>
  <si>
    <t>Matias de Rueda y León</t>
  </si>
  <si>
    <t>iente : Gra­ Zalamea, y la opereta nueva en un acto titulada la Ma­ mática completa y razonada de la lengua caste­ licia en la inocencia. llana , por D. Matias de Rueda y León, presbí­ En el de la Cruz, á las quatro y media de la tarde, tero, natural de la ciudad de León. La importan­ se executará la función siguiente: se pri…</t>
  </si>
  <si>
    <t>y Leonor, Fernando</t>
  </si>
  <si>
    <t>Fernando y Leonor</t>
  </si>
  <si>
    <t>se la pinta perdiendo el equilibrio. Solo para gusto es buena. Ya se quieren pues, y va'Se lo han declarado mu* A las tjue piden las do i . tuamente D. Fernando y Leonor...... Esto supuesto , ya Diamantea, rubíes, perlas; . te sabe que la restante accion.de la comedia se ha dé Pero es'quando en un romancé. Teducit á requiebro…</t>
  </si>
  <si>
    <t>y Liña, Gaspar de Siles</t>
  </si>
  <si>
    <t>Gaspar de Siles y Liña</t>
  </si>
  <si>
    <t>n­ vica; pusieron centinela á la casa de este y del te por muerte de D. Juan Manuel de Viilacian; y agente de Policía, y amenazaron con un balazo á i D. Gaspar de Siles y Liña®, presbítero, y cx- los vecinos que quisieron observar por dentro de guardian del convento de S. Francisco del Aihama, los balcones los excesos que com…</t>
  </si>
  <si>
    <t>y Llamas, Josef Ramón Becerra</t>
  </si>
  <si>
    <t>Josef Ramón Becerra y Llamas</t>
  </si>
  <si>
    <t>: D. Antonio Abadin y Guerra, por la pro­ vincia de Mondoñedo: D. Antonio Payan, por la de la Coruña: Don Juan Bernardo Quiroga, por la de , Orense: D. Josef Ramón Becerra y Llamas, por la de Lugo: D. Pedro Ribera y Pardo, por la de Betanzos : D. Luis Rodríguez del Monte por idem: Don Antonio Vázquez de Parga, por la de Lugo:…</t>
  </si>
  <si>
    <t>y Lomas, Mateo de Mora</t>
  </si>
  <si>
    <t>Mateo de Mora y Lomas</t>
  </si>
  <si>
    <t>marques de la Regalía. sea, hasta cerciorarse si está ó no armado, y en el D. Manuel Vatenzucla. entre tanto se envían piquetes de guardias turcas á D. Mateo de Mora y Lomas. su bordo. Una embarcación inglesa de comercio, D. Nicolás de la Iglesia Le roía. que llevaba quatro cañones con el objeto solamen­ D. Josef Manzanilla. …</t>
  </si>
  <si>
    <t>y Lomas, Pedro de Mora</t>
  </si>
  <si>
    <t>Pedro de Mora y Lomas</t>
  </si>
  <si>
    <t>308</t>
  </si>
  <si>
    <t>onso Aparicio Pinilla , administrador de rentas rea­ les de Madrid, pide la gracia de la cruz de honor de la real ór* den de España , y lo recomienda D. Pedro de Mora y Lomas. Blas de S. Juan representa á José , que habiéndole ciado la co­ misión para examinar y recoger los papeles útiles de los archi­ vos de ios conventos de…</t>
  </si>
  <si>
    <t>y López, José Alonso</t>
  </si>
  <si>
    <t>José Alonso y López</t>
  </si>
  <si>
    <t>la de Puerto Rico: D. Ramón Saris , por la ciudad de Barce­ lona : D. Juan Valle, por Cataluña: D. Plácido de Moritolni, por la ciudad de Tarragona : D. José Alonso y López , por la junta superior de Galicia: D. José María Suarez deRioboo, por la provincia de San­ tiago : D. José Cerero, por la de Cádiz : D. Manuel Ros, por l…</t>
  </si>
  <si>
    <t>y Lora, Joaquín Laines</t>
  </si>
  <si>
    <t>Joaquín Laines y Lora</t>
  </si>
  <si>
    <t>o Borrego López, Asimismo se presentaron á S. M. lo* señores D. •Francisco de Paula Coca Cejalbo, D. Josef curas párrocos siguientes : López Saiazar, D. Joaquín Laines y Lora , D. Fran­ D. Juan Rafael Panlagua, de S. Miguel ; Don cisco Melchor de Prbgo, D. Juan Miguel Eche­ Francisco Morales, del Sagrario de la catedral; verr…</t>
  </si>
  <si>
    <t>y Losada, Benito Vizcaya</t>
  </si>
  <si>
    <t>Benito Vizcaya y Losada</t>
  </si>
  <si>
    <t>de su ca a á visitar el magnífico puente que tene­ á sus rohos y tropelías. El procarador de Piádena mos aquí, y el paseo que está a £u inmediación; D. Benito Vizcaya y Losada , cirujano de dicho y entrando á visitar ia plaza de toros , se vio en pueblo, juntó inmediatamente algunos vecinos, aquel circo, que desgraciadamente …</t>
  </si>
  <si>
    <t>y Ltb, Domingo Baila</t>
  </si>
  <si>
    <t>Domingo Baila y Ltb</t>
  </si>
  <si>
    <t>a. lidad al Soberano que le son co nu «es co 1 los de­ P.&lt;r decreto de ; del corriente ha nombrado á mas pueblos, la de que muchos jóve res acaudala* D. Domingo Baila y Ltb.ich por intendente de la dos h yan pedido la graci.i de servir con armas y provincia de Córdoba. caba los á rus expensas, solicitando por roda re­ S. M. p…</t>
  </si>
  <si>
    <t>y Luaces, Juan Saarez</t>
  </si>
  <si>
    <t>Juan Saarez y Luaces</t>
  </si>
  <si>
    <t>e Blanca', D. Nicolás y D. Juan Calzadiila, D. Diego Pé­ rez y D. Juan Martin Creagh ; y ei tercer batallón de la legión, de voluntarios del Rivero á D. Juan Saarez y Luaces. En el regimiento provincial de Cuenca , se ha servido promo­ ver S. M. á capitán al teniente de granaderos D. Vicente Esca­ lante ; k tenientes , á los …</t>
  </si>
  <si>
    <t>y Luaces, Juan Suares</t>
  </si>
  <si>
    <t>Juan Suares y Luaces</t>
  </si>
  <si>
    <t>254</t>
  </si>
  <si>
    <t>o de 1810. —Antonio Montesinos. — Señores de justicia de Igualeja.” En la gazefca rním. 2 8 , pég. 237 , se omitió expresar que el empleo conferido á D Juan Suares y Luaces fue el de segundo „ ca&amp;itan del tercer batallón de voluntados del Rivero. CADIZ: EN LA IMPRENTA REAL</t>
  </si>
  <si>
    <t>y M, Juan Formalagner</t>
  </si>
  <si>
    <t>Juan Formalagner y M</t>
  </si>
  <si>
    <t>s: capitán segundo del cuer­ po de artillería al marques de Paterna : subteniente ESPAÑA. de la compañia fixa de artilleros de la plaza de Má­ laga á D. Juan Formalagner y M&gt;rti- ez: a\udanMadrid 6" de junio. tede primera clase de la plaza de Madrid al tenien­ Por decreto de 29 de mayo último D. Pedio te coronel D. Josef Damp…</t>
  </si>
  <si>
    <t>y Maasb, Francisco María Carneo</t>
  </si>
  <si>
    <t>Francisco María Carneo y Maasb</t>
  </si>
  <si>
    <t>Ecbeoique* 4- D. Diego de Castro, D. Pedro Hiera; 5" D. Ramón Pando.... D Higinio Z.zo de Lares D. Josef María Abades. 6.*. D. Ramón Guizabnruaga. 7* D. Francisco María Carneo y Maasb. 9* D. Salvador Palomeque D. Juan Clavel* Quinta batallan. Para ayudante primero él balón de Horit , para segundo D. Agostía Tavira, y para aba…</t>
  </si>
  <si>
    <t>y Mantera, Rafael Muñoz</t>
  </si>
  <si>
    <t>Rafael Muñoz y Mantera</t>
  </si>
  <si>
    <t>cito francés del primer cuerpo, vacante por fallecimiento de D. JosefJoaquín Gaidirigidas contra el fuerte de Matagorda 4 ha sido tan, Al’presbítero *D. Rafael Muñoz y Mantera. este evacuado á las 11 de la mañana del 22. Las Para el quarto curato de la parroquia det Sa­ tropas francesas se apoderaron de él, y encontra­ grario…</t>
  </si>
  <si>
    <t>y Maqueda, Juan</t>
  </si>
  <si>
    <t>Juan y Maqueda</t>
  </si>
  <si>
    <t>onadilla y mientos que de ellas hicieron D. Felipe Tbmpson sainete. Actores en la comedia. Señoras Josefa Raníos en 1773, D. Joan Ibargoitia en 1801, D. Juan y Maqueda. Señores Ponce, Ortigas .C.iprara, Justo M¿, lafira en .1802 &gt; . y D. Juan Bautista Monteverde Oros, Avecilla, Casa nova, Suarez, Muñoz, Camas j en 1805 y 806;…</t>
  </si>
  <si>
    <t>y Marta, Kametrki</t>
  </si>
  <si>
    <t>Kametrki y Marta</t>
  </si>
  <si>
    <t>pmó substituidas a las propuestas en , El gem-rd en grfe mmdó el 3 de ¡unió i los «primer lugar por el señor Erskine, lo que á la tenientes generales conde Kametrki y Marta ff que «verdad me ha causado la mayor sorpresa. Es fue'1 n a atac.r al cuerpo mandado por el baxá «cierto que vuestro predecesor ofr cid las mismas Pehliw…</t>
  </si>
  <si>
    <t>y Mayner, José Batlle</t>
  </si>
  <si>
    <t>José Batlle y Mayner</t>
  </si>
  <si>
    <t>la primera se­ cretaría de estado, 7000. Archivero de la misma y sus oRciales, noo. D. Antonio Capmany, ico. D. Luis Fernandez Gonzalo dei Rio, 300. D. José Batlle y Mayner, 3GO. D. Miguel Riera y Refart, 300. D. Ma­ nuel Fopiano, roo. Conde de Fernan-Nuñez, 6co. D. Dionisio Antomío de Ugarte, 2000. Cardenal de Barbón, 4000. …</t>
  </si>
  <si>
    <t>y Mazarredo, Roqne Moyna</t>
  </si>
  <si>
    <t>Roqne Moyna y Mazarredo</t>
  </si>
  <si>
    <t>Ignacio Roale^., fiscal. , , ¡ . Jueces. 1.® D. Manuel Buedo. ARTICULO, XII. 2.® D. Nicolás Rodríguez. Gitadalaxara. 3.® D. Josef González Varela. * D. Roqne Moyna y Mazarredo, oidor de la 4.0 D. Fermín Cosío.; -c audiencia de Navarra, presiente.&gt;, D. Antonio Cano Mnñoz, fiscal. . ART. Vil. Nuestro ministro do larjusticía que…</t>
  </si>
  <si>
    <t>y Meneses, Juan Oden</t>
  </si>
  <si>
    <t>Juan Oden y Meneses</t>
  </si>
  <si>
    <t>quartel de Maravillas. D. Josef Osteret. D. Manuel Zavala Espetillo. Capitanes. D. Rafael Fleuriot. D. Francisco Xavier Berindoaga. D. Benito Angulo. D. Juan Oden y Meneses. D. Antonio San Germán. D. Juan Puente. D. Manuel Carranza. D. Jnan Verdes Montenegro. D. Nicolás María Bretnond. Subtenientes. D. Juan Francisco Pastor. …</t>
  </si>
  <si>
    <t>y Mexía, Pedro Pareja</t>
  </si>
  <si>
    <t>Pedro Pareja y Mexía</t>
  </si>
  <si>
    <t>, corregidor , caballero de la la tiranía de la junta insurreccional. No se oyen orden de Carlos m. por todas partes mas que imprecaciones contra los D. Pedro Pareja y Mexía , capitán de navio,ca­ que han tenido en la mayor opresión á estos infe­ ballero de la orden de Santiago, regidor decano^..; lices habitantes, y que con …</t>
  </si>
  <si>
    <t>y Mina, Francisco Éspoz</t>
  </si>
  <si>
    <t>Francisco Éspoz y Mina</t>
  </si>
  <si>
    <t>la misma carrera dirigi­ dos por otros gefes dignos de sucederle. Las partidas de Don Pasqual Echavarria y de D. Pablo Ayala, subalternos am­ bos de D. Francisco Éspoz y Mina, en número de 500 peones y 120 ginetes, embistieron el 19 de mayo en Peralta á 400 in­ fantes y 60 caballos enemigos. El resultado fué matarles 90 hombr…</t>
  </si>
  <si>
    <t>y Mina, Francisco Espoz</t>
  </si>
  <si>
    <t>Francisco Espoz y Mina</t>
  </si>
  <si>
    <t>r entre otros sucesos de los números anté¿ riorés , y dar una relación sumaria de ellas,* ordenándolas por feus fechas. o j El 16 de junio intercepto D. Francisco Espoz y Mina;, entra Tafalla y Pamplona , un correo que habia salido deísta úItiT ma ciudad escoltado por 104 hombres. Todosi quedaron pri­ sioneros, á excepción dé…</t>
  </si>
  <si>
    <t>vieron mas de 200 hombres de pérdida. Nuestra gente por su parte la padeció proporcionada á lo difícil del empeño, habiendo quedado herido el bizarro.D. Francisco Espoz y Mina de una bala de fusil que le pato el brazo derecho, y su segundo</t>
  </si>
  <si>
    <t>y Mo, Josef Rebollo</t>
  </si>
  <si>
    <t>Josef Rebollo y Mo</t>
  </si>
  <si>
    <t>servir Jas vacantes en el arzo­ compuesto en francés por S. F. Lacroix, tra­ bispado ,de Granada nos hace nuestro comisario ducido al castellano por D. Josef Rebollo y Mo­ regio de dicta áod?d, según los informes qne so­ rales: tomo i.a, que comprekende la aritmética. bre su idoneidad y circunstancias ha tomado de Véndele en …</t>
  </si>
  <si>
    <t>y Molina, Francisco Mateos</t>
  </si>
  <si>
    <t>Francisco Mateos y Molina</t>
  </si>
  <si>
    <t>El interventor deid. D. Francisco Xavier Valiejo, SO. El guarda de id. D.Tcíix González , 20. Varios individuos de Acapetlahuacao, 49 pesos :!■§ rs. D. Francisco Mateos y Molina, vecino de Puebla, 200. D. Gregorio de Otero dé id. , 200. Lo recogido por el señor arzo­ bispo en los conventos ; hospicios, curatos de; esta capita…</t>
  </si>
  <si>
    <t>y Mon, Tadeo Miranda</t>
  </si>
  <si>
    <t>Tadeo Miranda y Mon</t>
  </si>
  <si>
    <t>ntonio de Agüera; segunda ayundantía mayor, á D. Luis Fernando Mon ; segundas tenencias de fusileros, á. D. José de Lemus, D. José Vaádés y Casasola, D. Tadeo Miranda y Mon, D Miguel Lacy, D. Ven­ tura Escario, D. Juan Nepomuceno Heredia , y D. José María dé Mena ; y empleos de alféreces de granaderos, á D. José Antonio Fació…</t>
  </si>
  <si>
    <t>y Monge, Serurier</t>
  </si>
  <si>
    <t>Serurier y Monge</t>
  </si>
  <si>
    <t>ron para deliberar. Los senadores comisionados fueron : Garríer, La Cepede , Semoaville , Beumonville^ Chaptal , Laplace, mariscal duque de Dantzick, mariscal Serurier y Monge (2). La sesión se suspendió, y nu volvió á continuarse basta que La-Cepede , uno de Los comisionados, vuelto á la asamblea, presentó el (1) ¡Qué comba …</t>
  </si>
  <si>
    <t>y Monrci, Rodrigo Zorrilla</t>
  </si>
  <si>
    <t>Rodrigo Zorrilla y Monrci</t>
  </si>
  <si>
    <t>‘ Albert é hijos............... 3845 D. Francisco Viaña—....... .................... ' *3;I'33-14 D- Luis de Goyeneche y Muzquiz....... 120914.. 12 ■ D. Rodrigo Zorrilla y Monrci....... . - ‘*3593 Los señores Dovat, hermanos y com­ D- Manuel Rodríguez......................... ■ . : 741—18 . pañía..............................…</t>
  </si>
  <si>
    <t>y Montes, Juan Maria</t>
  </si>
  <si>
    <t>Juan Maria y Montes</t>
  </si>
  <si>
    <t>D. Fernando Estéban de Talavera. Don Josef Napoleón por la gracia de Dios y D. Francisco Galindo. por la constitución dei estado, Rei de las Españas D. Juan Maria y Montes. y de las Indias. H nos decretado y decretamos lo que sigue: SECUNDO BATALLON. ARTic.xii.ot. ,, Con arrégle á nuestro decreto de 19 de abril último se form…</t>
  </si>
  <si>
    <t>y Moreno, Diego de la Mota</t>
  </si>
  <si>
    <t>Diego de la Mota y Moreno</t>
  </si>
  <si>
    <t>á Jai ocho de la noche, te re­ D, Josef Villareal, síndico peiscuero , por ti ayun­ presentar í por la compañía española la comedia en trei tamiento; D. Diego de la Mota y Moreno, rector actos titulada el Parecido en la corte, con una tonadi­ teniente de D iglesia de S. Salvador; D. Josef He­ lla nueva, y un divertido lin de …</t>
  </si>
  <si>
    <t>y Muñ, Antonio Habert</t>
  </si>
  <si>
    <t>Antonio Habert y Muñ</t>
  </si>
  <si>
    <t>que aquella hará iguales progresos en su mayor á D Josef Gavilanes; para comandantes de organización. Pero en esta corta ausencia ha expe­ batallón á D. Antonio Habert y Muñ^z y D. An­ rimentado la mayor satisfacción al ver que tos cí­ drés Porcel y Aguirre; pira ay udanres á D Juan vicos que le acompañaban» á pesar de ignora…</t>
  </si>
  <si>
    <t>y Muñoz, Antonio Hunbert</t>
  </si>
  <si>
    <t>Antonio Hunbert y Muñoz</t>
  </si>
  <si>
    <t>la orden de las Dos Sicilia*, mariscal de cio de Guzman , oidor de la chanciilería de Grana­ campo de los reales exércitos, edecán de S. M., y da ; á D. Antonio Hunbert y Muñoz , veintiquatro encargado privativamente de la organización de los de ia misma ciudad; á D. Ventura Ruiz Huidonuevos cuerpos militares españoles &amp;c. &amp;c…</t>
  </si>
  <si>
    <t>y Muzquiz, Luis de Goyeneche</t>
  </si>
  <si>
    <t>Luis de Goyeneche y Muzquiz</t>
  </si>
  <si>
    <t>724 Los señores Dendoat hermanos......... 36911 17 D. Santiago y .D. Simón déla Gallarde. 2cc:cn D. Luis de Goyeneche y Muzquiz... *9*3 2 ñ Doña María Andrea Moreno David... 36000 D. Frutos de Alvaro Benitos.......... 6148 26 D. Manuel Sánchez Toscano:............ 7200 Los señores: Albert é hijos. -»47:*7 Doña Josef</t>
  </si>
  <si>
    <t>ercedes Aguilera , potenciario del Príncipe Primado, el barón de de Herran........................................... 15625 Fechenbach, gentilhombre. D. Luis de Goyeneche y Muzquiz..... 1012 5 Por S^ E. el bailío de Ferette, ministro pleni­ potenciario de Badén, el barón de Edelsheim , ma­ 3*9333”18 riscal de la corte de S. A…</t>
  </si>
  <si>
    <t>y Nadal, Manuel Flotats</t>
  </si>
  <si>
    <t>Manuel Flotats y Nadal</t>
  </si>
  <si>
    <t>, 398,302 , 3$7,645 , 385,896 , 384,856 , 412,557, 398,518, 398,035 , 410,399 ; y dos de 3QQ de dicha creación con los números 457,371 y 492,332 cp-e D. Manuel Flotats y Nadal remitió en 23 de enero último desde Cádiz á Tarragona á‘©oñ León Gatell , en losados por dicho Srl Fiofcats en; favor del re­ ferido GateÜ: se entregar…</t>
  </si>
  <si>
    <t>y Nafarrondo, Fermín María Uria</t>
  </si>
  <si>
    <t>Fermín María Uria y Nafarrondo</t>
  </si>
  <si>
    <t>D. Antonio Herrera. Subtenientes. D. Joaquín de b Paliza. D. Juan Manuel Montero. D. Fausto Foronda. D. Estéban Moreno. D. Fermín María Uria y Nafarrondo. D. Jacinto Perez de la Torre. D. Josef de las Barcenas., D. Gnillelmo González Saez. D. Claüdio Larrañaga. D. Santiago Larramendi. D. Manuel Sánchez del Valle. D. Manuel Ra…</t>
  </si>
  <si>
    <t>y Nieto, Manuel Rubiano</t>
  </si>
  <si>
    <t>Manuel Rubiano y Nieto</t>
  </si>
  <si>
    <t>on........... .. Doña Catalina Germán y Hagalde. Málaga............. D. Juan Ximeno. Murcia. ..... -Señores Moreda y Ladalid. Oviedo. . ... . Señores D. Manuel Rubiano y Nieto. Palma............... D. Martin Mallol. - Santander. . . . Señores Vidal é hijo. Sta. Cruz de Te-) . , . „ , ’a ■ ‘ nerfe r D. Antonio García Campero. …</t>
  </si>
  <si>
    <t>y O'ier, Juan Villa</t>
  </si>
  <si>
    <t>Juan Villa y O'ier</t>
  </si>
  <si>
    <t>libertad del. mundo, fue lla los susodichos Excmos. é limos. Sres. y el se­ uno mismo el voto de todos los cía ládanos; que ñor Corregidor , el dicho D. Juan Villa y O'ier tomando por modelo á los españoles, establecieron leyó en altas voces á la letra todo el citado real en cada círculo, departamenro ó provincia jun­ decreto…</t>
  </si>
  <si>
    <t>y O, Juan Villa</t>
  </si>
  <si>
    <t>Juan Villa y O</t>
  </si>
  <si>
    <t>l anuncio con lió á recibirlos al zaguán , y los acompañó a la sala ciertos datos , que se afirman con tanta certeza , y capitular, con asistencia de D. Juan Villa y O ier, por personas tan fidedignas, qne parece no es per­ secretrrio de la Municipalidad, y varios porteros. mitid» dudar de sa autenticidad , pero no para ti— E…</t>
  </si>
  <si>
    <t>y O, Mariano de Zúñiga</t>
  </si>
  <si>
    <t>Mariano de Zúñiga y O</t>
  </si>
  <si>
    <t>mas de servir sin sueldo como espitan del regimiento provincial de infantería de Toluca, 10 El pres­ bítero D. Miguel Flores , vecino de Poto í , 10. D. Mariano de Zúñiga y O n tiveros, 10. El capitán de milicias sueltas D. Fran­ cisco Servando Muñoz , ademas de ceder sus sueldos , 10 El ayuntamiento de la ciudad de Celaya , …</t>
  </si>
  <si>
    <t>y Ojo, Domingo Font</t>
  </si>
  <si>
    <t>Domingo Font y Ojo</t>
  </si>
  <si>
    <t>298</t>
  </si>
  <si>
    <t>ble suceso , lieva una lamina que represen­ ta ®i monumento que se dispuso para esta función. Se vende en el despacho de este periódico, y en casa de D. Domingo Font y Ojo­ sas , calle de S. .Francisco, núm.41. Para conocimiento dei -público, se avisa qu3 el despacho de la imprenta real estará abierto tonos ios dias, excepto …</t>
  </si>
  <si>
    <t>y Olazabal, María Joseta Acedo</t>
  </si>
  <si>
    <t>María Joseta Acedo y Olazabal</t>
  </si>
  <si>
    <t>. Doña María del Rosario Reinosa—í.. 1 5858.8,. 8 Doca Vrctoria Dumont—............—«. ■ 3365-19 D. Sebastian Ricos Altos................ . S3l7-**3 Doña María Joseta Acedo y Olazabal. - 6961- 6 D. Labiñío Romagnioli........................... *S°5^ Dr JosefLacrouts—- —.—................ *44 Señores Rivas, Peña y compañía....…</t>
  </si>
  <si>
    <t>y Olier, Joan Villa</t>
  </si>
  <si>
    <t>Joan Villa y Olier</t>
  </si>
  <si>
    <t>D. Antonio Bremond, „ Por acuerdo de la junta _ superior de esta contador de la dirección de bienes nacionales, y provincia=Agustin Fernandez Costa.” D. Joan Villa y Olier, secretario de la municipa­ lidad. I,ps números de vales y cédulas que *e han Madrid 11 de maya. quemado se darán al público por medio de ia gazeta y diari…</t>
  </si>
  <si>
    <t>rrecilla. ,, Qucd iri nombrados para comandantes , ayu­ Ayudante , el conde Villaoquina. dantes y abanderados de los jo batallones de mi­ Abanderado, D. Joan Villa y Olier. licia cívica de esta corre los individuos siguientes: Nuestros ministros de lo Interior y de la Goerra quedan encargados de la execucton de este de­ Batal…</t>
  </si>
  <si>
    <t>y Orbe, Juan Josef Benel</t>
  </si>
  <si>
    <t>Juan Josef Benel y Orbe</t>
  </si>
  <si>
    <t>cho.” impotencia de dañar mas todos los iuiquos pertur­ El cabildo dedos curas de esta ciudad fue pre­ badores de la quietud pública. sentado á S. M. D. Juan Josef Benel y Orbe, cu­ „No, no es á las trincheras contra Jos enemi­ ra propio de la parroquial de S. Pedro y S. Pablo gos exteriores adonde irán a desplegar sus fuerza…</t>
  </si>
  <si>
    <t>y Orluzar, Rita Durango</t>
  </si>
  <si>
    <t>Rita Durango y Orluzar</t>
  </si>
  <si>
    <t>. Carrasco....... 106038 ii' brejas............................................................ 4549 35L D. Francisco Perez.Rico....... . . 11503 28: Doña Rita Durango y Orluzar...... 5205 jol Doña-María del Carmen Herran...^.. . u 207 ai. D. Santiago Antonio de Uvizar-....... 14974* *7’ D- Jdsef García Abeíla. .&gt;.^*^ ^‘16204…</t>
  </si>
  <si>
    <t>y Otra, Muria Doblado</t>
  </si>
  <si>
    <t>Muria Doblado y Otra</t>
  </si>
  <si>
    <t>malea, linde con el camino de Ca­ Asenjo, de 441 cepas......................... 4® 880 marina,y vínculo de Andrés de Dantas. 207 4554 Otra que vendió Doña Muria Doblado y Otra de 1 2 tan. y 6 celem. en los Salo­ Granados en dicho término, de 347 brales , linde al norte con la senda—... S**,-,7 6875 cepas......... ............…</t>
  </si>
  <si>
    <t>y Palacios, Julián Aparicio</t>
  </si>
  <si>
    <t>Julián Aparicio y Palacios</t>
  </si>
  <si>
    <t>Gerónima López......................C •,-:48-7¿ í*^' , Rsltaiicitcp López»......................* 1085 ■•••&gt;• D. Pedro Ponte»,............... 5i4*ccn D. Julián Aparicio y Palacios........... ' - 1173 8f L&lt;&gt;s reales estudios de S. Isidro.........^ , ,90.614^^ • - DoñarMaria ‘ Josefa;A^»áJjx-^'-'»'-«-x-^ -17 L J&gt;. Juan Llórente…</t>
  </si>
  <si>
    <t>y Pálatíos, Jojian de Aparicio</t>
  </si>
  <si>
    <t>Jojian de Aparicio y Pálatíos</t>
  </si>
  <si>
    <t>&gt;71 D. Jdsef La Crouts;;;.;.....20216 B. Felipe Blanco.».............................. jj22a- D. Simón de CasaViélla.'.......... ....... . 119^0 , , D. Jojian de Aparicio y Pálatíos*..».1;1 • n 73-'' 8f D: Tdáñ de Oliver;;;.;... ......... . 265 7 7/ R Cristóbal ^ludreosi.......... ............ &gt;2^t4&lt;;i7; D. Júán de Almognera-…</t>
  </si>
  <si>
    <t>y Palénciá, Juan García</t>
  </si>
  <si>
    <t>Juan García y Palénciá</t>
  </si>
  <si>
    <t>nsiderable en los paños que se le han comprado. D. F. F. G. 5^ varas de paño. D Benito de la Plaza, un par de zapatos, una camisa y un par de medias. D. Juan García y Palénciá , una pieza de pa­ ño 18o. pardo , con 374 varas. — El apasionado de D. Juan Martin que ha dado por medie del lord Macduff los icoo rs. expresados arri…</t>
  </si>
  <si>
    <t>y Palomar, Pedro López María</t>
  </si>
  <si>
    <t>Pedro López María y Palomar</t>
  </si>
  <si>
    <t>fanegas, que linda á oriente con tierra de Dona Francisca de Rivas............................ 'cerca de Juan Prieto el mayor, tierra de 39- * 7 8 69 D. Pedro López María y Palomar, de Otra en los Escobares , de 5 fanegas, qu« dichos herederos.............................. ............ linda i oriente con tierra de Doña María…</t>
  </si>
  <si>
    <t>y Pantoja, Alonso Maria de la Vera</t>
  </si>
  <si>
    <t>Alonso Maria de la Vera y Pantoja</t>
  </si>
  <si>
    <t>de Lugo: D. Andrés Morales de los Ríos, por la ciudad de Cádiz: D. Antonio Llaneras, por la isla de Mallorca: D. Ramón Lázaro de Don , por Cataluña: D. Alonso Maria de la Vera y Pantoja , por la ciudad de Mérida: D. Antonio Capmani, por Cata­ luña : D. Juan María Herrera, por Extremadura : D. Manuel María Mar­ tínez por ídem:…</t>
  </si>
  <si>
    <t>y Pardo, Pedro Ribera</t>
  </si>
  <si>
    <t>Pedro Ribera y Pardo</t>
  </si>
  <si>
    <t>de Mondoñedo: D. Antonio Payan, por la de la Coruña: Don Juan Bernardo Quiroga, por la de , Orense: D. Josef Ramón Becerra y Llamas, por la de Lugo: D. Pedro Ribera y Pardo, por la de Betanzos : D. Luis Rodríguez del Monte por idem: Don Antonio Vázquez de Parga, por la de Lugo: D. Manuel Valcárcel por idem: D. Francisco Morro…</t>
  </si>
  <si>
    <t>y Ponce, Francisco Cañaveral</t>
  </si>
  <si>
    <t>Francisco Cañaveral y Ponce</t>
  </si>
  <si>
    <t>al Excmo. Se. D. Nicolás Gaye, mar­ car; á D. Fernando Osorno , intendente corregidor ques de Rio- Milano , comendador de la orden real de Granada; á D. Francisco Cañaveral y Ponce, de España, caballero del imperio francés, comen­ brigadier de los reales exércitos; á D. Josef Igna­ dador de la orden de las Dos Sicilia*, maris…</t>
  </si>
  <si>
    <t>y Ponce, Josef del Josef de Vargas</t>
  </si>
  <si>
    <t>Josef del Josef de Vargas y Ponce</t>
  </si>
  <si>
    <t>e históri­ costa oriental de Cuba, y los planos de sus puer­ co dé las expediciones anteriores , esciito por Don tos, cuyos trabajos continúo después D. Josef del Josef de Vargas y Ponce , „en cuyo epítome (di- Rio por la parte meridional de la misma ida. Las »»ce-el Sr. Salazar) se presentan cómo en una liñ­ expediciones al …</t>
  </si>
  <si>
    <t>y Prado, Tomas de Sancha</t>
  </si>
  <si>
    <t>Tomas de Sancha y Prado</t>
  </si>
  <si>
    <t>a D. Isidro M ere i o. Nantes , tres regimientos de caballería ; á saber: el 7.0, D. Andrés Choya. 9.0 y 20 0 de cazadores. Los c riciales de los dos D. Tomas de Sancha y Prado. regimientos de fusileros de la guarnía imperial que D. Antonio Looez ¡¿alazar. están aquí acantonados salieron al encuentro de D. Faustino de Vega y …</t>
  </si>
  <si>
    <t>y Prats, Antonio Barceló</t>
  </si>
  <si>
    <t>Antonio Barceló y Prats</t>
  </si>
  <si>
    <t>iencias de que se preparaba alguna operación im­ portante. Por el correo de 9 de diciembre ultimo remitieron la viuda de Albancs" é hijos, de Reus, á D. Antonio Barceló y Prats, del comer­ cio de Cádiz, siete vales reales dé la creación de i.° de enero de 1808 con los números siguientes: 339128, 315114 de á 150 pesos de 128 q…</t>
  </si>
  <si>
    <t>y Puente, Angel del Monée</t>
  </si>
  <si>
    <t>Angel del Monée y Puente</t>
  </si>
  <si>
    <t>mero él conde de Cancelada» para segundo D. Juan Manuel Montero» y para abanderado O, Francisco Antonio de las Rivas. D. Grwimiro de Vargas.......... D. Angel del Monée y Puente* j »' B. EsitfbanTomé.,.......... D. Francisco Xarin Ámestol. "2</t>
  </si>
  <si>
    <t>y Rada, José María de la Riva</t>
  </si>
  <si>
    <t>José María de la Riva y Rada</t>
  </si>
  <si>
    <t>ren­ dimiento quantipsas sumas á sus compatriotas de la península, que con tanto heroísmo resisten al poder del tirano. La oferta que acaba de hacei; D. José María de la Riva y Rada, cura del Real del Rosario, es juna de las pruebas del acendrado patriotismo que reyna en aquel país. A las grandes cantidades que había puesto e…</t>
  </si>
  <si>
    <t>y Ramos, Toribio de Mateo</t>
  </si>
  <si>
    <t>Toribio de Mateo y Ramos</t>
  </si>
  <si>
    <t>. Bartolomé Salido, 300. D. Bruno de Palacio, 150. D. Nicolás Alfaro, 10. D. Manuel Anguiz, 50. D. Joan Manuel de Ortiz, 300. D. Antonio Aunada, 150. D. Toribio de Mateo y Ramos, 300. D. Manuel Cayetano Espinosa, 150 D. Antonio de Cevallos, 200. D. Manuel Campoy, 10. D. Jasé Ignacio Ruiz, 10. D. José Urquides, 10. D. Ignacio …</t>
  </si>
  <si>
    <t>y Rave, Juan Rafael de la Torre</t>
  </si>
  <si>
    <t>Juan Rafael de la Torre y Rave</t>
  </si>
  <si>
    <t>l tenor de lat de Francia» dándose en niente del regimiento de Soria, 4.0 de infantería de ellas una instrucción tan completa y cómoda» que línea t á D. Juan Rafael de la Torre y Rave sub­ los jóvenes no tengan necesidad de ir á estudiar £ teniente de infantería de línea: á D. Juan de Pa­ los paises extrangeros. Parece qae se…</t>
  </si>
  <si>
    <t>y Refart, Miguel Riera</t>
  </si>
  <si>
    <t>Miguel Riera y Refart</t>
  </si>
  <si>
    <t>tado, 7000. Archivero de la misma y sus oRciales, noo. D. Antonio Capmany, ico. D. Luis Fernandez Gonzalo dei Rio, 300. D. José Batlle y Mayner, 3GO. D. Miguel Riera y Refart, 300. D. Ma­ nuel Fopiano, roo. Conde de Fernan-Nuñez, 6co. D. Dionisio Antomío de Ugarte, 2000. Cardenal de Barbón, 4000. Condesa de Chin­ chón, 20CO. …</t>
  </si>
  <si>
    <t>y Rei, Manuel Romero</t>
  </si>
  <si>
    <t>Manuel Romero y Rei</t>
  </si>
  <si>
    <t>r­ tearán su vestuario, caballo y montura. cía , D. Manuel de Aguí lar y Cueto, D. Fernan­ art. vr. Nuestro ministro de Guerra queda do Pío Arenzana, D. Manuel Romero y Rei­ encargado de la execucion del presente decr.to. es na , D. Vicente Gregorio Moreno, D. Pedro An­ Firmado= YO EL REI. = Por S. M. su ministro dino , D. Ra…</t>
  </si>
  <si>
    <t>y Ríos, Matías de Mor</t>
  </si>
  <si>
    <t>Matías de Mor y Ríos</t>
  </si>
  <si>
    <t>btaaltittas. ' D. Antonio Leiral... D. Valdoméro Gallego, D. Gerónimo Wolls. D. Tomas Campillo, D. Mariano Fernandez del Canto; D. Narciso Batía..... D. Matías de Mor y Ríos.... D. Josef Villanas; D. Rafael Yarce..... D. Estéban Moreno..... ......... I&gt;. Manuel López. D. Güilísimo González.......... D. Clemente Villalba. D. F…</t>
  </si>
  <si>
    <t>y Riv, MauueL del Campo</t>
  </si>
  <si>
    <t>MauueL del Campo y Riv</t>
  </si>
  <si>
    <t>r­ cio áe Tula, 2 50 ; y ademas «¿tros 250 anuaímente. El presbítero D. Alexaudru.Joroan, 200. D. José María Rodaliega, 200. Ei al­ calde del ciíoien D. MauueL del Campo y Riv:&amp;$,, 200. Los em-</t>
  </si>
  <si>
    <t>y Rivacoba, Francisca Calvet</t>
  </si>
  <si>
    <t>Francisca Calvet y Rivacoba</t>
  </si>
  <si>
    <t>Muñoz Torrero, por ía de Extremadura: D. Manuel Laxan por idem: D. Antonio Darán de Castro , por la de Tuy: D. Agustín Rodríguez Bahamonde por ídem: D. Francisca Calvet y Rivacoba, por la ciudad de Gerona: D, José Salvador López del Pan, por la ciudad de la Co­ ruña : D. José Maria Couto , suplente por Nueva España: D. Francis-</t>
  </si>
  <si>
    <t>y Robles, Mariano Cordon</t>
  </si>
  <si>
    <t>Mariano Cordon y Robles</t>
  </si>
  <si>
    <t>ntos males como han D. Josef Mario. causado una lucha desigual, y la inmoralidad de D. J i'.ef Prieto Moreno. los que aun la fomentan. D. Diego Diez. D. Mariano Cordon y Robles. Madrid 4 de noviembre. S. M ha expedido los decretos siguientes: Subtenientes. Esrracto de las minutas dé la secretaría de Es­ . D. R-fael García San…</t>
  </si>
  <si>
    <t>y Rocafull, Ignacio de Vera</t>
  </si>
  <si>
    <t>Ignacio de Vera y Rocafull</t>
  </si>
  <si>
    <t>ro Señor D. Fernando VII, promover k briga­ dieres de los reales exércitos k D. Carlos Carabantes , coronel del regimiento provincial de Guadix ; y á D. Ignacio de Vera y Rocafull , capitán de la real brigada de Carabineros , en con­ sideración k sus servicios y mérito. C^DIZ : EN LA IMPRENTA REAL.</t>
  </si>
  <si>
    <t>y Róelas, Francisco Josef</t>
  </si>
  <si>
    <t>Francisco Josef y Róelas</t>
  </si>
  <si>
    <t>maVacaftte'por muerte de Don ' Para eldetaMgtésia parrbqñiaide fá villa déf Ocura, vacante por muerte de D.Tomas Salgqeroh Salvador Muñoz Cebreíos, á D. Francisco Josef y- Róelas, á Di-Cristóbal de Arias, presbítero".de Castel , cura propio de la Púebia .dé Sagra. l* e*t¡dgmJa congrt3gacioo de S. Felipe NerL&gt;,f.i-«.-&gt;«-{ Para…</t>
  </si>
  <si>
    <t>y Rosal, Mariano Contreras</t>
  </si>
  <si>
    <t>Mariano Contreras y Rosal</t>
  </si>
  <si>
    <t>á esta capital, ha marchado ya á Es­ S. M. nombrar coronel de artillería á D. Luis Pespaña. „ sino; comandante de batallón del mismo cuerpo ¿ ESPAÑA. D. Mariano Contreras y Rosal, y teniente coronel del cuerpo de ingenieros á D. Josef Huct. Madrid 30 de mayo. Por varios decretos de 29 de este mes S. M. lia S. M. ha expedido e…</t>
  </si>
  <si>
    <t>y S, Francisco Fernandez de la Peña</t>
  </si>
  <si>
    <t>Francisco Fernandez de la Peña y S</t>
  </si>
  <si>
    <t>16 Alicante. .... Señoras Casson y compañía. Badajoz............. D. Francisco Fernandez de la Peña y S. Miguel. Cádiz................ D. Benito de la Piedra. n . í D. Bernardo Elizalde, y en su ausencia D.CánCartagena. . . . J dido Montero de la’ ¿orlcha. Ciudad-Rodrigo. D. Antonio López. Có</t>
  </si>
  <si>
    <t>y S, Josef Martin y Barreiro</t>
  </si>
  <si>
    <t>Josef Martin y Barreiro y S</t>
  </si>
  <si>
    <t>ntes Jena. nea, á D. Luis Pavist subtenientes en el regimien­ to de Infantes, io.° de línea , á D. Andrés de Ro­ Ambéres 13 de mayo. bledo Odriscols, D. Josef Martin y Barreiro y S. M. ha salido esta mañana de Flesinga, y D. Josef de Araujo: capitán de infantería de línea desembarcará junto al fuerte Federico-Henrique á á D. …</t>
  </si>
  <si>
    <t>y Saenz, Julián Ruiz de Reajal</t>
  </si>
  <si>
    <t>Julián Ruiz de Reajal y Saenz</t>
  </si>
  <si>
    <t>cán del Rei, tado á y el barón de Silverskjold. S&gt;. Mr*. •Por S. E. el barón de Dreyer, ministro pleni­ potenciario de Dinamarca, el señor de Qualen, D. Julián Ruiz de Reajal y Saenz por 13500 edecán del Rei. D. Francisco Juan Agudin................... 64800 Por S. E, el señor de Cetto, ministro plenipo­ Albert é hijos.......…</t>
  </si>
  <si>
    <t>y Sainz, Ramón del Rio</t>
  </si>
  <si>
    <t>Ramón del Rio y Sainz</t>
  </si>
  <si>
    <t>Para el de R o macones, vacante por ascenso de de prima. D. Mariaoo Lázaro de la Cuerda al de Romeral, Para el de Navas y Cinco-Villas, vacante por i D. Ramón del Rio y Sainz , cura de Atanzon. ascéoso de D. Simón Cob Suelves al de CasalgorPara el de. Cerralbo, vacante por muerte de do, á D. Florencio Bratnti, clérigo de prim…</t>
  </si>
  <si>
    <t>y Salas, Josef Paez</t>
  </si>
  <si>
    <t>Josef Paez y Salas</t>
  </si>
  <si>
    <t>s Caños del Peral, á las ocho de la no­ á juez del tribunal criminal extraordinario de Jaén, che, se representará por la compañía italiana la oper3 á D. Josef Paez y Salas, abogado en Granada : pa­ en un acto titulada Horacios y Curiacios, y el gran ra el mismo destino en Málaga, por ascenso de baile titulado la Feria de Beca…</t>
  </si>
  <si>
    <t>y Salazar, Tomas Gniral</t>
  </si>
  <si>
    <t>Tomas Gniral y Salazar</t>
  </si>
  <si>
    <t>.xii.ot. ,, Con arrégle á nuestro decreto de 19 de abril último se formarán en los puéblós Capitanes. que á continuación se expresan las compañías de D. Tomas Gniral y Salazar. milicia cívica que á Cada uno se detalla. D. Miguel Josef Moreno. art. 11. ;En lá villa de Olvera , de la provincia D. Rafael Martel y Arcos. de Sevil…</t>
  </si>
  <si>
    <t>y Sanahria, Ignacio de Aragón</t>
  </si>
  <si>
    <t>Ignacio de Aragón y Sanahria</t>
  </si>
  <si>
    <t>ncialmente anti-variólicas de la vacuna. rales, presbítero, para una ración de la catedral de S. M- el Emperador y Rei, á quien han .sido Granada : á D. Ignacio de Aragón y Sanahria para presentados los diferentes informes hechos sobre el beneficio de la «illa del Corcnil en la diócesis da (tu materia por la comisión central,…</t>
  </si>
  <si>
    <t>y Se, Trieste</t>
  </si>
  <si>
    <t>Trieste y Se</t>
  </si>
  <si>
    <t>el Reí pueden los completar los regimientos napolitanos que hai en corsarios salir otra vez á hacer el corso.” Cataluña. S. £. el mariscal Perignon , gobernador Trieste y Se marzo de 18 ro. ,, Señor inspector de Nápoles, y el general de brigada Carrascosa señera': la confiscación dei buque americano la los han pasado revista …</t>
  </si>
  <si>
    <t>y Sentmerrat, José Vega</t>
  </si>
  <si>
    <t>José Vega y Sentmerrat</t>
  </si>
  <si>
    <t>D. Luis Rodríguez del Monte por idem: Don Antonio Vázquez de Parga, por la de Lugo: D. Manuel Valcárcel por idem: D. Francisco Morros, por Cataluña: D. José Vega y Sentmerrat,por la ciudad de Cerveia:_D. Félix Aytés, por Cataluña : Don Pvamon Urges por idem: D. Salvador Viñaís por idem: D. Jayme Creus por idem : D. Ramón de L…</t>
  </si>
  <si>
    <t>y Serna, Isidro de Mata</t>
  </si>
  <si>
    <t>Isidro de Mata y Serna</t>
  </si>
  <si>
    <t>co Lefebre Daraur. D. Juan de S. Juan. D. Josef Aleson. D. Matías López de Para. Batallón del quartel de Afligidos. D. Fernando Ruiz Mazo. Capitanes. D. Isidro de Mata y Serna. D. Joaquín Onis. D. Josef Fernandez Zúñiga. D. Josef María Monserrat. D. Ramón Echaetea. D. Gaspar Soiiveres. Subtenientes. D. Juan Ncpomuceno Rosales…</t>
  </si>
  <si>
    <t>y Sieira, Pedro Caamaño</t>
  </si>
  <si>
    <t>Pedro Caamaño y Sieira</t>
  </si>
  <si>
    <t>sef Ma ría Vaiverde. iha, y apresuraron el paso para socorrer la caba­ D. J uan de Orejón y Haro. llería. No se puede elogiar suficientemente el zelo D. Pedro Caamaño y Sieira. y la ilustración con qne estos honrados ciudadanos se conducen, conociendo qne la situación de su Tenientes. patria exige que se ilustre la Opinión co…</t>
  </si>
  <si>
    <t>y Soria, Juan Manuel Sorzano</t>
  </si>
  <si>
    <t>Juan Manuel Sorzano y Soria</t>
  </si>
  <si>
    <t>000 art. ni. Nuestro ministro de Hacienda queda D. Gerónimo de Iglesias..................... 84000 encargado de la exeancion del presente decreto. =s D. Juan Manuel Sorzano y Soria.... 62160 FirmadotzYO EL REI. = Por S. M. su ministro D. Luis de Goyeneche y Muzquiz... 581913..18 secretario de Estados Firmado=Mariano Luis de D…</t>
  </si>
  <si>
    <t>y Soriano, Joaquín Roca</t>
  </si>
  <si>
    <t>Joaquín Roca y Soriano</t>
  </si>
  <si>
    <t>. Nicolás Marino, D. Miguel Souto, D. Francisco Urdapilleta, D. Hilario Naveyra , y D. Ramón Vasadre : en el se­ gundo de la Princesa , subtenencia k D. Joaquín Roca y Soriano : en el de la reunión murciana, subtenencia á D. José Perez Delgado : en el batallón de Canarias , á D. Toribio de Ligarte, y en el segundo de Voluntar…</t>
  </si>
  <si>
    <t>y Soto, Manuela Cólica</t>
  </si>
  <si>
    <t>Manuela Cólica y Soto</t>
  </si>
  <si>
    <t>D. Juan Retz........................................ - 3000• Doña Angela Célva.;.'..;...... 480 Doña Dionisia Portenia..................... ' 157 5 : Doña Manuela Cólica y Soto....-......... 488 Doña María Valentina Salcedo.......... 11147‘19 Doña Feliciana Barra...;............... 864 Doña Francisca de Ocaña.........i...... …</t>
  </si>
  <si>
    <t>y Sr, Pedro Sajravia</t>
  </si>
  <si>
    <t>Pedro Sajravia y Sr</t>
  </si>
  <si>
    <t>las autoridades civiles y Ultimamente S. M. ha nombrado caballeros de eclesiásticas reunidas prestaron en manos del Excmo. la Orden Real de España á D. Pedro Sajravia y Sr. conde de Montarco el juramento de fidelidad y Moi'ticl, que lo fue de la de Carlos m, y que obediencia al REI nuestro Señor D. Josef i, á ia ba cumpliment…</t>
  </si>
  <si>
    <t>y Susa, Ramón de Aoiz</t>
  </si>
  <si>
    <t>Ramón de Aoiz y Susa</t>
  </si>
  <si>
    <t>cibió S. E. con aquelli afabilidad y de línea á D. Rafael Sopranis: coronel de caballe­ aquellos sentimientos que les son tan propios. ría de línea á D. Ramón de Aoiz y Susa, coronel El limo, ayuntamiento ha señalado para ia ce­ de caballería de línea. D. Simón Viilaimyor que­ lebración d* las fiestas los dias 27 , 28 y 29 de…</t>
  </si>
  <si>
    <t>y T, Santo Gavióla</t>
  </si>
  <si>
    <t>Santo Gavióla y T</t>
  </si>
  <si>
    <t>anuel Calles, J00. B. Domin­ go Santa Coloma , 100. D. Joaquín Piñeyra, 100. B. Lorenzo Flores . 12 y 8 rs. B. Pablo Flores y B. Marcos ÍJaguno , 26. D. Santo* Gavióla y T). Luis Rendon , 26. Varios individuos , 59 y 8 rs. -— Ai/^dme. B. Pedro Forjas , 30. D. Antonio O bregón , 10. Varios individuos , 44 y 14 rs. — Culiacan. …</t>
  </si>
  <si>
    <t>y Teruel, Agustín Rovira</t>
  </si>
  <si>
    <t>Agustín Rovira y Teruel</t>
  </si>
  <si>
    <t>de setiem­ descalzo D. Francisco Romero. . bre de i8io.- Para Ir de Torviscon al ex-franciscano descal­ Don Josef Napoleón por la gracia de Dios y zo D. Agustín Rovira y Teruel. por la constitución del estado, REI de las Espa- Para la de Montexicar al ex-carmelita descal­ ñas y de las Indias. zo D. Isidro Perez. Eu conformida…</t>
  </si>
  <si>
    <t>y Tor, Juan de Guxman</t>
  </si>
  <si>
    <t>Juan de Guxman y Tor</t>
  </si>
  <si>
    <t>todas las disposiciones ne­ Para la vicaría perpetua de la iglesia de (Lías, cesarias para arrostrar la tempestad que le amena­ vacante por muerte de D. Juan de Guxman y Tor­ za. La caballería enemiga no podrá obrar contra la res, á D. Juan Gómez, presbítero ex- regular. posición' que ahora: ocupamos. Sólo podrán los Y para e…</t>
  </si>
  <si>
    <t>y Trigueros, Juan Villa</t>
  </si>
  <si>
    <t>Juan Villa y Trigueros</t>
  </si>
  <si>
    <t>edina. lo.• a • «••••» D. Diego Josef de Vi.la D. Mauricio Palla. Décimo batallón. Para ayudante primero D. Francisco de Paula Toledano, para segundo D. Juan Villa y Trigueros, y para abanderado D. Francisco Xavier Bcre. i. El conde de Villaoqnira....... D. Antonio Aquilino Aguilera. D. Antonio Aimrita. ......................…</t>
  </si>
  <si>
    <t>y Ulloa, Benito Prado</t>
  </si>
  <si>
    <t>Benito Prado y Ulloa</t>
  </si>
  <si>
    <t>. Capitanes. D. León de Montenegro. D. Fulgencio de la Riva. Agüero. D. Ignacio de la Torre. D. Mana' 1 Calderón. El marques de Cusano. Subtenientes. D. Benito Prado y Ulloa. D. Francisco Diez. El conde de S o Rafael. D. Francisco García. Marques de la Cerrezuela. D. Manuel Palomera. D. Vicente Navajas. j D. J&lt;vef Fernandez C…</t>
  </si>
  <si>
    <t>y Urquijo, Matilde de Soto</t>
  </si>
  <si>
    <t>Matilde de Soto y Urquijo</t>
  </si>
  <si>
    <t>ña Juana de Urquijo, como totora D.a Rita de Vivero y Cabeza, por ma­ y curadora de sus hijas Doña María no de su marido D. Simón Medrano. 14602 17 y Doña Matilde de Soto y Urquijo. 10389 D. Santiago Antonio de Urizar............ 12240 D. Juan Peñalver................................... 1150 23 D. Diego Grao Osorbia, ex-carme…</t>
  </si>
  <si>
    <t>y V, Jorge Juan</t>
  </si>
  <si>
    <t>Jorge Juan y V</t>
  </si>
  <si>
    <t>hemisferio austral de U tierra, concurrieron a este sabio sta;c nodextri.i de nombrar »l«l Eouguer, Godin, Lacondamine , Clairault, le Mon- espadóles D. Jorge Juan y V. alntoni* &lt;1 « Uil*a.</t>
  </si>
  <si>
    <t>y Vá, Manuel Moreno</t>
  </si>
  <si>
    <t>Manuel Moreno y Vá</t>
  </si>
  <si>
    <t>s Gómez, D. Juan Sánchez, D. Jo;é Segovia, D. Marcos Jáuregai, D. Femando Negra, D. Joaquín Antonio Navarro y D. Antonio Ximenez; y á subtenientes, a D. Manuel Moreno y Vá­ rela, D. Gabriel Antonio Fernandez Alexo , D. Gaspar Diego de Torres y Figueroa, D. Manuel Bordon y D. Francisco Sainz Inestosa. Igualmente ha conferido e…</t>
  </si>
  <si>
    <t>y Váanova, Francisco Birruli</t>
  </si>
  <si>
    <t>Francisco Birruli y Váanova</t>
  </si>
  <si>
    <t>ez, diputado'suplente por el reyno de Aragón. Discurso sobre la cansritircion que dió al reyno de Vra!enc'*á su in­ victo conq untador D Jayme I; por D. Francisco Birruli y Váanova, diputado de Corees por dicho reyno. En !eíta sabia y• prudence ccnotitucion se marcaron tan perfectamente Lk límites d~l 'poder sobe ano , que nu…</t>
  </si>
  <si>
    <t>y Velasco, Faustino de Vega</t>
  </si>
  <si>
    <t>Faustino de Vega y Velasco</t>
  </si>
  <si>
    <t>mas de Sancha y Prado. regimientos de fusileros de la guarnía imperial que D. Antonio Looez ¡¿alazar. están aquí acantonados salieron al encuentro de D. Faustino de Vega y Velasco. los referidos tres cuerpos, y ofrecieron á sus ofi­ ciales un banquete fraternal, que han celebrado Subtenientes. con la mayor alegría y entusiasm…</t>
  </si>
  <si>
    <t>y Velasco, Manuela Ferrero</t>
  </si>
  <si>
    <t>Manuela Ferrero y Velasco</t>
  </si>
  <si>
    <t>....... 60060 DA MimTeresaMomorode-la Concha. 1719131 D. Domingo Antonio García...,........ ;28800 D K-réban de la Torre...-...•...V.i.;..i.. 94228 8 Doña Manuela Ferrero y Velasco.... 90000 D. Manuel García Montenegro......... yóocb' D. Mateo Gil de Sola...... .......... ......... 44100 D. Francisco Viaña...... ............T…</t>
  </si>
  <si>
    <t>y Vera, Josef Aguado</t>
  </si>
  <si>
    <t>Josef Aguado y Vera</t>
  </si>
  <si>
    <t>. Tomas Alvarez Díaz* que el útil; er decir, cierto derecho precario de D. Josef López Arriba. poder disponer » baso ciertas formalidades , del má­ - D. Josef Aguado y Vera. ximum ,. valor 6 estimación de los bienes, reba­ D. Manuel Garrón. sada-ia pensión ó canon. Subtenientes. Este contrato.fue desconocido de los primeros l…</t>
  </si>
  <si>
    <t>y Via, Vicente Boruel</t>
  </si>
  <si>
    <t>Vicente Boruel y Via</t>
  </si>
  <si>
    <t>os, clérigo de prima. Muerte de D. Ramón María Cabeza, á D. Joaquín Para el de Somosierra, vacante por muerte de Alooso Moron, cura de Fuente el Saz. D. Vicente Boruel y Via , á D. Casimiro García, Para el de Fuente novilla , vacante por muerte presbítero. de D. Gregorio Narchao, á D. Manuel Luciano Para el de Valdegrodas, va…</t>
  </si>
  <si>
    <t>y Vilanova, Francisco Borruil</t>
  </si>
  <si>
    <t>Francisco Borruil y Vilanova</t>
  </si>
  <si>
    <t>. Diego Herrera. ____ _______ __________ r Discurso sobre ía constitución que dio al rey no de Valencia m invicto conquistador el Sr. D. Jaymc I: por D. Francisco Borruil y Vilanova, electo diputado de córtcs por dicho rey no. — En esta sabia y prudente constitución se marcaron tan perfectamente its límites del poder soberano…</t>
  </si>
  <si>
    <t>y Villalba, Andrés Arroyo</t>
  </si>
  <si>
    <t>Andrés Arroyo y Villalba</t>
  </si>
  <si>
    <t>fórme á las intencione* de S. M. Católica en to­ Pa:a el de los Palacios de Guadalméz al pres­ dos los pueblos, y señaladamente en las grandes bítero D. Andrés Arroyo y Villalba. capitales como Sevilla, unos cuerpos respetables, Para el de la Granjuela á D. Manuel Suarez y que con decoro, dignidad y zelo sirvan de consue­ Cid…</t>
  </si>
  <si>
    <t>y Xara, Alfonso Aguado</t>
  </si>
  <si>
    <t>Alfonso Aguado y Xara</t>
  </si>
  <si>
    <t>l gobierno de un REI tan ilus­ ñores canónigos, racioneros y capellanes que le trado y benéfico como el que la Providencia no» asistían, el Ihno. Sr. D. Alfonso Aguado y Xara- ; ha concedido. dolé de nuestro real erario. Mandamos que D. Gregorio para que no tenga que volver al estado actual. Y por lo Falomeque ó Palomilla sea…</t>
  </si>
  <si>
    <t>y Xara, Giotrs M la de las Heras</t>
  </si>
  <si>
    <t>Giotrs M la de las Heras y Xara</t>
  </si>
  <si>
    <t>ha levantado una compañía de ijo asuntos contencioso' pendientes en los suprimidos lu mbres para m intérkr el sosiego pébíco y repri­ consejos , y á D Giotrs M 'la de las Heras y Xara mí' a los for.g'dos, y indos "los di¿s hacen el exercorregidor de la c:ud.d de Baza. cicio: ót'os 50 hacen sin ceiár la ronda en derre­ Córdoba…</t>
  </si>
  <si>
    <t>y Xarava, Alfonso Aguado</t>
  </si>
  <si>
    <t>Alfonso Aguado y Xarava</t>
  </si>
  <si>
    <t>at, ar­ por ía constitución del estado, REI de Jas Espa- zobispo de Palmira y ex-abad de S. Ildefonso : pa­ ñas y de las Indias. ra el de Calahorra á D. Alfonso Aguado y Xarava, , Hemos decretado y decretamos Jo siguiente: auxiliar de Toledo: para el de Asrorga á D. Afaarticulo i. ,,Nombramos caballeros de la Or­ nasio Puyal …</t>
  </si>
  <si>
    <t>y Zabiria, Angel de Sata</t>
  </si>
  <si>
    <t>Angel de Sata y Zabiria</t>
  </si>
  <si>
    <t>arte...... ............................... jrto D. Matías Cano.............. ........................ CO.- + D. "j.oefde Roxas................. 63020 D. Angel de Sata y Zabiria................ 6--.7 D ña María I. nacía Berzosa............... 540° D ña María López............................... . 3 5 ' 23 D. j*ranci-co Xavier …</t>
  </si>
  <si>
    <t>y Zafra, Alfonso Galan</t>
  </si>
  <si>
    <t>Alfonso Galan y Zafra</t>
  </si>
  <si>
    <t>o descalzos. S. M. desaparecer por sos reales decretos. Y .para el beneficio del Puente de.AIcolea á *„ En Sevilla 'dbbe haber una municipalidad bien D. Alfonso Galan y Zafra, subdiácono. organizada, compuesta de los sügetoi^pias dignos# Nuestro ministro interino de Negocios eclesiás­ la qual ha de constar de an corregidor , …</t>
  </si>
  <si>
    <t>Yaldes, Juan Melendez</t>
  </si>
  <si>
    <t>Juan Melendez Yaldes</t>
  </si>
  <si>
    <t>na Mana A moni • S.nz Merino..... loCC-OO D. Matia .e Roble?.............................. 15148 n) 1). Francisco Viiiaiba y Diaz............. ■421 6 D. Juan Melendez Yaldes................. 321S 24 D. Manuel de las lleras....................... '. 127471 11</t>
  </si>
  <si>
    <t>Yandiola, Juan José</t>
  </si>
  <si>
    <t>Juan José Yandiola</t>
  </si>
  <si>
    <t>6 rs. Los naturales del Mezquital, 13 — S Andrés. El subdelegado D. Manuel Rodríguez, 20. D. Diego de la Puente, 20. Varios individuos, 16 y 1 real. D. Juan José Yandiola, 10-- -Real del Oro. El subdelegado D. Tomas Diaz de Matos, 10. D. Gaspar Pereyra, 35. D. Jasé Francisco Rebota, 10. D. Tomas de Amezúa, 10. D. Juan de-Isas…</t>
  </si>
  <si>
    <t>Yañez, José Tomas</t>
  </si>
  <si>
    <t>José Tomas Yañez</t>
  </si>
  <si>
    <t>viduos, ^4 y 4 rs. --- Gnuvizamey. D. Ramón Re villa, 50. Fr. Luis Salgado, 20. D. Juan José Cobos, 10. D. Martin Zubizar, 100. D. Juan Zubizar, 100. D. José Tomas Yañez, 10 Tres individuos, 15. — AÁapimi- D. Francis­ co Labarrieta, 100. D. Santiago Labarrieta, 25. — Cuencamé. D. Miguel Arróspide, too. D. José María Pedriza, …</t>
  </si>
  <si>
    <t>Yañez, Juan</t>
  </si>
  <si>
    <t>Juan Yañez</t>
  </si>
  <si>
    <t>oca-ion. El fuego de fusilería de roquia de la villa de Aldeadávila, vacante por fa­ los enemigos ha hecho, bastante daño en la gt-nte llecimiento de D. Juan Yañez, y conviniendo que de nuestro bateo, y el señor Comb, que venia en dicho beneficio, coya renta pasa de 58 rs., se di­ clase de.pasag. ro, ha sido muerto de un bala…</t>
  </si>
  <si>
    <t>Yarce, Rafael</t>
  </si>
  <si>
    <t>Rafael Yarce</t>
  </si>
  <si>
    <t>o Gallego, D. Gerónimo Wolls. D. Tomas Campillo, D. Mariano Fernandez del Canto; D. Narciso Batía..... D. Matías de Mor y Ríos.... D. Josef Villanas; D. Rafael Yarce..... D. Estéban Moreno..... ......... I&gt;. Manuel López. D. Güilísimo González.......... D. Clemente Villalba. D. Francisco Lopes Moya.... D. Joan Colmenero. D. C…</t>
  </si>
  <si>
    <t>Yarritu, Josef</t>
  </si>
  <si>
    <t>Josef Yarritu</t>
  </si>
  <si>
    <t>n­ pacho del vino de la archicofradía del da' á norte con ' casa y aceitero de Rosario........................ ........................ 772.. 17 9270 D. Josef Yarritu.................................. 53® *45* Otra en la propia calle enfrente de las Otra en la calle de la Laguna, frente ai carnicerías, qué linda por norte con…</t>
  </si>
  <si>
    <t>Yaschef</t>
  </si>
  <si>
    <t>delante de la batería, y rompió cootra bia , adonde han pasado ya 20© servios á las ór­ ella un fuego terrible, al que correspondieron con denes del general Yaschef. igual vigor nuestros artilleros, y al cabo de un Dícese que ha salido una esquadra rusa de Se— quarto de hora obligaron al buque enemigo á lar­ bastópolis en ia …</t>
  </si>
  <si>
    <t>Yaste, Joief López</t>
  </si>
  <si>
    <t>Joief López Yaste</t>
  </si>
  <si>
    <t>•aofta por renocm dé D. Joief López Yaste, al cioo de las disposiciones &lt;jo* teogo tomadas para -jprdíbítero D. Josei"María Varo. exigir de sús familias una multa de odio rs. diario*. ! Parid de Horta|fchaelos , vacante por muerte</t>
  </si>
  <si>
    <t>Yoldi, Francisca Xaviera</t>
  </si>
  <si>
    <t>Francisca Xaviera Yoldi</t>
  </si>
  <si>
    <t>.................................... 9876 D. Rafael Diez de Vega.................... . 1127 1 D. josef Rodríguez................................ 3812 Doña Francisca Xaviera Yoldi............ 3905 30 El abad y cabildo del real sitio de D. Estéban de Agreda........................... 2 i 39 S. Ildefonso.........................…</t>
  </si>
  <si>
    <t>Yoldi, Xaviera</t>
  </si>
  <si>
    <t>Xaviera Yoldi</t>
  </si>
  <si>
    <t>Luis de Urquijo.” D. Pedro del Rio........................... 140443 28 D. Antonio Fonds............. ................ 4002 25 Madrid 12 de febrero. Doña Xaviera Yoldi....... .................. i6r86 Ti. Diego del Riw............... ............... ¿oóc) En la órden del dia to de este mes, comu­ D. Rafael del Rio.............…</t>
  </si>
  <si>
    <t>Yous</t>
  </si>
  <si>
    <t>los viages de S. M. jos y con la princesa Leonora, hermana del emba­ á los diferentes puntos de su imperio, y es un xador. También ilegó aqui ayer el príncipe Yous- verso de Boíleau. sonpoff, consejero intimo de S. M. el Emperador La otra expresa al vivo los votos de la Francia de Rusia, que vuelve de París á Petersburgo. por…</t>
  </si>
  <si>
    <t>Yupangui, Dionisio Inca</t>
  </si>
  <si>
    <t>Dionisio Inca Yupangui</t>
  </si>
  <si>
    <t>ente por la ida de Cuba: D. Joaquín Santa Cruz, suplente por idem: Marques de Puñoenrostro , suplente por Santa Fe: D. José Mexia, suplente por idem: D. Dionisio Inca Yupangui, suplente por el vireynato del Perú: D. Vicente Morales, suplente por idem: D. Ramón Feliu, suplente por idem: D. Antonio Suazo, su­ plente por idem: D…</t>
  </si>
  <si>
    <t>YVibon</t>
  </si>
  <si>
    <t>á nuestro exécito; mismo tiempo el camino re. 1 Je Cúmhri a Leiria necesitamos hacer lo mismo con el exéreito portu­ está ocupado por el cuerp.i de! coronel YVibon. gués y con la inmensa población dé Lisboa. Y si los Las últimas cartas que he recibido del general vientos do permiten á nuestros buques entrar en la Silveira Son…</t>
  </si>
  <si>
    <t>YVodzicki</t>
  </si>
  <si>
    <t>entre los Estados-Unidos y la gran división de la Polonia era subteniente en el regi­ Bretaña, el precio de los géneros coloniales ha su­ miento del general YVodzicki; desp tes pasó de ca­ bido en Gotcnburgo un 50 por too. pitán á la legión polaca ; de aquí pasó al servicio de Ja Turquía , donde ha ¡do ascendiendo hasta el em…</t>
  </si>
  <si>
    <t>YVrede</t>
  </si>
  <si>
    <t>ciones por los estados, el ¿ia un gran banquete, :•! que asistieron el duque clero, la nobleza, el estado mayor y las autorida­ de Padua, el teniente general YVrede, los oficiales des civiles, cuyos cuerpos to.dos. fueron acompa— bávaros y la guardia cívica. La sai* del banquete ,rLrido á S. M. hasra Ja casa qpe se había prep…</t>
  </si>
  <si>
    <t>Z, Higinio</t>
  </si>
  <si>
    <t>Higinio Z</t>
  </si>
  <si>
    <t>rieta. D. Gregorio García. B D. Manuel Gaviria.................. 3 a D. Josef Ecbeoique* 4- D. Diego de Castro, D. Pedro Hiera; 5" D. Ramón Pando.... D Higinio Z.zo de Lares D. Josef María Abades. 6.*. D. Ramón Guizabnruaga. 7* D. Francisco María Carneo y Maasb. 9* D. Salvador Palomeque D. Juan Clavel* Quinta batallan. Para a…</t>
  </si>
  <si>
    <t>Z, Luis María</t>
  </si>
  <si>
    <t>Luis María Z</t>
  </si>
  <si>
    <t>. D. Estiban Blanco de Alba. ........ ............... ........................ p. Rufino Ballestea. ................................................. D. Luis María Z.Vala. D. Fcrmin Aifaro................... D. Juan Armando ‘Düjardín. D. Manuel CarriJo....................................... ............................ D. Mig…</t>
  </si>
  <si>
    <t>Zacatto</t>
  </si>
  <si>
    <t>uede valuar la pérdida del enemigo; pero no consecuencia de los partes remitidos por el general baxará de 200 hombres. Por nuestra parte no he­ mayor conde Zacatto, que Czernl-Jorge fue ata­ mos tenido mas que un oficial de cosacos del mar cado dos veces en los dias 29 y 30 de junio por Negro herido gravemente. algunas tropas…</t>
  </si>
  <si>
    <t>Zafra, Manuel de Ramos</t>
  </si>
  <si>
    <t>Manuel de Ramos Zafra</t>
  </si>
  <si>
    <t>García y Villanue-va, y en su nombre sus apoderados Pinillos y Pcrez....... . 35739 „ 1434913808.. 8} g . Francisco de las Barreras................. D. Manuel de Ramos Zafra...... ........... D. Pedro Baille y compañía.................. D. Amonio di Castilla.......................... 1500 40514.. 7 78913.. 3 5333r.. 7 D, Este…</t>
  </si>
  <si>
    <t>Zafra, Manuel Ramos</t>
  </si>
  <si>
    <t>Manuel Ramos Zafra</t>
  </si>
  <si>
    <t>Perez de la Torre. D. Josef de las Barcenas., D. Gnillelmo González Saez. D. Claüdio Larrañaga. D. Santiago Larramendi. D. Manuel Sánchez del Valle. D. Manuel Ramos Zafra. D. Manuel Celestino Carrasco. D. Francisco Zuñiga. D. Mariano Trevíño. Tenientes:, D. Pedro M-ría Brost. D. Pedro San Miguel. I&gt;. Josef Perez Azofra. Batal…</t>
  </si>
  <si>
    <t>Zaimoiski</t>
  </si>
  <si>
    <t>celebración del bautismo, que se veri­ varias resoluciones relativas ai ducado de Varsovia. ficó coi fo-me al rito protestaute. La recién nacida, El conde Zaimoiski es el único qué ha quedado á la que se le ha puesto el nombre de Paulina Fe­ aqui de los uiputados de la Gailitzia. derica María, ha tenido por padrinos y madrina…</t>
  </si>
  <si>
    <t>Zaldo, Agustín</t>
  </si>
  <si>
    <t>Agustín Zaldo</t>
  </si>
  <si>
    <t>D. Bonifacio Cabañas. Subtenientes. D. Simón Gallardo. D. Agustín Zaldo. D. Joaquín Gómez. D. Francisco Berdejo Pacz. D. Josef González de Hoyuelo. Tenientes. D........................................ Ej?Josef González. D. Tomas Arenillas. í?. Gaspar de Losas H</t>
  </si>
  <si>
    <t>Zaldo, Cecilio</t>
  </si>
  <si>
    <t>Cecilio Zaldo</t>
  </si>
  <si>
    <t>00. Duque del Infantado, 4000. D. Blas del Hierro, 500. Don Manuel Saez A y lien, igo D. José Ignacio Echevarría, 40. D. Barto­ lomé deLopetedi, 100. D. Cecilio Zaldo , 600. D. Juan.Labargé, 20a. D. Juan Antonio Garaso, ioco. Conde de Maulé D. Nicolás de la Cruz, 1000. Marquesa de Bclgida, 408. Paul Larriera y compañía , 1500…</t>
  </si>
  <si>
    <t>Zambeccari</t>
  </si>
  <si>
    <t>ido días pasados de ha­ ño impulso de ascensión al globo, cosa que ya ha­ berse reunido varios cuerpos de tropas rusas en las bía practicado antes el conde Zambeccari en B0L0- fronteras del gran ducado: al contrario, todo está áa ; y seria imposible qae diesen al globo otra di­ alli tranquilo, y aun se quejan en las provincia…</t>
  </si>
  <si>
    <t>Zamoiski</t>
  </si>
  <si>
    <t>dia á otro esperamos que haya una acción general, tria, acaba de llegar ahora mismo á esta ciudad. y acaso mui pronto se nos dará la orden de mar­ El conde Zamoiski continúa todavía aquí, y char adelante , y es regular que á la mitad del ca­ ti conde Einsidiel está en sos haciendas. mino nos encontremos con los franceses , cu…</t>
  </si>
  <si>
    <t>Zamora, Jnan Fernandez</t>
  </si>
  <si>
    <t>Jnan Fernandez Zamora</t>
  </si>
  <si>
    <t>trangeros. Parece qae se trata de es­ ga subteniente en el regimiento de Granada , 5.0 de tablecer una universidad provincial. infantería de línea: á D. Jnan Fernandez Zamora subteniente en la compañía de caballería de caza­ dores de montaña de la ciudad de Granada :á Don IMPERIO FRANCES. Francisco Xavier de Zenzano capitán s…</t>
  </si>
  <si>
    <t>Zamowskt</t>
  </si>
  <si>
    <t>............ ................................ r-.SUECIA. que se han distinguido particularmente ¿tirante k última guerra. lístockolmo 79 de enero. El conde Zamowskt, que es el único de los S. A. «1 príncipe Real Cristiano Augusto llega diputados de Gallitzia que ha quedado aqui, tie­ esta noche á Drottningholm , donde será re…</t>
  </si>
  <si>
    <t>Zañudo, Gaspar</t>
  </si>
  <si>
    <t>Gaspar Zañudo</t>
  </si>
  <si>
    <t>0. D. Agustín Pesqueyra, ió. D. Juan Antonio Bernal, 10. D. Ignacio Noriega, 8. D. José María Moreno, 10. Varios indivi­ duos, 71 y 1 real. — Fuerte. D. Gaspar Zañudo, 200. D. Estéban de la Vega, 50. D. Joaquín Velarde, 25. D. Joaquín de la Huerta y Don Francisco Cevailos, 50. Varios individuos, 156 y 5 reales. (JV continuará…</t>
  </si>
  <si>
    <t>Zapiola, Jesé</t>
  </si>
  <si>
    <t>Jesé Zapiola</t>
  </si>
  <si>
    <t>o D. Francisco Tooves, 55. Fd teniente ele fragata D. Ma­ nuel de Clemente, 40. El alférez de navio D. Ramón Martínez del Cor­ ro, 60. Id. de fragata D. Jesé Zapiola , 25. Id. D Juan María Navar­ ro , 50, D. Pedro de Zamalloa, oficial quarto de la contaduría, 30. D- Bartolomé Cerda, capellán , 20. Id. D. Lorenzo Salas, 20. D.…</t>
  </si>
  <si>
    <t>Zarala, Bernardo</t>
  </si>
  <si>
    <t>Bernardo Zarala</t>
  </si>
  <si>
    <t>a, 150 D. Antonio de Cevallos, 200. D. Manuel Campoy, 10. D. Jasé Ignacio Ruiz, 10. D. José Urquides, 10. D. Ignacio Campoy, 20. D. Pedro Quirós, 10. D. Bernardo Zarala, 15. D Manuel Valenzuela, 14. Varios individuos, 78 y 4 rs. Los vecinos é indios de las misiones de Sta. Cruz, Nabojoa y Camoa, 168 y 5 rs. Varios individuos …</t>
  </si>
  <si>
    <t>Zarracina, Francisco</t>
  </si>
  <si>
    <t>Francisco Zarracina</t>
  </si>
  <si>
    <t>S. M. pro­ mover á subtenientes de la plana mayor facultativa del propio cuerpo á D* Francisco Melendez de la Pola, D. Andrés Hernán­ dez Sta. Cruz, D. Francisco Zarracina , D. Miguel González, D. Juan Mendez Vigo , D. Manuel Moreno , D. Pedro Masdetr, D. Joaquin Goñi, D. Juan Vial y D. Celestino Gastón. Conociendo S. M. el r…</t>
  </si>
  <si>
    <t>Zass</t>
  </si>
  <si>
    <t>división Mar~«ion , y que no tardará mucho tiempo en ajustarse koff. Esto es lo que ha ocurrido en el ala izquier­ ‘la paz. da del exército rusa ; el general Zass , que manda « SUECIA. la derecha, ha pasado el Danubio por Turtokai; ' - ■ * * . .se ha apoderado de esta plaza, y ha avanzado ha­ Estockolmoj de julio. cia Rudschu…</t>
  </si>
  <si>
    <t>cxea, y por medio de nuestra esquadrilla ha conse­ AUSTRIA. guido abrir comunicaciones coa el ala derecha del Viena aj de agosto. cuerpo det teniente general Zass. El cuerpo del exército grande qoe está delante S. M. I. ha nombrado al conde Wrbna presi­ de Schomla ha tenido varias acciones en extremo dente de la comisión enca…</t>
  </si>
  <si>
    <t>dida sea de cito destinado para sitiarla, y él mismo se traslado poca consecuencia. allí el 9 de julio para continuar las operaciones del El teniente general Zass hace los mayores elo­ sitio. gios de la Intrepidez que manifestaron Duestras tro­ El teniente general Zass ha rechazado siempre pas en esta expedición tan brillante…</t>
  </si>
  <si>
    <t>concertado los proyectos de los rentando un ataque contra nuestros flancos. Los tarcos. turcos pelearon como desesperados: la importancia El teniente general Zass tovo aviso el dia 8 de de esta tentativa , que es la mayor que han hecho, julio de que seis buques de guerra enemigos habían y de la qual creían sin duda que todo d…</t>
  </si>
  <si>
    <t>Zavala, Gaspar</t>
  </si>
  <si>
    <t>Gaspar Zavala</t>
  </si>
  <si>
    <t>tres el movimiento impreso, el qual por consiguiente no a. tos titulada la gran Clemencia de Titorf puesta en ver­ será exactamente elíptico. so por D. Gaspar Zavala, y un divertido fin de fiesta Las perturbaciones de la luna son las mas señaladas, de D. Ramón de la Cruz. Actores en la comedia. Seño­ las mas notables. La únic…</t>
  </si>
  <si>
    <t>Zavala, Mannel</t>
  </si>
  <si>
    <t>Mannel Zavala</t>
  </si>
  <si>
    <t>............ Sexto batallón. Para ayudante primero D. Francisca Zegers, para segando D. Angel Groadoaa , y para abanderado D. Mjgnel de Zerralde. i*. D. Mannel Zavala................. D. Cándido Palacios. a.*. D. Félix lzaguirre.................. D. Gerónimo Sobrado. D. Mannel Gonzalo del Rio. D. Gabriel Sobrado. D. Josef Zer…</t>
  </si>
  <si>
    <t>Zavala, Manuel</t>
  </si>
  <si>
    <t>Manuel Zavala</t>
  </si>
  <si>
    <t>. Josef Fnmel. Uno de nuestros periódicos dice que Mr. Mac­ Teniente, D. Pedro Real. ícenle, enviado de S. M. británica , y Mr. Williams Subteniente, D. Manuel Zavala. Ki‘ton , secretario de la legación, han tomado una Batallón del quartel de Maravillas. casa en París, y que vendrán á ver las funciones que han de celebrarse a…</t>
  </si>
  <si>
    <t>icenta de Musita...................... 27616 14 D. Germán Laurencin........................... 4873 J7 D. Lorenzo de Palacio y Gorbea....... 3842I 31 D. Manuel Zavala................................. 13 5 3 2í Doña Tomasa Guerra............................ 20010 32 D. Andrés Saez de Azofra.................. 13718 Doña Pascual…</t>
  </si>
  <si>
    <t>Zavala, Pantaleón</t>
  </si>
  <si>
    <t>Pantaleón Zavala</t>
  </si>
  <si>
    <t>..... -..... ................................. 33333 D. Antonio Ruiz.de Castilla............. . ^SS-^Si Los señores D- Pedro Baille y compañía. 42 59 D. Pantaleón Zavala.............................. 1088 D. Rafael Martínez de Ariza............ 18014.,16 D. Julián Diaz Moreno...................... ~ 180.. 17 D. Josef Julián D…</t>
  </si>
  <si>
    <t>Zazuewski</t>
  </si>
  <si>
    <t>stillo de Fuengirola, simado en­ estillo, ios tenientes Plachseki y Cbelmiski, el tre Málaga y Marbella, una esquadra inglesa, subteniente Petter, el sargento Zazuewski, co­ compuesta de dos navios de 74, quatro fragatas, mandante de la artillería del castillo, el teniente siete btiks, quatro lanchas cañoneras y varios Petioo…</t>
  </si>
  <si>
    <t>Zciller</t>
  </si>
  <si>
    <t>en año. Como la venta de los li­ Este código se dará i luz acompañado de un co­ bros se ha disminnido por rason de los aconteci­ mentario del célebre profesor Zciller * consejero de mientos políticos* los autores y los libreros parece la corte. que se abstieneo de publicar obras sólidas; pero se Se trata de demoler el antiguo…</t>
  </si>
  <si>
    <t>Zdonczek</t>
  </si>
  <si>
    <t>covia el 23 de noviembre. Este exército, que tiene de fuerza 60Q hombres, se distribuirá en ade­ Leipsick 4 de diciembre. lante en dos divisiones. El general Zdonczek man­ dará la primera, y el general Dombrowiki la se­ Se ha mandado fortificar la ciudad de Wittemgunda. Ahora consta este exército de 26 regimien­ berg, y piens…</t>
  </si>
  <si>
    <t>Ze'ayeta, Fermín</t>
  </si>
  <si>
    <t>Fermín Ze'ayeta</t>
  </si>
  <si>
    <t>........ 4~- e D. Mi gu-4 de Lizarjzu........................... 4-95^ D. Joaquin l: z 32136 216so Doña Vicenta García Bravo................ 18124 27 D. Fermín Ze'ayeta................................ 15220 La n-a do .-Vbert é hijos...................... 470Ó5 D. Mariano fierran......... ................ . 48',3 D. Ped'o Al á…</t>
  </si>
  <si>
    <t>Zegers, Francisca</t>
  </si>
  <si>
    <t>Francisca Zegers</t>
  </si>
  <si>
    <t>............................................................................................................... Sexto batallón. Para ayudante primero D. Francisca Zegers, para segando D. Angel Groadoaa , y para abanderado D. Mjgnel de Zerralde. i*. D. Mannel Zavala................. D. Cándido Palacios. a.*. D. Félix lzaguirre…</t>
  </si>
  <si>
    <t>Zegers, Francisco</t>
  </si>
  <si>
    <t>Francisco Zegers</t>
  </si>
  <si>
    <t>dos. súplica. El recibimiento fue el de hijos contentos Comandante. D. Carlos F.‘ Serdaes. con ver á un padre por quien ansiaban. Los vivas Ayudante, D. Francisco Zegers. resonaban por toda la‘carrera, y los habitantes ten­ Abanderado , D. Julián A parid. dido las capas por el suelo por donde pisaba el Monarca. No ha manifest…</t>
  </si>
  <si>
    <t>Zerralde, Josef</t>
  </si>
  <si>
    <t>Josef Zerralde</t>
  </si>
  <si>
    <t>a................. D. Cándido Palacios. a.*. D. Félix lzaguirre.................. D. Gerónimo Sobrado. D. Mannel Gonzalo del Rio. D. Gabriel Sobrado. D. Josef Zerralde. D. Antonio Boan. 6.*.......... D. Pedro Real D. Eugenio Fourdioier. D. Josef Trasvina.................... D. Josef Batalon. S.\.. D. J uan de Ribera y Céspede…</t>
  </si>
  <si>
    <t>Zeschau</t>
  </si>
  <si>
    <t>las quales una estará á las órdenes del ción del Rin. teniente general Lecoq, y otra á las del teniente Sabemos positivamente que todo el principado general Zeschau. de Hanau será incorporado á nuestro gran ducado, ALEMANIA. á excepción de los dos baiiLges de Babrnhauíen y de Windeken , que se agregarán al gran ducado de Oril…</t>
  </si>
  <si>
    <t>Zichi</t>
  </si>
  <si>
    <t>nde debe reemplazar al Prín­ peñará el conde Wallis, que ha sido hasta ahora cipe de Repnim en las funciones de ministro de gobernador de Bohemia. El conde Zichi, que fue Rusia cerca del Reí de Westfalia. presidente de la cámara de Hacienda, vuelve á es­ te mismo destino con poderes mas ámplíos que los GRAN DUCADO DE FRANCFOR…</t>
  </si>
  <si>
    <t>Zichi, Estéban</t>
  </si>
  <si>
    <t>Estéban Zichi</t>
  </si>
  <si>
    <t>el mismo carácter á la corte fines, el Rei se ve óbiigado: á exigir de su pueblo de Baviera. algunos sacrificios, estableciendo varios impuestos, El conde Estéban Zichi, gentilhombre de S. M., algunos de ellos mas considerables qne los que exis­ y embaxador en Saxonia , va á Berlín en calidad ten en el dia ,' y otros arreglad…</t>
  </si>
  <si>
    <t>Zigertíf</t>
  </si>
  <si>
    <t>le, el qne se entre en la casa qne se le antoje. aquella plaza principia ya ic8ufrir-Ia '-escasea.; El Quaiquiera puede convencerse de las muchas ve­ general Zigertíf continúa bloqueando í Varna.” ces que no se ha obedecido al sentido literal de las liceocias concedidas, por los informes de los GRAN BRETAÑA, guardias de los b…</t>
  </si>
  <si>
    <t>Zisgrew</t>
  </si>
  <si>
    <t>ei. Constan plausible motivo hubo una es importantísima , y que tiene 209) habitantes, se gran salva de artillería al mismo tiempo que atra­ halla el general Zisgrew. A 14 millas .al poniente vesar S, M. la ciudad, y al dia siguiente hubo de VVartia está Schumla, plaza no menos fuerte, también gran .corte en palacio. £1 maris…</t>
  </si>
  <si>
    <t>Zisirew</t>
  </si>
  <si>
    <t>del enemi­ de 3© hombres; pero otras noticias mas recientes go debe de ser mucho mayor. hablan de las ventajas conseguidas por los rusos. ,,E1 mayor general Zisirew mudó el 16 de ja­ El gobierno ruso no ha revocado todavía la pro­ cio de árdea del general en gefe tas posiciones de hibición de no dexar salir ninguna clase de c…</t>
  </si>
  <si>
    <t>Ziss</t>
  </si>
  <si>
    <t>tiene la ventaja de h.brr dado al fondo la esquadrilla comunicación con el ala derecha del del qnadro un colorido menos fuerte que í lo de­ teniente general Ziss. mas, ceya diferencia falta en el original que tra­ Nuestro exército principa!, cerca de Schnmla, zó Rafael en su primera juventud. ha dado los siguientes combatí -:…</t>
  </si>
  <si>
    <t>Zjss</t>
  </si>
  <si>
    <t>diario del Norte acaba de publi­ tes operaciones , qoando otro cuerpo á las órdenes car ia siguiente relación, que debe fixar la opinión de! teniente general Zjss atravesaba el Danubio por de la Europa sobre este punto tan importante. ^ la ciudad de Turtukai, que fue tomada á pesar de la obstinada resistencia de los *0 turcos…</t>
  </si>
  <si>
    <t>Zocato</t>
  </si>
  <si>
    <t>es de la última derrota de los turcos en que han desaparecido luego que se trató seriamente 14 de agosto por el eperpo del mayor general rechazarlos. conde Zocato, unos 1500 hombres de caballería y Parece que la esquadra tutea no. volverá á in-s de infantería enemiga llegaron al día siguiente á quietar mucho á los rusos , ni …</t>
  </si>
  <si>
    <t>Zondadari</t>
  </si>
  <si>
    <t>s autoridades legítimas de Zaragoza , en donde La diputación de la Toscana compuesta de vuestros tribunales están abiertos, y en donde el S. Erna. el cardenal Zondadari , y de otros varios, cuito obtiene todo el honor que es debido. Siempre ha sido presentada por S. E. el mioistrode lo Inte­ me tendréis pronto á haceros todos…</t>
  </si>
  <si>
    <t>Zorrilla, Antonio</t>
  </si>
  <si>
    <t>Antonio Zorrilla</t>
  </si>
  <si>
    <t>, que no perdonan medio para envolverlo en cuencia he nombrado al teniente del cuerpo muni­ toda clase de males. Asi es que a pesar de la con­ cipal D. Antonio Zorrilla, y el subteniente del ducta que observó esta capital del reino luego que mismo D. Antonio Espinosa, dadores de esta, pa­ recibió los avisos de acercarse el qu…</t>
  </si>
  <si>
    <t>Zorrilla, Rodrigo</t>
  </si>
  <si>
    <t>Rodrigo Zorrilla</t>
  </si>
  <si>
    <t>ata-Linares..,„u...... . ■- 30000* D. Manuel Rodríguez............................ 180..17 D.' Juan Bauiista Condestable....................... 20880 D. Rodrigo Zorrilla............................... 722 D. Francisco de las Barreras....;........... 6390 D. Andrés de Saucal........... -...... ......... *4079-l7 D.-Mariano Bla…</t>
  </si>
  <si>
    <t>Zu, Josef</t>
  </si>
  <si>
    <t>Josef Zu</t>
  </si>
  <si>
    <t>mingo ir, dice que Lurja ; p.ra tenientes D. Fr.nciscn Zu.eca y Don, á su salida de Londres, que fae en Ja mañana del Juan Beato, y para subtenientes D. Josef Zu.eta expresado día 10 , corría allí favoz de que un ede­ y D- Andrés Perez. cán del general Wc.lington había traído la noticia art. iv. En el batallón de la villa de …</t>
  </si>
  <si>
    <t>Zubia</t>
  </si>
  <si>
    <t>Gaceta de Madrid n.º 206 (suplemento)</t>
  </si>
  <si>
    <t>terior, interino de Hacienda, sEl marques de Almenara. S Seis ftneg.is de tierra de secano, término de la Aprobado. sFirmados YO EL REI-sPor S. M. su ministro Zubia................................................................ 5® 1100 Secretario de Estados Firmados Mariano Luis de Urquijo. Veinte y quatro marjales y 75 esta…</t>
  </si>
  <si>
    <t>Zubia, Juan Capistrano</t>
  </si>
  <si>
    <t>Juan Capistrano Zubia</t>
  </si>
  <si>
    <t>. £). José Perez Ruiz, 22. D. Lepe de Vega, 20. D. Miguel de la Huerta, 20. Doña Plácida Mingura, 12. D. Juan José Atenas, 50. D. Santiago Abren, 30. D. Juan Capistrano Zubia ,8. D. José María Porras ,8. D. Ber­ nardo Martínez 200. D. Francisco Jíuregui, roo. José Pablo Bracannonte, 39 y 3 rs. Ramón Hernández, 1 xa.--Valle de…</t>
  </si>
  <si>
    <t>Zubia, Julián</t>
  </si>
  <si>
    <t>Julián Zubia</t>
  </si>
  <si>
    <t>5. D. Mariano Hinojos, tercero, 25. D. Pedro Simón del Campo, quarto, 50. D. Joaquín Palou , archivero, 15. D. Francisco Garavilla , escribiente, 10. D. Julián Zubia, idem, 10. El auditor de guerra D. Mariano Herrera, 100. El ayudante inspector D. Cristóbal Domín­ guez , 100. — Compañías militares, patios. Capitán D. José Fra…</t>
  </si>
  <si>
    <t>Zubia, Rafael</t>
  </si>
  <si>
    <t>Rafael Zubia</t>
  </si>
  <si>
    <t>io Vizoso, 50. D. Martin Mariñelarena, 12. D. Pedro Ignacio Irigoyen , i&lt;&gt;. D. Juan Trillo. 8. D. Gerónimo Maeeira, 50. D. Sabino de la Pedrueza, 33. D. Rafael Zubia , 20. D. Justo Madariaga, 20. D. Francisco J íuregui por 3a casa de D. Francisco Eíguea , 30. D. Juan Eíguezabal, 50. £). José Perez Ruiz, 22. D. Lepe de Vega, 2…</t>
  </si>
  <si>
    <t>Zubiaga, María Eugenia</t>
  </si>
  <si>
    <t>María Eugenia Zubiaga</t>
  </si>
  <si>
    <t>ela-de-Azpiroz.12240 D. Simón Medrano............ a,'27 D. Josef Manuel lzaguirrc.................. 10800 D. Francisco Antonio de Rivacoba... 8754 8i Doña María Eugenia Zubiaga , por sí, D. Francisco de Iturríbarria..............-1 14981 17 í-y como tutora y’curadora de sú D. Antonio García de Roa........¿..... . 4061 8| * hi…</t>
  </si>
  <si>
    <t>Zubiaga, Pedro</t>
  </si>
  <si>
    <t>Pedro Zubiaga</t>
  </si>
  <si>
    <t>í Doña Cami! i de Amaga...................... 5 4r 00 y como totora y curadora de su D. Tontas Aisú....................................... 28800 hijo D. Pedro Zubiaga...................... 65 *42 8£ D. Gabdel Gómez................................. 5 0400 D- Alariano Luis de Urquijo................ 8664 D. Antonio Entrena.....…</t>
  </si>
  <si>
    <t>or sí, D. Francisco de Iturríbarria..............-1 14981 17 í-y como tutora y’curadora de sú D. Antonio García de Roa........¿..... . 4061 8| * hijo D. Pedro Zubiaga...... ........ 5764 31 D. Pedro Madrid.................................¡. ¡'-361 Doña Josefa Larrea.............. . 5106 24 D. Martín Fernandez Navarrete.......…</t>
  </si>
  <si>
    <t>Zubizar, Juan</t>
  </si>
  <si>
    <t>Juan Zubizar</t>
  </si>
  <si>
    <t>gues, 130. Varios individuos, ^4 y 4 rs. --- Gnuvizamey. D. Ramón Re villa, 50. Fr. Luis Salgado, 20. D. Juan José Cobos, 10. D. Martin Zubizar, 100. D. Juan Zubizar, 100. D. José Tomas Yañez, 10 Tres individuos, 15. — AÁapimi- D. Francis­ co Labarrieta, 100. D. Santiago Labarrieta, 25. — Cuencamé. D. Miguel Arróspide, too. D…</t>
  </si>
  <si>
    <t>Zubizar, Martin</t>
  </si>
  <si>
    <t>Martin Zubizar</t>
  </si>
  <si>
    <t>Perez, 30. D. Marcos Vagues, 130. Varios individuos, ^4 y 4 rs. --- Gnuvizamey. D. Ramón Re villa, 50. Fr. Luis Salgado, 20. D. Juan José Cobos, 10. D. Martin Zubizar, 100. D. Juan Zubizar, 100. D. José Tomas Yañez, 10 Tres individuos, 15. — AÁapimi- D. Francis­ co Labarrieta, 100. D. Santiago Labarrieta, 25. — Cuencamé. D. M…</t>
  </si>
  <si>
    <t>Zucato</t>
  </si>
  <si>
    <t>­ Tchelikawi." sencia será de pocos dias. Lo demas de la relacioo trata de las operacio­ La gazeta de la corte trae hoi la continuación nes del mayor general Zucato, el qual se ha uni­ de las operaciones del exército de la Moldavia, las do con los servios, y de la toma de Persa-Palaoquales se reducen á lo siguiente: , ka; cos…</t>
  </si>
  <si>
    <t>Zukato</t>
  </si>
  <si>
    <t>n ella. El bloqueo de pecie en 6© duros. Widin debe empezarse muí pronto , para lo qual Ha faltado mui poco para que una leve des­ el cuerpo ruso del general Zukato ha pasado ya ei avenencia de alganos vecinos de Kilkenni, en Ir­ Danubio, y está bastante cerca üe esta ciudad. landa, ocasione nna guerra mui viva en esta parte …</t>
  </si>
  <si>
    <t>Zukatoff</t>
  </si>
  <si>
    <t>des cruces de la Nuestra gazeta anuncia hoi, en artículo de Pane- orden de la Corona de Westfalia. S. M. se ha re­ so w a del 27 de setiembre, que el general Zukatoff servado una para sí, y ha distribuido las otras en­ ba fallecido de resultas de una fiebre maligaa. tre el príncipe heredero, el ministro conde de Moutgelas y e…</t>
  </si>
  <si>
    <t>o distribuir'entre los pobres de El teniente general Sass ha sido nombrado para Saltzburgo la cantidad de to© florines para que reemplazar al difunto general Zukatoff en el man­ puedan ocurrir á los gastos de la función con que ha do del cuerpo de observación ruso de Praowa, y de celebrarse allí el matrimonio del Príncipe Rea…</t>
  </si>
  <si>
    <t>Zuloaga, Manuel</t>
  </si>
  <si>
    <t>Manuel Zuloaga</t>
  </si>
  <si>
    <t>. Juan Nicolás de Quinos * ico. El presbítero D. Eüas Zayas, 50. Idem D. José María Campoy* 20. Idem D. Pedro Campoy , 10. El administrador de rentas D. Manuel Zuloaga, 50. D. Bartolomé Salido, 300. D. Bruno de Palacio, 150. D. Nicolás Alfaro, 10. D. Manuel Anguiz, 50. D. Joan Manuel de Ortiz, 300. D. Antonio Aunada, 150. D. …</t>
  </si>
  <si>
    <t>Zúñiga, Antonio</t>
  </si>
  <si>
    <t>Antonio Zúñiga</t>
  </si>
  <si>
    <t>alentín de Huerta , 100. D. Mar­ tin Oiazagasti, .100. D. .Lian Francisco de Abarca , 100. D. Melchor de Aja­ ría, 100. B. Juan José de Iraeta , 100. D. Antonio Zúñiga, 100. D. Mar­ tin Sánchez Serrano, 100. D. Juan Antonio Fernandez, 200. D. Félix de Águirre, 400. D. Pedro del Paso Troncoso, 100. D. Prudencio Gutiérrez, 100.…</t>
  </si>
  <si>
    <t>Zuñiga, Francisco</t>
  </si>
  <si>
    <t>Francisco Zuñiga</t>
  </si>
  <si>
    <t>llelmo González Saez. D. Claüdio Larrañaga. D. Santiago Larramendi. D. Manuel Sánchez del Valle. D. Manuel Ramos Zafra. D. Manuel Celestino Carrasco. D. Francisco Zuñiga. D. Mariano Trevíño. Tenientes:, D. Pedro M-ría Brost. D. Pedro San Miguel. I&gt;. Josef Perez Azofra. Batallón del quartel de Avapies. D. Pedro Rubio, hijo. Ca…</t>
  </si>
  <si>
    <t>Zúñiga, Josef Fernandez</t>
  </si>
  <si>
    <t>Josef Fernandez Zúñiga</t>
  </si>
  <si>
    <t>sef Aleson. D. Matías López de Para. Batallón del quartel de Afligidos. D. Fernando Ruiz Mazo. Capitanes. D. Isidro de Mata y Serna. D. Joaquín Onis. D. Josef Fernandez Zúñiga. D. Josef María Monserrat. D. Ramón Echaetea. D. Gaspar Soiiveres. Subtenientes. D. Juan Ncpomuceno Rosales. D. Josef Vargas. D. Julián Castañou. D. Di…</t>
  </si>
  <si>
    <t>Zurita, Ramón</t>
  </si>
  <si>
    <t>Ramón Zurita</t>
  </si>
  <si>
    <t>ef Guerrero. an sido dispersadas , con lo qual se ha restableci­ Pa’ra la de Laroles al ex-franciscano observante do la tranquilidad en la provincia. D. Ramón Zurita. Para la de Benalúá al ex-franciscano observante D. Joan de Castro. " S. M. ha expedido el decreto siguiente: Para la de Isnalloz al ex- franciscano observan­ Ex…</t>
  </si>
  <si>
    <t>Zuyonzeck</t>
  </si>
  <si>
    <t>t. vi. Nuestros ministros de Negocios ecle­ bires y las provincias reunidas al imperio francés. siásticos y de Hacienda quedao encargados del cum­ El conde Zuyonzeck , general de división al plimiento de este decreto. = Firma Jo = YO EL servicio del gran ducado de Varsovia, ha llegado REI. = Por S. M. su ministro secretario d…</t>
  </si>
  <si>
    <t>Zwilenew</t>
  </si>
  <si>
    <t>nvariables; la libertad de la prenmientos, no podrian ya defenderse allí los enemi­ sa está baxo la salvaguardia de la leí; se han roto gos, mandó al coronel Zwilenew, gefe del regi­ las cadenas que aprisionaban el pensamiento y las miento de tiradores de la Nueva Liaría, que toma­ buenas ideas......... Las contribuciones: se…</t>
  </si>
  <si>
    <t>ígo RUSIA. rovo que ceder, y padeció una pérdida mui Cdrt— &lt; Petcrsburgo y de octubre. sídérable. La nuestra ha sido de poca' importancias ■ 4¿“ ,,El coronel Zwilenew se apoderó 4I 19 da S. A. R. el duque Alexandro de Wurtemberg setiembre de la fortaleza de Práowa. El enemigo' lja sido nombrado gobernador general, de la Rusia…</t>
  </si>
  <si>
    <t>Fuentes oficiales y criterio de elaboración · 1810</t>
  </si>
  <si>
    <t>548 archivos · 2770 páginas · enlaces al facsímil oficial</t>
  </si>
  <si>
    <t>Archivo</t>
  </si>
  <si>
    <t>Páginas PDF</t>
  </si>
  <si>
    <t>Registros del índice</t>
  </si>
  <si>
    <t>Facsímil completo</t>
  </si>
  <si>
    <t>GMD-1810-1.pdf</t>
  </si>
  <si>
    <t>Gaceta de Madrid n.º 2</t>
  </si>
  <si>
    <t>GMD-1810-2.pdf</t>
  </si>
  <si>
    <t>GGB-1810-1.pdf</t>
  </si>
  <si>
    <t>Gaceta de Madrid n.º 3</t>
  </si>
  <si>
    <t>GMD-1810-3.pdf</t>
  </si>
  <si>
    <t>GMD-1810-4.pdf</t>
  </si>
  <si>
    <t>GGB-1810-2.pdf</t>
  </si>
  <si>
    <t>GMD-1810-5.pdf</t>
  </si>
  <si>
    <t>GMD-1810-6.pdf</t>
  </si>
  <si>
    <t>GGB-1810-3.pdf</t>
  </si>
  <si>
    <t>GGB-E-1810-3.pdf</t>
  </si>
  <si>
    <t>GMD-1810-7.pdf</t>
  </si>
  <si>
    <t>GMD-1810-8.pdf</t>
  </si>
  <si>
    <t>GMD-1810-9.pdf</t>
  </si>
  <si>
    <t>GGB-1810-4.pdf</t>
  </si>
  <si>
    <t>GMD-1810-10.pdf</t>
  </si>
  <si>
    <t>GMD-1810-11.pdf</t>
  </si>
  <si>
    <t>GGB-1810-5.pdf</t>
  </si>
  <si>
    <t>GMD-1810-12.pdf</t>
  </si>
  <si>
    <t>GMD-1810-13.pdf</t>
  </si>
  <si>
    <t>GGB-1810-6.pdf</t>
  </si>
  <si>
    <t>GMD-1810-14.pdf</t>
  </si>
  <si>
    <t>GMD-1810-15.pdf</t>
  </si>
  <si>
    <t>GMD-1810-16.pdf</t>
  </si>
  <si>
    <t>GGB-1810-7.pdf</t>
  </si>
  <si>
    <t>GMD-1810-17.pdf</t>
  </si>
  <si>
    <t>GMD-1810-18.pdf</t>
  </si>
  <si>
    <t>GGB-1810-8.pdf</t>
  </si>
  <si>
    <t>GMD-1810-19.pdf</t>
  </si>
  <si>
    <t>GMD-1810-20.pdf</t>
  </si>
  <si>
    <t>GGB-1810-9.pdf</t>
  </si>
  <si>
    <t>E00081-00082.pdf</t>
  </si>
  <si>
    <t>GMD-1810-21.pdf</t>
  </si>
  <si>
    <t>GMD-1810-22.pdf</t>
  </si>
  <si>
    <t>GMD-1810-23.pdf</t>
  </si>
  <si>
    <t>GGB-1810-10.pdf</t>
  </si>
  <si>
    <t>GMD-1810-24.pdf</t>
  </si>
  <si>
    <t>GMD-1810-25.pdf</t>
  </si>
  <si>
    <t>GMD-1810-26.pdf</t>
  </si>
  <si>
    <t>GMD-1810-27.pdf</t>
  </si>
  <si>
    <t>GMD-1810-28.pdf</t>
  </si>
  <si>
    <t>GMD-1810-29.pdf</t>
  </si>
  <si>
    <t>GMD-1810-30.pdf</t>
  </si>
  <si>
    <t>GMD-1810-31.pdf</t>
  </si>
  <si>
    <t>GMD-1810-32.pdf</t>
  </si>
  <si>
    <t>GMD-1810-33.pdf</t>
  </si>
  <si>
    <t>GMD-1810-34.pdf</t>
  </si>
  <si>
    <t>GMD-1810-35.pdf</t>
  </si>
  <si>
    <t>GMD-1810-36.pdf</t>
  </si>
  <si>
    <t>GMD-1810-37.pdf</t>
  </si>
  <si>
    <t>GMD-1810-38.pdf</t>
  </si>
  <si>
    <t>GMD-1810-39.pdf</t>
  </si>
  <si>
    <t>GMD-1810-40.pdf</t>
  </si>
  <si>
    <t>GMD-1810-41.pdf</t>
  </si>
  <si>
    <t>GMD-1810-42.pdf</t>
  </si>
  <si>
    <t>GMD-1810-43.pdf</t>
  </si>
  <si>
    <t>GMD-1810-44.pdf</t>
  </si>
  <si>
    <t>Gaceta de Madrid n.º 44 (suplemento)</t>
  </si>
  <si>
    <t>GMD-C-1810-44.pdf</t>
  </si>
  <si>
    <t>GMD-1810-45.pdf</t>
  </si>
  <si>
    <t>GMD-1810-46.pdf</t>
  </si>
  <si>
    <t>GMD-1810-47.pdf</t>
  </si>
  <si>
    <t>GMD-1810-48.pdf</t>
  </si>
  <si>
    <t>GMD-1810-49.pdf</t>
  </si>
  <si>
    <t>GMD-1810-50.pdf</t>
  </si>
  <si>
    <t>GMD-1810-51.pdf</t>
  </si>
  <si>
    <t>GMD-1810-52.pdf</t>
  </si>
  <si>
    <t>Gaceta de Madrid n.º 52 (suplemento)</t>
  </si>
  <si>
    <t>GMD-C-1810-52.pdf</t>
  </si>
  <si>
    <t>GMD-1810-53.pdf</t>
  </si>
  <si>
    <t>GMD-1810-54.pdf</t>
  </si>
  <si>
    <t>Gaceta de Madrid n.º 54 (suplemento)</t>
  </si>
  <si>
    <t>GMD-C-1810-54.pdf</t>
  </si>
  <si>
    <t>GMD-1810-55.pdf</t>
  </si>
  <si>
    <t>GMD-1810-56.pdf</t>
  </si>
  <si>
    <t>GMD-1810-57.pdf</t>
  </si>
  <si>
    <t>GMD-1810-58.pdf</t>
  </si>
  <si>
    <t>GMD-1810-59.pdf</t>
  </si>
  <si>
    <t>GMD-C-1810-59.pdf</t>
  </si>
  <si>
    <t>GMD-1810-60.pdf</t>
  </si>
  <si>
    <t>GMD-1810-61.pdf</t>
  </si>
  <si>
    <t>Gaceta de Madrid n.º 61 (suplemento)</t>
  </si>
  <si>
    <t>GMD-C-1810-61.pdf</t>
  </si>
  <si>
    <t>GMD-1810-62.pdf</t>
  </si>
  <si>
    <t>GMD-1810-63.pdf</t>
  </si>
  <si>
    <t>GMD-1810-64.pdf</t>
  </si>
  <si>
    <t>GMD-1810-65.pdf</t>
  </si>
  <si>
    <t>GMD-1810-66.pdf</t>
  </si>
  <si>
    <t>GMD-1810-67.pdf</t>
  </si>
  <si>
    <t>GMD-1810-68.pdf</t>
  </si>
  <si>
    <t>GMD-1810-69.pdf</t>
  </si>
  <si>
    <t>GMD-1810-70.pdf</t>
  </si>
  <si>
    <t>GMD-1810-71.pdf</t>
  </si>
  <si>
    <t>GMD-1810-72.pdf</t>
  </si>
  <si>
    <t>GEI-1810-1.pdf</t>
  </si>
  <si>
    <t>GMD-1810-73.pdf</t>
  </si>
  <si>
    <t>GMD-1810-74.pdf</t>
  </si>
  <si>
    <t>GMD-1810-75.pdf</t>
  </si>
  <si>
    <t>GEI-1810-2.pdf</t>
  </si>
  <si>
    <t>GMD-1810-76.pdf</t>
  </si>
  <si>
    <t>GEI-1810-3E.pdf</t>
  </si>
  <si>
    <t>GMD-1810-77.pdf</t>
  </si>
  <si>
    <t>GMD-1810-78.pdf</t>
  </si>
  <si>
    <t>GMD-1810-79.pdf</t>
  </si>
  <si>
    <t>GEI-1810-4.pdf</t>
  </si>
  <si>
    <t>GMD-1810-80.pdf</t>
  </si>
  <si>
    <t>Gaceta de Madrid n.º 81</t>
  </si>
  <si>
    <t>GMD-1810-81.pdf</t>
  </si>
  <si>
    <t>GMD-1810-82.pdf</t>
  </si>
  <si>
    <t>GEI-1810-5.pdf</t>
  </si>
  <si>
    <t>GEI-1810-6E.pdf</t>
  </si>
  <si>
    <t>GMD-1810-83.pdf</t>
  </si>
  <si>
    <t>GMD-1810-84.pdf</t>
  </si>
  <si>
    <t>Gaceta de Madrid n.º 84 (suplemento)</t>
  </si>
  <si>
    <t>C00355-00356.pdf</t>
  </si>
  <si>
    <t>GMD-1810-85.pdf</t>
  </si>
  <si>
    <t>GMD-1810-86.pdf</t>
  </si>
  <si>
    <t>GEI-1810-7.pdf</t>
  </si>
  <si>
    <t>GEI-1810-8E.pdf</t>
  </si>
  <si>
    <t>GMD-1810-87.pdf</t>
  </si>
  <si>
    <t>GMD-1810-88.pdf</t>
  </si>
  <si>
    <t>GMD-1810-89.pdf</t>
  </si>
  <si>
    <t>GEI-1810-9.pdf</t>
  </si>
  <si>
    <t>GMD-1810-90.pdf</t>
  </si>
  <si>
    <t>GMD-1810-91.pdf</t>
  </si>
  <si>
    <t>GMD-1810-92.pdf</t>
  </si>
  <si>
    <t>GEI-1810-10E.pdf</t>
  </si>
  <si>
    <t>GMD-1810-93.pdf</t>
  </si>
  <si>
    <t>GEI-1810-11.pdf</t>
  </si>
  <si>
    <t>GMD-1810-94.pdf</t>
  </si>
  <si>
    <t>GMD-1810-95.pdf</t>
  </si>
  <si>
    <t>GMD-1810-96.pdf</t>
  </si>
  <si>
    <t>GEI-1810-12.pdf</t>
  </si>
  <si>
    <t>GMD-1810-97.pdf</t>
  </si>
  <si>
    <t>GMD-1810-98.pdf</t>
  </si>
  <si>
    <t>GMD-1810-99.pdf</t>
  </si>
  <si>
    <t>GMD-1810-100.pdf</t>
  </si>
  <si>
    <t>GEI-1810-13.pdf</t>
  </si>
  <si>
    <t>GMD-1810-101.pdf</t>
  </si>
  <si>
    <t>GMD-1810-102.pdf</t>
  </si>
  <si>
    <t>GMD-1810-103.pdf</t>
  </si>
  <si>
    <t>GEI-1810-14.pdf</t>
  </si>
  <si>
    <t>GMD-1810-104.pdf</t>
  </si>
  <si>
    <t>GMD-1810-105.pdf</t>
  </si>
  <si>
    <t>GMD-1810-106.pdf</t>
  </si>
  <si>
    <t>GMD-1810-107.pdf</t>
  </si>
  <si>
    <t>Gaceta de Madrid n.º 107 (suplemento)</t>
  </si>
  <si>
    <t>GMD-C-1810-107.pdf</t>
  </si>
  <si>
    <t>GEI-1810-15.pdf</t>
  </si>
  <si>
    <t>GEI-D-1810-15.pdf</t>
  </si>
  <si>
    <t>GMD-1810-108.pdf</t>
  </si>
  <si>
    <t>GMD-1810-109.pdf</t>
  </si>
  <si>
    <t>GMD-1810-110.pdf</t>
  </si>
  <si>
    <t>GEI-1810-16.pdf</t>
  </si>
  <si>
    <t>GMD-1810-111.pdf</t>
  </si>
  <si>
    <t>GMD-1810-112.pdf</t>
  </si>
  <si>
    <t>GMD-1810-113.pdf</t>
  </si>
  <si>
    <t>GMD-1810-114.pdf</t>
  </si>
  <si>
    <t>GEI-1810-17.pdf</t>
  </si>
  <si>
    <t>GMD-1810-115.pdf</t>
  </si>
  <si>
    <t>GMD-1810-116.pdf</t>
  </si>
  <si>
    <t>GMD-1810-117.pdf</t>
  </si>
  <si>
    <t>GEI-1810-18.pdf</t>
  </si>
  <si>
    <t>GEI-D-1810-18.pdf</t>
  </si>
  <si>
    <t>GMD-1810-118.pdf</t>
  </si>
  <si>
    <t>GMD-1810-119.pdf</t>
  </si>
  <si>
    <t>GMD-1810-120.pdf</t>
  </si>
  <si>
    <t>GMD-1810-121.pdf</t>
  </si>
  <si>
    <t>GEI-1810-19.pdf</t>
  </si>
  <si>
    <t>GMD-1810-122.pdf</t>
  </si>
  <si>
    <t>GMD-C-1810-122.pdf</t>
  </si>
  <si>
    <t>GEI-1810-20E.pdf</t>
  </si>
  <si>
    <t>GMD-1810-123.pdf</t>
  </si>
  <si>
    <t>Gaceta de Madrid n.º 124</t>
  </si>
  <si>
    <t>GMD-1810-124.pdf</t>
  </si>
  <si>
    <t>GEI-1810-21.pdf</t>
  </si>
  <si>
    <t>Gaceta de Madrid n.º 125</t>
  </si>
  <si>
    <t>GMD-1810-125.pdf</t>
  </si>
  <si>
    <t>GMD-1810-126.pdf</t>
  </si>
  <si>
    <t>GMD-1810-127.pdf</t>
  </si>
  <si>
    <t>GMD-1810-128.pdf</t>
  </si>
  <si>
    <t>GEI-1810-22.pdf</t>
  </si>
  <si>
    <t>GMD-1810-129.pdf</t>
  </si>
  <si>
    <t>GEI-1810-23E.pdf</t>
  </si>
  <si>
    <t>GMD-1810-130.pdf</t>
  </si>
  <si>
    <t>GMD-1810-131.pdf</t>
  </si>
  <si>
    <t>GMD-C-1810-131.pdf</t>
  </si>
  <si>
    <t>GEI-1810-24.pdf</t>
  </si>
  <si>
    <t>GMD-1810-132.pdf</t>
  </si>
  <si>
    <t>Gaceta de Madrid n.º 132 (suplemento)</t>
  </si>
  <si>
    <t>GMD-C-1810-132.pdf</t>
  </si>
  <si>
    <t>GMD-1810-133.pdf</t>
  </si>
  <si>
    <t>GMD-1810-134.pdf</t>
  </si>
  <si>
    <t>GMD-1810-135.pdf</t>
  </si>
  <si>
    <t>Gaceta de Madrid n.º 135 (suplemento)</t>
  </si>
  <si>
    <t>GMD-C-1810-135.pdf</t>
  </si>
  <si>
    <t>GEI-1810-25.pdf</t>
  </si>
  <si>
    <t>GMD-1810-136.pdf</t>
  </si>
  <si>
    <t>GMD-1810-137.pdf</t>
  </si>
  <si>
    <t>GEI-1810-26E.pdf</t>
  </si>
  <si>
    <t>GMD-1810-138.pdf</t>
  </si>
  <si>
    <t>GEI-1810-27.pdf</t>
  </si>
  <si>
    <t>GMD-1810-139.pdf</t>
  </si>
  <si>
    <t>GMD-1810-140.pdf</t>
  </si>
  <si>
    <t>GMD-1810-141.pdf</t>
  </si>
  <si>
    <t>GMD-1810-142.pdf</t>
  </si>
  <si>
    <t>GEI-1810-28.pdf</t>
  </si>
  <si>
    <t>GEI-1810-29E.pdf</t>
  </si>
  <si>
    <t>GMD-1810-143.pdf</t>
  </si>
  <si>
    <t>GMD-1810-144.pdf</t>
  </si>
  <si>
    <t>GMD-1810-145.pdf</t>
  </si>
  <si>
    <t>GEI-1810-30.pdf</t>
  </si>
  <si>
    <t>GMD-1810-146.pdf</t>
  </si>
  <si>
    <t>GMD-1810-147.pdf</t>
  </si>
  <si>
    <t>GMD-1810-148.pdf</t>
  </si>
  <si>
    <t>GMD-1810-149.pdf</t>
  </si>
  <si>
    <t>GEI-1810-31.pdf</t>
  </si>
  <si>
    <t>GMD-1810-150.pdf</t>
  </si>
  <si>
    <t>Gaceta de Madrid n.º 150 (suplemento)</t>
  </si>
  <si>
    <t>GMD-C-1810-150.pdf</t>
  </si>
  <si>
    <t>GMD-1810-151.pdf</t>
  </si>
  <si>
    <t>GMD-1810-152.pdf</t>
  </si>
  <si>
    <t>GEI-1810-32.pdf</t>
  </si>
  <si>
    <t>GMD-1810-153.pdf</t>
  </si>
  <si>
    <t>GMD-1810-154.pdf</t>
  </si>
  <si>
    <t>GMD-1810-155.pdf</t>
  </si>
  <si>
    <t>GMD-1810-156.pdf</t>
  </si>
  <si>
    <t>GEI-1810-33.pdf</t>
  </si>
  <si>
    <t>GEI-D-1810-33.pdf</t>
  </si>
  <si>
    <t>GMD-1810-157.pdf</t>
  </si>
  <si>
    <t>GMD-C-1810-157.pdf</t>
  </si>
  <si>
    <t>GMD-1810-158.pdf</t>
  </si>
  <si>
    <t>GMD-1810-159.pdf</t>
  </si>
  <si>
    <t>GEI-1810-34.pdf</t>
  </si>
  <si>
    <t>GMD-1810-160.pdf</t>
  </si>
  <si>
    <t>GMD-1810-161.pdf</t>
  </si>
  <si>
    <t>GMD-C-1810-161.pdf</t>
  </si>
  <si>
    <t>GMD-1810-162.pdf</t>
  </si>
  <si>
    <t>GMD-1810-163.pdf</t>
  </si>
  <si>
    <t>GEI-1810-35.pdf</t>
  </si>
  <si>
    <t>GEI-D-1810-35.pdf</t>
  </si>
  <si>
    <t>GMD-1810-164.pdf</t>
  </si>
  <si>
    <t>GMD-1810-165.pdf</t>
  </si>
  <si>
    <t>GMD-1810-166.pdf</t>
  </si>
  <si>
    <t>GEI-1810-36.pdf</t>
  </si>
  <si>
    <t>GMD-1810-167.pdf</t>
  </si>
  <si>
    <t>GMD-1810-168.pdf</t>
  </si>
  <si>
    <t>GMD-1810-169.pdf</t>
  </si>
  <si>
    <t>GMD-C-1810-169.pdf</t>
  </si>
  <si>
    <t>GMD-1810-170.pdf</t>
  </si>
  <si>
    <t>GMD-C-1810-170.pdf</t>
  </si>
  <si>
    <t>GEI-1810-37.pdf</t>
  </si>
  <si>
    <t>GMD-1810-171.pdf</t>
  </si>
  <si>
    <t>GMD-1810-172.pdf</t>
  </si>
  <si>
    <t>GMD-1810-173.pdf</t>
  </si>
  <si>
    <t>GMD-C-1810-173.pdf</t>
  </si>
  <si>
    <t>GEI-1810-38.pdf</t>
  </si>
  <si>
    <t>GEI-D-1810-38.pdf</t>
  </si>
  <si>
    <t>GMD-1810-174.pdf</t>
  </si>
  <si>
    <t>GMD-1810-175.pdf</t>
  </si>
  <si>
    <t>GMD-1810-176.pdf</t>
  </si>
  <si>
    <t>GMD-1810-177.pdf</t>
  </si>
  <si>
    <t>GEI-1810-39.pdf</t>
  </si>
  <si>
    <t>GMD-1810-178.pdf</t>
  </si>
  <si>
    <t>GMD-1810-179.pdf</t>
  </si>
  <si>
    <t>GMD-1810-180.pdf</t>
  </si>
  <si>
    <t>GEI-1810-40.pdf</t>
  </si>
  <si>
    <t>GMD-1810-181.pdf</t>
  </si>
  <si>
    <t>GMD-1810-182.pdf</t>
  </si>
  <si>
    <t>GMD-1810-183.pdf</t>
  </si>
  <si>
    <t>GMD-1810-184.pdf</t>
  </si>
  <si>
    <t>GMD-C-1810-184.pdf</t>
  </si>
  <si>
    <t>GEI-1810-41.pdf</t>
  </si>
  <si>
    <t>GMD-1810-185.pdf</t>
  </si>
  <si>
    <t>GMD-C-1810-185.pdf</t>
  </si>
  <si>
    <t>GMD-1810-186.pdf</t>
  </si>
  <si>
    <t>GMD-C-1810-186.pdf</t>
  </si>
  <si>
    <t>GMD-1810-187.pdf</t>
  </si>
  <si>
    <t>GMD-C-1810-187.pdf</t>
  </si>
  <si>
    <t>GEI-1810-42.pdf</t>
  </si>
  <si>
    <t>GEI-D-1810-42.pdf</t>
  </si>
  <si>
    <t>GMD-1810-188.pdf</t>
  </si>
  <si>
    <t>GMD-C-1810-188.pdf</t>
  </si>
  <si>
    <t>GMD-1810-189.pdf</t>
  </si>
  <si>
    <t>GMD-1810-190.pdf</t>
  </si>
  <si>
    <t>GMD-1810-191.pdf</t>
  </si>
  <si>
    <t>GEI-1810-43.pdf</t>
  </si>
  <si>
    <t>GMD-1810-192.pdf</t>
  </si>
  <si>
    <t>GMD-1810-193.pdf</t>
  </si>
  <si>
    <t>GMD-C-1810-193.pdf</t>
  </si>
  <si>
    <t>GMD-1810-194.pdf</t>
  </si>
  <si>
    <t>GEI-1810-44.pdf</t>
  </si>
  <si>
    <t>GEI-D-1810-44.pdf</t>
  </si>
  <si>
    <t>GMD-1810-195.pdf</t>
  </si>
  <si>
    <t>GMD-1810-196.pdf</t>
  </si>
  <si>
    <t>GMD-1810-197.pdf</t>
  </si>
  <si>
    <t>GMD-1810-198.pdf</t>
  </si>
  <si>
    <t>GEI-1810-45.pdf</t>
  </si>
  <si>
    <t>GMD-1810-199.pdf</t>
  </si>
  <si>
    <t>GMD-1810-200.pdf</t>
  </si>
  <si>
    <t>GMD-1810-201.pdf</t>
  </si>
  <si>
    <t>GMD-C-1810-201.pdf</t>
  </si>
  <si>
    <t>GEI-1810-46.pdf</t>
  </si>
  <si>
    <t>GMD-1810-202.pdf</t>
  </si>
  <si>
    <t>GMD-C-1810-202.pdf</t>
  </si>
  <si>
    <t>GMD-1810-203.pdf</t>
  </si>
  <si>
    <t>Gaceta de Madrid n.º 203 (suplemento)</t>
  </si>
  <si>
    <t>GMD-C-1810-203.pdf</t>
  </si>
  <si>
    <t>GMD-1810-204.pdf</t>
  </si>
  <si>
    <t>GMD-C-1810-204.pdf</t>
  </si>
  <si>
    <t>GMD-1810-205.pdf</t>
  </si>
  <si>
    <t>GMD-C-1810-205.pdf</t>
  </si>
  <si>
    <t>GEI-1810-47.pdf</t>
  </si>
  <si>
    <t>GMD-1810-206.pdf</t>
  </si>
  <si>
    <t>GMD-C-1810-206.pdf</t>
  </si>
  <si>
    <t>GMD-1810-207.pdf</t>
  </si>
  <si>
    <t>GMD-C-1810-207.pdf</t>
  </si>
  <si>
    <t>GMD-1810-208.pdf</t>
  </si>
  <si>
    <t>Gaceta de Madrid n.º 208 (suplemento)</t>
  </si>
  <si>
    <t>GMD-C-1810-208.pdf</t>
  </si>
  <si>
    <t>GEI-1810-48.pdf</t>
  </si>
  <si>
    <t>GMD-1810-209.pdf</t>
  </si>
  <si>
    <t>GMD-1810-210.pdf</t>
  </si>
  <si>
    <t>GMD-C-1810-210.pdf</t>
  </si>
  <si>
    <t>GMD-1810-211.pdf</t>
  </si>
  <si>
    <t>GMD-1810-212.pdf</t>
  </si>
  <si>
    <t>GMD-C-1810-212.pdf</t>
  </si>
  <si>
    <t>GEI-1810-49.pdf</t>
  </si>
  <si>
    <t>GMD-1810-213.pdf</t>
  </si>
  <si>
    <t>Gaceta de Madrid n.º 213 (suplemento)</t>
  </si>
  <si>
    <t>GMD-C-1810-213.pdf</t>
  </si>
  <si>
    <t>GMD-1810-214.pdf</t>
  </si>
  <si>
    <t>Gaceta de Madrid n.º 214 (suplemento)</t>
  </si>
  <si>
    <t>GMD-C-1810-214.pdf</t>
  </si>
  <si>
    <t>GMD-1810-215.pdf</t>
  </si>
  <si>
    <t>GEI-1810-50.pdf</t>
  </si>
  <si>
    <t>GMD-1810-216.pdf</t>
  </si>
  <si>
    <t>GMD-1810-217.pdf</t>
  </si>
  <si>
    <t>GEI-1810-51E.pdf</t>
  </si>
  <si>
    <t>GMD-1810-218.pdf</t>
  </si>
  <si>
    <t>GMD-1810-219.pdf</t>
  </si>
  <si>
    <t>GEI-1810-52.pdf</t>
  </si>
  <si>
    <t>GMD-1810-220.pdf</t>
  </si>
  <si>
    <t>GEI-1810-53E.pdf</t>
  </si>
  <si>
    <t>GMD-1810-221.pdf</t>
  </si>
  <si>
    <t>GMD-C-1810-221.pdf</t>
  </si>
  <si>
    <t>GMD-1810-222.pdf</t>
  </si>
  <si>
    <t>Gaceta de Madrid n.º 222 (suplemento)</t>
  </si>
  <si>
    <t>GMD-C-1810-222.pdf</t>
  </si>
  <si>
    <t>GEI-1810-54.pdf</t>
  </si>
  <si>
    <t>GMD-1810-223.pdf</t>
  </si>
  <si>
    <t>Gazeta de la Regencia de España e Indias n.º 55 (extraordinaria)</t>
  </si>
  <si>
    <t>GEI-1810-55E.pdf</t>
  </si>
  <si>
    <t>GMD-1810-224.pdf</t>
  </si>
  <si>
    <t>GMD-1810-225.pdf</t>
  </si>
  <si>
    <t>GMD-1810-226.pdf</t>
  </si>
  <si>
    <t>GEI-1810-56.pdf</t>
  </si>
  <si>
    <t>GEI-D-1810-56.pdf</t>
  </si>
  <si>
    <t>GMD-1810-227.pdf</t>
  </si>
  <si>
    <t>GMD-1810-228.pdf</t>
  </si>
  <si>
    <t>GMD-1810-229.pdf</t>
  </si>
  <si>
    <t>GEI-1810-57.pdf</t>
  </si>
  <si>
    <t>GEI-D-1810-57.pdf</t>
  </si>
  <si>
    <t>GMD-1810-230.pdf</t>
  </si>
  <si>
    <t>Gaceta de Madrid n.º 230 (suplemento)</t>
  </si>
  <si>
    <t>GMD-C-1810-230.pdf</t>
  </si>
  <si>
    <t>GMD-1810-231.pdf</t>
  </si>
  <si>
    <t>GMD-1810-232.pdf</t>
  </si>
  <si>
    <t>GMD-1810-233.pdf</t>
  </si>
  <si>
    <t>GEI-1810-58.pdf</t>
  </si>
  <si>
    <t>GMD-1810-234.pdf</t>
  </si>
  <si>
    <t>GMD-1810-235.pdf</t>
  </si>
  <si>
    <t>GMD-1810-236.pdf</t>
  </si>
  <si>
    <t>GEI-1810-59.pdf</t>
  </si>
  <si>
    <t>GEI-D-1810-59.pdf</t>
  </si>
  <si>
    <t>GMD-1810-237.pdf</t>
  </si>
  <si>
    <t>Gaceta de Madrid n.º 237 (suplemento)</t>
  </si>
  <si>
    <t>GMD-C-1810-237.pdf</t>
  </si>
  <si>
    <t>GMD-1810-238.pdf</t>
  </si>
  <si>
    <t>GMD-1810-239.pdf</t>
  </si>
  <si>
    <t>GMD-1810-240.pdf</t>
  </si>
  <si>
    <t>GEI-1810-60.pdf</t>
  </si>
  <si>
    <t>GEI-D-1810-60.pdf</t>
  </si>
  <si>
    <t>GMD-1810-241.pdf</t>
  </si>
  <si>
    <t>GMD-1810-242.pdf</t>
  </si>
  <si>
    <t>GEI-1810-61E.pdf</t>
  </si>
  <si>
    <t>GMD-1810-243.pdf</t>
  </si>
  <si>
    <t>GEI-1810-62.pdf</t>
  </si>
  <si>
    <t>GEI-1810-63E.pdf</t>
  </si>
  <si>
    <t>GMD-1810-244.pdf</t>
  </si>
  <si>
    <t>GMD-1810-245.pdf</t>
  </si>
  <si>
    <t>GMD-1810-246.pdf</t>
  </si>
  <si>
    <t>GMD-1810-247.pdf</t>
  </si>
  <si>
    <t>GEI-1810-64.pdf</t>
  </si>
  <si>
    <t>GEI-D-1810-64.pdf</t>
  </si>
  <si>
    <t>GMD-1810-248.pdf</t>
  </si>
  <si>
    <t>GMD-1810-249.pdf</t>
  </si>
  <si>
    <t>GMD-1810-250.pdf</t>
  </si>
  <si>
    <t>GEI-1810-65.pdf</t>
  </si>
  <si>
    <t>GEI-D-1810-65.pdf</t>
  </si>
  <si>
    <t>GMD-1810-251.pdf</t>
  </si>
  <si>
    <t>GMD-1810-252.pdf</t>
  </si>
  <si>
    <t>GMD-1810-253.pdf</t>
  </si>
  <si>
    <t>GMD-1810-254.pdf</t>
  </si>
  <si>
    <t>GEI-1810-66.pdf</t>
  </si>
  <si>
    <t>GMD-1810-255.pdf</t>
  </si>
  <si>
    <t>GMD-C-1810-255.pdf</t>
  </si>
  <si>
    <t>GMD-1810-256.pdf</t>
  </si>
  <si>
    <t>GMD-1810-257.pdf</t>
  </si>
  <si>
    <t>GEI-1810-67.pdf</t>
  </si>
  <si>
    <t>GEI-D-1810-67.pdf</t>
  </si>
  <si>
    <t>GMD-1810-258.pdf</t>
  </si>
  <si>
    <t>GMD-1810-259.pdf</t>
  </si>
  <si>
    <t>GEI-1810-68E.pdf</t>
  </si>
  <si>
    <t>GMD-1810-260.pdf</t>
  </si>
  <si>
    <t>GMD-1810-261.pdf</t>
  </si>
  <si>
    <t>GEI-1810-69.pdf</t>
  </si>
  <si>
    <t>GMD-1810-262.pdf</t>
  </si>
  <si>
    <t>GMD-1810-263.pdf</t>
  </si>
  <si>
    <t>GEI-1810-70.pdf</t>
  </si>
  <si>
    <t>GMD-1810-264.pdf</t>
  </si>
  <si>
    <t>GMD-1810-265.pdf</t>
  </si>
  <si>
    <t>GEI-1810-71.pdf</t>
  </si>
  <si>
    <t>GMD-1810-266.pdf</t>
  </si>
  <si>
    <t>GMD-1810-267.pdf</t>
  </si>
  <si>
    <t>GMD-1810-268.pdf</t>
  </si>
  <si>
    <t>GEI-1810-72.pdf</t>
  </si>
  <si>
    <t>GMD-1810-269.pdf</t>
  </si>
  <si>
    <t>GMD-1810-270.pdf</t>
  </si>
  <si>
    <t>GEI-1810-73.pdf</t>
  </si>
  <si>
    <t>GEI-1810-74E.pdf</t>
  </si>
  <si>
    <t>GMD-1810-271.pdf</t>
  </si>
  <si>
    <t>GMD-1810-272.pdf</t>
  </si>
  <si>
    <t>GMD-C-1810-272.pdf</t>
  </si>
  <si>
    <t>GEI-1810-75.pdf</t>
  </si>
  <si>
    <t>GMD-1810-273.pdf</t>
  </si>
  <si>
    <t>GMD-1810-274.pdf</t>
  </si>
  <si>
    <t>GMD-1810-275.pdf</t>
  </si>
  <si>
    <t>GEI-1810-76.pdf</t>
  </si>
  <si>
    <t>GMD-1810-276.pdf</t>
  </si>
  <si>
    <t>GMD-1810-277.pdf</t>
  </si>
  <si>
    <t>GEI-1810-77.pdf</t>
  </si>
  <si>
    <t>GMD-1810-278.pdf</t>
  </si>
  <si>
    <t>GMD-1810-279.pdf</t>
  </si>
  <si>
    <t>GEI-1810-78.pdf</t>
  </si>
  <si>
    <t>GEI-D-1810-78.pdf</t>
  </si>
  <si>
    <t>GMD-1810-280.pdf</t>
  </si>
  <si>
    <t>GMD-1810-281.pdf</t>
  </si>
  <si>
    <t>GMD-1810-282.pdf</t>
  </si>
  <si>
    <t>GEI-1810-79.pdf</t>
  </si>
  <si>
    <t>GMD-1810-283.pdf</t>
  </si>
  <si>
    <t>GMD-1810-284.pdf</t>
  </si>
  <si>
    <t>GEI-1810-80.pdf</t>
  </si>
  <si>
    <t>GMD-1810-285.pdf</t>
  </si>
  <si>
    <t>GMD-1810-286.pdf</t>
  </si>
  <si>
    <t>GEI-1810-81.pdf</t>
  </si>
  <si>
    <t>GMD-1810-287.pdf</t>
  </si>
  <si>
    <t>GMD-1810-288.pdf</t>
  </si>
  <si>
    <t>GMD-1810-289.pdf</t>
  </si>
  <si>
    <t>GEI-1810-82.pdf</t>
  </si>
  <si>
    <t>GMD-1810-290.pdf</t>
  </si>
  <si>
    <t>GMD-1810-291.pdf</t>
  </si>
  <si>
    <t>GEI-1810-83.pdf</t>
  </si>
  <si>
    <t>GMD-1810-292.pdf</t>
  </si>
  <si>
    <t>GMD-1810-293.pdf</t>
  </si>
  <si>
    <t>GEI-1810-84.pdf</t>
  </si>
  <si>
    <t>GMD-1810-294.pdf</t>
  </si>
  <si>
    <t>GMD-1810-295.pdf</t>
  </si>
  <si>
    <t>GMD-1810-296.pdf</t>
  </si>
  <si>
    <t>GEI-1810-85.pdf</t>
  </si>
  <si>
    <t>GMD-1810-297.pdf</t>
  </si>
  <si>
    <t>GMD-1810-298.pdf</t>
  </si>
  <si>
    <t>GEI-1810-86.pdf</t>
  </si>
  <si>
    <t>GMD-1810-299.pdf</t>
  </si>
  <si>
    <t>GMD-1810-300.pdf</t>
  </si>
  <si>
    <t>GEI-1810-87.pdf</t>
  </si>
  <si>
    <t>GMD-1810-301.pdf</t>
  </si>
  <si>
    <t>GMD-1810-302.pdf</t>
  </si>
  <si>
    <t>GMD-1810-303.pdf</t>
  </si>
  <si>
    <t>GEI-1810-88.pdf</t>
  </si>
  <si>
    <t>GMD-1810-304.pdf</t>
  </si>
  <si>
    <t>GMD-1810-305.pdf</t>
  </si>
  <si>
    <t>GEI-1810-89.pdf</t>
  </si>
  <si>
    <t>GMD-1810-306.pdf</t>
  </si>
  <si>
    <t>GMD-1810-307.pdf</t>
  </si>
  <si>
    <t>GEI-1810-90.pdf</t>
  </si>
  <si>
    <t>GMD-1810-308.pdf</t>
  </si>
  <si>
    <t>GMD-1810-309.pdf</t>
  </si>
  <si>
    <t>GMD-1810-310.pdf</t>
  </si>
  <si>
    <t>GEI-1810-91.pdf</t>
  </si>
  <si>
    <t>GMD-1810-311.pdf</t>
  </si>
  <si>
    <t>GMD-1810-312.pdf</t>
  </si>
  <si>
    <t>GEI-1810-92.pdf</t>
  </si>
  <si>
    <t>GMD-1810-313.pdf</t>
  </si>
  <si>
    <t>GMD-1810-314.pdf</t>
  </si>
  <si>
    <t>GEI-1810-93.pdf</t>
  </si>
  <si>
    <t>GMD-1810-315.pdf</t>
  </si>
  <si>
    <t>GMD-1810-316.pdf</t>
  </si>
  <si>
    <t>GMD-1810-317.pdf</t>
  </si>
  <si>
    <t>GEI-1810-94.pdf</t>
  </si>
  <si>
    <t>GMD-1810-318.pdf</t>
  </si>
  <si>
    <t>GMD-1810-319.pdf</t>
  </si>
  <si>
    <t>GEI-1810-95.pdf</t>
  </si>
  <si>
    <t>GMD-1810-320.pdf</t>
  </si>
  <si>
    <t>GMD-1810-321.pdf</t>
  </si>
  <si>
    <t>Gaceta de Madrid n.º 321 (suplemento)</t>
  </si>
  <si>
    <t>GMD-C-1810-321.pdf</t>
  </si>
  <si>
    <t>GEI-1810-96.pdf</t>
  </si>
  <si>
    <t>GMD-1810-322.pdf</t>
  </si>
  <si>
    <t>GMD-1810-323.pdf</t>
  </si>
  <si>
    <t>GMD-1810-324.pdf</t>
  </si>
  <si>
    <t>GEI-1810-97.pdf</t>
  </si>
  <si>
    <t>GMD-1810-325.pdf</t>
  </si>
  <si>
    <t>GMD-1810-326.pdf</t>
  </si>
  <si>
    <t>GEI-1810-98.pdf</t>
  </si>
  <si>
    <t>GMD-1810-327.pdf</t>
  </si>
  <si>
    <t>GMD-1810-328.pdf</t>
  </si>
  <si>
    <t>GEI-1810-99.pdf</t>
  </si>
  <si>
    <t>GMD-1810-329.pdf</t>
  </si>
  <si>
    <t>GMD-1810-330.pdf</t>
  </si>
  <si>
    <t>GMD-1810-331.pdf</t>
  </si>
  <si>
    <t>GEI-1810-100.pdf</t>
  </si>
  <si>
    <t>GMD-1810-332.pdf</t>
  </si>
  <si>
    <t>GMD-1810-333.pdf</t>
  </si>
  <si>
    <t>GEI-1810-101.pdf</t>
  </si>
  <si>
    <t>GMD-1810-334.pdf</t>
  </si>
  <si>
    <t>GMD-1810-335.pdf</t>
  </si>
  <si>
    <t>GEI-1810-102.pdf</t>
  </si>
  <si>
    <t>GMD-1810-336.pdf</t>
  </si>
  <si>
    <t>GMD-1810-337.pdf</t>
  </si>
  <si>
    <t>GMD-1810-338.pdf</t>
  </si>
  <si>
    <t>GEI-1810-103.pdf</t>
  </si>
  <si>
    <t>GMD-1810-339.pdf</t>
  </si>
  <si>
    <t>GMD-1810-340.pdf</t>
  </si>
  <si>
    <t>GEI-1810-104.pdf</t>
  </si>
  <si>
    <t>GMD-1810-341.pdf</t>
  </si>
  <si>
    <t>GMD-1810-342.pdf</t>
  </si>
  <si>
    <t>GEI-1810-105.pdf</t>
  </si>
  <si>
    <t>GMD-1810-343.pdf</t>
  </si>
  <si>
    <t>GMD-1810-344.pdf</t>
  </si>
  <si>
    <t>GMD-1810-345.pdf</t>
  </si>
  <si>
    <t>GEI-1810-106.pdf</t>
  </si>
  <si>
    <t>GMD-1810-346.pdf</t>
  </si>
  <si>
    <t>GMD-1810-347.pdf</t>
  </si>
  <si>
    <t>GEI-1810-107.pdf</t>
  </si>
  <si>
    <t>GMD-1810-348.pdf</t>
  </si>
  <si>
    <t>GMD-1810-349.pdf</t>
  </si>
  <si>
    <t>GEI-1810-108.pdf</t>
  </si>
  <si>
    <t>GMD-1810-350.pdf</t>
  </si>
  <si>
    <t>GMD-1810-351.pdf</t>
  </si>
  <si>
    <t>GMD-1810-352.pdf</t>
  </si>
  <si>
    <t>GEI-1810-109.pdf</t>
  </si>
  <si>
    <t>GMD-1810-353.pdf</t>
  </si>
  <si>
    <t>GMD-1810-354.pdf</t>
  </si>
  <si>
    <t>GEI-1810-110.pdf</t>
  </si>
  <si>
    <t>GMD-1810-355.pdf</t>
  </si>
  <si>
    <t>GMD-1810-356.pdf</t>
  </si>
  <si>
    <t>GEI-1810-111.pdf</t>
  </si>
  <si>
    <t>GMD-1810-357.pdf</t>
  </si>
  <si>
    <t>GMD-1810-358.pdf</t>
  </si>
  <si>
    <t>GMD-1810-359.pdf</t>
  </si>
  <si>
    <t>GEI-1810-112.pdf</t>
  </si>
  <si>
    <t>GMD-1810-360.pdf</t>
  </si>
  <si>
    <t>GMD-1810-361.pdf</t>
  </si>
  <si>
    <t>GEI-1810-113.pdf</t>
  </si>
  <si>
    <t>GMD-1810-362.pdf</t>
  </si>
  <si>
    <t>GMD-1810-363.pdf</t>
  </si>
  <si>
    <t>GEI-1810-114.pdf</t>
  </si>
  <si>
    <t>GMD-1810-364.pdf</t>
  </si>
  <si>
    <t>GMD-1810-365.pdf</t>
  </si>
  <si>
    <t>Criterios, alcance y limitaciones</t>
  </si>
  <si>
    <t>Cobertura</t>
  </si>
  <si>
    <t>Todos los archivos localizados en la hemeroteca oficial para las fechas comprendidas entre el 1 de enero y el 31 de diciembre de 1810, incluidos suplementos y ediciones extraordinarias.</t>
  </si>
  <si>
    <t>Cabeceras</t>
  </si>
  <si>
    <t>Gaceta de Madrid (407 archivos); Gazeta del Gobierno (12 archivos); Gazeta de la Regencia de España e Indias (129 archivos).</t>
  </si>
  <si>
    <t>Numeración</t>
  </si>
  <si>
    <t>La Gazeta del Gobierno se publica en enero. La Gazeta de la Regencia de España e Indias inicia su numeración en marzo. Los suplementos se asocian al número correspondiente.</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</si>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</sst>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2"/>
      <color rgb="FFFFFFFF"/>
      <name val="Calibri"/>
    </font>
    <font>
      <b/>
      <sz val="10"/>
      <color rgb="FF1F4E78"/>
      <name val="Calibri"/>
    </font>
    <font>
      <sz val="10"/>
      <name val="Calibri"/>
    </font>
  </fonts>
  <fills count="7">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s>
  <borders count="2">
    <border>
      <left/>
      <right/>
      <top/>
      <bottom/>
      <diagonal/>
    </border>
    <border>
      <left style="thin">
        <color rgb="FFB4C6E7"/>
      </left>
      <right style="thin">
        <color rgb="FFB4C6E7"/>
      </right>
      <top style="thin">
        <color rgb="FFB4C6E7"/>
      </top>
      <bottom style="thin">
        <color rgb="FFB4C6E7"/>
      </bottom>
      <diagonal/>
    </border>
  </borders>
  <cellStyleXfs count="1">
    <xf numFmtId="0" fontId="0" fillId="0" borderId="0"/>
  </cellStyleXfs>
  <cellXfs count="14">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horizontal="center" vertical="top" wrapText="1"/>
    </xf>
    <xf numFmtId="164" fontId="6" fillId="0" borderId="0" xfId="0" applyNumberFormat="1" applyFont="1" applyAlignment="1">
      <alignment vertical="top" wrapText="1"/>
    </xf>
    <xf numFmtId="0" fontId="9" fillId="3" borderId="1" xfId="0"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0" fontId="8" fillId="6" borderId="0" xfId="0" applyFont="1" applyFill="1" applyAlignment="1">
      <alignment vertical="center"/>
    </xf>
    <xf numFmtId="0" fontId="10" fillId="0" borderId="1" xfId="0" applyFont="1" applyBorder="1" applyAlignment="1">
      <alignment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10" displayName="IndiceOnomasticoAnual1810" ref="A6:K9042" totalsRowShown="0">
  <autoFilter ref="A6:K9042"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10" displayName="FuentesGacetaAnual1810" ref="A4:F552" totalsRowShown="0">
  <autoFilter ref="A4:F552"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9042"/>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9" defaultRowHeight="14.25"/>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7" t="s">
        <v>0</v>
      </c>
      <c r="B1" s="7"/>
      <c r="C1" s="7"/>
      <c r="D1" s="7"/>
      <c r="E1" s="7"/>
      <c r="F1" s="7"/>
      <c r="G1" s="7"/>
      <c r="H1" s="7"/>
      <c r="I1" s="7"/>
      <c r="J1" s="7"/>
      <c r="K1" s="7"/>
    </row>
    <row r="2" spans="1:11" ht="21.95" customHeight="1">
      <c r="A2" s="8" t="s">
        <v>1</v>
      </c>
      <c r="B2" s="8"/>
      <c r="C2" s="8"/>
      <c r="D2" s="8"/>
      <c r="E2" s="8"/>
      <c r="F2" s="8"/>
      <c r="G2" s="8"/>
      <c r="H2" s="8"/>
      <c r="I2" s="8"/>
      <c r="J2" s="8"/>
      <c r="K2" s="8"/>
    </row>
    <row r="3" spans="1:11" ht="33.950000000000003" customHeight="1">
      <c r="A3" s="9" t="s">
        <v>2</v>
      </c>
      <c r="B3" s="9"/>
      <c r="C3" s="9"/>
      <c r="D3" s="9"/>
      <c r="E3" s="9"/>
      <c r="F3" s="9"/>
      <c r="G3" s="9"/>
      <c r="H3" s="9"/>
      <c r="I3" s="9"/>
      <c r="J3" s="9"/>
      <c r="K3" s="9"/>
    </row>
    <row r="4" spans="1:11" ht="21.95" customHeight="1">
      <c r="A4" s="10" t="s">
        <v>3</v>
      </c>
      <c r="B4" s="10"/>
      <c r="C4" s="10"/>
      <c r="D4" s="10"/>
      <c r="E4" s="10"/>
      <c r="F4" s="10"/>
      <c r="G4" s="10"/>
      <c r="H4" s="10"/>
      <c r="I4" s="10"/>
      <c r="J4" s="10"/>
      <c r="K4" s="10"/>
    </row>
    <row r="6" spans="1:11" ht="32.1"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4">
        <v>-32734</v>
      </c>
      <c r="F7" s="3" t="s">
        <v>19</v>
      </c>
      <c r="G7" s="3" t="s">
        <v>20</v>
      </c>
      <c r="H7" s="2" t="s">
        <v>21</v>
      </c>
      <c r="I7" s="2" t="s">
        <v>22</v>
      </c>
      <c r="J7" s="3" t="str">
        <f>HYPERLINK("https://www.boe.es/gazeta/dias/1810/05/17/pdfs/GMD-1810-137.pdf#page=4","Abrir facsímil")</f>
        <v>Abrir facsímil</v>
      </c>
      <c r="K7" s="3" t="s">
        <v>23</v>
      </c>
    </row>
    <row r="8" spans="1:11" ht="42" customHeight="1">
      <c r="A8" s="2" t="s">
        <v>24</v>
      </c>
      <c r="B8" s="2" t="s">
        <v>25</v>
      </c>
      <c r="C8" s="2" t="s">
        <v>26</v>
      </c>
      <c r="D8" s="2" t="s">
        <v>27</v>
      </c>
      <c r="E8" s="4">
        <v>-32839</v>
      </c>
      <c r="F8" s="3" t="s">
        <v>28</v>
      </c>
      <c r="G8" s="3" t="s">
        <v>29</v>
      </c>
      <c r="H8" s="2" t="s">
        <v>21</v>
      </c>
      <c r="I8" s="2" t="s">
        <v>30</v>
      </c>
      <c r="J8" s="3" t="str">
        <f>HYPERLINK("https://www.boe.es/gazeta/dias/1810/02/01/pdfs/GMD-1810-32.pdf#page=3","Abrir facsímil")</f>
        <v>Abrir facsímil</v>
      </c>
      <c r="K8" s="3" t="s">
        <v>23</v>
      </c>
    </row>
    <row r="9" spans="1:11" ht="42" customHeight="1">
      <c r="A9" s="2" t="s">
        <v>31</v>
      </c>
      <c r="B9" s="2" t="s">
        <v>32</v>
      </c>
      <c r="C9" s="2" t="s">
        <v>33</v>
      </c>
      <c r="D9" s="2" t="s">
        <v>27</v>
      </c>
      <c r="E9" s="4">
        <v>-32754</v>
      </c>
      <c r="F9" s="3" t="s">
        <v>34</v>
      </c>
      <c r="G9" s="3" t="s">
        <v>35</v>
      </c>
      <c r="H9" s="2" t="s">
        <v>21</v>
      </c>
      <c r="I9" s="2" t="s">
        <v>36</v>
      </c>
      <c r="J9" s="3" t="str">
        <f>HYPERLINK("https://www.boe.es/gazeta/dias/1810/04/27/pdfs/GMD-1810-117.pdf#page=2","Abrir facsímil")</f>
        <v>Abrir facsímil</v>
      </c>
      <c r="K9" s="3" t="s">
        <v>23</v>
      </c>
    </row>
    <row r="10" spans="1:11" ht="42" customHeight="1">
      <c r="A10" s="2" t="s">
        <v>37</v>
      </c>
      <c r="B10" s="2" t="s">
        <v>38</v>
      </c>
      <c r="C10" s="2" t="s">
        <v>26</v>
      </c>
      <c r="D10" s="2" t="s">
        <v>39</v>
      </c>
      <c r="E10" s="4">
        <v>-32701</v>
      </c>
      <c r="F10" s="3" t="s">
        <v>40</v>
      </c>
      <c r="G10" s="3" t="s">
        <v>41</v>
      </c>
      <c r="H10" s="2" t="s">
        <v>21</v>
      </c>
      <c r="I10" s="2" t="s">
        <v>42</v>
      </c>
      <c r="J10" s="3" t="str">
        <f>HYPERLINK("https://www.boe.es/gazeta/dias/1810/06/19/pdfs/GMD-C-1810-170.pdf#page=3","Abrir facsímil")</f>
        <v>Abrir facsímil</v>
      </c>
      <c r="K10" s="3" t="s">
        <v>23</v>
      </c>
    </row>
    <row r="11" spans="1:11" ht="42" customHeight="1">
      <c r="A11" s="2" t="s">
        <v>43</v>
      </c>
      <c r="B11" s="2" t="s">
        <v>44</v>
      </c>
      <c r="C11" s="2" t="s">
        <v>26</v>
      </c>
      <c r="D11" s="2" t="s">
        <v>27</v>
      </c>
      <c r="E11" s="4">
        <v>-32583</v>
      </c>
      <c r="F11" s="3" t="s">
        <v>45</v>
      </c>
      <c r="G11" s="3" t="s">
        <v>46</v>
      </c>
      <c r="H11" s="2" t="s">
        <v>21</v>
      </c>
      <c r="I11" s="2" t="s">
        <v>47</v>
      </c>
      <c r="J11" s="3" t="str">
        <f>HYPERLINK("https://www.boe.es/gazeta/dias/1810/10/15/pdfs/GMD-1810-288.pdf#page=4","Abrir facsímil")</f>
        <v>Abrir facsímil</v>
      </c>
      <c r="K11" s="3" t="s">
        <v>23</v>
      </c>
    </row>
    <row r="12" spans="1:11" ht="42" customHeight="1">
      <c r="A12" s="2" t="s">
        <v>48</v>
      </c>
      <c r="B12" s="2" t="s">
        <v>49</v>
      </c>
      <c r="C12" s="2" t="s">
        <v>26</v>
      </c>
      <c r="D12" s="2" t="s">
        <v>27</v>
      </c>
      <c r="E12" s="4">
        <v>-32730</v>
      </c>
      <c r="F12" s="3" t="s">
        <v>50</v>
      </c>
      <c r="G12" s="3" t="s">
        <v>20</v>
      </c>
      <c r="H12" s="2" t="s">
        <v>21</v>
      </c>
      <c r="I12" s="2" t="s">
        <v>51</v>
      </c>
      <c r="J12" s="3" t="str">
        <f>HYPERLINK("https://www.boe.es/gazeta/dias/1810/05/21/pdfs/GMD-1810-141.pdf#page=4","Abrir facsímil")</f>
        <v>Abrir facsímil</v>
      </c>
      <c r="K12" s="3" t="s">
        <v>23</v>
      </c>
    </row>
    <row r="13" spans="1:11" ht="42" customHeight="1">
      <c r="A13" s="2" t="s">
        <v>52</v>
      </c>
      <c r="B13" s="2" t="s">
        <v>53</v>
      </c>
      <c r="C13" s="2" t="s">
        <v>26</v>
      </c>
      <c r="D13" s="2" t="s">
        <v>27</v>
      </c>
      <c r="E13" s="4">
        <v>-32693</v>
      </c>
      <c r="F13" s="3" t="s">
        <v>54</v>
      </c>
      <c r="G13" s="3" t="s">
        <v>20</v>
      </c>
      <c r="H13" s="2" t="s">
        <v>21</v>
      </c>
      <c r="I13" s="2" t="s">
        <v>55</v>
      </c>
      <c r="J13" s="3" t="str">
        <f>HYPERLINK("https://www.boe.es/gazeta/dias/1810/06/27/pdfs/GMD-1810-178.pdf#page=4","Abrir facsímil")</f>
        <v>Abrir facsímil</v>
      </c>
      <c r="K13" s="3" t="s">
        <v>23</v>
      </c>
    </row>
    <row r="14" spans="1:11" ht="42" customHeight="1">
      <c r="A14" s="2" t="s">
        <v>56</v>
      </c>
      <c r="B14" s="2" t="s">
        <v>57</v>
      </c>
      <c r="C14" s="2" t="s">
        <v>33</v>
      </c>
      <c r="D14" s="2" t="s">
        <v>58</v>
      </c>
      <c r="E14" s="4">
        <v>-32651</v>
      </c>
      <c r="F14" s="3" t="s">
        <v>59</v>
      </c>
      <c r="G14" s="3" t="s">
        <v>60</v>
      </c>
      <c r="H14" s="2" t="s">
        <v>21</v>
      </c>
      <c r="I14" s="2" t="s">
        <v>61</v>
      </c>
      <c r="J14" s="3" t="str">
        <f>HYPERLINK("https://www.boe.es/gazeta/dias/1810/08/08/pdfs/GEI-1810-53E.pdf#page=3","Abrir facsímil")</f>
        <v>Abrir facsímil</v>
      </c>
      <c r="K14" s="3" t="s">
        <v>23</v>
      </c>
    </row>
    <row r="15" spans="1:11" ht="42" customHeight="1">
      <c r="A15" s="2" t="s">
        <v>62</v>
      </c>
      <c r="B15" s="2" t="s">
        <v>63</v>
      </c>
      <c r="C15" s="2" t="s">
        <v>33</v>
      </c>
      <c r="D15" s="2" t="s">
        <v>27</v>
      </c>
      <c r="E15" s="4">
        <v>-32626</v>
      </c>
      <c r="F15" s="3" t="s">
        <v>64</v>
      </c>
      <c r="G15" s="3" t="s">
        <v>65</v>
      </c>
      <c r="H15" s="2" t="s">
        <v>21</v>
      </c>
      <c r="I15" s="2" t="s">
        <v>66</v>
      </c>
      <c r="J15" s="3" t="str">
        <f>HYPERLINK("https://www.boe.es/gazeta/dias/1810/09/02/pdfs/GMD-1810-245.pdf#page=3","Abrir facsímil")</f>
        <v>Abrir facsímil</v>
      </c>
      <c r="K15" s="3" t="s">
        <v>23</v>
      </c>
    </row>
    <row r="16" spans="1:11" ht="42" customHeight="1">
      <c r="A16" s="2" t="s">
        <v>67</v>
      </c>
      <c r="B16" s="2" t="s">
        <v>68</v>
      </c>
      <c r="C16" s="2" t="s">
        <v>26</v>
      </c>
      <c r="D16" s="2" t="s">
        <v>27</v>
      </c>
      <c r="E16" s="4">
        <v>-32543</v>
      </c>
      <c r="F16" s="3" t="s">
        <v>69</v>
      </c>
      <c r="G16" s="3" t="s">
        <v>70</v>
      </c>
      <c r="H16" s="2" t="s">
        <v>21</v>
      </c>
      <c r="I16" s="2" t="s">
        <v>71</v>
      </c>
      <c r="J16" s="3" t="str">
        <f>HYPERLINK("https://www.boe.es/gazeta/dias/1810/11/24/pdfs/GEI-1810-99.pdf#page=8","Abrir facsímil")</f>
        <v>Abrir facsímil</v>
      </c>
      <c r="K16" s="3" t="s">
        <v>23</v>
      </c>
    </row>
    <row r="17" spans="1:11" ht="42" customHeight="1">
      <c r="A17" s="2" t="s">
        <v>72</v>
      </c>
      <c r="B17" s="2" t="s">
        <v>73</v>
      </c>
      <c r="C17" s="2" t="s">
        <v>26</v>
      </c>
      <c r="D17" s="2" t="s">
        <v>27</v>
      </c>
      <c r="E17" s="4">
        <v>-32543</v>
      </c>
      <c r="F17" s="3" t="s">
        <v>69</v>
      </c>
      <c r="G17" s="3" t="s">
        <v>70</v>
      </c>
      <c r="H17" s="2" t="s">
        <v>74</v>
      </c>
      <c r="I17" s="2" t="s">
        <v>75</v>
      </c>
      <c r="J17" s="3" t="str">
        <f>HYPERLINK("https://www.boe.es/gazeta/dias/1810/11/24/pdfs/GEI-1810-99.pdf#page=8","Abrir facsímil")</f>
        <v>Abrir facsímil</v>
      </c>
      <c r="K17" s="3" t="s">
        <v>76</v>
      </c>
    </row>
    <row r="18" spans="1:11" ht="42" customHeight="1">
      <c r="A18" s="2" t="s">
        <v>77</v>
      </c>
      <c r="B18" s="2" t="s">
        <v>78</v>
      </c>
      <c r="C18" s="2" t="s">
        <v>26</v>
      </c>
      <c r="D18" s="2" t="s">
        <v>27</v>
      </c>
      <c r="E18" s="4">
        <v>-32782</v>
      </c>
      <c r="F18" s="3" t="s">
        <v>79</v>
      </c>
      <c r="G18" s="3" t="s">
        <v>80</v>
      </c>
      <c r="H18" s="2" t="s">
        <v>74</v>
      </c>
      <c r="I18" s="2" t="s">
        <v>81</v>
      </c>
      <c r="J18" s="3" t="str">
        <f>HYPERLINK("https://www.boe.es/gazeta/dias/1810/03/30/pdfs/GEI-1810-9.pdf#page=7","Abrir facsímil")</f>
        <v>Abrir facsímil</v>
      </c>
      <c r="K18" s="3" t="s">
        <v>76</v>
      </c>
    </row>
    <row r="19" spans="1:11" ht="42" customHeight="1">
      <c r="A19" s="2" t="s">
        <v>82</v>
      </c>
      <c r="B19" s="2" t="s">
        <v>83</v>
      </c>
      <c r="C19" s="2" t="s">
        <v>26</v>
      </c>
      <c r="D19" s="2" t="s">
        <v>27</v>
      </c>
      <c r="E19" s="4">
        <v>-32543</v>
      </c>
      <c r="F19" s="3" t="s">
        <v>69</v>
      </c>
      <c r="G19" s="3" t="s">
        <v>84</v>
      </c>
      <c r="H19" s="2" t="s">
        <v>74</v>
      </c>
      <c r="I19" s="2" t="s">
        <v>85</v>
      </c>
      <c r="J19" s="3" t="str">
        <f>HYPERLINK("https://www.boe.es/gazeta/dias/1810/11/24/pdfs/GEI-1810-99.pdf#page=7","Abrir facsímil")</f>
        <v>Abrir facsímil</v>
      </c>
      <c r="K19" s="3" t="s">
        <v>76</v>
      </c>
    </row>
    <row r="20" spans="1:11" ht="42" customHeight="1">
      <c r="A20" s="2" t="s">
        <v>86</v>
      </c>
      <c r="B20" s="2" t="s">
        <v>87</v>
      </c>
      <c r="C20" s="2" t="s">
        <v>88</v>
      </c>
      <c r="D20" s="2" t="s">
        <v>27</v>
      </c>
      <c r="E20" s="4">
        <v>-32700</v>
      </c>
      <c r="F20" s="3" t="s">
        <v>89</v>
      </c>
      <c r="G20" s="3" t="s">
        <v>90</v>
      </c>
      <c r="H20" s="2" t="s">
        <v>74</v>
      </c>
      <c r="I20" s="2" t="s">
        <v>91</v>
      </c>
      <c r="J20" s="3" t="str">
        <f>HYPERLINK("https://www.boe.es/gazeta/dias/1810/06/20/pdfs/GMD-1810-171.pdf#page=2","Abrir facsímil")</f>
        <v>Abrir facsímil</v>
      </c>
      <c r="K20" s="3" t="s">
        <v>76</v>
      </c>
    </row>
    <row r="21" spans="1:11" ht="42" customHeight="1">
      <c r="A21" s="2" t="s">
        <v>92</v>
      </c>
      <c r="B21" s="2" t="s">
        <v>93</v>
      </c>
      <c r="C21" s="2" t="s">
        <v>26</v>
      </c>
      <c r="D21" s="2" t="s">
        <v>27</v>
      </c>
      <c r="E21" s="4">
        <v>-32704</v>
      </c>
      <c r="F21" s="3" t="s">
        <v>94</v>
      </c>
      <c r="G21" s="3" t="s">
        <v>20</v>
      </c>
      <c r="H21" s="2" t="s">
        <v>74</v>
      </c>
      <c r="I21" s="2" t="s">
        <v>95</v>
      </c>
      <c r="J21" s="3" t="str">
        <f>HYPERLINK("https://www.boe.es/gazeta/dias/1810/06/16/pdfs/GMD-1810-167.pdf#page=4","Abrir facsímil")</f>
        <v>Abrir facsímil</v>
      </c>
      <c r="K21" s="3" t="s">
        <v>76</v>
      </c>
    </row>
    <row r="22" spans="1:11" ht="42" customHeight="1">
      <c r="A22" s="2" t="s">
        <v>96</v>
      </c>
      <c r="B22" s="2" t="s">
        <v>97</v>
      </c>
      <c r="C22" s="2" t="s">
        <v>33</v>
      </c>
      <c r="D22" s="2" t="s">
        <v>27</v>
      </c>
      <c r="E22" s="4">
        <v>-32741</v>
      </c>
      <c r="F22" s="3" t="s">
        <v>98</v>
      </c>
      <c r="G22" s="3" t="s">
        <v>99</v>
      </c>
      <c r="H22" s="2" t="s">
        <v>74</v>
      </c>
      <c r="I22" s="2" t="s">
        <v>100</v>
      </c>
      <c r="J22" s="3" t="str">
        <f>HYPERLINK("https://www.boe.es/gazeta/dias/1810/05/10/pdfs/GMD-1810-130.pdf#page=3","Abrir facsímil")</f>
        <v>Abrir facsímil</v>
      </c>
      <c r="K22" s="3" t="s">
        <v>76</v>
      </c>
    </row>
    <row r="23" spans="1:11" ht="42" customHeight="1">
      <c r="A23" s="2" t="s">
        <v>101</v>
      </c>
      <c r="B23" s="2" t="s">
        <v>102</v>
      </c>
      <c r="C23" s="2" t="s">
        <v>88</v>
      </c>
      <c r="D23" s="2" t="s">
        <v>27</v>
      </c>
      <c r="E23" s="4">
        <v>-32587</v>
      </c>
      <c r="F23" s="3" t="s">
        <v>103</v>
      </c>
      <c r="G23" s="3" t="s">
        <v>104</v>
      </c>
      <c r="H23" s="2" t="s">
        <v>74</v>
      </c>
      <c r="I23" s="2" t="s">
        <v>105</v>
      </c>
      <c r="J23" s="3" t="str">
        <f>HYPERLINK("https://www.boe.es/gazeta/dias/1810/10/11/pdfs/GEI-1810-80.pdf#page=3","Abrir facsímil")</f>
        <v>Abrir facsímil</v>
      </c>
      <c r="K23" s="3" t="s">
        <v>76</v>
      </c>
    </row>
    <row r="24" spans="1:11" ht="42" customHeight="1">
      <c r="A24" s="2" t="s">
        <v>101</v>
      </c>
      <c r="B24" s="2" t="s">
        <v>102</v>
      </c>
      <c r="C24" s="2" t="s">
        <v>88</v>
      </c>
      <c r="D24" s="2" t="s">
        <v>27</v>
      </c>
      <c r="E24" s="4">
        <v>-32587</v>
      </c>
      <c r="F24" s="3" t="s">
        <v>103</v>
      </c>
      <c r="G24" s="3" t="s">
        <v>106</v>
      </c>
      <c r="H24" s="2" t="s">
        <v>74</v>
      </c>
      <c r="I24" s="2" t="s">
        <v>107</v>
      </c>
      <c r="J24" s="3" t="str">
        <f>HYPERLINK("https://www.boe.es/gazeta/dias/1810/10/11/pdfs/GEI-1810-80.pdf#page=5","Abrir facsímil")</f>
        <v>Abrir facsímil</v>
      </c>
      <c r="K24" s="3" t="s">
        <v>76</v>
      </c>
    </row>
    <row r="25" spans="1:11" ht="42" customHeight="1">
      <c r="A25" s="2" t="s">
        <v>101</v>
      </c>
      <c r="B25" s="2" t="s">
        <v>102</v>
      </c>
      <c r="C25" s="2" t="s">
        <v>26</v>
      </c>
      <c r="D25" s="2" t="s">
        <v>18</v>
      </c>
      <c r="E25" s="4">
        <v>-32564</v>
      </c>
      <c r="F25" s="3" t="s">
        <v>108</v>
      </c>
      <c r="G25" s="3" t="s">
        <v>109</v>
      </c>
      <c r="H25" s="2" t="s">
        <v>74</v>
      </c>
      <c r="I25" s="2" t="s">
        <v>110</v>
      </c>
      <c r="J25" s="3" t="str">
        <f>HYPERLINK("https://www.boe.es/gazeta/dias/1810/11/03/pdfs/GEI-1810-90.pdf#page=8","Abrir facsímil")</f>
        <v>Abrir facsímil</v>
      </c>
      <c r="K25" s="3" t="s">
        <v>76</v>
      </c>
    </row>
    <row r="26" spans="1:11" ht="42" customHeight="1">
      <c r="A26" s="2" t="s">
        <v>101</v>
      </c>
      <c r="B26" s="2" t="s">
        <v>102</v>
      </c>
      <c r="C26" s="2" t="s">
        <v>111</v>
      </c>
      <c r="D26" s="2" t="s">
        <v>27</v>
      </c>
      <c r="E26" s="4">
        <v>-32529</v>
      </c>
      <c r="F26" s="3" t="s">
        <v>112</v>
      </c>
      <c r="G26" s="3" t="s">
        <v>113</v>
      </c>
      <c r="H26" s="2" t="s">
        <v>74</v>
      </c>
      <c r="I26" s="2" t="s">
        <v>114</v>
      </c>
      <c r="J26" s="3" t="str">
        <f>HYPERLINK("https://www.boe.es/gazeta/dias/1810/12/08/pdfs/GEI-1810-105.pdf#page=8","Abrir facsímil")</f>
        <v>Abrir facsímil</v>
      </c>
      <c r="K26" s="3" t="s">
        <v>76</v>
      </c>
    </row>
    <row r="27" spans="1:11" ht="42" customHeight="1">
      <c r="A27" s="2" t="s">
        <v>115</v>
      </c>
      <c r="B27" s="2" t="s">
        <v>116</v>
      </c>
      <c r="C27" s="2" t="s">
        <v>88</v>
      </c>
      <c r="D27" s="2" t="s">
        <v>117</v>
      </c>
      <c r="E27" s="4">
        <v>-32647</v>
      </c>
      <c r="F27" s="3" t="s">
        <v>118</v>
      </c>
      <c r="G27" s="3" t="s">
        <v>119</v>
      </c>
      <c r="H27" s="2" t="s">
        <v>74</v>
      </c>
      <c r="I27" s="2" t="s">
        <v>120</v>
      </c>
      <c r="J27" s="3" t="str">
        <f>HYPERLINK("https://www.boe.es/gazeta/dias/1810/08/12/pdfs/GMD-1810-224.pdf#page=3","Abrir facsímil")</f>
        <v>Abrir facsímil</v>
      </c>
      <c r="K27" s="3" t="s">
        <v>76</v>
      </c>
    </row>
    <row r="28" spans="1:11" ht="42" customHeight="1">
      <c r="A28" s="2" t="s">
        <v>121</v>
      </c>
      <c r="B28" s="2" t="s">
        <v>121</v>
      </c>
      <c r="C28" s="2" t="s">
        <v>88</v>
      </c>
      <c r="D28" s="2" t="s">
        <v>27</v>
      </c>
      <c r="E28" s="4">
        <v>-32645</v>
      </c>
      <c r="F28" s="3" t="s">
        <v>122</v>
      </c>
      <c r="G28" s="3" t="s">
        <v>20</v>
      </c>
      <c r="H28" s="2" t="s">
        <v>74</v>
      </c>
      <c r="I28" s="2" t="s">
        <v>123</v>
      </c>
      <c r="J28" s="3" t="str">
        <f>HYPERLINK("https://www.boe.es/gazeta/dias/1810/08/14/pdfs/GEI-1810-56.pdf#page=4","Abrir facsímil")</f>
        <v>Abrir facsímil</v>
      </c>
      <c r="K28" s="3" t="s">
        <v>76</v>
      </c>
    </row>
    <row r="29" spans="1:11" ht="42" customHeight="1">
      <c r="A29" s="2" t="s">
        <v>124</v>
      </c>
      <c r="B29" s="2" t="s">
        <v>125</v>
      </c>
      <c r="C29" s="2" t="s">
        <v>88</v>
      </c>
      <c r="D29" s="2" t="s">
        <v>27</v>
      </c>
      <c r="E29" s="4">
        <v>-32710</v>
      </c>
      <c r="F29" s="3" t="s">
        <v>126</v>
      </c>
      <c r="G29" s="3" t="s">
        <v>20</v>
      </c>
      <c r="H29" s="2" t="s">
        <v>74</v>
      </c>
      <c r="I29" s="2" t="s">
        <v>127</v>
      </c>
      <c r="J29" s="3" t="str">
        <f>HYPERLINK("https://www.boe.es/gazeta/dias/1810/06/10/pdfs/GMD-1810-161.pdf#page=4","Abrir facsímil")</f>
        <v>Abrir facsímil</v>
      </c>
      <c r="K29" s="3" t="s">
        <v>76</v>
      </c>
    </row>
    <row r="30" spans="1:11" ht="42" customHeight="1">
      <c r="A30" s="2" t="s">
        <v>128</v>
      </c>
      <c r="B30" s="2" t="s">
        <v>129</v>
      </c>
      <c r="C30" s="2" t="s">
        <v>88</v>
      </c>
      <c r="D30" s="2" t="s">
        <v>18</v>
      </c>
      <c r="E30" s="4">
        <v>-32631</v>
      </c>
      <c r="F30" s="3" t="s">
        <v>130</v>
      </c>
      <c r="G30" s="3" t="s">
        <v>131</v>
      </c>
      <c r="H30" s="2" t="s">
        <v>74</v>
      </c>
      <c r="I30" s="2" t="s">
        <v>132</v>
      </c>
      <c r="J30" s="3" t="str">
        <f>HYPERLINK("https://www.boe.es/gazeta/dias/1810/08/28/pdfs/GEI-1810-60.pdf#page=4","Abrir facsímil")</f>
        <v>Abrir facsímil</v>
      </c>
      <c r="K30" s="3" t="s">
        <v>76</v>
      </c>
    </row>
    <row r="31" spans="1:11" ht="42" customHeight="1">
      <c r="A31" s="2" t="s">
        <v>133</v>
      </c>
      <c r="B31" s="2" t="s">
        <v>134</v>
      </c>
      <c r="C31" s="2" t="s">
        <v>26</v>
      </c>
      <c r="D31" s="2" t="s">
        <v>27</v>
      </c>
      <c r="E31" s="4">
        <v>-32575</v>
      </c>
      <c r="F31" s="3" t="s">
        <v>135</v>
      </c>
      <c r="G31" s="3" t="s">
        <v>136</v>
      </c>
      <c r="H31" s="2" t="s">
        <v>74</v>
      </c>
      <c r="I31" s="2" t="s">
        <v>137</v>
      </c>
      <c r="J31" s="3" t="str">
        <f>HYPERLINK("https://www.boe.es/gazeta/dias/1810/10/23/pdfs/GEI-1810-85.pdf#page=11","Abrir facsímil")</f>
        <v>Abrir facsímil</v>
      </c>
      <c r="K31" s="3" t="s">
        <v>76</v>
      </c>
    </row>
    <row r="32" spans="1:11" ht="42" customHeight="1">
      <c r="A32" s="2" t="s">
        <v>138</v>
      </c>
      <c r="B32" s="2" t="s">
        <v>139</v>
      </c>
      <c r="C32" s="2" t="s">
        <v>26</v>
      </c>
      <c r="D32" s="2" t="s">
        <v>27</v>
      </c>
      <c r="E32" s="4">
        <v>-32647</v>
      </c>
      <c r="F32" s="3" t="s">
        <v>118</v>
      </c>
      <c r="G32" s="3" t="s">
        <v>140</v>
      </c>
      <c r="H32" s="2" t="s">
        <v>74</v>
      </c>
      <c r="I32" s="2" t="s">
        <v>141</v>
      </c>
      <c r="J32" s="3" t="str">
        <f>HYPERLINK("https://www.boe.es/gazeta/dias/1810/08/12/pdfs/GMD-1810-224.pdf#page=2","Abrir facsímil")</f>
        <v>Abrir facsímil</v>
      </c>
      <c r="K32" s="3" t="s">
        <v>76</v>
      </c>
    </row>
    <row r="33" spans="1:11" ht="42" customHeight="1">
      <c r="A33" s="2" t="s">
        <v>142</v>
      </c>
      <c r="B33" s="2" t="s">
        <v>143</v>
      </c>
      <c r="C33" s="2" t="s">
        <v>26</v>
      </c>
      <c r="D33" s="2" t="s">
        <v>27</v>
      </c>
      <c r="E33" s="4">
        <v>-32730</v>
      </c>
      <c r="F33" s="3" t="s">
        <v>50</v>
      </c>
      <c r="G33" s="3" t="s">
        <v>20</v>
      </c>
      <c r="H33" s="2" t="s">
        <v>74</v>
      </c>
      <c r="I33" s="2" t="s">
        <v>144</v>
      </c>
      <c r="J33" s="3" t="str">
        <f>HYPERLINK("https://www.boe.es/gazeta/dias/1810/05/21/pdfs/GMD-1810-141.pdf#page=4","Abrir facsímil")</f>
        <v>Abrir facsímil</v>
      </c>
      <c r="K33" s="3" t="s">
        <v>76</v>
      </c>
    </row>
    <row r="34" spans="1:11" ht="42" customHeight="1">
      <c r="A34" s="2" t="s">
        <v>145</v>
      </c>
      <c r="B34" s="2" t="s">
        <v>146</v>
      </c>
      <c r="C34" s="2" t="s">
        <v>33</v>
      </c>
      <c r="D34" s="2" t="s">
        <v>27</v>
      </c>
      <c r="E34" s="4">
        <v>-32645</v>
      </c>
      <c r="F34" s="3" t="s">
        <v>122</v>
      </c>
      <c r="G34" s="3" t="s">
        <v>147</v>
      </c>
      <c r="H34" s="2" t="s">
        <v>74</v>
      </c>
      <c r="I34" s="2" t="s">
        <v>148</v>
      </c>
      <c r="J34" s="3" t="str">
        <f>HYPERLINK("https://www.boe.es/gazeta/dias/1810/08/14/pdfs/GEI-1810-56.pdf#page=16","Abrir facsímil")</f>
        <v>Abrir facsímil</v>
      </c>
      <c r="K34" s="3" t="s">
        <v>76</v>
      </c>
    </row>
    <row r="35" spans="1:11" ht="42" customHeight="1">
      <c r="A35" s="2" t="s">
        <v>149</v>
      </c>
      <c r="B35" s="2" t="s">
        <v>149</v>
      </c>
      <c r="C35" s="2" t="s">
        <v>88</v>
      </c>
      <c r="D35" s="2" t="s">
        <v>27</v>
      </c>
      <c r="E35" s="4">
        <v>-32608</v>
      </c>
      <c r="F35" s="3" t="s">
        <v>150</v>
      </c>
      <c r="G35" s="3" t="s">
        <v>151</v>
      </c>
      <c r="H35" s="2" t="s">
        <v>74</v>
      </c>
      <c r="I35" s="2" t="s">
        <v>152</v>
      </c>
      <c r="J35" s="3" t="str">
        <f>HYPERLINK("https://www.boe.es/gazeta/dias/1810/09/20/pdfs/GMD-1810-263.pdf#page=3","Abrir facsímil")</f>
        <v>Abrir facsímil</v>
      </c>
      <c r="K35" s="3" t="s">
        <v>76</v>
      </c>
    </row>
    <row r="36" spans="1:11" ht="42" customHeight="1">
      <c r="A36" s="2" t="s">
        <v>153</v>
      </c>
      <c r="B36" s="2" t="s">
        <v>153</v>
      </c>
      <c r="C36" s="2" t="s">
        <v>88</v>
      </c>
      <c r="D36" s="2" t="s">
        <v>27</v>
      </c>
      <c r="E36" s="4">
        <v>-32608</v>
      </c>
      <c r="F36" s="3" t="s">
        <v>150</v>
      </c>
      <c r="G36" s="3" t="s">
        <v>151</v>
      </c>
      <c r="H36" s="2" t="s">
        <v>74</v>
      </c>
      <c r="I36" s="2" t="s">
        <v>154</v>
      </c>
      <c r="J36" s="3" t="str">
        <f>HYPERLINK("https://www.boe.es/gazeta/dias/1810/09/20/pdfs/GMD-1810-263.pdf#page=3","Abrir facsímil")</f>
        <v>Abrir facsímil</v>
      </c>
      <c r="K36" s="3" t="s">
        <v>76</v>
      </c>
    </row>
    <row r="37" spans="1:11" ht="42" customHeight="1">
      <c r="A37" s="2" t="s">
        <v>155</v>
      </c>
      <c r="B37" s="2" t="s">
        <v>156</v>
      </c>
      <c r="C37" s="2" t="s">
        <v>26</v>
      </c>
      <c r="D37" s="2" t="s">
        <v>39</v>
      </c>
      <c r="E37" s="4">
        <v>-32661</v>
      </c>
      <c r="F37" s="3" t="s">
        <v>157</v>
      </c>
      <c r="G37" s="3" t="s">
        <v>158</v>
      </c>
      <c r="H37" s="2" t="s">
        <v>74</v>
      </c>
      <c r="I37" s="2" t="s">
        <v>159</v>
      </c>
      <c r="J37" s="3" t="str">
        <f>HYPERLINK("https://www.boe.es/gazeta/dias/1810/07/29/pdfs/GMD-C-1810-210.pdf#page=1","Abrir facsímil")</f>
        <v>Abrir facsímil</v>
      </c>
      <c r="K37" s="3" t="s">
        <v>76</v>
      </c>
    </row>
    <row r="38" spans="1:11" ht="42" customHeight="1">
      <c r="A38" s="2" t="s">
        <v>160</v>
      </c>
      <c r="B38" s="2" t="s">
        <v>160</v>
      </c>
      <c r="C38" s="2" t="s">
        <v>88</v>
      </c>
      <c r="D38" s="2" t="s">
        <v>117</v>
      </c>
      <c r="E38" s="4">
        <v>-32779</v>
      </c>
      <c r="F38" s="3" t="s">
        <v>161</v>
      </c>
      <c r="G38" s="3" t="s">
        <v>140</v>
      </c>
      <c r="H38" s="2" t="s">
        <v>74</v>
      </c>
      <c r="I38" s="2" t="s">
        <v>162</v>
      </c>
      <c r="J38" s="3" t="str">
        <f>HYPERLINK("https://www.boe.es/gazeta/dias/1810/04/02/pdfs/GEI-1810-10E.pdf#page=2","Abrir facsímil")</f>
        <v>Abrir facsímil</v>
      </c>
      <c r="K38" s="3" t="s">
        <v>76</v>
      </c>
    </row>
    <row r="39" spans="1:11" ht="42" customHeight="1">
      <c r="A39" s="2" t="s">
        <v>163</v>
      </c>
      <c r="B39" s="2" t="s">
        <v>164</v>
      </c>
      <c r="C39" s="2" t="s">
        <v>26</v>
      </c>
      <c r="D39" s="2" t="s">
        <v>27</v>
      </c>
      <c r="E39" s="4">
        <v>-32545</v>
      </c>
      <c r="F39" s="3" t="s">
        <v>165</v>
      </c>
      <c r="G39" s="3" t="s">
        <v>166</v>
      </c>
      <c r="H39" s="2" t="s">
        <v>74</v>
      </c>
      <c r="I39" s="2" t="s">
        <v>167</v>
      </c>
      <c r="J39" s="3" t="str">
        <f>HYPERLINK("https://www.boe.es/gazeta/dias/1810/11/22/pdfs/GEI-1810-98.pdf#page=8","Abrir facsímil")</f>
        <v>Abrir facsímil</v>
      </c>
      <c r="K39" s="3" t="s">
        <v>76</v>
      </c>
    </row>
    <row r="40" spans="1:11" ht="42" customHeight="1">
      <c r="A40" s="2" t="s">
        <v>168</v>
      </c>
      <c r="B40" s="2" t="s">
        <v>169</v>
      </c>
      <c r="C40" s="2" t="s">
        <v>26</v>
      </c>
      <c r="D40" s="2" t="s">
        <v>39</v>
      </c>
      <c r="E40" s="4">
        <v>-32701</v>
      </c>
      <c r="F40" s="3" t="s">
        <v>40</v>
      </c>
      <c r="G40" s="3" t="s">
        <v>170</v>
      </c>
      <c r="H40" s="2" t="s">
        <v>74</v>
      </c>
      <c r="I40" s="2" t="s">
        <v>171</v>
      </c>
      <c r="J40" s="3" t="str">
        <f>HYPERLINK("https://www.boe.es/gazeta/dias/1810/06/19/pdfs/GMD-C-1810-170.pdf#page=1","Abrir facsímil")</f>
        <v>Abrir facsímil</v>
      </c>
      <c r="K40" s="3" t="s">
        <v>76</v>
      </c>
    </row>
    <row r="41" spans="1:11" ht="42" customHeight="1">
      <c r="A41" s="2" t="s">
        <v>172</v>
      </c>
      <c r="B41" s="2" t="s">
        <v>173</v>
      </c>
      <c r="C41" s="2" t="s">
        <v>88</v>
      </c>
      <c r="D41" s="2" t="s">
        <v>117</v>
      </c>
      <c r="E41" s="4">
        <v>-32729</v>
      </c>
      <c r="F41" s="3" t="s">
        <v>174</v>
      </c>
      <c r="G41" s="3" t="s">
        <v>175</v>
      </c>
      <c r="H41" s="2" t="s">
        <v>74</v>
      </c>
      <c r="I41" s="2" t="s">
        <v>176</v>
      </c>
      <c r="J41" s="3" t="str">
        <f>HYPERLINK("https://www.boe.es/gazeta/dias/1810/05/22/pdfs/GEI-1810-28.pdf#page=10","Abrir facsímil")</f>
        <v>Abrir facsímil</v>
      </c>
      <c r="K41" s="3" t="s">
        <v>76</v>
      </c>
    </row>
    <row r="42" spans="1:11" ht="42" customHeight="1">
      <c r="A42" s="2" t="s">
        <v>177</v>
      </c>
      <c r="B42" s="2" t="s">
        <v>178</v>
      </c>
      <c r="C42" s="2" t="s">
        <v>26</v>
      </c>
      <c r="D42" s="2" t="s">
        <v>39</v>
      </c>
      <c r="E42" s="4">
        <v>-32702</v>
      </c>
      <c r="F42" s="3" t="s">
        <v>179</v>
      </c>
      <c r="G42" s="3" t="s">
        <v>180</v>
      </c>
      <c r="H42" s="2" t="s">
        <v>74</v>
      </c>
      <c r="I42" s="2" t="s">
        <v>181</v>
      </c>
      <c r="J42" s="3" t="str">
        <f>HYPERLINK("https://www.boe.es/gazeta/dias/1810/06/18/pdfs/GMD-C-1810-169.pdf#page=2","Abrir facsímil")</f>
        <v>Abrir facsímil</v>
      </c>
      <c r="K42" s="3" t="s">
        <v>76</v>
      </c>
    </row>
    <row r="43" spans="1:11" ht="42" customHeight="1">
      <c r="A43" s="2" t="s">
        <v>182</v>
      </c>
      <c r="B43" s="2" t="s">
        <v>183</v>
      </c>
      <c r="C43" s="2" t="s">
        <v>26</v>
      </c>
      <c r="D43" s="2" t="s">
        <v>27</v>
      </c>
      <c r="E43" s="4">
        <v>-32710</v>
      </c>
      <c r="F43" s="3" t="s">
        <v>126</v>
      </c>
      <c r="G43" s="3" t="s">
        <v>184</v>
      </c>
      <c r="H43" s="2" t="s">
        <v>74</v>
      </c>
      <c r="I43" s="2" t="s">
        <v>185</v>
      </c>
      <c r="J43" s="3" t="str">
        <f>HYPERLINK("https://www.boe.es/gazeta/dias/1810/06/10/pdfs/GMD-1810-161.pdf#page=3","Abrir facsímil")</f>
        <v>Abrir facsímil</v>
      </c>
      <c r="K43" s="3" t="s">
        <v>76</v>
      </c>
    </row>
    <row r="44" spans="1:11" ht="42" customHeight="1">
      <c r="A44" s="2" t="s">
        <v>186</v>
      </c>
      <c r="B44" s="2" t="s">
        <v>187</v>
      </c>
      <c r="C44" s="2" t="s">
        <v>26</v>
      </c>
      <c r="D44" s="2" t="s">
        <v>27</v>
      </c>
      <c r="E44" s="4">
        <v>-32710</v>
      </c>
      <c r="F44" s="3" t="s">
        <v>126</v>
      </c>
      <c r="G44" s="3" t="s">
        <v>184</v>
      </c>
      <c r="H44" s="2" t="s">
        <v>74</v>
      </c>
      <c r="I44" s="2" t="s">
        <v>188</v>
      </c>
      <c r="J44" s="3" t="str">
        <f>HYPERLINK("https://www.boe.es/gazeta/dias/1810/06/10/pdfs/GMD-1810-161.pdf#page=3","Abrir facsímil")</f>
        <v>Abrir facsímil</v>
      </c>
      <c r="K44" s="3" t="s">
        <v>76</v>
      </c>
    </row>
    <row r="45" spans="1:11" ht="42" customHeight="1">
      <c r="A45" s="2" t="s">
        <v>189</v>
      </c>
      <c r="B45" s="2" t="s">
        <v>189</v>
      </c>
      <c r="C45" s="2" t="s">
        <v>26</v>
      </c>
      <c r="D45" s="2" t="s">
        <v>27</v>
      </c>
      <c r="E45" s="4">
        <v>-32649</v>
      </c>
      <c r="F45" s="3" t="s">
        <v>190</v>
      </c>
      <c r="G45" s="3" t="s">
        <v>191</v>
      </c>
      <c r="H45" s="2" t="s">
        <v>74</v>
      </c>
      <c r="I45" s="2" t="s">
        <v>192</v>
      </c>
      <c r="J45" s="3" t="str">
        <f>HYPERLINK("https://www.boe.es/gazeta/dias/1810/08/10/pdfs/GEI-1810-54.pdf#page=10","Abrir facsímil")</f>
        <v>Abrir facsímil</v>
      </c>
      <c r="K45" s="3" t="s">
        <v>76</v>
      </c>
    </row>
    <row r="46" spans="1:11" ht="42" customHeight="1">
      <c r="A46" s="2" t="s">
        <v>193</v>
      </c>
      <c r="B46" s="2" t="s">
        <v>194</v>
      </c>
      <c r="C46" s="2" t="s">
        <v>195</v>
      </c>
      <c r="D46" s="2" t="s">
        <v>27</v>
      </c>
      <c r="E46" s="4">
        <v>-32837</v>
      </c>
      <c r="F46" s="3" t="s">
        <v>196</v>
      </c>
      <c r="G46" s="3" t="s">
        <v>140</v>
      </c>
      <c r="H46" s="2" t="s">
        <v>74</v>
      </c>
      <c r="I46" s="2" t="s">
        <v>197</v>
      </c>
      <c r="J46" s="3" t="str">
        <f>HYPERLINK("https://www.boe.es/gazeta/dias/1810/02/03/pdfs/GMD-1810-34.pdf#page=4","Abrir facsímil")</f>
        <v>Abrir facsímil</v>
      </c>
      <c r="K46" s="3" t="s">
        <v>76</v>
      </c>
    </row>
    <row r="47" spans="1:11" ht="42" customHeight="1">
      <c r="A47" s="2" t="s">
        <v>198</v>
      </c>
      <c r="B47" s="2" t="s">
        <v>199</v>
      </c>
      <c r="C47" s="2" t="s">
        <v>26</v>
      </c>
      <c r="D47" s="2" t="s">
        <v>27</v>
      </c>
      <c r="E47" s="4">
        <v>-32710</v>
      </c>
      <c r="F47" s="3" t="s">
        <v>126</v>
      </c>
      <c r="G47" s="3" t="s">
        <v>20</v>
      </c>
      <c r="H47" s="2" t="s">
        <v>74</v>
      </c>
      <c r="I47" s="2" t="s">
        <v>200</v>
      </c>
      <c r="J47" s="3" t="str">
        <f>HYPERLINK("https://www.boe.es/gazeta/dias/1810/06/10/pdfs/GMD-1810-161.pdf#page=4","Abrir facsímil")</f>
        <v>Abrir facsímil</v>
      </c>
      <c r="K47" s="3" t="s">
        <v>76</v>
      </c>
    </row>
    <row r="48" spans="1:11" ht="42" customHeight="1">
      <c r="A48" s="2" t="s">
        <v>201</v>
      </c>
      <c r="B48" s="2" t="s">
        <v>202</v>
      </c>
      <c r="C48" s="2" t="s">
        <v>88</v>
      </c>
      <c r="D48" s="2" t="s">
        <v>27</v>
      </c>
      <c r="E48" s="4">
        <v>-32756</v>
      </c>
      <c r="F48" s="3" t="s">
        <v>203</v>
      </c>
      <c r="G48" s="3" t="s">
        <v>180</v>
      </c>
      <c r="H48" s="2" t="s">
        <v>74</v>
      </c>
      <c r="I48" s="2" t="s">
        <v>204</v>
      </c>
      <c r="J48" s="3" t="str">
        <f>HYPERLINK("https://www.boe.es/gazeta/dias/1810/04/25/pdfs/GMD-1810-115.pdf#page=4","Abrir facsímil")</f>
        <v>Abrir facsímil</v>
      </c>
      <c r="K48" s="3" t="s">
        <v>76</v>
      </c>
    </row>
    <row r="49" spans="1:11" ht="42" customHeight="1">
      <c r="A49" s="2" t="s">
        <v>205</v>
      </c>
      <c r="B49" s="2" t="s">
        <v>205</v>
      </c>
      <c r="C49" s="2" t="s">
        <v>33</v>
      </c>
      <c r="D49" s="2" t="s">
        <v>27</v>
      </c>
      <c r="E49" s="4">
        <v>-32708</v>
      </c>
      <c r="F49" s="3" t="s">
        <v>206</v>
      </c>
      <c r="G49" s="3" t="s">
        <v>29</v>
      </c>
      <c r="H49" s="2" t="s">
        <v>74</v>
      </c>
      <c r="I49" s="2" t="s">
        <v>207</v>
      </c>
      <c r="J49" s="3" t="str">
        <f>HYPERLINK("https://www.boe.es/gazeta/dias/1810/06/12/pdfs/GMD-1810-163.pdf#page=2","Abrir facsímil")</f>
        <v>Abrir facsímil</v>
      </c>
      <c r="K49" s="3" t="s">
        <v>76</v>
      </c>
    </row>
    <row r="50" spans="1:11" ht="42" customHeight="1">
      <c r="A50" s="2" t="s">
        <v>208</v>
      </c>
      <c r="B50" s="2" t="s">
        <v>208</v>
      </c>
      <c r="C50" s="2" t="s">
        <v>26</v>
      </c>
      <c r="D50" s="2" t="s">
        <v>27</v>
      </c>
      <c r="E50" s="4">
        <v>-32677</v>
      </c>
      <c r="F50" s="3" t="s">
        <v>209</v>
      </c>
      <c r="G50" s="3" t="s">
        <v>210</v>
      </c>
      <c r="H50" s="2" t="s">
        <v>74</v>
      </c>
      <c r="I50" s="2" t="s">
        <v>211</v>
      </c>
      <c r="J50" s="3" t="str">
        <f>HYPERLINK("https://www.boe.es/gazeta/dias/1810/07/13/pdfs/GMD-1810-194.pdf#page=3","Abrir facsímil")</f>
        <v>Abrir facsímil</v>
      </c>
      <c r="K50" s="3" t="s">
        <v>76</v>
      </c>
    </row>
    <row r="51" spans="1:11" ht="42" customHeight="1">
      <c r="A51" s="2" t="s">
        <v>208</v>
      </c>
      <c r="B51" s="2" t="s">
        <v>208</v>
      </c>
      <c r="C51" s="2" t="s">
        <v>88</v>
      </c>
      <c r="D51" s="2" t="s">
        <v>27</v>
      </c>
      <c r="E51" s="4">
        <v>-32509</v>
      </c>
      <c r="F51" s="3" t="s">
        <v>212</v>
      </c>
      <c r="G51" s="3" t="s">
        <v>213</v>
      </c>
      <c r="H51" s="2" t="s">
        <v>74</v>
      </c>
      <c r="I51" s="2" t="s">
        <v>214</v>
      </c>
      <c r="J51" s="3" t="str">
        <f>HYPERLINK("https://www.boe.es/gazeta/dias/1810/12/28/pdfs/GMD-1810-362.pdf#page=1","Abrir facsímil")</f>
        <v>Abrir facsímil</v>
      </c>
      <c r="K51" s="3" t="s">
        <v>76</v>
      </c>
    </row>
    <row r="52" spans="1:11" ht="42" customHeight="1">
      <c r="A52" s="2" t="s">
        <v>215</v>
      </c>
      <c r="B52" s="2" t="s">
        <v>216</v>
      </c>
      <c r="C52" s="2" t="s">
        <v>33</v>
      </c>
      <c r="D52" s="2" t="s">
        <v>27</v>
      </c>
      <c r="E52" s="4">
        <v>-32669</v>
      </c>
      <c r="F52" s="3" t="s">
        <v>217</v>
      </c>
      <c r="G52" s="3" t="s">
        <v>20</v>
      </c>
      <c r="H52" s="2" t="s">
        <v>74</v>
      </c>
      <c r="I52" s="2" t="s">
        <v>218</v>
      </c>
      <c r="J52" s="3" t="str">
        <f>HYPERLINK("https://www.boe.es/gazeta/dias/1810/07/21/pdfs/GMD-1810-202.pdf#page=4","Abrir facsímil")</f>
        <v>Abrir facsímil</v>
      </c>
      <c r="K52" s="3" t="s">
        <v>76</v>
      </c>
    </row>
    <row r="53" spans="1:11" ht="42" customHeight="1">
      <c r="A53" s="2" t="s">
        <v>219</v>
      </c>
      <c r="B53" s="2" t="s">
        <v>219</v>
      </c>
      <c r="C53" s="2" t="s">
        <v>26</v>
      </c>
      <c r="D53" s="2" t="s">
        <v>220</v>
      </c>
      <c r="E53" s="4">
        <v>-32687</v>
      </c>
      <c r="F53" s="3" t="s">
        <v>221</v>
      </c>
      <c r="G53" s="3" t="s">
        <v>106</v>
      </c>
      <c r="H53" s="2" t="s">
        <v>74</v>
      </c>
      <c r="I53" s="2" t="s">
        <v>222</v>
      </c>
      <c r="J53" s="3" t="str">
        <f>HYPERLINK("https://www.boe.es/gazeta/dias/1810/07/03/pdfs/GMD-1810-184.pdf#page=1","Abrir facsímil")</f>
        <v>Abrir facsímil</v>
      </c>
      <c r="K53" s="3" t="s">
        <v>76</v>
      </c>
    </row>
    <row r="54" spans="1:11" ht="42" customHeight="1">
      <c r="A54" s="2" t="s">
        <v>223</v>
      </c>
      <c r="B54" s="2" t="s">
        <v>224</v>
      </c>
      <c r="C54" s="2" t="s">
        <v>225</v>
      </c>
      <c r="D54" s="2" t="s">
        <v>27</v>
      </c>
      <c r="E54" s="4">
        <v>-32820</v>
      </c>
      <c r="F54" s="3" t="s">
        <v>226</v>
      </c>
      <c r="G54" s="3" t="s">
        <v>227</v>
      </c>
      <c r="H54" s="2" t="s">
        <v>74</v>
      </c>
      <c r="I54" s="2" t="s">
        <v>228</v>
      </c>
      <c r="J54" s="3" t="str">
        <f>HYPERLINK("https://www.boe.es/gazeta/dias/1810/02/20/pdfs/GMD-1810-51.pdf#page=4","Abrir facsímil")</f>
        <v>Abrir facsímil</v>
      </c>
      <c r="K54" s="3" t="s">
        <v>76</v>
      </c>
    </row>
    <row r="55" spans="1:11" ht="42" customHeight="1">
      <c r="A55" s="2" t="s">
        <v>229</v>
      </c>
      <c r="B55" s="2" t="s">
        <v>230</v>
      </c>
      <c r="C55" s="2" t="s">
        <v>195</v>
      </c>
      <c r="D55" s="2" t="s">
        <v>220</v>
      </c>
      <c r="E55" s="4">
        <v>-32762</v>
      </c>
      <c r="F55" s="3" t="s">
        <v>231</v>
      </c>
      <c r="G55" s="3" t="s">
        <v>29</v>
      </c>
      <c r="H55" s="2" t="s">
        <v>74</v>
      </c>
      <c r="I55" s="2" t="s">
        <v>232</v>
      </c>
      <c r="J55" s="3" t="str">
        <f>HYPERLINK("https://www.boe.es/gazeta/dias/1810/04/19/pdfs/GMD-1810-109.pdf#page=2","Abrir facsímil")</f>
        <v>Abrir facsímil</v>
      </c>
      <c r="K55" s="3" t="s">
        <v>76</v>
      </c>
    </row>
    <row r="56" spans="1:11" ht="42" customHeight="1">
      <c r="A56" s="2" t="s">
        <v>233</v>
      </c>
      <c r="B56" s="2" t="s">
        <v>233</v>
      </c>
      <c r="C56" s="2" t="s">
        <v>88</v>
      </c>
      <c r="D56" s="2" t="s">
        <v>27</v>
      </c>
      <c r="E56" s="4">
        <v>-32552</v>
      </c>
      <c r="F56" s="3" t="s">
        <v>234</v>
      </c>
      <c r="G56" s="3" t="s">
        <v>235</v>
      </c>
      <c r="H56" s="2" t="s">
        <v>74</v>
      </c>
      <c r="I56" s="2" t="s">
        <v>236</v>
      </c>
      <c r="J56" s="3" t="str">
        <f>HYPERLINK("https://www.boe.es/gazeta/dias/1810/11/15/pdfs/GMD-1810-319.pdf#page=1","Abrir facsímil")</f>
        <v>Abrir facsímil</v>
      </c>
      <c r="K56" s="3" t="s">
        <v>76</v>
      </c>
    </row>
    <row r="57" spans="1:11" ht="42" customHeight="1">
      <c r="A57" s="2" t="s">
        <v>237</v>
      </c>
      <c r="B57" s="2" t="s">
        <v>238</v>
      </c>
      <c r="C57" s="2" t="s">
        <v>88</v>
      </c>
      <c r="D57" s="2" t="s">
        <v>27</v>
      </c>
      <c r="E57" s="4">
        <v>-32837</v>
      </c>
      <c r="F57" s="3" t="s">
        <v>196</v>
      </c>
      <c r="G57" s="3" t="s">
        <v>140</v>
      </c>
      <c r="H57" s="2" t="s">
        <v>74</v>
      </c>
      <c r="I57" s="2" t="s">
        <v>239</v>
      </c>
      <c r="J57" s="3" t="str">
        <f>HYPERLINK("https://www.boe.es/gazeta/dias/1810/02/03/pdfs/GMD-1810-34.pdf#page=4","Abrir facsímil")</f>
        <v>Abrir facsímil</v>
      </c>
      <c r="K57" s="3" t="s">
        <v>76</v>
      </c>
    </row>
    <row r="58" spans="1:11" ht="42" customHeight="1">
      <c r="A58" s="2" t="s">
        <v>240</v>
      </c>
      <c r="B58" s="2" t="s">
        <v>240</v>
      </c>
      <c r="C58" s="2" t="s">
        <v>26</v>
      </c>
      <c r="D58" s="2" t="s">
        <v>27</v>
      </c>
      <c r="E58" s="4">
        <v>-32558</v>
      </c>
      <c r="F58" s="3" t="s">
        <v>241</v>
      </c>
      <c r="G58" s="3" t="s">
        <v>242</v>
      </c>
      <c r="H58" s="2" t="s">
        <v>74</v>
      </c>
      <c r="I58" s="2" t="s">
        <v>243</v>
      </c>
      <c r="J58" s="3" t="str">
        <f>HYPERLINK("https://www.boe.es/gazeta/dias/1810/11/09/pdfs/GMD-1810-313.pdf#page=1","Abrir facsímil")</f>
        <v>Abrir facsímil</v>
      </c>
      <c r="K58" s="3" t="s">
        <v>76</v>
      </c>
    </row>
    <row r="59" spans="1:11" ht="42" customHeight="1">
      <c r="A59" s="2" t="s">
        <v>244</v>
      </c>
      <c r="B59" s="2" t="s">
        <v>245</v>
      </c>
      <c r="C59" s="2" t="s">
        <v>33</v>
      </c>
      <c r="D59" s="2" t="s">
        <v>27</v>
      </c>
      <c r="E59" s="4">
        <v>-32796</v>
      </c>
      <c r="F59" s="3" t="s">
        <v>246</v>
      </c>
      <c r="G59" s="3" t="s">
        <v>35</v>
      </c>
      <c r="H59" s="2" t="s">
        <v>74</v>
      </c>
      <c r="I59" s="2" t="s">
        <v>247</v>
      </c>
      <c r="J59" s="3" t="str">
        <f>HYPERLINK("https://www.boe.es/gazeta/dias/1810/03/16/pdfs/GEI-1810-2.pdf#page=2","Abrir facsímil")</f>
        <v>Abrir facsímil</v>
      </c>
      <c r="K59" s="3" t="s">
        <v>76</v>
      </c>
    </row>
    <row r="60" spans="1:11" ht="42" customHeight="1">
      <c r="A60" s="2" t="s">
        <v>244</v>
      </c>
      <c r="B60" s="2" t="s">
        <v>245</v>
      </c>
      <c r="C60" s="2" t="s">
        <v>33</v>
      </c>
      <c r="D60" s="2" t="s">
        <v>27</v>
      </c>
      <c r="E60" s="4">
        <v>-32596</v>
      </c>
      <c r="F60" s="3" t="s">
        <v>248</v>
      </c>
      <c r="G60" s="3" t="s">
        <v>35</v>
      </c>
      <c r="H60" s="2" t="s">
        <v>74</v>
      </c>
      <c r="I60" s="2" t="s">
        <v>249</v>
      </c>
      <c r="J60" s="3" t="str">
        <f>HYPERLINK("https://www.boe.es/gazeta/dias/1810/10/02/pdfs/GEI-1810-76.pdf#page=2","Abrir facsímil")</f>
        <v>Abrir facsímil</v>
      </c>
      <c r="K60" s="3" t="s">
        <v>76</v>
      </c>
    </row>
    <row r="61" spans="1:11" ht="42" customHeight="1">
      <c r="A61" s="2" t="s">
        <v>250</v>
      </c>
      <c r="B61" s="2" t="s">
        <v>250</v>
      </c>
      <c r="C61" s="2" t="s">
        <v>33</v>
      </c>
      <c r="D61" s="2" t="s">
        <v>27</v>
      </c>
      <c r="E61" s="4">
        <v>-32731</v>
      </c>
      <c r="F61" s="3" t="s">
        <v>251</v>
      </c>
      <c r="G61" s="3" t="s">
        <v>252</v>
      </c>
      <c r="H61" s="2" t="s">
        <v>74</v>
      </c>
      <c r="I61" s="2" t="s">
        <v>253</v>
      </c>
      <c r="J61" s="3" t="str">
        <f>HYPERLINK("https://www.boe.es/gazeta/dias/1810/05/20/pdfs/GMD-1810-140.pdf#page=4","Abrir facsímil")</f>
        <v>Abrir facsímil</v>
      </c>
      <c r="K61" s="3" t="s">
        <v>76</v>
      </c>
    </row>
    <row r="62" spans="1:11" ht="42" customHeight="1">
      <c r="A62" s="2" t="s">
        <v>254</v>
      </c>
      <c r="B62" s="2" t="s">
        <v>254</v>
      </c>
      <c r="C62" s="2" t="s">
        <v>88</v>
      </c>
      <c r="D62" s="2" t="s">
        <v>27</v>
      </c>
      <c r="E62" s="4">
        <v>-32540</v>
      </c>
      <c r="F62" s="3" t="s">
        <v>255</v>
      </c>
      <c r="G62" s="3" t="s">
        <v>20</v>
      </c>
      <c r="H62" s="2" t="s">
        <v>74</v>
      </c>
      <c r="I62" s="2" t="s">
        <v>256</v>
      </c>
      <c r="J62" s="3" t="str">
        <f>HYPERLINK("https://www.boe.es/gazeta/dias/1810/11/27/pdfs/GMD-1810-331.pdf#page=4","Abrir facsímil")</f>
        <v>Abrir facsímil</v>
      </c>
      <c r="K62" s="3" t="s">
        <v>76</v>
      </c>
    </row>
    <row r="63" spans="1:11" ht="42" customHeight="1">
      <c r="A63" s="2" t="s">
        <v>257</v>
      </c>
      <c r="B63" s="2" t="s">
        <v>257</v>
      </c>
      <c r="C63" s="2" t="s">
        <v>26</v>
      </c>
      <c r="D63" s="2" t="s">
        <v>18</v>
      </c>
      <c r="E63" s="4">
        <v>-32704</v>
      </c>
      <c r="F63" s="3" t="s">
        <v>94</v>
      </c>
      <c r="G63" s="3" t="s">
        <v>20</v>
      </c>
      <c r="H63" s="2" t="s">
        <v>74</v>
      </c>
      <c r="I63" s="2" t="s">
        <v>258</v>
      </c>
      <c r="J63" s="3" t="str">
        <f>HYPERLINK("https://www.boe.es/gazeta/dias/1810/06/16/pdfs/GMD-1810-167.pdf#page=4","Abrir facsímil")</f>
        <v>Abrir facsímil</v>
      </c>
      <c r="K63" s="3" t="s">
        <v>76</v>
      </c>
    </row>
    <row r="64" spans="1:11" ht="42" customHeight="1">
      <c r="A64" s="2" t="s">
        <v>259</v>
      </c>
      <c r="B64" s="2" t="s">
        <v>259</v>
      </c>
      <c r="C64" s="2" t="s">
        <v>33</v>
      </c>
      <c r="D64" s="2" t="s">
        <v>27</v>
      </c>
      <c r="E64" s="4">
        <v>-32585</v>
      </c>
      <c r="F64" s="3" t="s">
        <v>260</v>
      </c>
      <c r="G64" s="3" t="s">
        <v>180</v>
      </c>
      <c r="H64" s="2" t="s">
        <v>74</v>
      </c>
      <c r="I64" s="2" t="s">
        <v>261</v>
      </c>
      <c r="J64" s="3" t="str">
        <f>HYPERLINK("https://www.boe.es/gazeta/dias/1810/10/13/pdfs/GEI-1810-81.pdf#page=5","Abrir facsímil")</f>
        <v>Abrir facsímil</v>
      </c>
      <c r="K64" s="3" t="s">
        <v>76</v>
      </c>
    </row>
    <row r="65" spans="1:11" ht="42" customHeight="1">
      <c r="A65" s="2" t="s">
        <v>262</v>
      </c>
      <c r="B65" s="2" t="s">
        <v>262</v>
      </c>
      <c r="C65" s="2" t="s">
        <v>26</v>
      </c>
      <c r="D65" s="2" t="s">
        <v>27</v>
      </c>
      <c r="E65" s="4">
        <v>-32687</v>
      </c>
      <c r="F65" s="3" t="s">
        <v>263</v>
      </c>
      <c r="G65" s="3" t="s">
        <v>140</v>
      </c>
      <c r="H65" s="2" t="s">
        <v>74</v>
      </c>
      <c r="I65" s="2" t="s">
        <v>264</v>
      </c>
      <c r="J65" s="3" t="str">
        <f>HYPERLINK("https://www.boe.es/gazeta/dias/1810/07/03/pdfs/GEI-1810-41.pdf#page=6","Abrir facsímil")</f>
        <v>Abrir facsímil</v>
      </c>
      <c r="K65" s="3" t="s">
        <v>76</v>
      </c>
    </row>
    <row r="66" spans="1:11" ht="42" customHeight="1">
      <c r="A66" s="2" t="s">
        <v>265</v>
      </c>
      <c r="B66" s="2" t="s">
        <v>265</v>
      </c>
      <c r="C66" s="2" t="s">
        <v>26</v>
      </c>
      <c r="D66" s="2" t="s">
        <v>27</v>
      </c>
      <c r="E66" s="4">
        <v>-32687</v>
      </c>
      <c r="F66" s="3" t="s">
        <v>263</v>
      </c>
      <c r="G66" s="3" t="s">
        <v>227</v>
      </c>
      <c r="H66" s="2" t="s">
        <v>74</v>
      </c>
      <c r="I66" s="2" t="s">
        <v>266</v>
      </c>
      <c r="J66" s="3" t="str">
        <f>HYPERLINK("https://www.boe.es/gazeta/dias/1810/07/03/pdfs/GEI-1810-41.pdf#page=7","Abrir facsímil")</f>
        <v>Abrir facsímil</v>
      </c>
      <c r="K66" s="3" t="s">
        <v>76</v>
      </c>
    </row>
    <row r="67" spans="1:11" ht="42" customHeight="1">
      <c r="A67" s="2" t="s">
        <v>267</v>
      </c>
      <c r="B67" s="2" t="s">
        <v>268</v>
      </c>
      <c r="C67" s="2" t="s">
        <v>88</v>
      </c>
      <c r="D67" s="2" t="s">
        <v>18</v>
      </c>
      <c r="E67" s="4">
        <v>-32728</v>
      </c>
      <c r="F67" s="3" t="s">
        <v>269</v>
      </c>
      <c r="G67" s="3" t="s">
        <v>119</v>
      </c>
      <c r="H67" s="2" t="s">
        <v>74</v>
      </c>
      <c r="I67" s="2" t="s">
        <v>270</v>
      </c>
      <c r="J67" s="3" t="str">
        <f>HYPERLINK("https://www.boe.es/gazeta/dias/1810/05/23/pdfs/GMD-1810-143.pdf#page=3","Abrir facsímil")</f>
        <v>Abrir facsímil</v>
      </c>
      <c r="K67" s="3" t="s">
        <v>76</v>
      </c>
    </row>
    <row r="68" spans="1:11" ht="42" customHeight="1">
      <c r="A68" s="2" t="s">
        <v>271</v>
      </c>
      <c r="B68" s="2" t="s">
        <v>272</v>
      </c>
      <c r="C68" s="2" t="s">
        <v>26</v>
      </c>
      <c r="D68" s="2" t="s">
        <v>27</v>
      </c>
      <c r="E68" s="4">
        <v>-32561</v>
      </c>
      <c r="F68" s="3" t="s">
        <v>273</v>
      </c>
      <c r="G68" s="3" t="s">
        <v>274</v>
      </c>
      <c r="H68" s="2" t="s">
        <v>74</v>
      </c>
      <c r="I68" s="2" t="s">
        <v>275</v>
      </c>
      <c r="J68" s="3" t="str">
        <f>HYPERLINK("https://www.boe.es/gazeta/dias/1810/11/06/pdfs/GEI-1810-91.pdf#page=8","Abrir facsímil")</f>
        <v>Abrir facsímil</v>
      </c>
      <c r="K68" s="3" t="s">
        <v>76</v>
      </c>
    </row>
    <row r="69" spans="1:11" ht="42" customHeight="1">
      <c r="A69" s="2" t="s">
        <v>276</v>
      </c>
      <c r="B69" s="2" t="s">
        <v>276</v>
      </c>
      <c r="C69" s="2" t="s">
        <v>33</v>
      </c>
      <c r="D69" s="2" t="s">
        <v>27</v>
      </c>
      <c r="E69" s="4">
        <v>-32782</v>
      </c>
      <c r="F69" s="3" t="s">
        <v>79</v>
      </c>
      <c r="G69" s="3" t="s">
        <v>277</v>
      </c>
      <c r="H69" s="2" t="s">
        <v>74</v>
      </c>
      <c r="I69" s="2" t="s">
        <v>278</v>
      </c>
      <c r="J69" s="3" t="str">
        <f>HYPERLINK("https://www.boe.es/gazeta/dias/1810/03/30/pdfs/GEI-1810-9.pdf#page=1","Abrir facsímil")</f>
        <v>Abrir facsímil</v>
      </c>
      <c r="K69" s="3" t="s">
        <v>76</v>
      </c>
    </row>
    <row r="70" spans="1:11" ht="42" customHeight="1">
      <c r="A70" s="2" t="s">
        <v>279</v>
      </c>
      <c r="B70" s="2" t="s">
        <v>280</v>
      </c>
      <c r="C70" s="2" t="s">
        <v>88</v>
      </c>
      <c r="D70" s="2" t="s">
        <v>27</v>
      </c>
      <c r="E70" s="4">
        <v>-32524</v>
      </c>
      <c r="F70" s="3" t="s">
        <v>281</v>
      </c>
      <c r="G70" s="3" t="s">
        <v>180</v>
      </c>
      <c r="H70" s="2" t="s">
        <v>74</v>
      </c>
      <c r="I70" s="2" t="s">
        <v>282</v>
      </c>
      <c r="J70" s="3" t="str">
        <f>HYPERLINK("https://www.boe.es/gazeta/dias/1810/12/13/pdfs/GEI-1810-107.pdf#page=6","Abrir facsímil")</f>
        <v>Abrir facsímil</v>
      </c>
      <c r="K70" s="3" t="s">
        <v>76</v>
      </c>
    </row>
    <row r="71" spans="1:11" ht="42" customHeight="1">
      <c r="A71" s="2" t="s">
        <v>283</v>
      </c>
      <c r="B71" s="2" t="s">
        <v>283</v>
      </c>
      <c r="C71" s="2" t="s">
        <v>88</v>
      </c>
      <c r="D71" s="2" t="s">
        <v>27</v>
      </c>
      <c r="E71" s="4">
        <v>-32710</v>
      </c>
      <c r="F71" s="3" t="s">
        <v>126</v>
      </c>
      <c r="G71" s="3" t="s">
        <v>35</v>
      </c>
      <c r="H71" s="2" t="s">
        <v>74</v>
      </c>
      <c r="I71" s="2" t="s">
        <v>284</v>
      </c>
      <c r="J71" s="3" t="str">
        <f>HYPERLINK("https://www.boe.es/gazeta/dias/1810/06/10/pdfs/GMD-1810-161.pdf#page=2","Abrir facsímil")</f>
        <v>Abrir facsímil</v>
      </c>
      <c r="K71" s="3" t="s">
        <v>76</v>
      </c>
    </row>
    <row r="72" spans="1:11" ht="42" customHeight="1">
      <c r="A72" s="2" t="s">
        <v>285</v>
      </c>
      <c r="B72" s="2" t="s">
        <v>286</v>
      </c>
      <c r="C72" s="2" t="s">
        <v>88</v>
      </c>
      <c r="D72" s="2" t="s">
        <v>27</v>
      </c>
      <c r="E72" s="4">
        <v>-32700</v>
      </c>
      <c r="F72" s="3" t="s">
        <v>89</v>
      </c>
      <c r="G72" s="3" t="s">
        <v>29</v>
      </c>
      <c r="H72" s="2" t="s">
        <v>74</v>
      </c>
      <c r="I72" s="2" t="s">
        <v>287</v>
      </c>
      <c r="J72" s="3" t="str">
        <f>HYPERLINK("https://www.boe.es/gazeta/dias/1810/06/20/pdfs/GMD-1810-171.pdf#page=3","Abrir facsímil")</f>
        <v>Abrir facsímil</v>
      </c>
      <c r="K72" s="3" t="s">
        <v>76</v>
      </c>
    </row>
    <row r="73" spans="1:11" ht="42" customHeight="1">
      <c r="A73" s="2" t="s">
        <v>288</v>
      </c>
      <c r="B73" s="2" t="s">
        <v>289</v>
      </c>
      <c r="C73" s="2" t="s">
        <v>26</v>
      </c>
      <c r="D73" s="2" t="s">
        <v>27</v>
      </c>
      <c r="E73" s="4">
        <v>-32827</v>
      </c>
      <c r="F73" s="3" t="s">
        <v>290</v>
      </c>
      <c r="G73" s="3" t="s">
        <v>291</v>
      </c>
      <c r="H73" s="2" t="s">
        <v>74</v>
      </c>
      <c r="I73" s="2" t="s">
        <v>292</v>
      </c>
      <c r="J73" s="3" t="str">
        <f>HYPERLINK("https://www.boe.es/gazeta/dias/1810/02/13/pdfs/GMD-1810-44.pdf#page=4","Abrir facsímil")</f>
        <v>Abrir facsímil</v>
      </c>
      <c r="K73" s="3" t="s">
        <v>76</v>
      </c>
    </row>
    <row r="74" spans="1:11" ht="42" customHeight="1">
      <c r="A74" s="2" t="s">
        <v>293</v>
      </c>
      <c r="B74" s="2" t="s">
        <v>294</v>
      </c>
      <c r="C74" s="2" t="s">
        <v>26</v>
      </c>
      <c r="D74" s="2" t="s">
        <v>39</v>
      </c>
      <c r="E74" s="4">
        <v>-32684</v>
      </c>
      <c r="F74" s="3" t="s">
        <v>295</v>
      </c>
      <c r="G74" s="3" t="s">
        <v>296</v>
      </c>
      <c r="H74" s="2" t="s">
        <v>74</v>
      </c>
      <c r="I74" s="2" t="s">
        <v>297</v>
      </c>
      <c r="J74" s="3" t="str">
        <f>HYPERLINK("https://www.boe.es/gazeta/dias/1810/07/06/pdfs/GMD-C-1810-187.pdf#page=4","Abrir facsímil")</f>
        <v>Abrir facsímil</v>
      </c>
      <c r="K74" s="3" t="s">
        <v>76</v>
      </c>
    </row>
    <row r="75" spans="1:11" ht="42" customHeight="1">
      <c r="A75" s="2" t="s">
        <v>298</v>
      </c>
      <c r="B75" s="2" t="s">
        <v>299</v>
      </c>
      <c r="C75" s="2" t="s">
        <v>26</v>
      </c>
      <c r="D75" s="2" t="s">
        <v>39</v>
      </c>
      <c r="E75" s="4">
        <v>-32683</v>
      </c>
      <c r="F75" s="3" t="s">
        <v>300</v>
      </c>
      <c r="G75" s="3" t="s">
        <v>90</v>
      </c>
      <c r="H75" s="2" t="s">
        <v>74</v>
      </c>
      <c r="I75" s="2" t="s">
        <v>301</v>
      </c>
      <c r="J75" s="3" t="str">
        <f>HYPERLINK("https://www.boe.es/gazeta/dias/1810/07/07/pdfs/GMD-C-1810-188.pdf#page=1","Abrir facsímil")</f>
        <v>Abrir facsímil</v>
      </c>
      <c r="K75" s="3" t="s">
        <v>76</v>
      </c>
    </row>
    <row r="76" spans="1:11" ht="42" customHeight="1">
      <c r="A76" s="2" t="s">
        <v>302</v>
      </c>
      <c r="B76" s="2" t="s">
        <v>303</v>
      </c>
      <c r="C76" s="2" t="s">
        <v>26</v>
      </c>
      <c r="D76" s="2" t="s">
        <v>39</v>
      </c>
      <c r="E76" s="4">
        <v>-32687</v>
      </c>
      <c r="F76" s="3" t="s">
        <v>304</v>
      </c>
      <c r="G76" s="3" t="s">
        <v>213</v>
      </c>
      <c r="H76" s="2" t="s">
        <v>74</v>
      </c>
      <c r="I76" s="2" t="s">
        <v>305</v>
      </c>
      <c r="J76" s="3" t="str">
        <f>HYPERLINK("https://www.boe.es/gazeta/dias/1810/07/03/pdfs/GMD-C-1810-184.pdf#page=1","Abrir facsímil")</f>
        <v>Abrir facsímil</v>
      </c>
      <c r="K76" s="3" t="s">
        <v>76</v>
      </c>
    </row>
    <row r="77" spans="1:11" ht="42" customHeight="1">
      <c r="A77" s="2" t="s">
        <v>306</v>
      </c>
      <c r="B77" s="2" t="s">
        <v>307</v>
      </c>
      <c r="C77" s="2" t="s">
        <v>26</v>
      </c>
      <c r="D77" s="2" t="s">
        <v>27</v>
      </c>
      <c r="E77" s="4">
        <v>-32775</v>
      </c>
      <c r="F77" s="3" t="s">
        <v>308</v>
      </c>
      <c r="G77" s="3" t="s">
        <v>140</v>
      </c>
      <c r="H77" s="2" t="s">
        <v>74</v>
      </c>
      <c r="I77" s="2" t="s">
        <v>309</v>
      </c>
      <c r="J77" s="3" t="str">
        <f>HYPERLINK("https://www.boe.es/gazeta/dias/1810/04/06/pdfs/GMD-1810-96.pdf#page=3","Abrir facsímil")</f>
        <v>Abrir facsímil</v>
      </c>
      <c r="K77" s="3" t="s">
        <v>76</v>
      </c>
    </row>
    <row r="78" spans="1:11" ht="42" customHeight="1">
      <c r="A78" s="2" t="s">
        <v>310</v>
      </c>
      <c r="B78" s="2" t="s">
        <v>311</v>
      </c>
      <c r="C78" s="2" t="s">
        <v>33</v>
      </c>
      <c r="D78" s="2" t="s">
        <v>27</v>
      </c>
      <c r="E78" s="4">
        <v>-32687</v>
      </c>
      <c r="F78" s="3" t="s">
        <v>221</v>
      </c>
      <c r="G78" s="3" t="s">
        <v>20</v>
      </c>
      <c r="H78" s="2" t="s">
        <v>74</v>
      </c>
      <c r="I78" s="2" t="s">
        <v>312</v>
      </c>
      <c r="J78" s="3" t="str">
        <f>HYPERLINK("https://www.boe.es/gazeta/dias/1810/07/03/pdfs/GMD-1810-184.pdf#page=4","Abrir facsímil")</f>
        <v>Abrir facsímil</v>
      </c>
      <c r="K78" s="3" t="s">
        <v>76</v>
      </c>
    </row>
    <row r="79" spans="1:11" ht="42" customHeight="1">
      <c r="A79" s="2" t="s">
        <v>313</v>
      </c>
      <c r="B79" s="2" t="s">
        <v>314</v>
      </c>
      <c r="C79" s="2" t="s">
        <v>26</v>
      </c>
      <c r="D79" s="2" t="s">
        <v>39</v>
      </c>
      <c r="E79" s="4">
        <v>-32701</v>
      </c>
      <c r="F79" s="3" t="s">
        <v>40</v>
      </c>
      <c r="G79" s="3" t="s">
        <v>315</v>
      </c>
      <c r="H79" s="2" t="s">
        <v>74</v>
      </c>
      <c r="I79" s="2" t="s">
        <v>316</v>
      </c>
      <c r="J79" s="3" t="str">
        <f>HYPERLINK("https://www.boe.es/gazeta/dias/1810/06/19/pdfs/GMD-C-1810-170.pdf#page=2","Abrir facsímil")</f>
        <v>Abrir facsímil</v>
      </c>
      <c r="K79" s="3" t="s">
        <v>76</v>
      </c>
    </row>
    <row r="80" spans="1:11" ht="42" customHeight="1">
      <c r="A80" s="2" t="s">
        <v>313</v>
      </c>
      <c r="B80" s="2" t="s">
        <v>314</v>
      </c>
      <c r="C80" s="2" t="s">
        <v>317</v>
      </c>
      <c r="D80" s="2" t="s">
        <v>39</v>
      </c>
      <c r="E80" s="4">
        <v>-32661</v>
      </c>
      <c r="F80" s="3" t="s">
        <v>157</v>
      </c>
      <c r="G80" s="3" t="s">
        <v>158</v>
      </c>
      <c r="H80" s="2" t="s">
        <v>74</v>
      </c>
      <c r="I80" s="2" t="s">
        <v>318</v>
      </c>
      <c r="J80" s="3" t="str">
        <f>HYPERLINK("https://www.boe.es/gazeta/dias/1810/07/29/pdfs/GMD-C-1810-210.pdf#page=1","Abrir facsímil")</f>
        <v>Abrir facsímil</v>
      </c>
      <c r="K80" s="3" t="s">
        <v>76</v>
      </c>
    </row>
    <row r="81" spans="1:11" ht="42" customHeight="1">
      <c r="A81" s="2" t="s">
        <v>319</v>
      </c>
      <c r="B81" s="2" t="s">
        <v>320</v>
      </c>
      <c r="C81" s="2" t="s">
        <v>26</v>
      </c>
      <c r="D81" s="2" t="s">
        <v>27</v>
      </c>
      <c r="E81" s="4">
        <v>-32738</v>
      </c>
      <c r="F81" s="3" t="s">
        <v>321</v>
      </c>
      <c r="G81" s="3" t="s">
        <v>140</v>
      </c>
      <c r="H81" s="2" t="s">
        <v>74</v>
      </c>
      <c r="I81" s="2" t="s">
        <v>322</v>
      </c>
      <c r="J81" s="3" t="str">
        <f>HYPERLINK("https://www.boe.es/gazeta/dias/1810/05/13/pdfs/GMD-1810-133.pdf#page=4","Abrir facsímil")</f>
        <v>Abrir facsímil</v>
      </c>
      <c r="K81" s="3" t="s">
        <v>76</v>
      </c>
    </row>
    <row r="82" spans="1:11" ht="42" customHeight="1">
      <c r="A82" s="2" t="s">
        <v>323</v>
      </c>
      <c r="B82" s="2" t="s">
        <v>324</v>
      </c>
      <c r="C82" s="2" t="s">
        <v>26</v>
      </c>
      <c r="D82" s="2" t="s">
        <v>39</v>
      </c>
      <c r="E82" s="4">
        <v>-32701</v>
      </c>
      <c r="F82" s="3" t="s">
        <v>40</v>
      </c>
      <c r="G82" s="3" t="s">
        <v>170</v>
      </c>
      <c r="H82" s="2" t="s">
        <v>74</v>
      </c>
      <c r="I82" s="2" t="s">
        <v>325</v>
      </c>
      <c r="J82" s="3" t="str">
        <f>HYPERLINK("https://www.boe.es/gazeta/dias/1810/06/19/pdfs/GMD-C-1810-170.pdf#page=1","Abrir facsímil")</f>
        <v>Abrir facsímil</v>
      </c>
      <c r="K82" s="3" t="s">
        <v>76</v>
      </c>
    </row>
    <row r="83" spans="1:11" ht="42" customHeight="1">
      <c r="A83" s="2" t="s">
        <v>326</v>
      </c>
      <c r="B83" s="2" t="s">
        <v>327</v>
      </c>
      <c r="C83" s="2" t="s">
        <v>17</v>
      </c>
      <c r="D83" s="2" t="s">
        <v>18</v>
      </c>
      <c r="E83" s="4">
        <v>-32659</v>
      </c>
      <c r="F83" s="3" t="s">
        <v>328</v>
      </c>
      <c r="G83" s="3" t="s">
        <v>329</v>
      </c>
      <c r="H83" s="2" t="s">
        <v>74</v>
      </c>
      <c r="I83" s="2" t="s">
        <v>330</v>
      </c>
      <c r="J83" s="3" t="str">
        <f>HYPERLINK("https://www.boe.es/gazeta/dias/1810/07/31/pdfs/GEI-1810-49.pdf#page=7","Abrir facsímil")</f>
        <v>Abrir facsímil</v>
      </c>
      <c r="K83" s="3" t="s">
        <v>76</v>
      </c>
    </row>
    <row r="84" spans="1:11" ht="42" customHeight="1">
      <c r="A84" s="2" t="s">
        <v>331</v>
      </c>
      <c r="B84" s="2" t="s">
        <v>332</v>
      </c>
      <c r="C84" s="2" t="s">
        <v>26</v>
      </c>
      <c r="D84" s="2" t="s">
        <v>39</v>
      </c>
      <c r="E84" s="4">
        <v>-32701</v>
      </c>
      <c r="F84" s="3" t="s">
        <v>40</v>
      </c>
      <c r="G84" s="3" t="s">
        <v>333</v>
      </c>
      <c r="H84" s="2" t="s">
        <v>74</v>
      </c>
      <c r="I84" s="2" t="s">
        <v>334</v>
      </c>
      <c r="J84" s="3" t="str">
        <f>HYPERLINK("https://www.boe.es/gazeta/dias/1810/06/19/pdfs/GMD-C-1810-170.pdf#page=4","Abrir facsímil")</f>
        <v>Abrir facsímil</v>
      </c>
      <c r="K84" s="3" t="s">
        <v>76</v>
      </c>
    </row>
    <row r="85" spans="1:11" ht="42" customHeight="1">
      <c r="A85" s="2" t="s">
        <v>335</v>
      </c>
      <c r="B85" s="2" t="s">
        <v>336</v>
      </c>
      <c r="C85" s="2" t="s">
        <v>26</v>
      </c>
      <c r="D85" s="2" t="s">
        <v>27</v>
      </c>
      <c r="E85" s="4">
        <v>-32710</v>
      </c>
      <c r="F85" s="3" t="s">
        <v>126</v>
      </c>
      <c r="G85" s="3" t="s">
        <v>20</v>
      </c>
      <c r="H85" s="2" t="s">
        <v>74</v>
      </c>
      <c r="I85" s="2" t="s">
        <v>337</v>
      </c>
      <c r="J85" s="3" t="str">
        <f>HYPERLINK("https://www.boe.es/gazeta/dias/1810/06/10/pdfs/GMD-1810-161.pdf#page=4","Abrir facsímil")</f>
        <v>Abrir facsímil</v>
      </c>
      <c r="K85" s="3" t="s">
        <v>76</v>
      </c>
    </row>
    <row r="86" spans="1:11" ht="42" customHeight="1">
      <c r="A86" s="2" t="s">
        <v>338</v>
      </c>
      <c r="B86" s="2" t="s">
        <v>339</v>
      </c>
      <c r="C86" s="2" t="s">
        <v>26</v>
      </c>
      <c r="D86" s="2" t="s">
        <v>27</v>
      </c>
      <c r="E86" s="4">
        <v>-32837</v>
      </c>
      <c r="F86" s="3" t="s">
        <v>196</v>
      </c>
      <c r="G86" s="3" t="s">
        <v>140</v>
      </c>
      <c r="H86" s="2" t="s">
        <v>74</v>
      </c>
      <c r="I86" s="2" t="s">
        <v>340</v>
      </c>
      <c r="J86" s="3" t="str">
        <f>HYPERLINK("https://www.boe.es/gazeta/dias/1810/02/03/pdfs/GMD-1810-34.pdf#page=4","Abrir facsímil")</f>
        <v>Abrir facsímil</v>
      </c>
      <c r="K86" s="3" t="s">
        <v>76</v>
      </c>
    </row>
    <row r="87" spans="1:11" ht="42" customHeight="1">
      <c r="A87" s="2" t="s">
        <v>341</v>
      </c>
      <c r="B87" s="2" t="s">
        <v>342</v>
      </c>
      <c r="C87" s="2" t="s">
        <v>26</v>
      </c>
      <c r="D87" s="2" t="s">
        <v>27</v>
      </c>
      <c r="E87" s="4">
        <v>-32575</v>
      </c>
      <c r="F87" s="3" t="s">
        <v>135</v>
      </c>
      <c r="G87" s="3" t="s">
        <v>136</v>
      </c>
      <c r="H87" s="2" t="s">
        <v>74</v>
      </c>
      <c r="I87" s="2" t="s">
        <v>343</v>
      </c>
      <c r="J87" s="3" t="str">
        <f>HYPERLINK("https://www.boe.es/gazeta/dias/1810/10/23/pdfs/GEI-1810-85.pdf#page=11","Abrir facsímil")</f>
        <v>Abrir facsímil</v>
      </c>
      <c r="K87" s="3" t="s">
        <v>76</v>
      </c>
    </row>
    <row r="88" spans="1:11" ht="42" customHeight="1">
      <c r="A88" s="2" t="s">
        <v>344</v>
      </c>
      <c r="B88" s="2" t="s">
        <v>345</v>
      </c>
      <c r="C88" s="2" t="s">
        <v>26</v>
      </c>
      <c r="D88" s="2" t="s">
        <v>27</v>
      </c>
      <c r="E88" s="4">
        <v>-32666</v>
      </c>
      <c r="F88" s="3" t="s">
        <v>346</v>
      </c>
      <c r="G88" s="3" t="s">
        <v>347</v>
      </c>
      <c r="H88" s="2" t="s">
        <v>74</v>
      </c>
      <c r="I88" s="2" t="s">
        <v>348</v>
      </c>
      <c r="J88" s="3" t="str">
        <f>HYPERLINK("https://www.boe.es/gazeta/dias/1810/07/24/pdfs/GEI-1810-47.pdf#page=8","Abrir facsímil")</f>
        <v>Abrir facsímil</v>
      </c>
      <c r="K88" s="3" t="s">
        <v>76</v>
      </c>
    </row>
    <row r="89" spans="1:11" ht="42" customHeight="1">
      <c r="A89" s="2" t="s">
        <v>349</v>
      </c>
      <c r="B89" s="2" t="s">
        <v>350</v>
      </c>
      <c r="C89" s="2" t="s">
        <v>88</v>
      </c>
      <c r="D89" s="2" t="s">
        <v>27</v>
      </c>
      <c r="E89" s="4">
        <v>-32515</v>
      </c>
      <c r="F89" s="3" t="s">
        <v>351</v>
      </c>
      <c r="G89" s="3" t="s">
        <v>352</v>
      </c>
      <c r="H89" s="2" t="s">
        <v>74</v>
      </c>
      <c r="I89" s="2" t="s">
        <v>353</v>
      </c>
      <c r="J89" s="3" t="str">
        <f>HYPERLINK("https://www.boe.es/gazeta/dias/1810/12/22/pdfs/GEI-1810-111.pdf#page=8","Abrir facsímil")</f>
        <v>Abrir facsímil</v>
      </c>
      <c r="K89" s="3" t="s">
        <v>76</v>
      </c>
    </row>
    <row r="90" spans="1:11" ht="42" customHeight="1">
      <c r="A90" s="2" t="s">
        <v>354</v>
      </c>
      <c r="B90" s="2" t="s">
        <v>355</v>
      </c>
      <c r="C90" s="2" t="s">
        <v>26</v>
      </c>
      <c r="D90" s="2" t="s">
        <v>27</v>
      </c>
      <c r="E90" s="4">
        <v>-32820</v>
      </c>
      <c r="F90" s="3" t="s">
        <v>226</v>
      </c>
      <c r="G90" s="3" t="s">
        <v>356</v>
      </c>
      <c r="H90" s="2" t="s">
        <v>74</v>
      </c>
      <c r="I90" s="2" t="s">
        <v>357</v>
      </c>
      <c r="J90" s="3" t="str">
        <f>HYPERLINK("https://www.boe.es/gazeta/dias/1810/02/20/pdfs/GMD-1810-51.pdf#page=3","Abrir facsímil")</f>
        <v>Abrir facsímil</v>
      </c>
      <c r="K90" s="3" t="s">
        <v>76</v>
      </c>
    </row>
    <row r="91" spans="1:11" ht="42" customHeight="1">
      <c r="A91" s="2" t="s">
        <v>354</v>
      </c>
      <c r="B91" s="2" t="s">
        <v>355</v>
      </c>
      <c r="C91" s="2" t="s">
        <v>26</v>
      </c>
      <c r="D91" s="2" t="s">
        <v>220</v>
      </c>
      <c r="E91" s="4">
        <v>-32632</v>
      </c>
      <c r="F91" s="3" t="s">
        <v>358</v>
      </c>
      <c r="G91" s="3" t="s">
        <v>359</v>
      </c>
      <c r="H91" s="2" t="s">
        <v>74</v>
      </c>
      <c r="I91" s="2" t="s">
        <v>360</v>
      </c>
      <c r="J91" s="3" t="str">
        <f>HYPERLINK("https://www.boe.es/gazeta/dias/1810/08/27/pdfs/GMD-1810-239.pdf#page=3","Abrir facsímil")</f>
        <v>Abrir facsímil</v>
      </c>
      <c r="K91" s="3" t="s">
        <v>76</v>
      </c>
    </row>
    <row r="92" spans="1:11" ht="42" customHeight="1">
      <c r="A92" s="2" t="s">
        <v>361</v>
      </c>
      <c r="B92" s="2" t="s">
        <v>362</v>
      </c>
      <c r="C92" s="2" t="s">
        <v>26</v>
      </c>
      <c r="D92" s="2" t="s">
        <v>27</v>
      </c>
      <c r="E92" s="4">
        <v>-32647</v>
      </c>
      <c r="F92" s="3" t="s">
        <v>118</v>
      </c>
      <c r="G92" s="3" t="s">
        <v>20</v>
      </c>
      <c r="H92" s="2" t="s">
        <v>74</v>
      </c>
      <c r="I92" s="2" t="s">
        <v>363</v>
      </c>
      <c r="J92" s="3" t="str">
        <f>HYPERLINK("https://www.boe.es/gazeta/dias/1810/08/12/pdfs/GMD-1810-224.pdf#page=4","Abrir facsímil")</f>
        <v>Abrir facsímil</v>
      </c>
      <c r="K92" s="3" t="s">
        <v>76</v>
      </c>
    </row>
    <row r="93" spans="1:11" ht="42" customHeight="1">
      <c r="A93" s="2" t="s">
        <v>364</v>
      </c>
      <c r="B93" s="2" t="s">
        <v>365</v>
      </c>
      <c r="C93" s="2" t="s">
        <v>88</v>
      </c>
      <c r="D93" s="2" t="s">
        <v>27</v>
      </c>
      <c r="E93" s="4">
        <v>-32756</v>
      </c>
      <c r="F93" s="3" t="s">
        <v>203</v>
      </c>
      <c r="G93" s="3" t="s">
        <v>180</v>
      </c>
      <c r="H93" s="2" t="s">
        <v>74</v>
      </c>
      <c r="I93" s="2" t="s">
        <v>366</v>
      </c>
      <c r="J93" s="3" t="str">
        <f>HYPERLINK("https://www.boe.es/gazeta/dias/1810/04/25/pdfs/GMD-1810-115.pdf#page=4","Abrir facsímil")</f>
        <v>Abrir facsímil</v>
      </c>
      <c r="K93" s="3" t="s">
        <v>76</v>
      </c>
    </row>
    <row r="94" spans="1:11" ht="42" customHeight="1">
      <c r="A94" s="2" t="s">
        <v>367</v>
      </c>
      <c r="B94" s="2" t="s">
        <v>368</v>
      </c>
      <c r="C94" s="2" t="s">
        <v>26</v>
      </c>
      <c r="D94" s="2" t="s">
        <v>39</v>
      </c>
      <c r="E94" s="4">
        <v>-32701</v>
      </c>
      <c r="F94" s="3" t="s">
        <v>40</v>
      </c>
      <c r="G94" s="3" t="s">
        <v>170</v>
      </c>
      <c r="H94" s="2" t="s">
        <v>74</v>
      </c>
      <c r="I94" s="2" t="s">
        <v>369</v>
      </c>
      <c r="J94" s="3" t="str">
        <f>HYPERLINK("https://www.boe.es/gazeta/dias/1810/06/19/pdfs/GMD-C-1810-170.pdf#page=1","Abrir facsímil")</f>
        <v>Abrir facsímil</v>
      </c>
      <c r="K94" s="3" t="s">
        <v>76</v>
      </c>
    </row>
    <row r="95" spans="1:11" ht="42" customHeight="1">
      <c r="A95" s="2" t="s">
        <v>370</v>
      </c>
      <c r="B95" s="2" t="s">
        <v>371</v>
      </c>
      <c r="C95" s="2" t="s">
        <v>26</v>
      </c>
      <c r="D95" s="2" t="s">
        <v>39</v>
      </c>
      <c r="E95" s="4">
        <v>-32684</v>
      </c>
      <c r="F95" s="3" t="s">
        <v>372</v>
      </c>
      <c r="G95" s="3" t="s">
        <v>373</v>
      </c>
      <c r="H95" s="2" t="s">
        <v>74</v>
      </c>
      <c r="I95" s="2" t="s">
        <v>374</v>
      </c>
      <c r="J95" s="3" t="str">
        <f>HYPERLINK("https://www.boe.es/gazeta/dias/1810/07/06/pdfs/GEI-D-1810-42.pdf#page=8","Abrir facsímil")</f>
        <v>Abrir facsímil</v>
      </c>
      <c r="K95" s="3" t="s">
        <v>76</v>
      </c>
    </row>
    <row r="96" spans="1:11" ht="42" customHeight="1">
      <c r="A96" s="2" t="s">
        <v>375</v>
      </c>
      <c r="B96" s="2" t="s">
        <v>376</v>
      </c>
      <c r="C96" s="2" t="s">
        <v>26</v>
      </c>
      <c r="D96" s="2" t="s">
        <v>27</v>
      </c>
      <c r="E96" s="4">
        <v>-32591</v>
      </c>
      <c r="F96" s="3" t="s">
        <v>377</v>
      </c>
      <c r="G96" s="3" t="s">
        <v>140</v>
      </c>
      <c r="H96" s="2" t="s">
        <v>74</v>
      </c>
      <c r="I96" s="2" t="s">
        <v>378</v>
      </c>
      <c r="J96" s="3" t="str">
        <f>HYPERLINK("https://www.boe.es/gazeta/dias/1810/10/07/pdfs/GMD-1810-280.pdf#page=4","Abrir facsímil")</f>
        <v>Abrir facsímil</v>
      </c>
      <c r="K96" s="3" t="s">
        <v>76</v>
      </c>
    </row>
    <row r="97" spans="1:11" ht="42" customHeight="1">
      <c r="A97" s="2" t="s">
        <v>379</v>
      </c>
      <c r="B97" s="2" t="s">
        <v>380</v>
      </c>
      <c r="C97" s="2" t="s">
        <v>317</v>
      </c>
      <c r="D97" s="2" t="s">
        <v>27</v>
      </c>
      <c r="E97" s="4">
        <v>-32667</v>
      </c>
      <c r="F97" s="3" t="s">
        <v>381</v>
      </c>
      <c r="G97" s="3" t="s">
        <v>35</v>
      </c>
      <c r="H97" s="2" t="s">
        <v>74</v>
      </c>
      <c r="I97" s="2" t="s">
        <v>382</v>
      </c>
      <c r="J97" s="3" t="str">
        <f>HYPERLINK("https://www.boe.es/gazeta/dias/1810/07/23/pdfs/GMD-1810-204.pdf#page=2","Abrir facsímil")</f>
        <v>Abrir facsímil</v>
      </c>
      <c r="K97" s="3" t="s">
        <v>76</v>
      </c>
    </row>
    <row r="98" spans="1:11" ht="42" customHeight="1">
      <c r="A98" s="2" t="s">
        <v>383</v>
      </c>
      <c r="B98" s="2" t="s">
        <v>384</v>
      </c>
      <c r="C98" s="2" t="s">
        <v>88</v>
      </c>
      <c r="D98" s="2" t="s">
        <v>27</v>
      </c>
      <c r="E98" s="4">
        <v>-32820</v>
      </c>
      <c r="F98" s="3" t="s">
        <v>226</v>
      </c>
      <c r="G98" s="3" t="s">
        <v>356</v>
      </c>
      <c r="H98" s="2" t="s">
        <v>74</v>
      </c>
      <c r="I98" s="2" t="s">
        <v>385</v>
      </c>
      <c r="J98" s="3" t="str">
        <f>HYPERLINK("https://www.boe.es/gazeta/dias/1810/02/20/pdfs/GMD-1810-51.pdf#page=3","Abrir facsímil")</f>
        <v>Abrir facsímil</v>
      </c>
      <c r="K98" s="3" t="s">
        <v>76</v>
      </c>
    </row>
    <row r="99" spans="1:11" ht="42" customHeight="1">
      <c r="A99" s="2" t="s">
        <v>386</v>
      </c>
      <c r="B99" s="2" t="s">
        <v>387</v>
      </c>
      <c r="C99" s="2" t="s">
        <v>26</v>
      </c>
      <c r="D99" s="2" t="s">
        <v>18</v>
      </c>
      <c r="E99" s="4">
        <v>-32800</v>
      </c>
      <c r="F99" s="3" t="s">
        <v>388</v>
      </c>
      <c r="G99" s="3" t="s">
        <v>90</v>
      </c>
      <c r="H99" s="2" t="s">
        <v>74</v>
      </c>
      <c r="I99" s="2" t="s">
        <v>389</v>
      </c>
      <c r="J99" s="3" t="str">
        <f>HYPERLINK("https://www.boe.es/gazeta/dias/1810/03/12/pdfs/GMD-1810-71.pdf#page=4","Abrir facsímil")</f>
        <v>Abrir facsímil</v>
      </c>
      <c r="K99" s="3" t="s">
        <v>76</v>
      </c>
    </row>
    <row r="100" spans="1:11" ht="42" customHeight="1">
      <c r="A100" s="2" t="s">
        <v>390</v>
      </c>
      <c r="B100" s="2" t="s">
        <v>391</v>
      </c>
      <c r="C100" s="2" t="s">
        <v>33</v>
      </c>
      <c r="D100" s="2" t="s">
        <v>18</v>
      </c>
      <c r="E100" s="4">
        <v>-32601</v>
      </c>
      <c r="F100" s="3" t="s">
        <v>392</v>
      </c>
      <c r="G100" s="3" t="s">
        <v>35</v>
      </c>
      <c r="H100" s="2" t="s">
        <v>74</v>
      </c>
      <c r="I100" s="2" t="s">
        <v>393</v>
      </c>
      <c r="J100" s="3" t="str">
        <f>HYPERLINK("https://www.boe.es/gazeta/dias/1810/09/27/pdfs/GEI-1810-74E.pdf#page=2","Abrir facsímil")</f>
        <v>Abrir facsímil</v>
      </c>
      <c r="K100" s="3" t="s">
        <v>76</v>
      </c>
    </row>
    <row r="101" spans="1:11" ht="42" customHeight="1">
      <c r="A101" s="2" t="s">
        <v>394</v>
      </c>
      <c r="B101" s="2" t="s">
        <v>395</v>
      </c>
      <c r="C101" s="2" t="s">
        <v>26</v>
      </c>
      <c r="D101" s="2" t="s">
        <v>39</v>
      </c>
      <c r="E101" s="4">
        <v>-32702</v>
      </c>
      <c r="F101" s="3" t="s">
        <v>179</v>
      </c>
      <c r="G101" s="3" t="s">
        <v>213</v>
      </c>
      <c r="H101" s="2" t="s">
        <v>74</v>
      </c>
      <c r="I101" s="2" t="s">
        <v>396</v>
      </c>
      <c r="J101" s="3" t="str">
        <f>HYPERLINK("https://www.boe.es/gazeta/dias/1810/06/18/pdfs/GMD-C-1810-169.pdf#page=4","Abrir facsímil")</f>
        <v>Abrir facsímil</v>
      </c>
      <c r="K101" s="3" t="s">
        <v>76</v>
      </c>
    </row>
    <row r="102" spans="1:11" ht="42" customHeight="1">
      <c r="A102" s="2" t="s">
        <v>397</v>
      </c>
      <c r="B102" s="2" t="s">
        <v>397</v>
      </c>
      <c r="C102" s="2" t="s">
        <v>26</v>
      </c>
      <c r="D102" s="2" t="s">
        <v>27</v>
      </c>
      <c r="E102" s="4">
        <v>-32772</v>
      </c>
      <c r="F102" s="3" t="s">
        <v>398</v>
      </c>
      <c r="G102" s="3" t="s">
        <v>99</v>
      </c>
      <c r="H102" s="2" t="s">
        <v>74</v>
      </c>
      <c r="I102" s="2" t="s">
        <v>399</v>
      </c>
      <c r="J102" s="3" t="str">
        <f>HYPERLINK("https://www.boe.es/gazeta/dias/1810/04/09/pdfs/GMD-1810-99.pdf#page=3","Abrir facsímil")</f>
        <v>Abrir facsímil</v>
      </c>
      <c r="K102" s="3" t="s">
        <v>76</v>
      </c>
    </row>
    <row r="103" spans="1:11" ht="42" customHeight="1">
      <c r="A103" s="2" t="s">
        <v>397</v>
      </c>
      <c r="B103" s="2" t="s">
        <v>397</v>
      </c>
      <c r="C103" s="2" t="s">
        <v>88</v>
      </c>
      <c r="D103" s="2" t="s">
        <v>27</v>
      </c>
      <c r="E103" s="4">
        <v>-32736</v>
      </c>
      <c r="F103" s="3" t="s">
        <v>400</v>
      </c>
      <c r="G103" s="3" t="s">
        <v>401</v>
      </c>
      <c r="H103" s="2" t="s">
        <v>74</v>
      </c>
      <c r="I103" s="2" t="s">
        <v>402</v>
      </c>
      <c r="J103" s="3" t="str">
        <f>HYPERLINK("https://www.boe.es/gazeta/dias/1810/05/15/pdfs/GMD-1810-135.pdf#page=4","Abrir facsímil")</f>
        <v>Abrir facsímil</v>
      </c>
      <c r="K103" s="3" t="s">
        <v>76</v>
      </c>
    </row>
    <row r="104" spans="1:11" ht="42" customHeight="1">
      <c r="A104" s="2" t="s">
        <v>397</v>
      </c>
      <c r="B104" s="2" t="s">
        <v>397</v>
      </c>
      <c r="C104" s="2" t="s">
        <v>26</v>
      </c>
      <c r="D104" s="2" t="s">
        <v>27</v>
      </c>
      <c r="E104" s="4">
        <v>-32614</v>
      </c>
      <c r="F104" s="3" t="s">
        <v>403</v>
      </c>
      <c r="G104" s="3" t="s">
        <v>140</v>
      </c>
      <c r="H104" s="2" t="s">
        <v>74</v>
      </c>
      <c r="I104" s="2" t="s">
        <v>404</v>
      </c>
      <c r="J104" s="3" t="str">
        <f>HYPERLINK("https://www.boe.es/gazeta/dias/1810/09/14/pdfs/GMD-1810-257.pdf#page=2","Abrir facsímil")</f>
        <v>Abrir facsímil</v>
      </c>
      <c r="K104" s="3" t="s">
        <v>76</v>
      </c>
    </row>
    <row r="105" spans="1:11" ht="42" customHeight="1">
      <c r="A105" s="2" t="s">
        <v>397</v>
      </c>
      <c r="B105" s="2" t="s">
        <v>397</v>
      </c>
      <c r="C105" s="2" t="s">
        <v>88</v>
      </c>
      <c r="D105" s="2" t="s">
        <v>117</v>
      </c>
      <c r="E105" s="4">
        <v>-32566</v>
      </c>
      <c r="F105" s="3" t="s">
        <v>405</v>
      </c>
      <c r="G105" s="3" t="s">
        <v>99</v>
      </c>
      <c r="H105" s="2" t="s">
        <v>74</v>
      </c>
      <c r="I105" s="2" t="s">
        <v>406</v>
      </c>
      <c r="J105" s="3" t="str">
        <f>HYPERLINK("https://www.boe.es/gazeta/dias/1810/11/01/pdfs/GMD-1810-305.pdf#page=3","Abrir facsímil")</f>
        <v>Abrir facsímil</v>
      </c>
      <c r="K105" s="3" t="s">
        <v>76</v>
      </c>
    </row>
    <row r="106" spans="1:11" ht="42" customHeight="1">
      <c r="A106" s="2" t="s">
        <v>397</v>
      </c>
      <c r="B106" s="2" t="s">
        <v>397</v>
      </c>
      <c r="C106" s="2" t="s">
        <v>111</v>
      </c>
      <c r="D106" s="2" t="s">
        <v>18</v>
      </c>
      <c r="E106" s="4">
        <v>-32547</v>
      </c>
      <c r="F106" s="3" t="s">
        <v>407</v>
      </c>
      <c r="G106" s="3" t="s">
        <v>408</v>
      </c>
      <c r="H106" s="2" t="s">
        <v>74</v>
      </c>
      <c r="I106" s="2" t="s">
        <v>409</v>
      </c>
      <c r="J106" s="3" t="str">
        <f>HYPERLINK("https://www.boe.es/gazeta/dias/1810/11/20/pdfs/GEI-1810-97.pdf#page=8","Abrir facsímil")</f>
        <v>Abrir facsímil</v>
      </c>
      <c r="K106" s="3" t="s">
        <v>76</v>
      </c>
    </row>
    <row r="107" spans="1:11" ht="42" customHeight="1">
      <c r="A107" s="2" t="s">
        <v>410</v>
      </c>
      <c r="B107" s="2" t="s">
        <v>411</v>
      </c>
      <c r="C107" s="2" t="s">
        <v>88</v>
      </c>
      <c r="D107" s="2" t="s">
        <v>117</v>
      </c>
      <c r="E107" s="4">
        <v>-32827</v>
      </c>
      <c r="F107" s="3" t="s">
        <v>290</v>
      </c>
      <c r="G107" s="3" t="s">
        <v>291</v>
      </c>
      <c r="H107" s="2" t="s">
        <v>74</v>
      </c>
      <c r="I107" s="2" t="s">
        <v>412</v>
      </c>
      <c r="J107" s="3" t="str">
        <f>HYPERLINK("https://www.boe.es/gazeta/dias/1810/02/13/pdfs/GMD-1810-44.pdf#page=4","Abrir facsímil")</f>
        <v>Abrir facsímil</v>
      </c>
      <c r="K107" s="3" t="s">
        <v>76</v>
      </c>
    </row>
    <row r="108" spans="1:11" ht="42" customHeight="1">
      <c r="A108" s="2" t="s">
        <v>413</v>
      </c>
      <c r="B108" s="2" t="s">
        <v>413</v>
      </c>
      <c r="C108" s="2" t="s">
        <v>26</v>
      </c>
      <c r="D108" s="2" t="s">
        <v>27</v>
      </c>
      <c r="E108" s="4">
        <v>-32757</v>
      </c>
      <c r="F108" s="3" t="s">
        <v>414</v>
      </c>
      <c r="G108" s="3" t="s">
        <v>70</v>
      </c>
      <c r="H108" s="2" t="s">
        <v>74</v>
      </c>
      <c r="I108" s="2" t="s">
        <v>415</v>
      </c>
      <c r="J108" s="3" t="str">
        <f>HYPERLINK("https://www.boe.es/gazeta/dias/1810/04/24/pdfs/GMD-1810-114.pdf#page=3","Abrir facsímil")</f>
        <v>Abrir facsímil</v>
      </c>
      <c r="K108" s="3" t="s">
        <v>76</v>
      </c>
    </row>
    <row r="109" spans="1:11" ht="42" customHeight="1">
      <c r="A109" s="2" t="s">
        <v>416</v>
      </c>
      <c r="B109" s="2" t="s">
        <v>416</v>
      </c>
      <c r="C109" s="2" t="s">
        <v>88</v>
      </c>
      <c r="D109" s="2" t="s">
        <v>117</v>
      </c>
      <c r="E109" s="4">
        <v>-32725</v>
      </c>
      <c r="F109" s="3" t="s">
        <v>417</v>
      </c>
      <c r="G109" s="3" t="s">
        <v>140</v>
      </c>
      <c r="H109" s="2" t="s">
        <v>74</v>
      </c>
      <c r="I109" s="2" t="s">
        <v>418</v>
      </c>
      <c r="J109" s="3" t="str">
        <f>HYPERLINK("https://www.boe.es/gazeta/dias/1810/05/26/pdfs/GMD-1810-146.pdf#page=4","Abrir facsímil")</f>
        <v>Abrir facsímil</v>
      </c>
      <c r="K109" s="3" t="s">
        <v>76</v>
      </c>
    </row>
    <row r="110" spans="1:11" ht="42" customHeight="1">
      <c r="A110" s="2" t="s">
        <v>419</v>
      </c>
      <c r="B110" s="2" t="s">
        <v>420</v>
      </c>
      <c r="C110" s="2" t="s">
        <v>26</v>
      </c>
      <c r="D110" s="2" t="s">
        <v>27</v>
      </c>
      <c r="E110" s="4">
        <v>-32569</v>
      </c>
      <c r="F110" s="3" t="s">
        <v>421</v>
      </c>
      <c r="G110" s="3" t="s">
        <v>422</v>
      </c>
      <c r="H110" s="2" t="s">
        <v>74</v>
      </c>
      <c r="I110" s="2" t="s">
        <v>423</v>
      </c>
      <c r="J110" s="3" t="str">
        <f>HYPERLINK("https://www.boe.es/gazeta/dias/1810/10/29/pdfs/GMD-1810-302.pdf#page=1","Abrir facsímil")</f>
        <v>Abrir facsímil</v>
      </c>
      <c r="K110" s="3" t="s">
        <v>76</v>
      </c>
    </row>
    <row r="111" spans="1:11" ht="42" customHeight="1">
      <c r="A111" s="2" t="s">
        <v>424</v>
      </c>
      <c r="B111" s="2" t="s">
        <v>424</v>
      </c>
      <c r="C111" s="2" t="s">
        <v>26</v>
      </c>
      <c r="D111" s="2" t="s">
        <v>27</v>
      </c>
      <c r="E111" s="4">
        <v>-32516</v>
      </c>
      <c r="F111" s="3" t="s">
        <v>425</v>
      </c>
      <c r="G111" s="3" t="s">
        <v>213</v>
      </c>
      <c r="H111" s="2" t="s">
        <v>74</v>
      </c>
      <c r="I111" s="2" t="s">
        <v>426</v>
      </c>
      <c r="J111" s="3" t="str">
        <f>HYPERLINK("https://www.boe.es/gazeta/dias/1810/12/21/pdfs/GMD-1810-355.pdf#page=2","Abrir facsímil")</f>
        <v>Abrir facsímil</v>
      </c>
      <c r="K111" s="3" t="s">
        <v>76</v>
      </c>
    </row>
    <row r="112" spans="1:11" ht="42" customHeight="1">
      <c r="A112" s="2" t="s">
        <v>427</v>
      </c>
      <c r="B112" s="2" t="s">
        <v>428</v>
      </c>
      <c r="C112" s="2" t="s">
        <v>225</v>
      </c>
      <c r="D112" s="2" t="s">
        <v>27</v>
      </c>
      <c r="E112" s="4">
        <v>-32784</v>
      </c>
      <c r="F112" s="3" t="s">
        <v>429</v>
      </c>
      <c r="G112" s="3" t="s">
        <v>131</v>
      </c>
      <c r="H112" s="2" t="s">
        <v>74</v>
      </c>
      <c r="I112" s="2" t="s">
        <v>430</v>
      </c>
      <c r="J112" s="3" t="str">
        <f>HYPERLINK("https://www.boe.es/gazeta/dias/1810/03/28/pdfs/GMD-1810-87.pdf#page=3","Abrir facsímil")</f>
        <v>Abrir facsímil</v>
      </c>
      <c r="K112" s="3" t="s">
        <v>76</v>
      </c>
    </row>
    <row r="113" spans="1:11" ht="42" customHeight="1">
      <c r="A113" s="2" t="s">
        <v>431</v>
      </c>
      <c r="B113" s="2" t="s">
        <v>432</v>
      </c>
      <c r="C113" s="2" t="s">
        <v>26</v>
      </c>
      <c r="D113" s="2" t="s">
        <v>27</v>
      </c>
      <c r="E113" s="4">
        <v>-32547</v>
      </c>
      <c r="F113" s="3" t="s">
        <v>407</v>
      </c>
      <c r="G113" s="3" t="s">
        <v>408</v>
      </c>
      <c r="H113" s="2" t="s">
        <v>74</v>
      </c>
      <c r="I113" s="2" t="s">
        <v>433</v>
      </c>
      <c r="J113" s="3" t="str">
        <f>HYPERLINK("https://www.boe.es/gazeta/dias/1810/11/20/pdfs/GEI-1810-97.pdf#page=8","Abrir facsímil")</f>
        <v>Abrir facsímil</v>
      </c>
      <c r="K113" s="3" t="s">
        <v>76</v>
      </c>
    </row>
    <row r="114" spans="1:11" ht="42" customHeight="1">
      <c r="A114" s="2" t="s">
        <v>434</v>
      </c>
      <c r="B114" s="2" t="s">
        <v>435</v>
      </c>
      <c r="C114" s="2" t="s">
        <v>26</v>
      </c>
      <c r="D114" s="2" t="s">
        <v>39</v>
      </c>
      <c r="E114" s="4">
        <v>-32701</v>
      </c>
      <c r="F114" s="3" t="s">
        <v>40</v>
      </c>
      <c r="G114" s="3" t="s">
        <v>41</v>
      </c>
      <c r="H114" s="2" t="s">
        <v>74</v>
      </c>
      <c r="I114" s="2" t="s">
        <v>436</v>
      </c>
      <c r="J114" s="3" t="str">
        <f>HYPERLINK("https://www.boe.es/gazeta/dias/1810/06/19/pdfs/GMD-C-1810-170.pdf#page=3","Abrir facsímil")</f>
        <v>Abrir facsímil</v>
      </c>
      <c r="K114" s="3" t="s">
        <v>76</v>
      </c>
    </row>
    <row r="115" spans="1:11" ht="42" customHeight="1">
      <c r="A115" s="2" t="s">
        <v>437</v>
      </c>
      <c r="B115" s="2" t="s">
        <v>438</v>
      </c>
      <c r="C115" s="2" t="s">
        <v>26</v>
      </c>
      <c r="D115" s="2" t="s">
        <v>39</v>
      </c>
      <c r="E115" s="4">
        <v>-32702</v>
      </c>
      <c r="F115" s="3" t="s">
        <v>179</v>
      </c>
      <c r="G115" s="3" t="s">
        <v>180</v>
      </c>
      <c r="H115" s="2" t="s">
        <v>74</v>
      </c>
      <c r="I115" s="2" t="s">
        <v>439</v>
      </c>
      <c r="J115" s="3" t="str">
        <f>HYPERLINK("https://www.boe.es/gazeta/dias/1810/06/18/pdfs/GMD-C-1810-169.pdf#page=2","Abrir facsímil")</f>
        <v>Abrir facsímil</v>
      </c>
      <c r="K115" s="3" t="s">
        <v>76</v>
      </c>
    </row>
    <row r="116" spans="1:11" ht="42" customHeight="1">
      <c r="A116" s="2" t="s">
        <v>440</v>
      </c>
      <c r="B116" s="2" t="s">
        <v>441</v>
      </c>
      <c r="C116" s="2" t="s">
        <v>26</v>
      </c>
      <c r="D116" s="2" t="s">
        <v>39</v>
      </c>
      <c r="E116" s="4">
        <v>-32683</v>
      </c>
      <c r="F116" s="3" t="s">
        <v>300</v>
      </c>
      <c r="G116" s="3" t="s">
        <v>90</v>
      </c>
      <c r="H116" s="2" t="s">
        <v>74</v>
      </c>
      <c r="I116" s="2" t="s">
        <v>442</v>
      </c>
      <c r="J116" s="3" t="str">
        <f>HYPERLINK("https://www.boe.es/gazeta/dias/1810/07/07/pdfs/GMD-C-1810-188.pdf#page=1","Abrir facsímil")</f>
        <v>Abrir facsímil</v>
      </c>
      <c r="K116" s="3" t="s">
        <v>76</v>
      </c>
    </row>
    <row r="117" spans="1:11" ht="42" customHeight="1">
      <c r="A117" s="2" t="s">
        <v>443</v>
      </c>
      <c r="B117" s="2" t="s">
        <v>444</v>
      </c>
      <c r="C117" s="2" t="s">
        <v>88</v>
      </c>
      <c r="D117" s="2" t="s">
        <v>117</v>
      </c>
      <c r="E117" s="4">
        <v>-32649</v>
      </c>
      <c r="F117" s="3" t="s">
        <v>190</v>
      </c>
      <c r="G117" s="3" t="s">
        <v>191</v>
      </c>
      <c r="H117" s="2" t="s">
        <v>74</v>
      </c>
      <c r="I117" s="2" t="s">
        <v>445</v>
      </c>
      <c r="J117" s="3" t="str">
        <f>HYPERLINK("https://www.boe.es/gazeta/dias/1810/08/10/pdfs/GEI-1810-54.pdf#page=10","Abrir facsímil")</f>
        <v>Abrir facsímil</v>
      </c>
      <c r="K117" s="3" t="s">
        <v>76</v>
      </c>
    </row>
    <row r="118" spans="1:11" ht="42" customHeight="1">
      <c r="A118" s="2" t="s">
        <v>446</v>
      </c>
      <c r="B118" s="2" t="s">
        <v>446</v>
      </c>
      <c r="C118" s="2" t="s">
        <v>88</v>
      </c>
      <c r="D118" s="2" t="s">
        <v>117</v>
      </c>
      <c r="E118" s="4">
        <v>-32576</v>
      </c>
      <c r="F118" s="3" t="s">
        <v>447</v>
      </c>
      <c r="G118" s="3" t="s">
        <v>291</v>
      </c>
      <c r="H118" s="2" t="s">
        <v>74</v>
      </c>
      <c r="I118" s="2" t="s">
        <v>448</v>
      </c>
      <c r="J118" s="3" t="str">
        <f>HYPERLINK("https://www.boe.es/gazeta/dias/1810/10/22/pdfs/GMD-1810-295.pdf#page=3","Abrir facsímil")</f>
        <v>Abrir facsímil</v>
      </c>
      <c r="K118" s="3" t="s">
        <v>76</v>
      </c>
    </row>
    <row r="119" spans="1:11" ht="42" customHeight="1">
      <c r="A119" s="2" t="s">
        <v>449</v>
      </c>
      <c r="B119" s="2" t="s">
        <v>449</v>
      </c>
      <c r="C119" s="2" t="s">
        <v>88</v>
      </c>
      <c r="D119" s="2" t="s">
        <v>27</v>
      </c>
      <c r="E119" s="4">
        <v>-32817</v>
      </c>
      <c r="F119" s="3" t="s">
        <v>450</v>
      </c>
      <c r="G119" s="3" t="s">
        <v>451</v>
      </c>
      <c r="H119" s="2" t="s">
        <v>74</v>
      </c>
      <c r="I119" s="2" t="s">
        <v>452</v>
      </c>
      <c r="J119" s="3" t="str">
        <f>HYPERLINK("https://www.boe.es/gazeta/dias/1810/02/23/pdfs/GMD-1810-54.pdf#page=1","Abrir facsímil")</f>
        <v>Abrir facsímil</v>
      </c>
      <c r="K119" s="3" t="s">
        <v>76</v>
      </c>
    </row>
    <row r="120" spans="1:11" ht="42" customHeight="1">
      <c r="A120" s="2" t="s">
        <v>453</v>
      </c>
      <c r="B120" s="2" t="s">
        <v>454</v>
      </c>
      <c r="C120" s="2" t="s">
        <v>88</v>
      </c>
      <c r="D120" s="2" t="s">
        <v>27</v>
      </c>
      <c r="E120" s="4">
        <v>-32700</v>
      </c>
      <c r="F120" s="3" t="s">
        <v>89</v>
      </c>
      <c r="G120" s="3" t="s">
        <v>70</v>
      </c>
      <c r="H120" s="2" t="s">
        <v>74</v>
      </c>
      <c r="I120" s="2" t="s">
        <v>455</v>
      </c>
      <c r="J120" s="3" t="str">
        <f>HYPERLINK("https://www.boe.es/gazeta/dias/1810/06/20/pdfs/GMD-1810-171.pdf#page=4","Abrir facsímil")</f>
        <v>Abrir facsímil</v>
      </c>
      <c r="K120" s="3" t="s">
        <v>76</v>
      </c>
    </row>
    <row r="121" spans="1:11" ht="42" customHeight="1">
      <c r="A121" s="2" t="s">
        <v>456</v>
      </c>
      <c r="B121" s="2" t="s">
        <v>456</v>
      </c>
      <c r="C121" s="2" t="s">
        <v>17</v>
      </c>
      <c r="D121" s="2" t="s">
        <v>27</v>
      </c>
      <c r="E121" s="4">
        <v>-32644</v>
      </c>
      <c r="F121" s="3" t="s">
        <v>457</v>
      </c>
      <c r="G121" s="3" t="s">
        <v>458</v>
      </c>
      <c r="H121" s="2" t="s">
        <v>74</v>
      </c>
      <c r="I121" s="2" t="s">
        <v>459</v>
      </c>
      <c r="J121" s="3" t="str">
        <f>HYPERLINK("https://www.boe.es/gazeta/dias/1810/08/15/pdfs/GMD-1810-227.pdf#page=1","Abrir facsímil")</f>
        <v>Abrir facsímil</v>
      </c>
      <c r="K121" s="3" t="s">
        <v>76</v>
      </c>
    </row>
    <row r="122" spans="1:11" ht="42" customHeight="1">
      <c r="A122" s="2" t="s">
        <v>460</v>
      </c>
      <c r="B122" s="2" t="s">
        <v>461</v>
      </c>
      <c r="C122" s="2" t="s">
        <v>26</v>
      </c>
      <c r="D122" s="2" t="s">
        <v>39</v>
      </c>
      <c r="E122" s="4">
        <v>-32701</v>
      </c>
      <c r="F122" s="3" t="s">
        <v>40</v>
      </c>
      <c r="G122" s="3" t="s">
        <v>170</v>
      </c>
      <c r="H122" s="2" t="s">
        <v>74</v>
      </c>
      <c r="I122" s="2" t="s">
        <v>462</v>
      </c>
      <c r="J122" s="3" t="str">
        <f>HYPERLINK("https://www.boe.es/gazeta/dias/1810/06/19/pdfs/GMD-C-1810-170.pdf#page=1","Abrir facsímil")</f>
        <v>Abrir facsímil</v>
      </c>
      <c r="K122" s="3" t="s">
        <v>76</v>
      </c>
    </row>
    <row r="123" spans="1:11" ht="42" customHeight="1">
      <c r="A123" s="2" t="s">
        <v>463</v>
      </c>
      <c r="B123" s="2" t="s">
        <v>463</v>
      </c>
      <c r="C123" s="2" t="s">
        <v>225</v>
      </c>
      <c r="D123" s="2" t="s">
        <v>220</v>
      </c>
      <c r="E123" s="4">
        <v>-32723</v>
      </c>
      <c r="F123" s="3" t="s">
        <v>464</v>
      </c>
      <c r="G123" s="3" t="s">
        <v>465</v>
      </c>
      <c r="H123" s="2" t="s">
        <v>74</v>
      </c>
      <c r="I123" s="2" t="s">
        <v>466</v>
      </c>
      <c r="J123" s="3" t="str">
        <f>HYPERLINK("https://www.boe.es/gazeta/dias/1810/05/28/pdfs/GMD-1810-148.pdf#page=1","Abrir facsímil")</f>
        <v>Abrir facsímil</v>
      </c>
      <c r="K123" s="3" t="s">
        <v>76</v>
      </c>
    </row>
    <row r="124" spans="1:11" ht="42" customHeight="1">
      <c r="A124" s="2" t="s">
        <v>467</v>
      </c>
      <c r="B124" s="2" t="s">
        <v>468</v>
      </c>
      <c r="C124" s="2" t="s">
        <v>88</v>
      </c>
      <c r="D124" s="2" t="s">
        <v>117</v>
      </c>
      <c r="E124" s="4">
        <v>-32566</v>
      </c>
      <c r="F124" s="3" t="s">
        <v>405</v>
      </c>
      <c r="G124" s="3" t="s">
        <v>469</v>
      </c>
      <c r="H124" s="2" t="s">
        <v>74</v>
      </c>
      <c r="I124" s="2" t="s">
        <v>470</v>
      </c>
      <c r="J124" s="3" t="str">
        <f>HYPERLINK("https://www.boe.es/gazeta/dias/1810/11/01/pdfs/GMD-1810-305.pdf#page=2","Abrir facsímil")</f>
        <v>Abrir facsímil</v>
      </c>
      <c r="K124" s="3" t="s">
        <v>76</v>
      </c>
    </row>
    <row r="125" spans="1:11" ht="42" customHeight="1">
      <c r="A125" s="2" t="s">
        <v>471</v>
      </c>
      <c r="B125" s="2" t="s">
        <v>471</v>
      </c>
      <c r="C125" s="2" t="s">
        <v>225</v>
      </c>
      <c r="D125" s="2" t="s">
        <v>117</v>
      </c>
      <c r="E125" s="4">
        <v>-32673</v>
      </c>
      <c r="F125" s="3" t="s">
        <v>472</v>
      </c>
      <c r="G125" s="3" t="s">
        <v>473</v>
      </c>
      <c r="H125" s="2" t="s">
        <v>74</v>
      </c>
      <c r="I125" s="2" t="s">
        <v>474</v>
      </c>
      <c r="J125" s="3" t="str">
        <f>HYPERLINK("https://www.boe.es/gazeta/dias/1810/07/17/pdfs/GMD-1810-198.pdf#page=1","Abrir facsímil")</f>
        <v>Abrir facsímil</v>
      </c>
      <c r="K125" s="3" t="s">
        <v>76</v>
      </c>
    </row>
    <row r="126" spans="1:11" ht="42" customHeight="1">
      <c r="A126" s="2" t="s">
        <v>475</v>
      </c>
      <c r="B126" s="2" t="s">
        <v>476</v>
      </c>
      <c r="C126" s="2" t="s">
        <v>26</v>
      </c>
      <c r="D126" s="2" t="s">
        <v>27</v>
      </c>
      <c r="E126" s="4">
        <v>-32647</v>
      </c>
      <c r="F126" s="3" t="s">
        <v>118</v>
      </c>
      <c r="G126" s="3" t="s">
        <v>20</v>
      </c>
      <c r="H126" s="2" t="s">
        <v>74</v>
      </c>
      <c r="I126" s="2" t="s">
        <v>477</v>
      </c>
      <c r="J126" s="3" t="str">
        <f>HYPERLINK("https://www.boe.es/gazeta/dias/1810/08/12/pdfs/GMD-1810-224.pdf#page=4","Abrir facsímil")</f>
        <v>Abrir facsímil</v>
      </c>
      <c r="K126" s="3" t="s">
        <v>76</v>
      </c>
    </row>
    <row r="127" spans="1:11" ht="42" customHeight="1">
      <c r="A127" s="2" t="s">
        <v>478</v>
      </c>
      <c r="B127" s="2" t="s">
        <v>479</v>
      </c>
      <c r="C127" s="2" t="s">
        <v>88</v>
      </c>
      <c r="D127" s="2" t="s">
        <v>27</v>
      </c>
      <c r="E127" s="4">
        <v>-32545</v>
      </c>
      <c r="F127" s="3" t="s">
        <v>165</v>
      </c>
      <c r="G127" s="3" t="s">
        <v>166</v>
      </c>
      <c r="H127" s="2" t="s">
        <v>74</v>
      </c>
      <c r="I127" s="2" t="s">
        <v>480</v>
      </c>
      <c r="J127" s="3" t="str">
        <f>HYPERLINK("https://www.boe.es/gazeta/dias/1810/11/22/pdfs/GEI-1810-98.pdf#page=8","Abrir facsímil")</f>
        <v>Abrir facsímil</v>
      </c>
      <c r="K127" s="3" t="s">
        <v>76</v>
      </c>
    </row>
    <row r="128" spans="1:11" ht="42" customHeight="1">
      <c r="A128" s="2" t="s">
        <v>481</v>
      </c>
      <c r="B128" s="2" t="s">
        <v>481</v>
      </c>
      <c r="C128" s="2" t="s">
        <v>88</v>
      </c>
      <c r="D128" s="2" t="s">
        <v>27</v>
      </c>
      <c r="E128" s="4">
        <v>-32511</v>
      </c>
      <c r="F128" s="3" t="s">
        <v>482</v>
      </c>
      <c r="G128" s="3" t="s">
        <v>99</v>
      </c>
      <c r="H128" s="2" t="s">
        <v>74</v>
      </c>
      <c r="I128" s="2" t="s">
        <v>483</v>
      </c>
      <c r="J128" s="3" t="str">
        <f>HYPERLINK("https://www.boe.es/gazeta/dias/1810/12/26/pdfs/GMD-1810-360.pdf#page=3","Abrir facsímil")</f>
        <v>Abrir facsímil</v>
      </c>
      <c r="K128" s="3" t="s">
        <v>76</v>
      </c>
    </row>
    <row r="129" spans="1:11" ht="42" customHeight="1">
      <c r="A129" s="2" t="s">
        <v>484</v>
      </c>
      <c r="B129" s="2" t="s">
        <v>485</v>
      </c>
      <c r="C129" s="2" t="s">
        <v>26</v>
      </c>
      <c r="D129" s="2" t="s">
        <v>27</v>
      </c>
      <c r="E129" s="4">
        <v>-32647</v>
      </c>
      <c r="F129" s="3" t="s">
        <v>118</v>
      </c>
      <c r="G129" s="3" t="s">
        <v>20</v>
      </c>
      <c r="H129" s="2" t="s">
        <v>74</v>
      </c>
      <c r="I129" s="2" t="s">
        <v>486</v>
      </c>
      <c r="J129" s="3" t="str">
        <f>HYPERLINK("https://www.boe.es/gazeta/dias/1810/08/12/pdfs/GMD-1810-224.pdf#page=4","Abrir facsímil")</f>
        <v>Abrir facsímil</v>
      </c>
      <c r="K129" s="3" t="s">
        <v>76</v>
      </c>
    </row>
    <row r="130" spans="1:11" ht="42" customHeight="1">
      <c r="A130" s="2" t="s">
        <v>487</v>
      </c>
      <c r="B130" s="2" t="s">
        <v>488</v>
      </c>
      <c r="C130" s="2" t="s">
        <v>26</v>
      </c>
      <c r="D130" s="2" t="s">
        <v>27</v>
      </c>
      <c r="E130" s="4">
        <v>-32638</v>
      </c>
      <c r="F130" s="3" t="s">
        <v>489</v>
      </c>
      <c r="G130" s="3" t="s">
        <v>227</v>
      </c>
      <c r="H130" s="2" t="s">
        <v>74</v>
      </c>
      <c r="I130" s="2" t="s">
        <v>490</v>
      </c>
      <c r="J130" s="3" t="str">
        <f>HYPERLINK("https://www.boe.es/gazeta/dias/1810/08/21/pdfs/GMD-1810-233.pdf#page=2","Abrir facsímil")</f>
        <v>Abrir facsímil</v>
      </c>
      <c r="K130" s="3" t="s">
        <v>76</v>
      </c>
    </row>
    <row r="131" spans="1:11" ht="42" customHeight="1">
      <c r="A131" s="2" t="s">
        <v>491</v>
      </c>
      <c r="B131" s="2" t="s">
        <v>491</v>
      </c>
      <c r="C131" s="2" t="s">
        <v>88</v>
      </c>
      <c r="D131" s="2" t="s">
        <v>117</v>
      </c>
      <c r="E131" s="4">
        <v>-32766</v>
      </c>
      <c r="F131" s="3" t="s">
        <v>492</v>
      </c>
      <c r="G131" s="3" t="s">
        <v>493</v>
      </c>
      <c r="H131" s="2" t="s">
        <v>74</v>
      </c>
      <c r="I131" s="2" t="s">
        <v>494</v>
      </c>
      <c r="J131" s="3" t="str">
        <f>HYPERLINK("https://www.boe.es/gazeta/dias/1810/04/15/pdfs/GMD-1810-105.pdf#page=4","Abrir facsímil")</f>
        <v>Abrir facsímil</v>
      </c>
      <c r="K131" s="3" t="s">
        <v>76</v>
      </c>
    </row>
    <row r="132" spans="1:11" ht="42" customHeight="1">
      <c r="A132" s="2" t="s">
        <v>495</v>
      </c>
      <c r="B132" s="2" t="s">
        <v>496</v>
      </c>
      <c r="C132" s="2" t="s">
        <v>26</v>
      </c>
      <c r="D132" s="2" t="s">
        <v>27</v>
      </c>
      <c r="E132" s="4">
        <v>-32631</v>
      </c>
      <c r="F132" s="3" t="s">
        <v>497</v>
      </c>
      <c r="G132" s="3" t="s">
        <v>498</v>
      </c>
      <c r="H132" s="2" t="s">
        <v>74</v>
      </c>
      <c r="I132" s="2" t="s">
        <v>499</v>
      </c>
      <c r="J132" s="3" t="str">
        <f>HYPERLINK("https://www.boe.es/gazeta/dias/1810/08/28/pdfs/GMD-1810-240.pdf#page=2","Abrir facsímil")</f>
        <v>Abrir facsímil</v>
      </c>
      <c r="K132" s="3" t="s">
        <v>76</v>
      </c>
    </row>
    <row r="133" spans="1:11" ht="42" customHeight="1">
      <c r="A133" s="2" t="s">
        <v>500</v>
      </c>
      <c r="B133" s="2" t="s">
        <v>501</v>
      </c>
      <c r="C133" s="2" t="s">
        <v>26</v>
      </c>
      <c r="D133" s="2" t="s">
        <v>39</v>
      </c>
      <c r="E133" s="4">
        <v>-32701</v>
      </c>
      <c r="F133" s="3" t="s">
        <v>40</v>
      </c>
      <c r="G133" s="3" t="s">
        <v>41</v>
      </c>
      <c r="H133" s="2" t="s">
        <v>74</v>
      </c>
      <c r="I133" s="2" t="s">
        <v>502</v>
      </c>
      <c r="J133" s="3" t="str">
        <f>HYPERLINK("https://www.boe.es/gazeta/dias/1810/06/19/pdfs/GMD-C-1810-170.pdf#page=3","Abrir facsímil")</f>
        <v>Abrir facsímil</v>
      </c>
      <c r="K133" s="3" t="s">
        <v>76</v>
      </c>
    </row>
    <row r="134" spans="1:11" ht="42" customHeight="1">
      <c r="A134" s="2" t="s">
        <v>503</v>
      </c>
      <c r="B134" s="2" t="s">
        <v>503</v>
      </c>
      <c r="C134" s="2" t="s">
        <v>225</v>
      </c>
      <c r="D134" s="2" t="s">
        <v>27</v>
      </c>
      <c r="E134" s="4">
        <v>-32860</v>
      </c>
      <c r="F134" s="3" t="s">
        <v>504</v>
      </c>
      <c r="G134" s="3" t="s">
        <v>505</v>
      </c>
      <c r="H134" s="2" t="s">
        <v>74</v>
      </c>
      <c r="I134" s="2" t="s">
        <v>506</v>
      </c>
      <c r="J134" s="3" t="str">
        <f>HYPERLINK("https://www.boe.es/gazeta/dias/1810/01/11/pdfs/GGB-1810-5.pdf#page=5","Abrir facsímil")</f>
        <v>Abrir facsímil</v>
      </c>
      <c r="K134" s="3" t="s">
        <v>76</v>
      </c>
    </row>
    <row r="135" spans="1:11" ht="42" customHeight="1">
      <c r="A135" s="2" t="s">
        <v>507</v>
      </c>
      <c r="B135" s="2" t="s">
        <v>508</v>
      </c>
      <c r="C135" s="2" t="s">
        <v>33</v>
      </c>
      <c r="D135" s="2" t="s">
        <v>18</v>
      </c>
      <c r="E135" s="4">
        <v>-32680</v>
      </c>
      <c r="F135" s="3" t="s">
        <v>509</v>
      </c>
      <c r="G135" s="3" t="s">
        <v>213</v>
      </c>
      <c r="H135" s="2" t="s">
        <v>74</v>
      </c>
      <c r="I135" s="2" t="s">
        <v>510</v>
      </c>
      <c r="J135" s="3" t="str">
        <f>HYPERLINK("https://www.boe.es/gazeta/dias/1810/07/10/pdfs/GMD-1810-191.pdf#page=4","Abrir facsímil")</f>
        <v>Abrir facsímil</v>
      </c>
      <c r="K135" s="3" t="s">
        <v>76</v>
      </c>
    </row>
    <row r="136" spans="1:11" ht="42" customHeight="1">
      <c r="A136" s="2" t="s">
        <v>511</v>
      </c>
      <c r="B136" s="2" t="s">
        <v>512</v>
      </c>
      <c r="C136" s="2" t="s">
        <v>111</v>
      </c>
      <c r="D136" s="2" t="s">
        <v>27</v>
      </c>
      <c r="E136" s="4">
        <v>-32729</v>
      </c>
      <c r="F136" s="3" t="s">
        <v>174</v>
      </c>
      <c r="G136" s="3" t="s">
        <v>151</v>
      </c>
      <c r="H136" s="2" t="s">
        <v>74</v>
      </c>
      <c r="I136" s="2" t="s">
        <v>513</v>
      </c>
      <c r="J136" s="3" t="str">
        <f>HYPERLINK("https://www.boe.es/gazeta/dias/1810/05/22/pdfs/GEI-1810-28.pdf#page=12","Abrir facsímil")</f>
        <v>Abrir facsímil</v>
      </c>
      <c r="K136" s="3" t="s">
        <v>76</v>
      </c>
    </row>
    <row r="137" spans="1:11" ht="42" customHeight="1">
      <c r="A137" s="2" t="s">
        <v>514</v>
      </c>
      <c r="B137" s="2" t="s">
        <v>515</v>
      </c>
      <c r="C137" s="2" t="s">
        <v>88</v>
      </c>
      <c r="D137" s="2" t="s">
        <v>117</v>
      </c>
      <c r="E137" s="4">
        <v>-32853</v>
      </c>
      <c r="F137" s="3" t="s">
        <v>516</v>
      </c>
      <c r="G137" s="3" t="s">
        <v>517</v>
      </c>
      <c r="H137" s="2" t="s">
        <v>74</v>
      </c>
      <c r="I137" s="2" t="s">
        <v>518</v>
      </c>
      <c r="J137" s="3" t="str">
        <f>HYPERLINK("https://www.boe.es/gazeta/dias/1810/01/18/pdfs/GGB-1810-8.pdf#page=7","Abrir facsímil")</f>
        <v>Abrir facsímil</v>
      </c>
      <c r="K137" s="3" t="s">
        <v>76</v>
      </c>
    </row>
    <row r="138" spans="1:11" ht="42" customHeight="1">
      <c r="A138" s="2" t="s">
        <v>514</v>
      </c>
      <c r="B138" s="2" t="s">
        <v>515</v>
      </c>
      <c r="C138" s="2" t="s">
        <v>26</v>
      </c>
      <c r="D138" s="2" t="s">
        <v>27</v>
      </c>
      <c r="E138" s="4">
        <v>-32680</v>
      </c>
      <c r="F138" s="3" t="s">
        <v>519</v>
      </c>
      <c r="G138" s="3" t="s">
        <v>520</v>
      </c>
      <c r="H138" s="2" t="s">
        <v>74</v>
      </c>
      <c r="I138" s="2" t="s">
        <v>521</v>
      </c>
      <c r="J138" s="3" t="str">
        <f>HYPERLINK("https://www.boe.es/gazeta/dias/1810/07/10/pdfs/GEI-1810-43.pdf#page=5","Abrir facsímil")</f>
        <v>Abrir facsímil</v>
      </c>
      <c r="K138" s="3" t="s">
        <v>76</v>
      </c>
    </row>
    <row r="139" spans="1:11" ht="42" customHeight="1">
      <c r="A139" s="2" t="s">
        <v>522</v>
      </c>
      <c r="B139" s="2" t="s">
        <v>523</v>
      </c>
      <c r="C139" s="2" t="s">
        <v>88</v>
      </c>
      <c r="D139" s="2" t="s">
        <v>27</v>
      </c>
      <c r="E139" s="4">
        <v>-32782</v>
      </c>
      <c r="F139" s="3" t="s">
        <v>79</v>
      </c>
      <c r="G139" s="3" t="s">
        <v>80</v>
      </c>
      <c r="H139" s="2" t="s">
        <v>74</v>
      </c>
      <c r="I139" s="2" t="s">
        <v>524</v>
      </c>
      <c r="J139" s="3" t="str">
        <f>HYPERLINK("https://www.boe.es/gazeta/dias/1810/03/30/pdfs/GEI-1810-9.pdf#page=7","Abrir facsímil")</f>
        <v>Abrir facsímil</v>
      </c>
      <c r="K139" s="3" t="s">
        <v>76</v>
      </c>
    </row>
    <row r="140" spans="1:11" ht="42" customHeight="1">
      <c r="A140" s="2" t="s">
        <v>525</v>
      </c>
      <c r="B140" s="2" t="s">
        <v>526</v>
      </c>
      <c r="C140" s="2" t="s">
        <v>26</v>
      </c>
      <c r="D140" s="2" t="s">
        <v>27</v>
      </c>
      <c r="E140" s="4">
        <v>-32543</v>
      </c>
      <c r="F140" s="3" t="s">
        <v>69</v>
      </c>
      <c r="G140" s="3" t="s">
        <v>84</v>
      </c>
      <c r="H140" s="2" t="s">
        <v>74</v>
      </c>
      <c r="I140" s="2" t="s">
        <v>527</v>
      </c>
      <c r="J140" s="3" t="str">
        <f>HYPERLINK("https://www.boe.es/gazeta/dias/1810/11/24/pdfs/GEI-1810-99.pdf#page=7","Abrir facsímil")</f>
        <v>Abrir facsímil</v>
      </c>
      <c r="K140" s="3" t="s">
        <v>76</v>
      </c>
    </row>
    <row r="141" spans="1:11" ht="42" customHeight="1">
      <c r="A141" s="2" t="s">
        <v>528</v>
      </c>
      <c r="B141" s="2" t="s">
        <v>529</v>
      </c>
      <c r="C141" s="2" t="s">
        <v>26</v>
      </c>
      <c r="D141" s="2" t="s">
        <v>27</v>
      </c>
      <c r="E141" s="4">
        <v>-32526</v>
      </c>
      <c r="F141" s="3" t="s">
        <v>530</v>
      </c>
      <c r="G141" s="3" t="s">
        <v>531</v>
      </c>
      <c r="H141" s="2" t="s">
        <v>74</v>
      </c>
      <c r="I141" s="2" t="s">
        <v>532</v>
      </c>
      <c r="J141" s="3" t="str">
        <f>HYPERLINK("https://www.boe.es/gazeta/dias/1810/12/11/pdfs/GEI-1810-106.pdf#page=2","Abrir facsímil")</f>
        <v>Abrir facsímil</v>
      </c>
      <c r="K141" s="3" t="s">
        <v>76</v>
      </c>
    </row>
    <row r="142" spans="1:11" ht="42" customHeight="1">
      <c r="A142" s="2" t="s">
        <v>533</v>
      </c>
      <c r="B142" s="2" t="s">
        <v>534</v>
      </c>
      <c r="C142" s="2" t="s">
        <v>26</v>
      </c>
      <c r="D142" s="2" t="s">
        <v>220</v>
      </c>
      <c r="E142" s="4">
        <v>-32563</v>
      </c>
      <c r="F142" s="3" t="s">
        <v>535</v>
      </c>
      <c r="G142" s="3" t="s">
        <v>536</v>
      </c>
      <c r="H142" s="2" t="s">
        <v>74</v>
      </c>
      <c r="I142" s="2" t="s">
        <v>537</v>
      </c>
      <c r="J142" s="3" t="str">
        <f>HYPERLINK("https://www.boe.es/gazeta/dias/1810/11/04/pdfs/GMD-1810-308.pdf#page=9","Abrir facsímil")</f>
        <v>Abrir facsímil</v>
      </c>
      <c r="K142" s="3" t="s">
        <v>76</v>
      </c>
    </row>
    <row r="143" spans="1:11" ht="42" customHeight="1">
      <c r="A143" s="2" t="s">
        <v>538</v>
      </c>
      <c r="B143" s="2" t="s">
        <v>539</v>
      </c>
      <c r="C143" s="2" t="s">
        <v>26</v>
      </c>
      <c r="D143" s="2" t="s">
        <v>39</v>
      </c>
      <c r="E143" s="4">
        <v>-32701</v>
      </c>
      <c r="F143" s="3" t="s">
        <v>40</v>
      </c>
      <c r="G143" s="3" t="s">
        <v>170</v>
      </c>
      <c r="H143" s="2" t="s">
        <v>74</v>
      </c>
      <c r="I143" s="2" t="s">
        <v>540</v>
      </c>
      <c r="J143" s="3" t="str">
        <f>HYPERLINK("https://www.boe.es/gazeta/dias/1810/06/19/pdfs/GMD-C-1810-170.pdf#page=1","Abrir facsímil")</f>
        <v>Abrir facsímil</v>
      </c>
      <c r="K143" s="3" t="s">
        <v>76</v>
      </c>
    </row>
    <row r="144" spans="1:11" ht="42" customHeight="1">
      <c r="A144" s="2" t="s">
        <v>541</v>
      </c>
      <c r="B144" s="2" t="s">
        <v>542</v>
      </c>
      <c r="C144" s="2" t="s">
        <v>26</v>
      </c>
      <c r="D144" s="2" t="s">
        <v>27</v>
      </c>
      <c r="E144" s="4">
        <v>-32771</v>
      </c>
      <c r="F144" s="3" t="s">
        <v>543</v>
      </c>
      <c r="G144" s="3" t="s">
        <v>65</v>
      </c>
      <c r="H144" s="2" t="s">
        <v>74</v>
      </c>
      <c r="I144" s="2" t="s">
        <v>544</v>
      </c>
      <c r="J144" s="3" t="str">
        <f>HYPERLINK("https://www.boe.es/gazeta/dias/1810/04/10/pdfs/GEI-1810-13.pdf#page=7","Abrir facsímil")</f>
        <v>Abrir facsímil</v>
      </c>
      <c r="K144" s="3" t="s">
        <v>76</v>
      </c>
    </row>
    <row r="145" spans="1:11" ht="42" customHeight="1">
      <c r="A145" s="2" t="s">
        <v>541</v>
      </c>
      <c r="B145" s="2" t="s">
        <v>542</v>
      </c>
      <c r="C145" s="2" t="s">
        <v>26</v>
      </c>
      <c r="D145" s="2" t="s">
        <v>27</v>
      </c>
      <c r="E145" s="4">
        <v>-32732</v>
      </c>
      <c r="F145" s="3" t="s">
        <v>545</v>
      </c>
      <c r="G145" s="3" t="s">
        <v>90</v>
      </c>
      <c r="H145" s="2" t="s">
        <v>74</v>
      </c>
      <c r="I145" s="2" t="s">
        <v>546</v>
      </c>
      <c r="J145" s="3" t="str">
        <f>HYPERLINK("https://www.boe.es/gazeta/dias/1810/05/19/pdfs/GMD-1810-139.pdf#page=4","Abrir facsímil")</f>
        <v>Abrir facsímil</v>
      </c>
      <c r="K145" s="3" t="s">
        <v>76</v>
      </c>
    </row>
    <row r="146" spans="1:11" ht="42" customHeight="1">
      <c r="A146" s="2" t="s">
        <v>547</v>
      </c>
      <c r="B146" s="2" t="s">
        <v>548</v>
      </c>
      <c r="C146" s="2" t="s">
        <v>88</v>
      </c>
      <c r="D146" s="2" t="s">
        <v>39</v>
      </c>
      <c r="E146" s="4">
        <v>-32677</v>
      </c>
      <c r="F146" s="3" t="s">
        <v>549</v>
      </c>
      <c r="G146" s="3" t="s">
        <v>70</v>
      </c>
      <c r="H146" s="2" t="s">
        <v>74</v>
      </c>
      <c r="I146" s="2" t="s">
        <v>550</v>
      </c>
      <c r="J146" s="3" t="str">
        <f>HYPERLINK("https://www.boe.es/gazeta/dias/1810/07/13/pdfs/GEI-D-1810-44.pdf#page=8","Abrir facsímil")</f>
        <v>Abrir facsímil</v>
      </c>
      <c r="K146" s="3" t="s">
        <v>76</v>
      </c>
    </row>
    <row r="147" spans="1:11" ht="42" customHeight="1">
      <c r="A147" s="2" t="s">
        <v>551</v>
      </c>
      <c r="B147" s="2" t="s">
        <v>552</v>
      </c>
      <c r="C147" s="2" t="s">
        <v>88</v>
      </c>
      <c r="D147" s="2" t="s">
        <v>117</v>
      </c>
      <c r="E147" s="4">
        <v>-32775</v>
      </c>
      <c r="F147" s="3" t="s">
        <v>553</v>
      </c>
      <c r="G147" s="3" t="s">
        <v>554</v>
      </c>
      <c r="H147" s="2" t="s">
        <v>21</v>
      </c>
      <c r="I147" s="2" t="s">
        <v>555</v>
      </c>
      <c r="J147" s="3" t="str">
        <f>HYPERLINK("https://www.boe.es/gazeta/dias/1810/04/06/pdfs/GEI-1810-12.pdf#page=12","Abrir facsímil")</f>
        <v>Abrir facsímil</v>
      </c>
      <c r="K147" s="3" t="s">
        <v>23</v>
      </c>
    </row>
    <row r="148" spans="1:11" ht="42" customHeight="1">
      <c r="A148" s="2" t="s">
        <v>556</v>
      </c>
      <c r="B148" s="2" t="s">
        <v>557</v>
      </c>
      <c r="C148" s="2" t="s">
        <v>88</v>
      </c>
      <c r="D148" s="2" t="s">
        <v>117</v>
      </c>
      <c r="E148" s="4">
        <v>-32848</v>
      </c>
      <c r="F148" s="3" t="s">
        <v>558</v>
      </c>
      <c r="G148" s="3" t="s">
        <v>559</v>
      </c>
      <c r="H148" s="2" t="s">
        <v>74</v>
      </c>
      <c r="I148" s="2" t="s">
        <v>560</v>
      </c>
      <c r="J148" s="3" t="str">
        <f>HYPERLINK("https://www.boe.es/gazeta/dias/1810/01/23/pdfs/GGB-1810-10.pdf#page=7","Abrir facsímil")</f>
        <v>Abrir facsímil</v>
      </c>
      <c r="K148" s="3" t="s">
        <v>76</v>
      </c>
    </row>
    <row r="149" spans="1:11" ht="42" customHeight="1">
      <c r="A149" s="2" t="s">
        <v>561</v>
      </c>
      <c r="B149" s="2" t="s">
        <v>562</v>
      </c>
      <c r="C149" s="2" t="s">
        <v>88</v>
      </c>
      <c r="D149" s="2" t="s">
        <v>27</v>
      </c>
      <c r="E149" s="4">
        <v>-32775</v>
      </c>
      <c r="F149" s="3" t="s">
        <v>308</v>
      </c>
      <c r="G149" s="3" t="s">
        <v>140</v>
      </c>
      <c r="H149" s="2" t="s">
        <v>74</v>
      </c>
      <c r="I149" s="2" t="s">
        <v>563</v>
      </c>
      <c r="J149" s="3" t="str">
        <f>HYPERLINK("https://www.boe.es/gazeta/dias/1810/04/06/pdfs/GMD-1810-96.pdf#page=3","Abrir facsímil")</f>
        <v>Abrir facsímil</v>
      </c>
      <c r="K149" s="3" t="s">
        <v>76</v>
      </c>
    </row>
    <row r="150" spans="1:11" ht="42" customHeight="1">
      <c r="A150" s="2" t="s">
        <v>564</v>
      </c>
      <c r="B150" s="2" t="s">
        <v>565</v>
      </c>
      <c r="C150" s="2" t="s">
        <v>88</v>
      </c>
      <c r="D150" s="2" t="s">
        <v>27</v>
      </c>
      <c r="E150" s="4">
        <v>-32517</v>
      </c>
      <c r="F150" s="3" t="s">
        <v>566</v>
      </c>
      <c r="G150" s="3" t="s">
        <v>567</v>
      </c>
      <c r="H150" s="2" t="s">
        <v>74</v>
      </c>
      <c r="I150" s="2" t="s">
        <v>568</v>
      </c>
      <c r="J150" s="3" t="str">
        <f>HYPERLINK("https://www.boe.es/gazeta/dias/1810/12/20/pdfs/GEI-1810-110.pdf#page=7","Abrir facsímil")</f>
        <v>Abrir facsímil</v>
      </c>
      <c r="K150" s="3" t="s">
        <v>76</v>
      </c>
    </row>
    <row r="151" spans="1:11" ht="42" customHeight="1">
      <c r="A151" s="2" t="s">
        <v>569</v>
      </c>
      <c r="B151" s="2" t="s">
        <v>570</v>
      </c>
      <c r="C151" s="2" t="s">
        <v>26</v>
      </c>
      <c r="D151" s="2" t="s">
        <v>27</v>
      </c>
      <c r="E151" s="4">
        <v>-32689</v>
      </c>
      <c r="F151" s="3" t="s">
        <v>571</v>
      </c>
      <c r="G151" s="3" t="s">
        <v>140</v>
      </c>
      <c r="H151" s="2" t="s">
        <v>74</v>
      </c>
      <c r="I151" s="2" t="s">
        <v>572</v>
      </c>
      <c r="J151" s="3" t="str">
        <f>HYPERLINK("https://www.boe.es/gazeta/dias/1810/07/01/pdfs/GMD-1810-182.pdf#page=4","Abrir facsímil")</f>
        <v>Abrir facsímil</v>
      </c>
      <c r="K151" s="3" t="s">
        <v>76</v>
      </c>
    </row>
    <row r="152" spans="1:11" ht="42" customHeight="1">
      <c r="A152" s="2" t="s">
        <v>573</v>
      </c>
      <c r="B152" s="2" t="s">
        <v>574</v>
      </c>
      <c r="C152" s="2" t="s">
        <v>26</v>
      </c>
      <c r="D152" s="2" t="s">
        <v>27</v>
      </c>
      <c r="E152" s="4">
        <v>-32648</v>
      </c>
      <c r="F152" s="3" t="s">
        <v>575</v>
      </c>
      <c r="G152" s="3" t="s">
        <v>140</v>
      </c>
      <c r="H152" s="2" t="s">
        <v>74</v>
      </c>
      <c r="I152" s="2" t="s">
        <v>576</v>
      </c>
      <c r="J152" s="3" t="str">
        <f>HYPERLINK("https://www.boe.es/gazeta/dias/1810/08/11/pdfs/GMD-1810-223.pdf#page=4","Abrir facsímil")</f>
        <v>Abrir facsímil</v>
      </c>
      <c r="K152" s="3" t="s">
        <v>76</v>
      </c>
    </row>
    <row r="153" spans="1:11" ht="42" customHeight="1">
      <c r="A153" s="2" t="s">
        <v>577</v>
      </c>
      <c r="B153" s="2" t="s">
        <v>578</v>
      </c>
      <c r="C153" s="2" t="s">
        <v>111</v>
      </c>
      <c r="D153" s="2" t="s">
        <v>18</v>
      </c>
      <c r="E153" s="4">
        <v>-32683</v>
      </c>
      <c r="F153" s="3" t="s">
        <v>579</v>
      </c>
      <c r="G153" s="3" t="s">
        <v>580</v>
      </c>
      <c r="H153" s="2" t="s">
        <v>74</v>
      </c>
      <c r="I153" s="2" t="s">
        <v>581</v>
      </c>
      <c r="J153" s="3" t="str">
        <f>HYPERLINK("https://www.boe.es/gazeta/dias/1810/07/07/pdfs/GMD-1810-188.pdf#page=1","Abrir facsímil")</f>
        <v>Abrir facsímil</v>
      </c>
      <c r="K153" s="3" t="s">
        <v>76</v>
      </c>
    </row>
    <row r="154" spans="1:11" ht="42" customHeight="1">
      <c r="A154" s="2" t="s">
        <v>582</v>
      </c>
      <c r="B154" s="2" t="s">
        <v>582</v>
      </c>
      <c r="C154" s="2" t="s">
        <v>88</v>
      </c>
      <c r="D154" s="2" t="s">
        <v>27</v>
      </c>
      <c r="E154" s="4">
        <v>-32804</v>
      </c>
      <c r="F154" s="3" t="s">
        <v>583</v>
      </c>
      <c r="G154" s="3" t="s">
        <v>584</v>
      </c>
      <c r="H154" s="2" t="s">
        <v>74</v>
      </c>
      <c r="I154" s="2" t="s">
        <v>585</v>
      </c>
      <c r="J154" s="3" t="str">
        <f>HYPERLINK("https://www.boe.es/gazeta/dias/1810/03/08/pdfs/GMD-1810-67.pdf#page=1","Abrir facsímil")</f>
        <v>Abrir facsímil</v>
      </c>
      <c r="K154" s="3" t="s">
        <v>76</v>
      </c>
    </row>
    <row r="155" spans="1:11" ht="42" customHeight="1">
      <c r="A155" s="2" t="s">
        <v>586</v>
      </c>
      <c r="B155" s="2" t="s">
        <v>587</v>
      </c>
      <c r="C155" s="2" t="s">
        <v>225</v>
      </c>
      <c r="D155" s="2" t="s">
        <v>117</v>
      </c>
      <c r="E155" s="4">
        <v>-32645</v>
      </c>
      <c r="F155" s="3" t="s">
        <v>122</v>
      </c>
      <c r="G155" s="3" t="s">
        <v>588</v>
      </c>
      <c r="H155" s="2" t="s">
        <v>74</v>
      </c>
      <c r="I155" s="2" t="s">
        <v>589</v>
      </c>
      <c r="J155" s="3" t="str">
        <f>HYPERLINK("https://www.boe.es/gazeta/dias/1810/08/14/pdfs/GEI-1810-56.pdf#page=15","Abrir facsímil")</f>
        <v>Abrir facsímil</v>
      </c>
      <c r="K155" s="3" t="s">
        <v>76</v>
      </c>
    </row>
    <row r="156" spans="1:11" ht="42" customHeight="1">
      <c r="A156" s="2" t="s">
        <v>590</v>
      </c>
      <c r="B156" s="2" t="s">
        <v>591</v>
      </c>
      <c r="C156" s="2" t="s">
        <v>26</v>
      </c>
      <c r="D156" s="2" t="s">
        <v>39</v>
      </c>
      <c r="E156" s="4">
        <v>-32661</v>
      </c>
      <c r="F156" s="3" t="s">
        <v>157</v>
      </c>
      <c r="G156" s="3" t="s">
        <v>592</v>
      </c>
      <c r="H156" s="2" t="s">
        <v>74</v>
      </c>
      <c r="I156" s="2" t="s">
        <v>593</v>
      </c>
      <c r="J156" s="3" t="str">
        <f>HYPERLINK("https://www.boe.es/gazeta/dias/1810/07/29/pdfs/GMD-C-1810-210.pdf#page=2","Abrir facsímil")</f>
        <v>Abrir facsímil</v>
      </c>
      <c r="K156" s="3" t="s">
        <v>76</v>
      </c>
    </row>
    <row r="157" spans="1:11" ht="42" customHeight="1">
      <c r="A157" s="2" t="s">
        <v>594</v>
      </c>
      <c r="B157" s="2" t="s">
        <v>595</v>
      </c>
      <c r="C157" s="2" t="s">
        <v>26</v>
      </c>
      <c r="D157" s="2" t="s">
        <v>27</v>
      </c>
      <c r="E157" s="4">
        <v>-32710</v>
      </c>
      <c r="F157" s="3" t="s">
        <v>126</v>
      </c>
      <c r="G157" s="3" t="s">
        <v>184</v>
      </c>
      <c r="H157" s="2" t="s">
        <v>74</v>
      </c>
      <c r="I157" s="2" t="s">
        <v>596</v>
      </c>
      <c r="J157" s="3" t="str">
        <f>HYPERLINK("https://www.boe.es/gazeta/dias/1810/06/10/pdfs/GMD-1810-161.pdf#page=3","Abrir facsímil")</f>
        <v>Abrir facsímil</v>
      </c>
      <c r="K157" s="3" t="s">
        <v>76</v>
      </c>
    </row>
    <row r="158" spans="1:11" ht="42" customHeight="1">
      <c r="A158" s="2" t="s">
        <v>597</v>
      </c>
      <c r="B158" s="2" t="s">
        <v>598</v>
      </c>
      <c r="C158" s="2" t="s">
        <v>88</v>
      </c>
      <c r="D158" s="2" t="s">
        <v>27</v>
      </c>
      <c r="E158" s="4">
        <v>-32839</v>
      </c>
      <c r="F158" s="3" t="s">
        <v>28</v>
      </c>
      <c r="G158" s="3" t="s">
        <v>29</v>
      </c>
      <c r="H158" s="2" t="s">
        <v>74</v>
      </c>
      <c r="I158" s="2" t="s">
        <v>599</v>
      </c>
      <c r="J158" s="3" t="str">
        <f>HYPERLINK("https://www.boe.es/gazeta/dias/1810/02/01/pdfs/GMD-1810-32.pdf#page=2","Abrir facsímil")</f>
        <v>Abrir facsímil</v>
      </c>
      <c r="K158" s="3" t="s">
        <v>76</v>
      </c>
    </row>
    <row r="159" spans="1:11" ht="42" customHeight="1">
      <c r="A159" s="2" t="s">
        <v>600</v>
      </c>
      <c r="B159" s="2" t="s">
        <v>600</v>
      </c>
      <c r="C159" s="2" t="s">
        <v>88</v>
      </c>
      <c r="D159" s="2" t="s">
        <v>117</v>
      </c>
      <c r="E159" s="4">
        <v>-32752</v>
      </c>
      <c r="F159" s="3" t="s">
        <v>601</v>
      </c>
      <c r="G159" s="3" t="s">
        <v>35</v>
      </c>
      <c r="H159" s="2" t="s">
        <v>74</v>
      </c>
      <c r="I159" s="2" t="s">
        <v>602</v>
      </c>
      <c r="J159" s="3" t="str">
        <f>HYPERLINK("https://www.boe.es/gazeta/dias/1810/04/29/pdfs/GMD-1810-119.pdf#page=2","Abrir facsímil")</f>
        <v>Abrir facsímil</v>
      </c>
      <c r="K159" s="3" t="s">
        <v>76</v>
      </c>
    </row>
    <row r="160" spans="1:11" ht="42" customHeight="1">
      <c r="A160" s="2" t="s">
        <v>603</v>
      </c>
      <c r="B160" s="2" t="s">
        <v>603</v>
      </c>
      <c r="C160" s="2" t="s">
        <v>88</v>
      </c>
      <c r="D160" s="2" t="s">
        <v>27</v>
      </c>
      <c r="E160" s="4">
        <v>-32611</v>
      </c>
      <c r="F160" s="3" t="s">
        <v>604</v>
      </c>
      <c r="G160" s="3" t="s">
        <v>29</v>
      </c>
      <c r="H160" s="2" t="s">
        <v>74</v>
      </c>
      <c r="I160" s="2" t="s">
        <v>605</v>
      </c>
      <c r="J160" s="3" t="str">
        <f>HYPERLINK("https://www.boe.es/gazeta/dias/1810/09/17/pdfs/GMD-1810-260.pdf#page=4","Abrir facsímil")</f>
        <v>Abrir facsímil</v>
      </c>
      <c r="K160" s="3" t="s">
        <v>76</v>
      </c>
    </row>
    <row r="161" spans="1:11" ht="42" customHeight="1">
      <c r="A161" s="2" t="s">
        <v>606</v>
      </c>
      <c r="B161" s="2" t="s">
        <v>607</v>
      </c>
      <c r="C161" s="2" t="s">
        <v>26</v>
      </c>
      <c r="D161" s="2" t="s">
        <v>18</v>
      </c>
      <c r="E161" s="4">
        <v>-32583</v>
      </c>
      <c r="F161" s="3" t="s">
        <v>45</v>
      </c>
      <c r="G161" s="3" t="s">
        <v>608</v>
      </c>
      <c r="H161" s="2" t="s">
        <v>74</v>
      </c>
      <c r="I161" s="2" t="s">
        <v>609</v>
      </c>
      <c r="J161" s="3" t="str">
        <f>HYPERLINK("https://www.boe.es/gazeta/dias/1810/10/15/pdfs/GMD-1810-288.pdf#page=2","Abrir facsímil")</f>
        <v>Abrir facsímil</v>
      </c>
      <c r="K161" s="3" t="s">
        <v>76</v>
      </c>
    </row>
    <row r="162" spans="1:11" ht="42" customHeight="1">
      <c r="A162" s="2" t="s">
        <v>610</v>
      </c>
      <c r="B162" s="2" t="s">
        <v>611</v>
      </c>
      <c r="C162" s="2" t="s">
        <v>26</v>
      </c>
      <c r="D162" s="2" t="s">
        <v>27</v>
      </c>
      <c r="E162" s="4">
        <v>-32735</v>
      </c>
      <c r="F162" s="3" t="s">
        <v>612</v>
      </c>
      <c r="G162" s="3" t="s">
        <v>613</v>
      </c>
      <c r="H162" s="2" t="s">
        <v>74</v>
      </c>
      <c r="I162" s="2" t="s">
        <v>614</v>
      </c>
      <c r="J162" s="3" t="str">
        <f>HYPERLINK("https://www.boe.es/gazeta/dias/1810/05/16/pdfs/GMD-1810-136.pdf#page=1","Abrir facsímil")</f>
        <v>Abrir facsímil</v>
      </c>
      <c r="K162" s="3" t="s">
        <v>76</v>
      </c>
    </row>
    <row r="163" spans="1:11" ht="42" customHeight="1">
      <c r="A163" s="2" t="s">
        <v>615</v>
      </c>
      <c r="B163" s="2" t="s">
        <v>615</v>
      </c>
      <c r="C163" s="2" t="s">
        <v>33</v>
      </c>
      <c r="D163" s="2" t="s">
        <v>27</v>
      </c>
      <c r="E163" s="4">
        <v>-32679</v>
      </c>
      <c r="F163" s="3" t="s">
        <v>616</v>
      </c>
      <c r="G163" s="3" t="s">
        <v>213</v>
      </c>
      <c r="H163" s="2" t="s">
        <v>74</v>
      </c>
      <c r="I163" s="2" t="s">
        <v>617</v>
      </c>
      <c r="J163" s="3" t="str">
        <f>HYPERLINK("https://www.boe.es/gazeta/dias/1810/07/11/pdfs/GMD-1810-192.pdf#page=2","Abrir facsímil")</f>
        <v>Abrir facsímil</v>
      </c>
      <c r="K163" s="3" t="s">
        <v>76</v>
      </c>
    </row>
    <row r="164" spans="1:11" ht="42" customHeight="1">
      <c r="A164" s="2" t="s">
        <v>615</v>
      </c>
      <c r="B164" s="2" t="s">
        <v>615</v>
      </c>
      <c r="C164" s="2" t="s">
        <v>26</v>
      </c>
      <c r="D164" s="2" t="s">
        <v>27</v>
      </c>
      <c r="E164" s="4">
        <v>-32664</v>
      </c>
      <c r="F164" s="3" t="s">
        <v>618</v>
      </c>
      <c r="G164" s="3" t="s">
        <v>35</v>
      </c>
      <c r="H164" s="2" t="s">
        <v>74</v>
      </c>
      <c r="I164" s="2" t="s">
        <v>619</v>
      </c>
      <c r="J164" s="3" t="str">
        <f>HYPERLINK("https://www.boe.es/gazeta/dias/1810/07/26/pdfs/GMD-1810-207.pdf#page=2","Abrir facsímil")</f>
        <v>Abrir facsímil</v>
      </c>
      <c r="K164" s="3" t="s">
        <v>76</v>
      </c>
    </row>
    <row r="165" spans="1:11" ht="42" customHeight="1">
      <c r="A165" s="2" t="s">
        <v>620</v>
      </c>
      <c r="B165" s="2" t="s">
        <v>621</v>
      </c>
      <c r="C165" s="2" t="s">
        <v>26</v>
      </c>
      <c r="D165" s="2" t="s">
        <v>39</v>
      </c>
      <c r="E165" s="4">
        <v>-32701</v>
      </c>
      <c r="F165" s="3" t="s">
        <v>40</v>
      </c>
      <c r="G165" s="3" t="s">
        <v>333</v>
      </c>
      <c r="H165" s="2" t="s">
        <v>74</v>
      </c>
      <c r="I165" s="2" t="s">
        <v>622</v>
      </c>
      <c r="J165" s="3" t="str">
        <f>HYPERLINK("https://www.boe.es/gazeta/dias/1810/06/19/pdfs/GMD-C-1810-170.pdf#page=4","Abrir facsímil")</f>
        <v>Abrir facsímil</v>
      </c>
      <c r="K165" s="3" t="s">
        <v>76</v>
      </c>
    </row>
    <row r="166" spans="1:11" ht="42" customHeight="1">
      <c r="A166" s="2" t="s">
        <v>623</v>
      </c>
      <c r="B166" s="2" t="s">
        <v>623</v>
      </c>
      <c r="C166" s="2" t="s">
        <v>88</v>
      </c>
      <c r="D166" s="2" t="s">
        <v>117</v>
      </c>
      <c r="E166" s="4">
        <v>-32716</v>
      </c>
      <c r="F166" s="3" t="s">
        <v>624</v>
      </c>
      <c r="G166" s="3" t="s">
        <v>140</v>
      </c>
      <c r="H166" s="2" t="s">
        <v>74</v>
      </c>
      <c r="I166" s="2" t="s">
        <v>625</v>
      </c>
      <c r="J166" s="3" t="str">
        <f>HYPERLINK("https://www.boe.es/gazeta/dias/1810/06/04/pdfs/GMD-1810-155.pdf#page=4","Abrir facsímil")</f>
        <v>Abrir facsímil</v>
      </c>
      <c r="K166" s="3" t="s">
        <v>76</v>
      </c>
    </row>
    <row r="167" spans="1:11" ht="42" customHeight="1">
      <c r="A167" s="2" t="s">
        <v>626</v>
      </c>
      <c r="B167" s="2" t="s">
        <v>626</v>
      </c>
      <c r="C167" s="2" t="s">
        <v>88</v>
      </c>
      <c r="D167" s="2" t="s">
        <v>117</v>
      </c>
      <c r="E167" s="4">
        <v>-32812</v>
      </c>
      <c r="F167" s="3" t="s">
        <v>627</v>
      </c>
      <c r="G167" s="3" t="s">
        <v>29</v>
      </c>
      <c r="H167" s="2" t="s">
        <v>74</v>
      </c>
      <c r="I167" s="2" t="s">
        <v>628</v>
      </c>
      <c r="J167" s="3" t="str">
        <f>HYPERLINK("https://www.boe.es/gazeta/dias/1810/02/28/pdfs/GMD-1810-59.pdf#page=2","Abrir facsímil")</f>
        <v>Abrir facsímil</v>
      </c>
      <c r="K167" s="3" t="s">
        <v>76</v>
      </c>
    </row>
    <row r="168" spans="1:11" ht="42" customHeight="1">
      <c r="A168" s="2" t="s">
        <v>629</v>
      </c>
      <c r="B168" s="2" t="s">
        <v>630</v>
      </c>
      <c r="C168" s="2" t="s">
        <v>26</v>
      </c>
      <c r="D168" s="2" t="s">
        <v>39</v>
      </c>
      <c r="E168" s="4">
        <v>-32714</v>
      </c>
      <c r="F168" s="3" t="s">
        <v>631</v>
      </c>
      <c r="G168" s="3" t="s">
        <v>632</v>
      </c>
      <c r="H168" s="2" t="s">
        <v>74</v>
      </c>
      <c r="I168" s="2" t="s">
        <v>633</v>
      </c>
      <c r="J168" s="3" t="str">
        <f>HYPERLINK("https://www.boe.es/gazeta/dias/1810/06/06/pdfs/GMD-C-1810-157.pdf#page=2","Abrir facsímil")</f>
        <v>Abrir facsímil</v>
      </c>
      <c r="K168" s="3" t="s">
        <v>76</v>
      </c>
    </row>
    <row r="169" spans="1:11" ht="42" customHeight="1">
      <c r="A169" s="2" t="s">
        <v>634</v>
      </c>
      <c r="B169" s="2" t="s">
        <v>635</v>
      </c>
      <c r="C169" s="2" t="s">
        <v>26</v>
      </c>
      <c r="D169" s="2" t="s">
        <v>27</v>
      </c>
      <c r="E169" s="4">
        <v>-32526</v>
      </c>
      <c r="F169" s="3" t="s">
        <v>530</v>
      </c>
      <c r="G169" s="3" t="s">
        <v>636</v>
      </c>
      <c r="H169" s="2" t="s">
        <v>74</v>
      </c>
      <c r="I169" s="2" t="s">
        <v>637</v>
      </c>
      <c r="J169" s="3" t="str">
        <f>HYPERLINK("https://www.boe.es/gazeta/dias/1810/12/11/pdfs/GEI-1810-106.pdf#page=3","Abrir facsímil")</f>
        <v>Abrir facsímil</v>
      </c>
      <c r="K169" s="3" t="s">
        <v>76</v>
      </c>
    </row>
    <row r="170" spans="1:11" ht="42" customHeight="1">
      <c r="A170" s="2" t="s">
        <v>638</v>
      </c>
      <c r="B170" s="2" t="s">
        <v>639</v>
      </c>
      <c r="C170" s="2" t="s">
        <v>111</v>
      </c>
      <c r="D170" s="2" t="s">
        <v>18</v>
      </c>
      <c r="E170" s="4">
        <v>-32764</v>
      </c>
      <c r="F170" s="3" t="s">
        <v>640</v>
      </c>
      <c r="G170" s="3" t="s">
        <v>641</v>
      </c>
      <c r="H170" s="2" t="s">
        <v>74</v>
      </c>
      <c r="I170" s="2" t="s">
        <v>642</v>
      </c>
      <c r="J170" s="3" t="str">
        <f>HYPERLINK("https://www.boe.es/gazeta/dias/1810/04/17/pdfs/GEI-1810-15.pdf#page=8","Abrir facsímil")</f>
        <v>Abrir facsímil</v>
      </c>
      <c r="K170" s="3" t="s">
        <v>76</v>
      </c>
    </row>
    <row r="171" spans="1:11" ht="42" customHeight="1">
      <c r="A171" s="2" t="s">
        <v>643</v>
      </c>
      <c r="B171" s="2" t="s">
        <v>643</v>
      </c>
      <c r="C171" s="2" t="s">
        <v>88</v>
      </c>
      <c r="D171" s="2" t="s">
        <v>117</v>
      </c>
      <c r="E171" s="4">
        <v>-32733</v>
      </c>
      <c r="F171" s="3" t="s">
        <v>644</v>
      </c>
      <c r="G171" s="3" t="s">
        <v>645</v>
      </c>
      <c r="H171" s="2" t="s">
        <v>74</v>
      </c>
      <c r="I171" s="2" t="s">
        <v>646</v>
      </c>
      <c r="J171" s="3" t="str">
        <f>HYPERLINK("https://www.boe.es/gazeta/dias/1810/05/18/pdfs/GMD-1810-138.pdf#page=3","Abrir facsímil")</f>
        <v>Abrir facsímil</v>
      </c>
      <c r="K171" s="3" t="s">
        <v>76</v>
      </c>
    </row>
    <row r="172" spans="1:11" ht="42" customHeight="1">
      <c r="A172" s="2" t="s">
        <v>647</v>
      </c>
      <c r="B172" s="2" t="s">
        <v>648</v>
      </c>
      <c r="C172" s="2" t="s">
        <v>88</v>
      </c>
      <c r="D172" s="2" t="s">
        <v>27</v>
      </c>
      <c r="E172" s="4">
        <v>-32566</v>
      </c>
      <c r="F172" s="3" t="s">
        <v>649</v>
      </c>
      <c r="G172" s="3" t="s">
        <v>650</v>
      </c>
      <c r="H172" s="2" t="s">
        <v>74</v>
      </c>
      <c r="I172" s="2" t="s">
        <v>651</v>
      </c>
      <c r="J172" s="3" t="str">
        <f>HYPERLINK("https://www.boe.es/gazeta/dias/1810/11/01/pdfs/GEI-1810-89.pdf#page=6","Abrir facsímil")</f>
        <v>Abrir facsímil</v>
      </c>
      <c r="K172" s="3" t="s">
        <v>76</v>
      </c>
    </row>
    <row r="173" spans="1:11" ht="42" customHeight="1">
      <c r="A173" s="2" t="s">
        <v>652</v>
      </c>
      <c r="B173" s="2" t="s">
        <v>653</v>
      </c>
      <c r="C173" s="2" t="s">
        <v>26</v>
      </c>
      <c r="D173" s="2" t="s">
        <v>27</v>
      </c>
      <c r="E173" s="4">
        <v>-32708</v>
      </c>
      <c r="F173" s="3" t="s">
        <v>654</v>
      </c>
      <c r="G173" s="3" t="s">
        <v>655</v>
      </c>
      <c r="H173" s="2" t="s">
        <v>74</v>
      </c>
      <c r="I173" s="2" t="s">
        <v>656</v>
      </c>
      <c r="J173" s="3" t="str">
        <f>HYPERLINK("https://www.boe.es/gazeta/dias/1810/06/12/pdfs/GEI-1810-35.pdf#page=3","Abrir facsímil")</f>
        <v>Abrir facsímil</v>
      </c>
      <c r="K173" s="3" t="s">
        <v>76</v>
      </c>
    </row>
    <row r="174" spans="1:11" ht="42" customHeight="1">
      <c r="A174" s="2" t="s">
        <v>652</v>
      </c>
      <c r="B174" s="2" t="s">
        <v>653</v>
      </c>
      <c r="C174" s="2" t="s">
        <v>88</v>
      </c>
      <c r="D174" s="2" t="s">
        <v>27</v>
      </c>
      <c r="E174" s="4">
        <v>-32642</v>
      </c>
      <c r="F174" s="3" t="s">
        <v>657</v>
      </c>
      <c r="G174" s="3" t="s">
        <v>658</v>
      </c>
      <c r="H174" s="2" t="s">
        <v>74</v>
      </c>
      <c r="I174" s="2" t="s">
        <v>659</v>
      </c>
      <c r="J174" s="3" t="str">
        <f>HYPERLINK("https://www.boe.es/gazeta/dias/1810/08/17/pdfs/GEI-1810-57.pdf#page=5","Abrir facsímil")</f>
        <v>Abrir facsímil</v>
      </c>
      <c r="K174" s="3" t="s">
        <v>76</v>
      </c>
    </row>
    <row r="175" spans="1:11" ht="42" customHeight="1">
      <c r="A175" s="2" t="s">
        <v>660</v>
      </c>
      <c r="B175" s="2" t="s">
        <v>661</v>
      </c>
      <c r="C175" s="2" t="s">
        <v>26</v>
      </c>
      <c r="D175" s="2" t="s">
        <v>39</v>
      </c>
      <c r="E175" s="4">
        <v>-32599</v>
      </c>
      <c r="F175" s="3" t="s">
        <v>662</v>
      </c>
      <c r="G175" s="3" t="s">
        <v>663</v>
      </c>
      <c r="H175" s="2" t="s">
        <v>74</v>
      </c>
      <c r="I175" s="2" t="s">
        <v>664</v>
      </c>
      <c r="J175" s="3" t="str">
        <f>HYPERLINK("https://www.boe.es/gazeta/dias/1810/09/29/pdfs/GMD-C-1810-272.pdf#page=11","Abrir facsímil")</f>
        <v>Abrir facsímil</v>
      </c>
      <c r="K175" s="3" t="s">
        <v>76</v>
      </c>
    </row>
    <row r="176" spans="1:11" ht="42" customHeight="1">
      <c r="A176" s="2" t="s">
        <v>665</v>
      </c>
      <c r="B176" s="2" t="s">
        <v>666</v>
      </c>
      <c r="C176" s="2" t="s">
        <v>88</v>
      </c>
      <c r="D176" s="2" t="s">
        <v>27</v>
      </c>
      <c r="E176" s="4">
        <v>-32712</v>
      </c>
      <c r="F176" s="3" t="s">
        <v>667</v>
      </c>
      <c r="G176" s="3" t="s">
        <v>668</v>
      </c>
      <c r="H176" s="2" t="s">
        <v>74</v>
      </c>
      <c r="I176" s="2" t="s">
        <v>669</v>
      </c>
      <c r="J176" s="3" t="str">
        <f>HYPERLINK("https://www.boe.es/gazeta/dias/1810/06/08/pdfs/GEI-1810-34.pdf#page=3","Abrir facsímil")</f>
        <v>Abrir facsímil</v>
      </c>
      <c r="K176" s="3" t="s">
        <v>76</v>
      </c>
    </row>
    <row r="177" spans="1:11" ht="42" customHeight="1">
      <c r="A177" s="2" t="s">
        <v>665</v>
      </c>
      <c r="B177" s="2" t="s">
        <v>666</v>
      </c>
      <c r="C177" s="2" t="s">
        <v>225</v>
      </c>
      <c r="D177" s="2" t="s">
        <v>117</v>
      </c>
      <c r="E177" s="4">
        <v>-32708</v>
      </c>
      <c r="F177" s="3" t="s">
        <v>654</v>
      </c>
      <c r="G177" s="3" t="s">
        <v>90</v>
      </c>
      <c r="H177" s="2" t="s">
        <v>74</v>
      </c>
      <c r="I177" s="2" t="s">
        <v>670</v>
      </c>
      <c r="J177" s="3" t="str">
        <f>HYPERLINK("https://www.boe.es/gazeta/dias/1810/06/12/pdfs/GEI-1810-35.pdf#page=8","Abrir facsímil")</f>
        <v>Abrir facsímil</v>
      </c>
      <c r="K177" s="3" t="s">
        <v>76</v>
      </c>
    </row>
    <row r="178" spans="1:11" ht="42" customHeight="1">
      <c r="A178" s="2" t="s">
        <v>665</v>
      </c>
      <c r="B178" s="2" t="s">
        <v>666</v>
      </c>
      <c r="C178" s="2" t="s">
        <v>26</v>
      </c>
      <c r="D178" s="2" t="s">
        <v>27</v>
      </c>
      <c r="E178" s="4">
        <v>-32701</v>
      </c>
      <c r="F178" s="3" t="s">
        <v>671</v>
      </c>
      <c r="G178" s="3" t="s">
        <v>151</v>
      </c>
      <c r="H178" s="2" t="s">
        <v>74</v>
      </c>
      <c r="I178" s="2" t="s">
        <v>672</v>
      </c>
      <c r="J178" s="3" t="str">
        <f>HYPERLINK("https://www.boe.es/gazeta/dias/1810/06/19/pdfs/GEI-1810-37.pdf#page=5","Abrir facsímil")</f>
        <v>Abrir facsímil</v>
      </c>
      <c r="K178" s="3" t="s">
        <v>76</v>
      </c>
    </row>
    <row r="179" spans="1:11" ht="42" customHeight="1">
      <c r="A179" s="2" t="s">
        <v>673</v>
      </c>
      <c r="B179" s="2" t="s">
        <v>673</v>
      </c>
      <c r="C179" s="2" t="s">
        <v>88</v>
      </c>
      <c r="D179" s="2" t="s">
        <v>27</v>
      </c>
      <c r="E179" s="4">
        <v>-32621</v>
      </c>
      <c r="F179" s="3" t="s">
        <v>674</v>
      </c>
      <c r="G179" s="3" t="s">
        <v>235</v>
      </c>
      <c r="H179" s="2" t="s">
        <v>74</v>
      </c>
      <c r="I179" s="2" t="s">
        <v>675</v>
      </c>
      <c r="J179" s="3" t="str">
        <f>HYPERLINK("https://www.boe.es/gazeta/dias/1810/09/07/pdfs/GEI-1810-65.pdf#page=7","Abrir facsímil")</f>
        <v>Abrir facsímil</v>
      </c>
      <c r="K179" s="3" t="s">
        <v>76</v>
      </c>
    </row>
    <row r="180" spans="1:11" ht="42" customHeight="1">
      <c r="A180" s="2" t="s">
        <v>676</v>
      </c>
      <c r="B180" s="2" t="s">
        <v>677</v>
      </c>
      <c r="C180" s="2" t="s">
        <v>88</v>
      </c>
      <c r="D180" s="2" t="s">
        <v>27</v>
      </c>
      <c r="E180" s="4">
        <v>-32705</v>
      </c>
      <c r="F180" s="3" t="s">
        <v>678</v>
      </c>
      <c r="G180" s="3" t="s">
        <v>679</v>
      </c>
      <c r="H180" s="2" t="s">
        <v>74</v>
      </c>
      <c r="I180" s="2" t="s">
        <v>680</v>
      </c>
      <c r="J180" s="3" t="str">
        <f>HYPERLINK("https://www.boe.es/gazeta/dias/1810/06/15/pdfs/GEI-1810-36.pdf#page=3","Abrir facsímil")</f>
        <v>Abrir facsímil</v>
      </c>
      <c r="K180" s="3" t="s">
        <v>76</v>
      </c>
    </row>
    <row r="181" spans="1:11" ht="42" customHeight="1">
      <c r="A181" s="2" t="s">
        <v>681</v>
      </c>
      <c r="B181" s="2" t="s">
        <v>682</v>
      </c>
      <c r="C181" s="2" t="s">
        <v>88</v>
      </c>
      <c r="D181" s="2" t="s">
        <v>27</v>
      </c>
      <c r="E181" s="4">
        <v>-32568</v>
      </c>
      <c r="F181" s="3" t="s">
        <v>683</v>
      </c>
      <c r="G181" s="3" t="s">
        <v>465</v>
      </c>
      <c r="H181" s="2" t="s">
        <v>74</v>
      </c>
      <c r="I181" s="2" t="s">
        <v>684</v>
      </c>
      <c r="J181" s="3" t="str">
        <f>HYPERLINK("https://www.boe.es/gazeta/dias/1810/10/30/pdfs/GEI-1810-88.pdf#page=8","Abrir facsímil")</f>
        <v>Abrir facsímil</v>
      </c>
      <c r="K181" s="3" t="s">
        <v>76</v>
      </c>
    </row>
    <row r="182" spans="1:11" ht="42" customHeight="1">
      <c r="A182" s="2" t="s">
        <v>685</v>
      </c>
      <c r="B182" s="2" t="s">
        <v>686</v>
      </c>
      <c r="C182" s="2" t="s">
        <v>88</v>
      </c>
      <c r="D182" s="2" t="s">
        <v>117</v>
      </c>
      <c r="E182" s="4">
        <v>-32568</v>
      </c>
      <c r="F182" s="3" t="s">
        <v>683</v>
      </c>
      <c r="G182" s="3" t="s">
        <v>687</v>
      </c>
      <c r="H182" s="2" t="s">
        <v>74</v>
      </c>
      <c r="I182" s="2" t="s">
        <v>688</v>
      </c>
      <c r="J182" s="3" t="str">
        <f>HYPERLINK("https://www.boe.es/gazeta/dias/1810/10/30/pdfs/GEI-1810-88.pdf#page=12","Abrir facsímil")</f>
        <v>Abrir facsímil</v>
      </c>
      <c r="K182" s="3" t="s">
        <v>76</v>
      </c>
    </row>
    <row r="183" spans="1:11" ht="42" customHeight="1">
      <c r="A183" s="2" t="s">
        <v>689</v>
      </c>
      <c r="B183" s="2" t="s">
        <v>689</v>
      </c>
      <c r="C183" s="2" t="s">
        <v>111</v>
      </c>
      <c r="D183" s="2" t="s">
        <v>27</v>
      </c>
      <c r="E183" s="4">
        <v>-32795</v>
      </c>
      <c r="F183" s="3" t="s">
        <v>690</v>
      </c>
      <c r="G183" s="3" t="s">
        <v>691</v>
      </c>
      <c r="H183" s="2" t="s">
        <v>74</v>
      </c>
      <c r="I183" s="2" t="s">
        <v>692</v>
      </c>
      <c r="J183" s="3" t="str">
        <f>HYPERLINK("https://www.boe.es/gazeta/dias/1810/03/17/pdfs/GMD-1810-76.pdf#page=3","Abrir facsímil")</f>
        <v>Abrir facsímil</v>
      </c>
      <c r="K183" s="3" t="s">
        <v>76</v>
      </c>
    </row>
    <row r="184" spans="1:11" ht="42" customHeight="1">
      <c r="A184" s="2" t="s">
        <v>693</v>
      </c>
      <c r="B184" s="2" t="s">
        <v>693</v>
      </c>
      <c r="C184" s="2" t="s">
        <v>88</v>
      </c>
      <c r="D184" s="2" t="s">
        <v>117</v>
      </c>
      <c r="E184" s="4">
        <v>-32862</v>
      </c>
      <c r="F184" s="3" t="s">
        <v>694</v>
      </c>
      <c r="G184" s="3" t="s">
        <v>695</v>
      </c>
      <c r="H184" s="2" t="s">
        <v>74</v>
      </c>
      <c r="I184" s="2" t="s">
        <v>696</v>
      </c>
      <c r="J184" s="3" t="str">
        <f>HYPERLINK("https://www.boe.es/gazeta/dias/1810/01/09/pdfs/GGB-1810-4.pdf#page=1","Abrir facsímil")</f>
        <v>Abrir facsímil</v>
      </c>
      <c r="K184" s="3" t="s">
        <v>76</v>
      </c>
    </row>
    <row r="185" spans="1:11" ht="42" customHeight="1">
      <c r="A185" s="2" t="s">
        <v>693</v>
      </c>
      <c r="B185" s="2" t="s">
        <v>693</v>
      </c>
      <c r="C185" s="2" t="s">
        <v>33</v>
      </c>
      <c r="D185" s="2" t="s">
        <v>27</v>
      </c>
      <c r="E185" s="4">
        <v>-32725</v>
      </c>
      <c r="F185" s="3" t="s">
        <v>417</v>
      </c>
      <c r="G185" s="3" t="s">
        <v>140</v>
      </c>
      <c r="H185" s="2" t="s">
        <v>74</v>
      </c>
      <c r="I185" s="2" t="s">
        <v>697</v>
      </c>
      <c r="J185" s="3" t="str">
        <f>HYPERLINK("https://www.boe.es/gazeta/dias/1810/05/26/pdfs/GMD-1810-146.pdf#page=4","Abrir facsímil")</f>
        <v>Abrir facsímil</v>
      </c>
      <c r="K185" s="3" t="s">
        <v>76</v>
      </c>
    </row>
    <row r="186" spans="1:11" ht="42" customHeight="1">
      <c r="A186" s="2" t="s">
        <v>698</v>
      </c>
      <c r="B186" s="2" t="s">
        <v>699</v>
      </c>
      <c r="C186" s="2" t="s">
        <v>33</v>
      </c>
      <c r="D186" s="2" t="s">
        <v>27</v>
      </c>
      <c r="E186" s="4">
        <v>-32595</v>
      </c>
      <c r="F186" s="3" t="s">
        <v>700</v>
      </c>
      <c r="G186" s="3" t="s">
        <v>701</v>
      </c>
      <c r="H186" s="2" t="s">
        <v>74</v>
      </c>
      <c r="I186" s="2" t="s">
        <v>702</v>
      </c>
      <c r="J186" s="3" t="str">
        <f>HYPERLINK("https://www.boe.es/gazeta/dias/1810/10/03/pdfs/GMD-1810-276.pdf#page=3","Abrir facsímil")</f>
        <v>Abrir facsímil</v>
      </c>
      <c r="K186" s="3" t="s">
        <v>76</v>
      </c>
    </row>
    <row r="187" spans="1:11" ht="42" customHeight="1">
      <c r="A187" s="2" t="s">
        <v>703</v>
      </c>
      <c r="B187" s="2" t="s">
        <v>704</v>
      </c>
      <c r="C187" s="2" t="s">
        <v>88</v>
      </c>
      <c r="D187" s="2" t="s">
        <v>27</v>
      </c>
      <c r="E187" s="4">
        <v>-32710</v>
      </c>
      <c r="F187" s="3" t="s">
        <v>126</v>
      </c>
      <c r="G187" s="3" t="s">
        <v>184</v>
      </c>
      <c r="H187" s="2" t="s">
        <v>74</v>
      </c>
      <c r="I187" s="2" t="s">
        <v>705</v>
      </c>
      <c r="J187" s="3" t="str">
        <f>HYPERLINK("https://www.boe.es/gazeta/dias/1810/06/10/pdfs/GMD-1810-161.pdf#page=3","Abrir facsímil")</f>
        <v>Abrir facsímil</v>
      </c>
      <c r="K187" s="3" t="s">
        <v>76</v>
      </c>
    </row>
    <row r="188" spans="1:11" ht="42" customHeight="1">
      <c r="A188" s="2" t="s">
        <v>706</v>
      </c>
      <c r="B188" s="2" t="s">
        <v>707</v>
      </c>
      <c r="C188" s="2" t="s">
        <v>26</v>
      </c>
      <c r="D188" s="2" t="s">
        <v>27</v>
      </c>
      <c r="E188" s="4">
        <v>-32710</v>
      </c>
      <c r="F188" s="3" t="s">
        <v>126</v>
      </c>
      <c r="G188" s="3" t="s">
        <v>35</v>
      </c>
      <c r="H188" s="2" t="s">
        <v>74</v>
      </c>
      <c r="I188" s="2" t="s">
        <v>708</v>
      </c>
      <c r="J188" s="3" t="str">
        <f>HYPERLINK("https://www.boe.es/gazeta/dias/1810/06/10/pdfs/GMD-1810-161.pdf#page=2","Abrir facsímil")</f>
        <v>Abrir facsímil</v>
      </c>
      <c r="K188" s="3" t="s">
        <v>76</v>
      </c>
    </row>
    <row r="189" spans="1:11" ht="42" customHeight="1">
      <c r="A189" s="2" t="s">
        <v>709</v>
      </c>
      <c r="B189" s="2" t="s">
        <v>709</v>
      </c>
      <c r="C189" s="2" t="s">
        <v>225</v>
      </c>
      <c r="D189" s="2" t="s">
        <v>220</v>
      </c>
      <c r="E189" s="4">
        <v>-32762</v>
      </c>
      <c r="F189" s="3" t="s">
        <v>231</v>
      </c>
      <c r="G189" s="3" t="s">
        <v>29</v>
      </c>
      <c r="H189" s="2" t="s">
        <v>74</v>
      </c>
      <c r="I189" s="2" t="s">
        <v>710</v>
      </c>
      <c r="J189" s="3" t="str">
        <f>HYPERLINK("https://www.boe.es/gazeta/dias/1810/04/19/pdfs/GMD-1810-109.pdf#page=2","Abrir facsímil")</f>
        <v>Abrir facsímil</v>
      </c>
      <c r="K189" s="3" t="s">
        <v>76</v>
      </c>
    </row>
    <row r="190" spans="1:11" ht="42" customHeight="1">
      <c r="A190" s="2" t="s">
        <v>711</v>
      </c>
      <c r="B190" s="2" t="s">
        <v>711</v>
      </c>
      <c r="C190" s="2" t="s">
        <v>33</v>
      </c>
      <c r="D190" s="2" t="s">
        <v>27</v>
      </c>
      <c r="E190" s="4">
        <v>-32867</v>
      </c>
      <c r="F190" s="3" t="s">
        <v>712</v>
      </c>
      <c r="G190" s="3" t="s">
        <v>140</v>
      </c>
      <c r="H190" s="2" t="s">
        <v>74</v>
      </c>
      <c r="I190" s="2" t="s">
        <v>713</v>
      </c>
      <c r="J190" s="3" t="str">
        <f>HYPERLINK("https://www.boe.es/gazeta/dias/1810/01/04/pdfs/GGB-1810-2.pdf#page=1","Abrir facsímil")</f>
        <v>Abrir facsímil</v>
      </c>
      <c r="K190" s="3" t="s">
        <v>76</v>
      </c>
    </row>
    <row r="191" spans="1:11" ht="42" customHeight="1">
      <c r="A191" s="2" t="s">
        <v>714</v>
      </c>
      <c r="B191" s="2" t="s">
        <v>714</v>
      </c>
      <c r="C191" s="2" t="s">
        <v>33</v>
      </c>
      <c r="D191" s="2" t="s">
        <v>27</v>
      </c>
      <c r="E191" s="4">
        <v>-32862</v>
      </c>
      <c r="F191" s="3" t="s">
        <v>694</v>
      </c>
      <c r="G191" s="3" t="s">
        <v>715</v>
      </c>
      <c r="H191" s="2" t="s">
        <v>74</v>
      </c>
      <c r="I191" s="2" t="s">
        <v>716</v>
      </c>
      <c r="J191" s="3" t="str">
        <f>HYPERLINK("https://www.boe.es/gazeta/dias/1810/01/09/pdfs/GGB-1810-4.pdf#page=3","Abrir facsímil")</f>
        <v>Abrir facsímil</v>
      </c>
      <c r="K191" s="3" t="s">
        <v>76</v>
      </c>
    </row>
    <row r="192" spans="1:11" ht="42" customHeight="1">
      <c r="A192" s="2" t="s">
        <v>711</v>
      </c>
      <c r="B192" s="2" t="s">
        <v>711</v>
      </c>
      <c r="C192" s="2" t="s">
        <v>33</v>
      </c>
      <c r="D192" s="2" t="s">
        <v>220</v>
      </c>
      <c r="E192" s="4">
        <v>-32862</v>
      </c>
      <c r="F192" s="3" t="s">
        <v>694</v>
      </c>
      <c r="G192" s="3" t="s">
        <v>465</v>
      </c>
      <c r="H192" s="2" t="s">
        <v>74</v>
      </c>
      <c r="I192" s="2" t="s">
        <v>717</v>
      </c>
      <c r="J192" s="3" t="str">
        <f>HYPERLINK("https://www.boe.es/gazeta/dias/1810/01/09/pdfs/GGB-1810-4.pdf#page=4","Abrir facsímil")</f>
        <v>Abrir facsímil</v>
      </c>
      <c r="K192" s="3" t="s">
        <v>76</v>
      </c>
    </row>
    <row r="193" spans="1:11" ht="42" customHeight="1">
      <c r="A193" s="2" t="s">
        <v>711</v>
      </c>
      <c r="B193" s="2" t="s">
        <v>711</v>
      </c>
      <c r="C193" s="2" t="s">
        <v>195</v>
      </c>
      <c r="D193" s="2" t="s">
        <v>220</v>
      </c>
      <c r="E193" s="4">
        <v>-32764</v>
      </c>
      <c r="F193" s="3" t="s">
        <v>718</v>
      </c>
      <c r="G193" s="3" t="s">
        <v>213</v>
      </c>
      <c r="H193" s="2" t="s">
        <v>74</v>
      </c>
      <c r="I193" s="2" t="s">
        <v>719</v>
      </c>
      <c r="J193" s="3" t="str">
        <f>HYPERLINK("https://www.boe.es/gazeta/dias/1810/04/17/pdfs/GMD-1810-107.pdf#page=1","Abrir facsímil")</f>
        <v>Abrir facsímil</v>
      </c>
      <c r="K193" s="3" t="s">
        <v>76</v>
      </c>
    </row>
    <row r="194" spans="1:11" ht="42" customHeight="1">
      <c r="A194" s="2" t="s">
        <v>711</v>
      </c>
      <c r="B194" s="2" t="s">
        <v>711</v>
      </c>
      <c r="C194" s="2" t="s">
        <v>17</v>
      </c>
      <c r="D194" s="2" t="s">
        <v>27</v>
      </c>
      <c r="E194" s="4">
        <v>-32741</v>
      </c>
      <c r="F194" s="3" t="s">
        <v>98</v>
      </c>
      <c r="G194" s="3" t="s">
        <v>90</v>
      </c>
      <c r="H194" s="2" t="s">
        <v>74</v>
      </c>
      <c r="I194" s="2" t="s">
        <v>720</v>
      </c>
      <c r="J194" s="3" t="str">
        <f>HYPERLINK("https://www.boe.es/gazeta/dias/1810/05/10/pdfs/GMD-1810-130.pdf#page=4","Abrir facsímil")</f>
        <v>Abrir facsímil</v>
      </c>
      <c r="K194" s="3" t="s">
        <v>76</v>
      </c>
    </row>
    <row r="195" spans="1:11" ht="42" customHeight="1">
      <c r="A195" s="2" t="s">
        <v>711</v>
      </c>
      <c r="B195" s="2" t="s">
        <v>711</v>
      </c>
      <c r="C195" s="2" t="s">
        <v>33</v>
      </c>
      <c r="D195" s="2" t="s">
        <v>220</v>
      </c>
      <c r="E195" s="4">
        <v>-32740</v>
      </c>
      <c r="F195" s="3" t="s">
        <v>721</v>
      </c>
      <c r="G195" s="3" t="s">
        <v>722</v>
      </c>
      <c r="H195" s="2" t="s">
        <v>74</v>
      </c>
      <c r="I195" s="2" t="s">
        <v>723</v>
      </c>
      <c r="J195" s="3" t="str">
        <f>HYPERLINK("https://www.boe.es/gazeta/dias/1810/05/11/pdfs/GEI-1810-24.pdf#page=3","Abrir facsímil")</f>
        <v>Abrir facsímil</v>
      </c>
      <c r="K195" s="3" t="s">
        <v>76</v>
      </c>
    </row>
    <row r="196" spans="1:11" ht="42" customHeight="1">
      <c r="A196" s="2" t="s">
        <v>711</v>
      </c>
      <c r="B196" s="2" t="s">
        <v>711</v>
      </c>
      <c r="C196" s="2" t="s">
        <v>33</v>
      </c>
      <c r="D196" s="2" t="s">
        <v>220</v>
      </c>
      <c r="E196" s="4">
        <v>-32739</v>
      </c>
      <c r="F196" s="3" t="s">
        <v>724</v>
      </c>
      <c r="G196" s="3" t="s">
        <v>119</v>
      </c>
      <c r="H196" s="2" t="s">
        <v>74</v>
      </c>
      <c r="I196" s="2" t="s">
        <v>725</v>
      </c>
      <c r="J196" s="3" t="str">
        <f>HYPERLINK("https://www.boe.es/gazeta/dias/1810/05/12/pdfs/GMD-1810-132.pdf#page=1","Abrir facsímil")</f>
        <v>Abrir facsímil</v>
      </c>
      <c r="K196" s="3" t="s">
        <v>76</v>
      </c>
    </row>
    <row r="197" spans="1:11" ht="42" customHeight="1">
      <c r="A197" s="2" t="s">
        <v>711</v>
      </c>
      <c r="B197" s="2" t="s">
        <v>711</v>
      </c>
      <c r="C197" s="2" t="s">
        <v>33</v>
      </c>
      <c r="D197" s="2" t="s">
        <v>27</v>
      </c>
      <c r="E197" s="4">
        <v>-32733</v>
      </c>
      <c r="F197" s="3" t="s">
        <v>644</v>
      </c>
      <c r="G197" s="3" t="s">
        <v>645</v>
      </c>
      <c r="H197" s="2" t="s">
        <v>74</v>
      </c>
      <c r="I197" s="2" t="s">
        <v>726</v>
      </c>
      <c r="J197" s="3" t="str">
        <f>HYPERLINK("https://www.boe.es/gazeta/dias/1810/05/18/pdfs/GMD-1810-138.pdf#page=3","Abrir facsímil")</f>
        <v>Abrir facsímil</v>
      </c>
      <c r="K197" s="3" t="s">
        <v>76</v>
      </c>
    </row>
    <row r="198" spans="1:11" ht="42" customHeight="1">
      <c r="A198" s="2" t="s">
        <v>711</v>
      </c>
      <c r="B198" s="2" t="s">
        <v>711</v>
      </c>
      <c r="C198" s="2" t="s">
        <v>33</v>
      </c>
      <c r="D198" s="2" t="s">
        <v>27</v>
      </c>
      <c r="E198" s="4">
        <v>-32691</v>
      </c>
      <c r="F198" s="3" t="s">
        <v>727</v>
      </c>
      <c r="G198" s="3" t="s">
        <v>695</v>
      </c>
      <c r="H198" s="2" t="s">
        <v>74</v>
      </c>
      <c r="I198" s="2" t="s">
        <v>728</v>
      </c>
      <c r="J198" s="3" t="str">
        <f>HYPERLINK("https://www.boe.es/gazeta/dias/1810/06/29/pdfs/GMD-1810-180.pdf#page=1","Abrir facsímil")</f>
        <v>Abrir facsímil</v>
      </c>
      <c r="K198" s="3" t="s">
        <v>76</v>
      </c>
    </row>
    <row r="199" spans="1:11" ht="42" customHeight="1">
      <c r="A199" s="2" t="s">
        <v>711</v>
      </c>
      <c r="B199" s="2" t="s">
        <v>711</v>
      </c>
      <c r="C199" s="2" t="s">
        <v>225</v>
      </c>
      <c r="D199" s="2" t="s">
        <v>27</v>
      </c>
      <c r="E199" s="4">
        <v>-32675</v>
      </c>
      <c r="F199" s="3" t="s">
        <v>729</v>
      </c>
      <c r="G199" s="3" t="s">
        <v>29</v>
      </c>
      <c r="H199" s="2" t="s">
        <v>74</v>
      </c>
      <c r="I199" s="2" t="s">
        <v>730</v>
      </c>
      <c r="J199" s="3" t="str">
        <f>HYPERLINK("https://www.boe.es/gazeta/dias/1810/07/15/pdfs/GMD-1810-196.pdf#page=2","Abrir facsímil")</f>
        <v>Abrir facsímil</v>
      </c>
      <c r="K199" s="3" t="s">
        <v>76</v>
      </c>
    </row>
    <row r="200" spans="1:11" ht="42" customHeight="1">
      <c r="A200" s="2" t="s">
        <v>711</v>
      </c>
      <c r="B200" s="2" t="s">
        <v>711</v>
      </c>
      <c r="C200" s="2" t="s">
        <v>88</v>
      </c>
      <c r="D200" s="2" t="s">
        <v>27</v>
      </c>
      <c r="E200" s="4">
        <v>-32652</v>
      </c>
      <c r="F200" s="3" t="s">
        <v>731</v>
      </c>
      <c r="G200" s="3" t="s">
        <v>732</v>
      </c>
      <c r="H200" s="2" t="s">
        <v>74</v>
      </c>
      <c r="I200" s="2" t="s">
        <v>733</v>
      </c>
      <c r="J200" s="3" t="str">
        <f>HYPERLINK("https://www.boe.es/gazeta/dias/1810/08/07/pdfs/GMD-1810-219.pdf#page=2","Abrir facsímil")</f>
        <v>Abrir facsímil</v>
      </c>
      <c r="K200" s="3" t="s">
        <v>76</v>
      </c>
    </row>
    <row r="201" spans="1:11" ht="42" customHeight="1">
      <c r="A201" s="2" t="s">
        <v>711</v>
      </c>
      <c r="B201" s="2" t="s">
        <v>711</v>
      </c>
      <c r="C201" s="2" t="s">
        <v>88</v>
      </c>
      <c r="D201" s="2" t="s">
        <v>117</v>
      </c>
      <c r="E201" s="4">
        <v>-32575</v>
      </c>
      <c r="F201" s="3" t="s">
        <v>734</v>
      </c>
      <c r="G201" s="3" t="s">
        <v>735</v>
      </c>
      <c r="H201" s="2" t="s">
        <v>74</v>
      </c>
      <c r="I201" s="2" t="s">
        <v>736</v>
      </c>
      <c r="J201" s="3" t="str">
        <f>HYPERLINK("https://www.boe.es/gazeta/dias/1810/10/23/pdfs/GMD-1810-296.pdf#page=3","Abrir facsímil")</f>
        <v>Abrir facsímil</v>
      </c>
      <c r="K201" s="3" t="s">
        <v>76</v>
      </c>
    </row>
    <row r="202" spans="1:11" ht="42" customHeight="1">
      <c r="A202" s="2" t="s">
        <v>711</v>
      </c>
      <c r="B202" s="2" t="s">
        <v>711</v>
      </c>
      <c r="C202" s="2" t="s">
        <v>88</v>
      </c>
      <c r="D202" s="2" t="s">
        <v>27</v>
      </c>
      <c r="E202" s="4">
        <v>-32571</v>
      </c>
      <c r="F202" s="3" t="s">
        <v>737</v>
      </c>
      <c r="G202" s="3" t="s">
        <v>738</v>
      </c>
      <c r="H202" s="2" t="s">
        <v>74</v>
      </c>
      <c r="I202" s="2" t="s">
        <v>739</v>
      </c>
      <c r="J202" s="3" t="str">
        <f>HYPERLINK("https://www.boe.es/gazeta/dias/1810/10/27/pdfs/GEI-1810-87.pdf#page=4","Abrir facsímil")</f>
        <v>Abrir facsímil</v>
      </c>
      <c r="K202" s="3" t="s">
        <v>76</v>
      </c>
    </row>
    <row r="203" spans="1:11" ht="42" customHeight="1">
      <c r="A203" s="2" t="s">
        <v>740</v>
      </c>
      <c r="B203" s="2" t="s">
        <v>740</v>
      </c>
      <c r="C203" s="2" t="s">
        <v>26</v>
      </c>
      <c r="D203" s="2" t="s">
        <v>27</v>
      </c>
      <c r="E203" s="4">
        <v>-32567</v>
      </c>
      <c r="F203" s="3" t="s">
        <v>741</v>
      </c>
      <c r="G203" s="3" t="s">
        <v>90</v>
      </c>
      <c r="H203" s="2" t="s">
        <v>74</v>
      </c>
      <c r="I203" s="2" t="s">
        <v>742</v>
      </c>
      <c r="J203" s="3" t="str">
        <f>HYPERLINK("https://www.boe.es/gazeta/dias/1810/10/31/pdfs/GMD-1810-304.pdf#page=2","Abrir facsímil")</f>
        <v>Abrir facsímil</v>
      </c>
      <c r="K203" s="3" t="s">
        <v>76</v>
      </c>
    </row>
    <row r="204" spans="1:11" ht="42" customHeight="1">
      <c r="A204" s="2" t="s">
        <v>711</v>
      </c>
      <c r="B204" s="2" t="s">
        <v>711</v>
      </c>
      <c r="C204" s="2" t="s">
        <v>26</v>
      </c>
      <c r="D204" s="2" t="s">
        <v>27</v>
      </c>
      <c r="E204" s="4">
        <v>-32565</v>
      </c>
      <c r="F204" s="3" t="s">
        <v>743</v>
      </c>
      <c r="G204" s="3" t="s">
        <v>458</v>
      </c>
      <c r="H204" s="2" t="s">
        <v>74</v>
      </c>
      <c r="I204" s="2" t="s">
        <v>744</v>
      </c>
      <c r="J204" s="3" t="str">
        <f>HYPERLINK("https://www.boe.es/gazeta/dias/1810/11/02/pdfs/GMD-1810-306.pdf#page=2","Abrir facsímil")</f>
        <v>Abrir facsímil</v>
      </c>
      <c r="K204" s="3" t="s">
        <v>76</v>
      </c>
    </row>
    <row r="205" spans="1:11" ht="42" customHeight="1">
      <c r="A205" s="2" t="s">
        <v>711</v>
      </c>
      <c r="B205" s="2" t="s">
        <v>711</v>
      </c>
      <c r="C205" s="2" t="s">
        <v>88</v>
      </c>
      <c r="D205" s="2" t="s">
        <v>117</v>
      </c>
      <c r="E205" s="4">
        <v>-32515</v>
      </c>
      <c r="F205" s="3" t="s">
        <v>745</v>
      </c>
      <c r="G205" s="3" t="s">
        <v>213</v>
      </c>
      <c r="H205" s="2" t="s">
        <v>74</v>
      </c>
      <c r="I205" s="2" t="s">
        <v>746</v>
      </c>
      <c r="J205" s="3" t="str">
        <f>HYPERLINK("https://www.boe.es/gazeta/dias/1810/12/22/pdfs/GMD-1810-356.pdf#page=4","Abrir facsímil")</f>
        <v>Abrir facsímil</v>
      </c>
      <c r="K205" s="3" t="s">
        <v>76</v>
      </c>
    </row>
    <row r="206" spans="1:11" ht="42" customHeight="1">
      <c r="A206" s="2" t="s">
        <v>747</v>
      </c>
      <c r="B206" s="2" t="s">
        <v>747</v>
      </c>
      <c r="C206" s="2" t="s">
        <v>33</v>
      </c>
      <c r="D206" s="2" t="s">
        <v>18</v>
      </c>
      <c r="E206" s="4">
        <v>-32541</v>
      </c>
      <c r="F206" s="3" t="s">
        <v>748</v>
      </c>
      <c r="G206" s="3" t="s">
        <v>749</v>
      </c>
      <c r="H206" s="2" t="s">
        <v>74</v>
      </c>
      <c r="I206" s="2" t="s">
        <v>750</v>
      </c>
      <c r="J206" s="3" t="str">
        <f>HYPERLINK("https://www.boe.es/gazeta/dias/1810/11/26/pdfs/GMD-1810-330.pdf#page=1","Abrir facsímil")</f>
        <v>Abrir facsímil</v>
      </c>
      <c r="K206" s="3" t="s">
        <v>76</v>
      </c>
    </row>
    <row r="207" spans="1:11" ht="42" customHeight="1">
      <c r="A207" s="2" t="s">
        <v>751</v>
      </c>
      <c r="B207" s="2" t="s">
        <v>751</v>
      </c>
      <c r="C207" s="2" t="s">
        <v>33</v>
      </c>
      <c r="D207" s="2" t="s">
        <v>220</v>
      </c>
      <c r="E207" s="4">
        <v>-32776</v>
      </c>
      <c r="F207" s="3" t="s">
        <v>752</v>
      </c>
      <c r="G207" s="3" t="s">
        <v>732</v>
      </c>
      <c r="H207" s="2" t="s">
        <v>74</v>
      </c>
      <c r="I207" s="2" t="s">
        <v>753</v>
      </c>
      <c r="J207" s="3" t="str">
        <f>HYPERLINK("https://www.boe.es/gazeta/dias/1810/04/05/pdfs/GMD-1810-95.pdf#page=1","Abrir facsímil")</f>
        <v>Abrir facsímil</v>
      </c>
      <c r="K207" s="3" t="s">
        <v>76</v>
      </c>
    </row>
    <row r="208" spans="1:11" ht="42" customHeight="1">
      <c r="A208" s="2" t="s">
        <v>754</v>
      </c>
      <c r="B208" s="2" t="s">
        <v>755</v>
      </c>
      <c r="C208" s="2" t="s">
        <v>225</v>
      </c>
      <c r="D208" s="2" t="s">
        <v>27</v>
      </c>
      <c r="E208" s="4">
        <v>-32729</v>
      </c>
      <c r="F208" s="3" t="s">
        <v>174</v>
      </c>
      <c r="G208" s="3" t="s">
        <v>70</v>
      </c>
      <c r="H208" s="2" t="s">
        <v>74</v>
      </c>
      <c r="I208" s="2" t="s">
        <v>756</v>
      </c>
      <c r="J208" s="3" t="str">
        <f>HYPERLINK("https://www.boe.es/gazeta/dias/1810/05/22/pdfs/GEI-1810-28.pdf#page=7","Abrir facsímil")</f>
        <v>Abrir facsímil</v>
      </c>
      <c r="K208" s="3" t="s">
        <v>76</v>
      </c>
    </row>
    <row r="209" spans="1:11" ht="42" customHeight="1">
      <c r="A209" s="2" t="s">
        <v>757</v>
      </c>
      <c r="B209" s="2" t="s">
        <v>758</v>
      </c>
      <c r="C209" s="2" t="s">
        <v>88</v>
      </c>
      <c r="D209" s="2" t="s">
        <v>27</v>
      </c>
      <c r="E209" s="4">
        <v>-32710</v>
      </c>
      <c r="F209" s="3" t="s">
        <v>126</v>
      </c>
      <c r="G209" s="3" t="s">
        <v>20</v>
      </c>
      <c r="H209" s="2" t="s">
        <v>74</v>
      </c>
      <c r="I209" s="2" t="s">
        <v>759</v>
      </c>
      <c r="J209" s="3" t="str">
        <f>HYPERLINK("https://www.boe.es/gazeta/dias/1810/06/10/pdfs/GMD-1810-161.pdf#page=4","Abrir facsímil")</f>
        <v>Abrir facsímil</v>
      </c>
      <c r="K209" s="3" t="s">
        <v>76</v>
      </c>
    </row>
    <row r="210" spans="1:11" ht="42" customHeight="1">
      <c r="A210" s="2" t="s">
        <v>760</v>
      </c>
      <c r="B210" s="2" t="s">
        <v>761</v>
      </c>
      <c r="C210" s="2" t="s">
        <v>195</v>
      </c>
      <c r="D210" s="2" t="s">
        <v>27</v>
      </c>
      <c r="E210" s="4">
        <v>-32517</v>
      </c>
      <c r="F210" s="3" t="s">
        <v>566</v>
      </c>
      <c r="G210" s="3" t="s">
        <v>762</v>
      </c>
      <c r="H210" s="2" t="s">
        <v>74</v>
      </c>
      <c r="I210" s="2" t="s">
        <v>763</v>
      </c>
      <c r="J210" s="3" t="str">
        <f>HYPERLINK("https://www.boe.es/gazeta/dias/1810/12/20/pdfs/GEI-1810-110.pdf#page=8","Abrir facsímil")</f>
        <v>Abrir facsímil</v>
      </c>
      <c r="K210" s="3" t="s">
        <v>76</v>
      </c>
    </row>
    <row r="211" spans="1:11" ht="42" customHeight="1">
      <c r="A211" s="2" t="s">
        <v>764</v>
      </c>
      <c r="B211" s="2" t="s">
        <v>764</v>
      </c>
      <c r="C211" s="2" t="s">
        <v>26</v>
      </c>
      <c r="D211" s="2" t="s">
        <v>39</v>
      </c>
      <c r="E211" s="4">
        <v>-32650</v>
      </c>
      <c r="F211" s="3" t="s">
        <v>765</v>
      </c>
      <c r="G211" s="3" t="s">
        <v>766</v>
      </c>
      <c r="H211" s="2" t="s">
        <v>74</v>
      </c>
      <c r="I211" s="2" t="s">
        <v>767</v>
      </c>
      <c r="J211" s="3" t="str">
        <f>HYPERLINK("https://www.boe.es/gazeta/dias/1810/08/09/pdfs/GMD-C-1810-221.pdf#page=3","Abrir facsímil")</f>
        <v>Abrir facsímil</v>
      </c>
      <c r="K211" s="3" t="s">
        <v>76</v>
      </c>
    </row>
    <row r="212" spans="1:11" ht="42" customHeight="1">
      <c r="A212" s="2" t="s">
        <v>768</v>
      </c>
      <c r="B212" s="2" t="s">
        <v>768</v>
      </c>
      <c r="C212" s="2" t="s">
        <v>26</v>
      </c>
      <c r="D212" s="2" t="s">
        <v>27</v>
      </c>
      <c r="E212" s="4">
        <v>-32736</v>
      </c>
      <c r="F212" s="3" t="s">
        <v>400</v>
      </c>
      <c r="G212" s="3" t="s">
        <v>401</v>
      </c>
      <c r="H212" s="2" t="s">
        <v>74</v>
      </c>
      <c r="I212" s="2" t="s">
        <v>769</v>
      </c>
      <c r="J212" s="3" t="str">
        <f>HYPERLINK("https://www.boe.es/gazeta/dias/1810/05/15/pdfs/GMD-1810-135.pdf#page=4","Abrir facsímil")</f>
        <v>Abrir facsímil</v>
      </c>
      <c r="K212" s="3" t="s">
        <v>76</v>
      </c>
    </row>
    <row r="213" spans="1:11" ht="42" customHeight="1">
      <c r="A213" s="2" t="s">
        <v>768</v>
      </c>
      <c r="B213" s="2" t="s">
        <v>768</v>
      </c>
      <c r="C213" s="2" t="s">
        <v>26</v>
      </c>
      <c r="D213" s="2" t="s">
        <v>27</v>
      </c>
      <c r="E213" s="4">
        <v>-32680</v>
      </c>
      <c r="F213" s="3" t="s">
        <v>509</v>
      </c>
      <c r="G213" s="3" t="s">
        <v>213</v>
      </c>
      <c r="H213" s="2" t="s">
        <v>74</v>
      </c>
      <c r="I213" s="2" t="s">
        <v>770</v>
      </c>
      <c r="J213" s="3" t="str">
        <f>HYPERLINK("https://www.boe.es/gazeta/dias/1810/07/10/pdfs/GMD-1810-191.pdf#page=4","Abrir facsímil")</f>
        <v>Abrir facsímil</v>
      </c>
      <c r="K213" s="3" t="s">
        <v>76</v>
      </c>
    </row>
    <row r="214" spans="1:11" ht="42" customHeight="1">
      <c r="A214" s="2" t="s">
        <v>768</v>
      </c>
      <c r="B214" s="2" t="s">
        <v>768</v>
      </c>
      <c r="C214" s="2" t="s">
        <v>111</v>
      </c>
      <c r="D214" s="2" t="s">
        <v>27</v>
      </c>
      <c r="E214" s="4">
        <v>-32592</v>
      </c>
      <c r="F214" s="3" t="s">
        <v>771</v>
      </c>
      <c r="G214" s="3" t="s">
        <v>668</v>
      </c>
      <c r="H214" s="2" t="s">
        <v>74</v>
      </c>
      <c r="I214" s="2" t="s">
        <v>772</v>
      </c>
      <c r="J214" s="3" t="str">
        <f>HYPERLINK("https://www.boe.es/gazeta/dias/1810/10/06/pdfs/GEI-1810-78.pdf#page=5","Abrir facsímil")</f>
        <v>Abrir facsímil</v>
      </c>
      <c r="K214" s="3" t="s">
        <v>76</v>
      </c>
    </row>
    <row r="215" spans="1:11" ht="42" customHeight="1">
      <c r="A215" s="2" t="s">
        <v>773</v>
      </c>
      <c r="B215" s="2" t="s">
        <v>774</v>
      </c>
      <c r="C215" s="2" t="s">
        <v>26</v>
      </c>
      <c r="D215" s="2" t="s">
        <v>39</v>
      </c>
      <c r="E215" s="4">
        <v>-32599</v>
      </c>
      <c r="F215" s="3" t="s">
        <v>662</v>
      </c>
      <c r="G215" s="3" t="s">
        <v>227</v>
      </c>
      <c r="H215" s="2" t="s">
        <v>74</v>
      </c>
      <c r="I215" s="2" t="s">
        <v>775</v>
      </c>
      <c r="J215" s="3" t="str">
        <f>HYPERLINK("https://www.boe.es/gazeta/dias/1810/09/29/pdfs/GMD-C-1810-272.pdf#page=12","Abrir facsímil")</f>
        <v>Abrir facsímil</v>
      </c>
      <c r="K215" s="3" t="s">
        <v>76</v>
      </c>
    </row>
    <row r="216" spans="1:11" ht="42" customHeight="1">
      <c r="A216" s="2" t="s">
        <v>776</v>
      </c>
      <c r="B216" s="2" t="s">
        <v>777</v>
      </c>
      <c r="C216" s="2" t="s">
        <v>26</v>
      </c>
      <c r="D216" s="2" t="s">
        <v>27</v>
      </c>
      <c r="E216" s="4">
        <v>-32638</v>
      </c>
      <c r="F216" s="3" t="s">
        <v>489</v>
      </c>
      <c r="G216" s="3" t="s">
        <v>227</v>
      </c>
      <c r="H216" s="2" t="s">
        <v>74</v>
      </c>
      <c r="I216" s="2" t="s">
        <v>778</v>
      </c>
      <c r="J216" s="3" t="str">
        <f>HYPERLINK("https://www.boe.es/gazeta/dias/1810/08/21/pdfs/GMD-1810-233.pdf#page=2","Abrir facsímil")</f>
        <v>Abrir facsímil</v>
      </c>
      <c r="K216" s="3" t="s">
        <v>76</v>
      </c>
    </row>
    <row r="217" spans="1:11" ht="42" customHeight="1">
      <c r="A217" s="2" t="s">
        <v>779</v>
      </c>
      <c r="B217" s="2" t="s">
        <v>780</v>
      </c>
      <c r="C217" s="2" t="s">
        <v>26</v>
      </c>
      <c r="D217" s="2" t="s">
        <v>27</v>
      </c>
      <c r="E217" s="4">
        <v>-32608</v>
      </c>
      <c r="F217" s="3" t="s">
        <v>781</v>
      </c>
      <c r="G217" s="3" t="s">
        <v>782</v>
      </c>
      <c r="H217" s="2" t="s">
        <v>74</v>
      </c>
      <c r="I217" s="2" t="s">
        <v>783</v>
      </c>
      <c r="J217" s="3" t="str">
        <f>HYPERLINK("https://www.boe.es/gazeta/dias/1810/09/20/pdfs/GEI-1810-70.pdf#page=5","Abrir facsímil")</f>
        <v>Abrir facsímil</v>
      </c>
      <c r="K217" s="3" t="s">
        <v>76</v>
      </c>
    </row>
    <row r="218" spans="1:11" ht="42" customHeight="1">
      <c r="A218" s="2" t="s">
        <v>784</v>
      </c>
      <c r="B218" s="2" t="s">
        <v>784</v>
      </c>
      <c r="C218" s="2" t="s">
        <v>88</v>
      </c>
      <c r="D218" s="2" t="s">
        <v>27</v>
      </c>
      <c r="E218" s="4">
        <v>-32571</v>
      </c>
      <c r="F218" s="3" t="s">
        <v>737</v>
      </c>
      <c r="G218" s="3" t="s">
        <v>785</v>
      </c>
      <c r="H218" s="2" t="s">
        <v>74</v>
      </c>
      <c r="I218" s="2" t="s">
        <v>786</v>
      </c>
      <c r="J218" s="3" t="str">
        <f>HYPERLINK("https://www.boe.es/gazeta/dias/1810/10/27/pdfs/GEI-1810-87.pdf#page=3","Abrir facsímil")</f>
        <v>Abrir facsímil</v>
      </c>
      <c r="K218" s="3" t="s">
        <v>76</v>
      </c>
    </row>
    <row r="219" spans="1:11" ht="42" customHeight="1">
      <c r="A219" s="2" t="s">
        <v>787</v>
      </c>
      <c r="B219" s="2" t="s">
        <v>788</v>
      </c>
      <c r="C219" s="2" t="s">
        <v>33</v>
      </c>
      <c r="D219" s="2" t="s">
        <v>27</v>
      </c>
      <c r="E219" s="4">
        <v>-32710</v>
      </c>
      <c r="F219" s="3" t="s">
        <v>126</v>
      </c>
      <c r="G219" s="3" t="s">
        <v>184</v>
      </c>
      <c r="H219" s="2" t="s">
        <v>74</v>
      </c>
      <c r="I219" s="2" t="s">
        <v>789</v>
      </c>
      <c r="J219" s="3" t="str">
        <f>HYPERLINK("https://www.boe.es/gazeta/dias/1810/06/10/pdfs/GMD-1810-161.pdf#page=3","Abrir facsímil")</f>
        <v>Abrir facsímil</v>
      </c>
      <c r="K219" s="3" t="s">
        <v>76</v>
      </c>
    </row>
    <row r="220" spans="1:11" ht="42" customHeight="1">
      <c r="A220" s="2" t="s">
        <v>790</v>
      </c>
      <c r="B220" s="2" t="s">
        <v>791</v>
      </c>
      <c r="C220" s="2" t="s">
        <v>26</v>
      </c>
      <c r="D220" s="2" t="s">
        <v>27</v>
      </c>
      <c r="E220" s="4">
        <v>-32587</v>
      </c>
      <c r="F220" s="3" t="s">
        <v>103</v>
      </c>
      <c r="G220" s="3" t="s">
        <v>106</v>
      </c>
      <c r="H220" s="2" t="s">
        <v>74</v>
      </c>
      <c r="I220" s="2" t="s">
        <v>792</v>
      </c>
      <c r="J220" s="3" t="str">
        <f>HYPERLINK("https://www.boe.es/gazeta/dias/1810/10/11/pdfs/GEI-1810-80.pdf#page=5","Abrir facsímil")</f>
        <v>Abrir facsímil</v>
      </c>
      <c r="K220" s="3" t="s">
        <v>76</v>
      </c>
    </row>
    <row r="221" spans="1:11" ht="42" customHeight="1">
      <c r="A221" s="2" t="s">
        <v>793</v>
      </c>
      <c r="B221" s="2" t="s">
        <v>793</v>
      </c>
      <c r="C221" s="2" t="s">
        <v>88</v>
      </c>
      <c r="D221" s="2" t="s">
        <v>117</v>
      </c>
      <c r="E221" s="4">
        <v>-32631</v>
      </c>
      <c r="F221" s="3" t="s">
        <v>497</v>
      </c>
      <c r="G221" s="3" t="s">
        <v>498</v>
      </c>
      <c r="H221" s="2" t="s">
        <v>74</v>
      </c>
      <c r="I221" s="2" t="s">
        <v>794</v>
      </c>
      <c r="J221" s="3" t="str">
        <f>HYPERLINK("https://www.boe.es/gazeta/dias/1810/08/28/pdfs/GMD-1810-240.pdf#page=2","Abrir facsímil")</f>
        <v>Abrir facsímil</v>
      </c>
      <c r="K221" s="3" t="s">
        <v>76</v>
      </c>
    </row>
    <row r="222" spans="1:11" ht="42" customHeight="1">
      <c r="A222" s="2" t="s">
        <v>795</v>
      </c>
      <c r="B222" s="2" t="s">
        <v>795</v>
      </c>
      <c r="C222" s="2" t="s">
        <v>26</v>
      </c>
      <c r="D222" s="2" t="s">
        <v>27</v>
      </c>
      <c r="E222" s="4">
        <v>-32861</v>
      </c>
      <c r="F222" s="3" t="s">
        <v>796</v>
      </c>
      <c r="G222" s="3" t="s">
        <v>99</v>
      </c>
      <c r="H222" s="2" t="s">
        <v>74</v>
      </c>
      <c r="I222" s="2" t="s">
        <v>797</v>
      </c>
      <c r="J222" s="3" t="str">
        <f>HYPERLINK("https://www.boe.es/gazeta/dias/1810/01/10/pdfs/GMD-1810-10.pdf#page=3","Abrir facsímil")</f>
        <v>Abrir facsímil</v>
      </c>
      <c r="K222" s="3" t="s">
        <v>76</v>
      </c>
    </row>
    <row r="223" spans="1:11" ht="42" customHeight="1">
      <c r="A223" s="2" t="s">
        <v>795</v>
      </c>
      <c r="B223" s="2" t="s">
        <v>795</v>
      </c>
      <c r="C223" s="2" t="s">
        <v>88</v>
      </c>
      <c r="D223" s="2" t="s">
        <v>117</v>
      </c>
      <c r="E223" s="4">
        <v>-32732</v>
      </c>
      <c r="F223" s="3" t="s">
        <v>545</v>
      </c>
      <c r="G223" s="3" t="s">
        <v>140</v>
      </c>
      <c r="H223" s="2" t="s">
        <v>74</v>
      </c>
      <c r="I223" s="2" t="s">
        <v>798</v>
      </c>
      <c r="J223" s="3" t="str">
        <f>HYPERLINK("https://www.boe.es/gazeta/dias/1810/05/19/pdfs/GMD-1810-139.pdf#page=3","Abrir facsímil")</f>
        <v>Abrir facsímil</v>
      </c>
      <c r="K223" s="3" t="s">
        <v>76</v>
      </c>
    </row>
    <row r="224" spans="1:11" ht="42" customHeight="1">
      <c r="A224" s="2" t="s">
        <v>795</v>
      </c>
      <c r="B224" s="2" t="s">
        <v>795</v>
      </c>
      <c r="C224" s="2" t="s">
        <v>111</v>
      </c>
      <c r="D224" s="2" t="s">
        <v>27</v>
      </c>
      <c r="E224" s="4">
        <v>-32556</v>
      </c>
      <c r="F224" s="3" t="s">
        <v>799</v>
      </c>
      <c r="G224" s="3" t="s">
        <v>70</v>
      </c>
      <c r="H224" s="2" t="s">
        <v>74</v>
      </c>
      <c r="I224" s="2" t="s">
        <v>800</v>
      </c>
      <c r="J224" s="3" t="str">
        <f>HYPERLINK("https://www.boe.es/gazeta/dias/1810/11/11/pdfs/GMD-1810-315.pdf#page=4","Abrir facsímil")</f>
        <v>Abrir facsímil</v>
      </c>
      <c r="K224" s="3" t="s">
        <v>76</v>
      </c>
    </row>
    <row r="225" spans="1:11" ht="42" customHeight="1">
      <c r="A225" s="2" t="s">
        <v>801</v>
      </c>
      <c r="B225" s="2" t="s">
        <v>802</v>
      </c>
      <c r="C225" s="2" t="s">
        <v>111</v>
      </c>
      <c r="D225" s="2" t="s">
        <v>39</v>
      </c>
      <c r="E225" s="4">
        <v>-32749</v>
      </c>
      <c r="F225" s="3" t="s">
        <v>803</v>
      </c>
      <c r="G225" s="3" t="s">
        <v>213</v>
      </c>
      <c r="H225" s="2" t="s">
        <v>74</v>
      </c>
      <c r="I225" s="2" t="s">
        <v>804</v>
      </c>
      <c r="J225" s="3" t="str">
        <f>HYPERLINK("https://www.boe.es/gazeta/dias/1810/05/02/pdfs/GMD-C-1810-122.pdf#page=2","Abrir facsímil")</f>
        <v>Abrir facsímil</v>
      </c>
      <c r="K225" s="3" t="s">
        <v>76</v>
      </c>
    </row>
    <row r="226" spans="1:11" ht="42" customHeight="1">
      <c r="A226" s="2" t="s">
        <v>805</v>
      </c>
      <c r="B226" s="2" t="s">
        <v>806</v>
      </c>
      <c r="C226" s="2" t="s">
        <v>17</v>
      </c>
      <c r="D226" s="2" t="s">
        <v>27</v>
      </c>
      <c r="E226" s="4">
        <v>-32691</v>
      </c>
      <c r="F226" s="3" t="s">
        <v>727</v>
      </c>
      <c r="G226" s="3" t="s">
        <v>807</v>
      </c>
      <c r="H226" s="2" t="s">
        <v>74</v>
      </c>
      <c r="I226" s="2" t="s">
        <v>808</v>
      </c>
      <c r="J226" s="3" t="str">
        <f>HYPERLINK("https://www.boe.es/gazeta/dias/1810/06/29/pdfs/GMD-1810-180.pdf#page=3","Abrir facsímil")</f>
        <v>Abrir facsímil</v>
      </c>
      <c r="K226" s="3" t="s">
        <v>76</v>
      </c>
    </row>
    <row r="227" spans="1:11" ht="42" customHeight="1">
      <c r="A227" s="2" t="s">
        <v>809</v>
      </c>
      <c r="B227" s="2" t="s">
        <v>810</v>
      </c>
      <c r="C227" s="2" t="s">
        <v>33</v>
      </c>
      <c r="D227" s="2" t="s">
        <v>27</v>
      </c>
      <c r="E227" s="4">
        <v>-32761</v>
      </c>
      <c r="F227" s="3" t="s">
        <v>811</v>
      </c>
      <c r="G227" s="3" t="s">
        <v>140</v>
      </c>
      <c r="H227" s="2" t="s">
        <v>74</v>
      </c>
      <c r="I227" s="2" t="s">
        <v>812</v>
      </c>
      <c r="J227" s="3" t="str">
        <f>HYPERLINK("https://www.boe.es/gazeta/dias/1810/04/20/pdfs/GEI-1810-16.pdf#page=8","Abrir facsímil")</f>
        <v>Abrir facsímil</v>
      </c>
      <c r="K227" s="3" t="s">
        <v>76</v>
      </c>
    </row>
    <row r="228" spans="1:11" ht="42" customHeight="1">
      <c r="A228" s="2" t="s">
        <v>813</v>
      </c>
      <c r="B228" s="2" t="s">
        <v>814</v>
      </c>
      <c r="C228" s="2" t="s">
        <v>26</v>
      </c>
      <c r="D228" s="2" t="s">
        <v>27</v>
      </c>
      <c r="E228" s="4">
        <v>-32575</v>
      </c>
      <c r="F228" s="3" t="s">
        <v>135</v>
      </c>
      <c r="G228" s="3" t="s">
        <v>140</v>
      </c>
      <c r="H228" s="2" t="s">
        <v>74</v>
      </c>
      <c r="I228" s="2" t="s">
        <v>815</v>
      </c>
      <c r="J228" s="3" t="str">
        <f>HYPERLINK("https://www.boe.es/gazeta/dias/1810/10/23/pdfs/GEI-1810-85.pdf#page=10","Abrir facsímil")</f>
        <v>Abrir facsímil</v>
      </c>
      <c r="K228" s="3" t="s">
        <v>76</v>
      </c>
    </row>
    <row r="229" spans="1:11" ht="42" customHeight="1">
      <c r="A229" s="2" t="s">
        <v>816</v>
      </c>
      <c r="B229" s="2" t="s">
        <v>817</v>
      </c>
      <c r="C229" s="2" t="s">
        <v>26</v>
      </c>
      <c r="D229" s="2" t="s">
        <v>27</v>
      </c>
      <c r="E229" s="4">
        <v>-32517</v>
      </c>
      <c r="F229" s="3" t="s">
        <v>566</v>
      </c>
      <c r="G229" s="3" t="s">
        <v>818</v>
      </c>
      <c r="H229" s="2" t="s">
        <v>74</v>
      </c>
      <c r="I229" s="2" t="s">
        <v>819</v>
      </c>
      <c r="J229" s="3" t="str">
        <f>HYPERLINK("https://www.boe.es/gazeta/dias/1810/12/20/pdfs/GEI-1810-110.pdf#page=5","Abrir facsímil")</f>
        <v>Abrir facsímil</v>
      </c>
      <c r="K229" s="3" t="s">
        <v>76</v>
      </c>
    </row>
    <row r="230" spans="1:11" ht="42" customHeight="1">
      <c r="A230" s="2" t="s">
        <v>820</v>
      </c>
      <c r="B230" s="2" t="s">
        <v>821</v>
      </c>
      <c r="C230" s="2" t="s">
        <v>26</v>
      </c>
      <c r="D230" s="2" t="s">
        <v>18</v>
      </c>
      <c r="E230" s="4">
        <v>-32730</v>
      </c>
      <c r="F230" s="3" t="s">
        <v>50</v>
      </c>
      <c r="G230" s="3" t="s">
        <v>20</v>
      </c>
      <c r="H230" s="2" t="s">
        <v>74</v>
      </c>
      <c r="I230" s="2" t="s">
        <v>822</v>
      </c>
      <c r="J230" s="3" t="str">
        <f>HYPERLINK("https://www.boe.es/gazeta/dias/1810/05/21/pdfs/GMD-1810-141.pdf#page=4","Abrir facsímil")</f>
        <v>Abrir facsímil</v>
      </c>
      <c r="K230" s="3" t="s">
        <v>76</v>
      </c>
    </row>
    <row r="231" spans="1:11" ht="42" customHeight="1">
      <c r="A231" s="2" t="s">
        <v>823</v>
      </c>
      <c r="B231" s="2" t="s">
        <v>824</v>
      </c>
      <c r="C231" s="2" t="s">
        <v>26</v>
      </c>
      <c r="D231" s="2" t="s">
        <v>39</v>
      </c>
      <c r="E231" s="4">
        <v>-32701</v>
      </c>
      <c r="F231" s="3" t="s">
        <v>40</v>
      </c>
      <c r="G231" s="3" t="s">
        <v>315</v>
      </c>
      <c r="H231" s="2" t="s">
        <v>74</v>
      </c>
      <c r="I231" s="2" t="s">
        <v>825</v>
      </c>
      <c r="J231" s="3" t="str">
        <f>HYPERLINK("https://www.boe.es/gazeta/dias/1810/06/19/pdfs/GMD-C-1810-170.pdf#page=2","Abrir facsímil")</f>
        <v>Abrir facsímil</v>
      </c>
      <c r="K231" s="3" t="s">
        <v>76</v>
      </c>
    </row>
    <row r="232" spans="1:11" ht="42" customHeight="1">
      <c r="A232" s="2" t="s">
        <v>826</v>
      </c>
      <c r="B232" s="2" t="s">
        <v>827</v>
      </c>
      <c r="C232" s="2" t="s">
        <v>26</v>
      </c>
      <c r="D232" s="2" t="s">
        <v>39</v>
      </c>
      <c r="E232" s="4">
        <v>-32684</v>
      </c>
      <c r="F232" s="3" t="s">
        <v>295</v>
      </c>
      <c r="G232" s="3" t="s">
        <v>296</v>
      </c>
      <c r="H232" s="2" t="s">
        <v>74</v>
      </c>
      <c r="I232" s="2" t="s">
        <v>828</v>
      </c>
      <c r="J232" s="3" t="str">
        <f>HYPERLINK("https://www.boe.es/gazeta/dias/1810/07/06/pdfs/GMD-C-1810-187.pdf#page=4","Abrir facsímil")</f>
        <v>Abrir facsímil</v>
      </c>
      <c r="K232" s="3" t="s">
        <v>76</v>
      </c>
    </row>
    <row r="233" spans="1:11" ht="42" customHeight="1">
      <c r="A233" s="2" t="s">
        <v>829</v>
      </c>
      <c r="B233" s="2" t="s">
        <v>830</v>
      </c>
      <c r="C233" s="2" t="s">
        <v>225</v>
      </c>
      <c r="D233" s="2" t="s">
        <v>27</v>
      </c>
      <c r="E233" s="4">
        <v>-32509</v>
      </c>
      <c r="F233" s="3" t="s">
        <v>212</v>
      </c>
      <c r="G233" s="3" t="s">
        <v>213</v>
      </c>
      <c r="H233" s="2" t="s">
        <v>74</v>
      </c>
      <c r="I233" s="2" t="s">
        <v>831</v>
      </c>
      <c r="J233" s="3" t="str">
        <f>HYPERLINK("https://www.boe.es/gazeta/dias/1810/12/28/pdfs/GMD-1810-362.pdf#page=4","Abrir facsímil")</f>
        <v>Abrir facsímil</v>
      </c>
      <c r="K233" s="3" t="s">
        <v>76</v>
      </c>
    </row>
    <row r="234" spans="1:11" ht="42" customHeight="1">
      <c r="A234" s="2" t="s">
        <v>832</v>
      </c>
      <c r="B234" s="2" t="s">
        <v>832</v>
      </c>
      <c r="C234" s="2" t="s">
        <v>26</v>
      </c>
      <c r="D234" s="2" t="s">
        <v>220</v>
      </c>
      <c r="E234" s="4">
        <v>-32580</v>
      </c>
      <c r="F234" s="3" t="s">
        <v>833</v>
      </c>
      <c r="G234" s="3" t="s">
        <v>465</v>
      </c>
      <c r="H234" s="2" t="s">
        <v>74</v>
      </c>
      <c r="I234" s="2" t="s">
        <v>834</v>
      </c>
      <c r="J234" s="3" t="str">
        <f>HYPERLINK("https://www.boe.es/gazeta/dias/1810/10/18/pdfs/GMD-1810-291.pdf#page=1","Abrir facsímil")</f>
        <v>Abrir facsímil</v>
      </c>
      <c r="K234" s="3" t="s">
        <v>76</v>
      </c>
    </row>
    <row r="235" spans="1:11" ht="42" customHeight="1">
      <c r="A235" s="2" t="s">
        <v>835</v>
      </c>
      <c r="B235" s="2" t="s">
        <v>836</v>
      </c>
      <c r="C235" s="2" t="s">
        <v>33</v>
      </c>
      <c r="D235" s="2" t="s">
        <v>27</v>
      </c>
      <c r="E235" s="4">
        <v>-32557</v>
      </c>
      <c r="F235" s="3" t="s">
        <v>837</v>
      </c>
      <c r="G235" s="3" t="s">
        <v>838</v>
      </c>
      <c r="H235" s="2" t="s">
        <v>74</v>
      </c>
      <c r="I235" s="2" t="s">
        <v>839</v>
      </c>
      <c r="J235" s="3" t="str">
        <f>HYPERLINK("https://www.boe.es/gazeta/dias/1810/11/10/pdfs/GEI-1810-93.pdf#page=4","Abrir facsímil")</f>
        <v>Abrir facsímil</v>
      </c>
      <c r="K235" s="3" t="s">
        <v>76</v>
      </c>
    </row>
    <row r="236" spans="1:11" ht="42" customHeight="1">
      <c r="A236" s="2" t="s">
        <v>840</v>
      </c>
      <c r="B236" s="2" t="s">
        <v>841</v>
      </c>
      <c r="C236" s="2" t="s">
        <v>195</v>
      </c>
      <c r="D236" s="2" t="s">
        <v>27</v>
      </c>
      <c r="E236" s="4">
        <v>-32557</v>
      </c>
      <c r="F236" s="3" t="s">
        <v>837</v>
      </c>
      <c r="G236" s="3" t="s">
        <v>838</v>
      </c>
      <c r="H236" s="2" t="s">
        <v>74</v>
      </c>
      <c r="I236" s="2" t="s">
        <v>842</v>
      </c>
      <c r="J236" s="3" t="str">
        <f>HYPERLINK("https://www.boe.es/gazeta/dias/1810/11/10/pdfs/GEI-1810-93.pdf#page=4","Abrir facsímil")</f>
        <v>Abrir facsímil</v>
      </c>
      <c r="K236" s="3" t="s">
        <v>76</v>
      </c>
    </row>
    <row r="237" spans="1:11" ht="42" customHeight="1">
      <c r="A237" s="2" t="s">
        <v>843</v>
      </c>
      <c r="B237" s="2" t="s">
        <v>844</v>
      </c>
      <c r="C237" s="2" t="s">
        <v>26</v>
      </c>
      <c r="D237" s="2" t="s">
        <v>39</v>
      </c>
      <c r="E237" s="4">
        <v>-32661</v>
      </c>
      <c r="F237" s="3" t="s">
        <v>157</v>
      </c>
      <c r="G237" s="3" t="s">
        <v>158</v>
      </c>
      <c r="H237" s="2" t="s">
        <v>74</v>
      </c>
      <c r="I237" s="2" t="s">
        <v>845</v>
      </c>
      <c r="J237" s="3" t="str">
        <f>HYPERLINK("https://www.boe.es/gazeta/dias/1810/07/29/pdfs/GMD-C-1810-210.pdf#page=1","Abrir facsímil")</f>
        <v>Abrir facsímil</v>
      </c>
      <c r="K237" s="3" t="s">
        <v>76</v>
      </c>
    </row>
    <row r="238" spans="1:11" ht="42" customHeight="1">
      <c r="A238" s="2" t="s">
        <v>846</v>
      </c>
      <c r="B238" s="2" t="s">
        <v>847</v>
      </c>
      <c r="C238" s="2" t="s">
        <v>26</v>
      </c>
      <c r="D238" s="2" t="s">
        <v>39</v>
      </c>
      <c r="E238" s="4">
        <v>-32740</v>
      </c>
      <c r="F238" s="3" t="s">
        <v>848</v>
      </c>
      <c r="G238" s="3" t="s">
        <v>849</v>
      </c>
      <c r="H238" s="2" t="s">
        <v>74</v>
      </c>
      <c r="I238" s="2" t="s">
        <v>850</v>
      </c>
      <c r="J238" s="3" t="str">
        <f>HYPERLINK("https://www.boe.es/gazeta/dias/1810/05/11/pdfs/GMD-C-1810-131.pdf#page=1","Abrir facsímil")</f>
        <v>Abrir facsímil</v>
      </c>
      <c r="K238" s="3" t="s">
        <v>76</v>
      </c>
    </row>
    <row r="239" spans="1:11" ht="42" customHeight="1">
      <c r="A239" s="2" t="s">
        <v>851</v>
      </c>
      <c r="B239" s="2" t="s">
        <v>852</v>
      </c>
      <c r="C239" s="2" t="s">
        <v>26</v>
      </c>
      <c r="D239" s="2" t="s">
        <v>39</v>
      </c>
      <c r="E239" s="4">
        <v>-32701</v>
      </c>
      <c r="F239" s="3" t="s">
        <v>40</v>
      </c>
      <c r="G239" s="3" t="s">
        <v>315</v>
      </c>
      <c r="H239" s="2" t="s">
        <v>74</v>
      </c>
      <c r="I239" s="2" t="s">
        <v>853</v>
      </c>
      <c r="J239" s="3" t="str">
        <f>HYPERLINK("https://www.boe.es/gazeta/dias/1810/06/19/pdfs/GMD-C-1810-170.pdf#page=2","Abrir facsímil")</f>
        <v>Abrir facsímil</v>
      </c>
      <c r="K239" s="3" t="s">
        <v>76</v>
      </c>
    </row>
    <row r="240" spans="1:11" ht="42" customHeight="1">
      <c r="A240" s="2" t="s">
        <v>854</v>
      </c>
      <c r="B240" s="2" t="s">
        <v>855</v>
      </c>
      <c r="C240" s="2" t="s">
        <v>225</v>
      </c>
      <c r="D240" s="2" t="s">
        <v>117</v>
      </c>
      <c r="E240" s="4">
        <v>-32722</v>
      </c>
      <c r="F240" s="3" t="s">
        <v>856</v>
      </c>
      <c r="G240" s="3" t="s">
        <v>857</v>
      </c>
      <c r="H240" s="2" t="s">
        <v>74</v>
      </c>
      <c r="I240" s="2" t="s">
        <v>858</v>
      </c>
      <c r="J240" s="3" t="str">
        <f>HYPERLINK("https://www.boe.es/gazeta/dias/1810/05/29/pdfs/GEI-1810-31.pdf#page=11","Abrir facsímil")</f>
        <v>Abrir facsímil</v>
      </c>
      <c r="K240" s="3" t="s">
        <v>76</v>
      </c>
    </row>
    <row r="241" spans="1:11" ht="42" customHeight="1">
      <c r="A241" s="2" t="s">
        <v>859</v>
      </c>
      <c r="B241" s="2" t="s">
        <v>860</v>
      </c>
      <c r="C241" s="2" t="s">
        <v>26</v>
      </c>
      <c r="D241" s="2" t="s">
        <v>27</v>
      </c>
      <c r="E241" s="4">
        <v>-32647</v>
      </c>
      <c r="F241" s="3" t="s">
        <v>118</v>
      </c>
      <c r="G241" s="3" t="s">
        <v>140</v>
      </c>
      <c r="H241" s="2" t="s">
        <v>74</v>
      </c>
      <c r="I241" s="2" t="s">
        <v>861</v>
      </c>
      <c r="J241" s="3" t="str">
        <f>HYPERLINK("https://www.boe.es/gazeta/dias/1810/08/12/pdfs/GMD-1810-224.pdf#page=2","Abrir facsímil")</f>
        <v>Abrir facsímil</v>
      </c>
      <c r="K241" s="3" t="s">
        <v>76</v>
      </c>
    </row>
    <row r="242" spans="1:11" ht="42" customHeight="1">
      <c r="A242" s="2" t="s">
        <v>862</v>
      </c>
      <c r="B242" s="2" t="s">
        <v>863</v>
      </c>
      <c r="C242" s="2" t="s">
        <v>26</v>
      </c>
      <c r="D242" s="2" t="s">
        <v>27</v>
      </c>
      <c r="E242" s="4">
        <v>-32508</v>
      </c>
      <c r="F242" s="3" t="s">
        <v>864</v>
      </c>
      <c r="G242" s="3" t="s">
        <v>691</v>
      </c>
      <c r="H242" s="2" t="s">
        <v>74</v>
      </c>
      <c r="I242" s="2" t="s">
        <v>865</v>
      </c>
      <c r="J242" s="3" t="str">
        <f>HYPERLINK("https://www.boe.es/gazeta/dias/1810/12/29/pdfs/GEI-1810-114.pdf#page=8","Abrir facsímil")</f>
        <v>Abrir facsímil</v>
      </c>
      <c r="K242" s="3" t="s">
        <v>76</v>
      </c>
    </row>
    <row r="243" spans="1:11" ht="42" customHeight="1">
      <c r="A243" s="2" t="s">
        <v>866</v>
      </c>
      <c r="B243" s="2" t="s">
        <v>867</v>
      </c>
      <c r="C243" s="2" t="s">
        <v>26</v>
      </c>
      <c r="D243" s="2" t="s">
        <v>27</v>
      </c>
      <c r="E243" s="4">
        <v>-32575</v>
      </c>
      <c r="F243" s="3" t="s">
        <v>135</v>
      </c>
      <c r="G243" s="3" t="s">
        <v>140</v>
      </c>
      <c r="H243" s="2" t="s">
        <v>74</v>
      </c>
      <c r="I243" s="2" t="s">
        <v>868</v>
      </c>
      <c r="J243" s="3" t="str">
        <f>HYPERLINK("https://www.boe.es/gazeta/dias/1810/10/23/pdfs/GEI-1810-85.pdf#page=10","Abrir facsímil")</f>
        <v>Abrir facsímil</v>
      </c>
      <c r="K243" s="3" t="s">
        <v>76</v>
      </c>
    </row>
    <row r="244" spans="1:11" ht="42" customHeight="1">
      <c r="A244" s="2" t="s">
        <v>866</v>
      </c>
      <c r="B244" s="2" t="s">
        <v>867</v>
      </c>
      <c r="C244" s="2" t="s">
        <v>26</v>
      </c>
      <c r="D244" s="2" t="s">
        <v>27</v>
      </c>
      <c r="E244" s="4">
        <v>-32575</v>
      </c>
      <c r="F244" s="3" t="s">
        <v>135</v>
      </c>
      <c r="G244" s="3" t="s">
        <v>136</v>
      </c>
      <c r="H244" s="2" t="s">
        <v>74</v>
      </c>
      <c r="I244" s="2" t="s">
        <v>869</v>
      </c>
      <c r="J244" s="3" t="str">
        <f>HYPERLINK("https://www.boe.es/gazeta/dias/1810/10/23/pdfs/GEI-1810-85.pdf#page=11","Abrir facsímil")</f>
        <v>Abrir facsímil</v>
      </c>
      <c r="K244" s="3" t="s">
        <v>76</v>
      </c>
    </row>
    <row r="245" spans="1:11" ht="42" customHeight="1">
      <c r="A245" s="2" t="s">
        <v>870</v>
      </c>
      <c r="B245" s="2" t="s">
        <v>871</v>
      </c>
      <c r="C245" s="2" t="s">
        <v>225</v>
      </c>
      <c r="D245" s="2" t="s">
        <v>27</v>
      </c>
      <c r="E245" s="4">
        <v>-32729</v>
      </c>
      <c r="F245" s="3" t="s">
        <v>174</v>
      </c>
      <c r="G245" s="3" t="s">
        <v>70</v>
      </c>
      <c r="H245" s="2" t="s">
        <v>74</v>
      </c>
      <c r="I245" s="2" t="s">
        <v>872</v>
      </c>
      <c r="J245" s="3" t="str">
        <f>HYPERLINK("https://www.boe.es/gazeta/dias/1810/05/22/pdfs/GEI-1810-28.pdf#page=7","Abrir facsímil")</f>
        <v>Abrir facsímil</v>
      </c>
      <c r="K245" s="3" t="s">
        <v>76</v>
      </c>
    </row>
    <row r="246" spans="1:11" ht="42" customHeight="1">
      <c r="A246" s="2" t="s">
        <v>873</v>
      </c>
      <c r="B246" s="2" t="s">
        <v>873</v>
      </c>
      <c r="C246" s="2" t="s">
        <v>88</v>
      </c>
      <c r="D246" s="2" t="s">
        <v>220</v>
      </c>
      <c r="E246" s="4">
        <v>-32799</v>
      </c>
      <c r="F246" s="3" t="s">
        <v>874</v>
      </c>
      <c r="G246" s="3" t="s">
        <v>131</v>
      </c>
      <c r="H246" s="2" t="s">
        <v>74</v>
      </c>
      <c r="I246" s="2" t="s">
        <v>875</v>
      </c>
      <c r="J246" s="3" t="str">
        <f>HYPERLINK("https://www.boe.es/gazeta/dias/1810/03/13/pdfs/GEI-1810-1.pdf#page=10","Abrir facsímil")</f>
        <v>Abrir facsímil</v>
      </c>
      <c r="K246" s="3" t="s">
        <v>76</v>
      </c>
    </row>
    <row r="247" spans="1:11" ht="42" customHeight="1">
      <c r="A247" s="2" t="s">
        <v>876</v>
      </c>
      <c r="B247" s="2" t="s">
        <v>877</v>
      </c>
      <c r="C247" s="2" t="s">
        <v>26</v>
      </c>
      <c r="D247" s="2" t="s">
        <v>27</v>
      </c>
      <c r="E247" s="4">
        <v>-32862</v>
      </c>
      <c r="F247" s="3" t="s">
        <v>878</v>
      </c>
      <c r="G247" s="3" t="s">
        <v>99</v>
      </c>
      <c r="H247" s="2" t="s">
        <v>74</v>
      </c>
      <c r="I247" s="2" t="s">
        <v>879</v>
      </c>
      <c r="J247" s="3" t="str">
        <f>HYPERLINK("https://www.boe.es/gazeta/dias/1810/01/09/pdfs/GMD-1810-9.pdf#page=3","Abrir facsímil")</f>
        <v>Abrir facsímil</v>
      </c>
      <c r="K247" s="3" t="s">
        <v>76</v>
      </c>
    </row>
    <row r="248" spans="1:11" ht="42" customHeight="1">
      <c r="A248" s="2" t="s">
        <v>880</v>
      </c>
      <c r="B248" s="2" t="s">
        <v>881</v>
      </c>
      <c r="C248" s="2" t="s">
        <v>26</v>
      </c>
      <c r="D248" s="2" t="s">
        <v>27</v>
      </c>
      <c r="E248" s="4">
        <v>-32526</v>
      </c>
      <c r="F248" s="3" t="s">
        <v>530</v>
      </c>
      <c r="G248" s="3" t="s">
        <v>531</v>
      </c>
      <c r="H248" s="2" t="s">
        <v>74</v>
      </c>
      <c r="I248" s="2" t="s">
        <v>882</v>
      </c>
      <c r="J248" s="3" t="str">
        <f>HYPERLINK("https://www.boe.es/gazeta/dias/1810/12/11/pdfs/GEI-1810-106.pdf#page=2","Abrir facsímil")</f>
        <v>Abrir facsímil</v>
      </c>
      <c r="K248" s="3" t="s">
        <v>76</v>
      </c>
    </row>
    <row r="249" spans="1:11" ht="42" customHeight="1">
      <c r="A249" s="2" t="s">
        <v>883</v>
      </c>
      <c r="B249" s="2" t="s">
        <v>884</v>
      </c>
      <c r="C249" s="2" t="s">
        <v>88</v>
      </c>
      <c r="D249" s="2" t="s">
        <v>27</v>
      </c>
      <c r="E249" s="4">
        <v>-32594</v>
      </c>
      <c r="F249" s="3" t="s">
        <v>885</v>
      </c>
      <c r="G249" s="3" t="s">
        <v>886</v>
      </c>
      <c r="H249" s="2" t="s">
        <v>74</v>
      </c>
      <c r="I249" s="2" t="s">
        <v>887</v>
      </c>
      <c r="J249" s="3" t="str">
        <f>HYPERLINK("https://www.boe.es/gazeta/dias/1810/10/04/pdfs/GEI-1810-77.pdf#page=6","Abrir facsímil")</f>
        <v>Abrir facsímil</v>
      </c>
      <c r="K249" s="3" t="s">
        <v>76</v>
      </c>
    </row>
    <row r="250" spans="1:11" ht="42" customHeight="1">
      <c r="A250" s="2" t="s">
        <v>888</v>
      </c>
      <c r="B250" s="2" t="s">
        <v>889</v>
      </c>
      <c r="C250" s="2" t="s">
        <v>26</v>
      </c>
      <c r="D250" s="2" t="s">
        <v>27</v>
      </c>
      <c r="E250" s="4">
        <v>-32693</v>
      </c>
      <c r="F250" s="3" t="s">
        <v>54</v>
      </c>
      <c r="G250" s="3" t="s">
        <v>20</v>
      </c>
      <c r="H250" s="2" t="s">
        <v>74</v>
      </c>
      <c r="I250" s="2" t="s">
        <v>890</v>
      </c>
      <c r="J250" s="3" t="str">
        <f>HYPERLINK("https://www.boe.es/gazeta/dias/1810/06/27/pdfs/GMD-1810-178.pdf#page=4","Abrir facsímil")</f>
        <v>Abrir facsímil</v>
      </c>
      <c r="K250" s="3" t="s">
        <v>76</v>
      </c>
    </row>
    <row r="251" spans="1:11" ht="42" customHeight="1">
      <c r="A251" s="2" t="s">
        <v>891</v>
      </c>
      <c r="B251" s="2" t="s">
        <v>892</v>
      </c>
      <c r="C251" s="2" t="s">
        <v>17</v>
      </c>
      <c r="D251" s="2" t="s">
        <v>27</v>
      </c>
      <c r="E251" s="4">
        <v>-32569</v>
      </c>
      <c r="F251" s="3" t="s">
        <v>421</v>
      </c>
      <c r="G251" s="3" t="s">
        <v>20</v>
      </c>
      <c r="H251" s="2" t="s">
        <v>74</v>
      </c>
      <c r="I251" s="2" t="s">
        <v>893</v>
      </c>
      <c r="J251" s="3" t="str">
        <f>HYPERLINK("https://www.boe.es/gazeta/dias/1810/10/29/pdfs/GMD-1810-302.pdf#page=4","Abrir facsímil")</f>
        <v>Abrir facsímil</v>
      </c>
      <c r="K251" s="3" t="s">
        <v>76</v>
      </c>
    </row>
    <row r="252" spans="1:11" ht="42" customHeight="1">
      <c r="A252" s="2" t="s">
        <v>894</v>
      </c>
      <c r="B252" s="2" t="s">
        <v>895</v>
      </c>
      <c r="C252" s="2" t="s">
        <v>26</v>
      </c>
      <c r="D252" s="2" t="s">
        <v>18</v>
      </c>
      <c r="E252" s="4">
        <v>-32783</v>
      </c>
      <c r="F252" s="3" t="s">
        <v>896</v>
      </c>
      <c r="G252" s="3" t="s">
        <v>20</v>
      </c>
      <c r="H252" s="2" t="s">
        <v>74</v>
      </c>
      <c r="I252" s="2" t="s">
        <v>897</v>
      </c>
      <c r="J252" s="3" t="str">
        <f>HYPERLINK("https://www.boe.es/gazeta/dias/1810/03/29/pdfs/GMD-1810-88.pdf#page=4","Abrir facsímil")</f>
        <v>Abrir facsímil</v>
      </c>
      <c r="K252" s="3" t="s">
        <v>76</v>
      </c>
    </row>
    <row r="253" spans="1:11" ht="42" customHeight="1">
      <c r="A253" s="2" t="s">
        <v>898</v>
      </c>
      <c r="B253" s="2" t="s">
        <v>899</v>
      </c>
      <c r="C253" s="2" t="s">
        <v>26</v>
      </c>
      <c r="D253" s="2" t="s">
        <v>39</v>
      </c>
      <c r="E253" s="4">
        <v>-32701</v>
      </c>
      <c r="F253" s="3" t="s">
        <v>40</v>
      </c>
      <c r="G253" s="3" t="s">
        <v>41</v>
      </c>
      <c r="H253" s="2" t="s">
        <v>74</v>
      </c>
      <c r="I253" s="2" t="s">
        <v>900</v>
      </c>
      <c r="J253" s="3" t="str">
        <f>HYPERLINK("https://www.boe.es/gazeta/dias/1810/06/19/pdfs/GMD-C-1810-170.pdf#page=3","Abrir facsímil")</f>
        <v>Abrir facsímil</v>
      </c>
      <c r="K253" s="3" t="s">
        <v>76</v>
      </c>
    </row>
    <row r="254" spans="1:11" ht="42" customHeight="1">
      <c r="A254" s="2" t="s">
        <v>901</v>
      </c>
      <c r="B254" s="2" t="s">
        <v>902</v>
      </c>
      <c r="C254" s="2" t="s">
        <v>225</v>
      </c>
      <c r="D254" s="2" t="s">
        <v>27</v>
      </c>
      <c r="E254" s="4">
        <v>-32761</v>
      </c>
      <c r="F254" s="3" t="s">
        <v>811</v>
      </c>
      <c r="G254" s="3" t="s">
        <v>140</v>
      </c>
      <c r="H254" s="2" t="s">
        <v>74</v>
      </c>
      <c r="I254" s="2" t="s">
        <v>903</v>
      </c>
      <c r="J254" s="3" t="str">
        <f>HYPERLINK("https://www.boe.es/gazeta/dias/1810/04/20/pdfs/GEI-1810-16.pdf#page=8","Abrir facsímil")</f>
        <v>Abrir facsímil</v>
      </c>
      <c r="K254" s="3" t="s">
        <v>76</v>
      </c>
    </row>
    <row r="255" spans="1:11" ht="42" customHeight="1">
      <c r="A255" s="2" t="s">
        <v>904</v>
      </c>
      <c r="B255" s="2" t="s">
        <v>905</v>
      </c>
      <c r="C255" s="2" t="s">
        <v>88</v>
      </c>
      <c r="D255" s="2" t="s">
        <v>27</v>
      </c>
      <c r="E255" s="4">
        <v>-32782</v>
      </c>
      <c r="F255" s="3" t="s">
        <v>79</v>
      </c>
      <c r="G255" s="3" t="s">
        <v>80</v>
      </c>
      <c r="H255" s="2" t="s">
        <v>74</v>
      </c>
      <c r="I255" s="2" t="s">
        <v>906</v>
      </c>
      <c r="J255" s="3" t="str">
        <f>HYPERLINK("https://www.boe.es/gazeta/dias/1810/03/30/pdfs/GEI-1810-9.pdf#page=7","Abrir facsímil")</f>
        <v>Abrir facsímil</v>
      </c>
      <c r="K255" s="3" t="s">
        <v>76</v>
      </c>
    </row>
    <row r="256" spans="1:11" ht="42" customHeight="1">
      <c r="A256" s="2" t="s">
        <v>907</v>
      </c>
      <c r="B256" s="2" t="s">
        <v>908</v>
      </c>
      <c r="C256" s="2" t="s">
        <v>26</v>
      </c>
      <c r="D256" s="2" t="s">
        <v>18</v>
      </c>
      <c r="E256" s="4">
        <v>-32735</v>
      </c>
      <c r="F256" s="3" t="s">
        <v>612</v>
      </c>
      <c r="G256" s="3" t="s">
        <v>359</v>
      </c>
      <c r="H256" s="2" t="s">
        <v>74</v>
      </c>
      <c r="I256" s="2" t="s">
        <v>909</v>
      </c>
      <c r="J256" s="3" t="str">
        <f>HYPERLINK("https://www.boe.es/gazeta/dias/1810/05/16/pdfs/GMD-1810-136.pdf#page=3","Abrir facsímil")</f>
        <v>Abrir facsímil</v>
      </c>
      <c r="K256" s="3" t="s">
        <v>76</v>
      </c>
    </row>
    <row r="257" spans="1:11" ht="42" customHeight="1">
      <c r="A257" s="2" t="s">
        <v>910</v>
      </c>
      <c r="B257" s="2" t="s">
        <v>911</v>
      </c>
      <c r="C257" s="2" t="s">
        <v>88</v>
      </c>
      <c r="D257" s="2" t="s">
        <v>117</v>
      </c>
      <c r="E257" s="4">
        <v>-32766</v>
      </c>
      <c r="F257" s="3" t="s">
        <v>492</v>
      </c>
      <c r="G257" s="3" t="s">
        <v>493</v>
      </c>
      <c r="H257" s="2" t="s">
        <v>74</v>
      </c>
      <c r="I257" s="2" t="s">
        <v>912</v>
      </c>
      <c r="J257" s="3" t="str">
        <f>HYPERLINK("https://www.boe.es/gazeta/dias/1810/04/15/pdfs/GMD-1810-105.pdf#page=4","Abrir facsímil")</f>
        <v>Abrir facsímil</v>
      </c>
      <c r="K257" s="3" t="s">
        <v>76</v>
      </c>
    </row>
    <row r="258" spans="1:11" ht="42" customHeight="1">
      <c r="A258" s="2" t="s">
        <v>913</v>
      </c>
      <c r="B258" s="2" t="s">
        <v>913</v>
      </c>
      <c r="C258" s="2" t="s">
        <v>26</v>
      </c>
      <c r="D258" s="2" t="s">
        <v>27</v>
      </c>
      <c r="E258" s="4">
        <v>-32859</v>
      </c>
      <c r="F258" s="3" t="s">
        <v>914</v>
      </c>
      <c r="G258" s="3" t="s">
        <v>915</v>
      </c>
      <c r="H258" s="2" t="s">
        <v>74</v>
      </c>
      <c r="I258" s="2" t="s">
        <v>916</v>
      </c>
      <c r="J258" s="3" t="str">
        <f>HYPERLINK("https://www.boe.es/gazeta/dias/1810/01/12/pdfs/GMD-1810-12.pdf#page=1","Abrir facsímil")</f>
        <v>Abrir facsímil</v>
      </c>
      <c r="K258" s="3" t="s">
        <v>76</v>
      </c>
    </row>
    <row r="259" spans="1:11" ht="42" customHeight="1">
      <c r="A259" s="2" t="s">
        <v>917</v>
      </c>
      <c r="B259" s="2" t="s">
        <v>917</v>
      </c>
      <c r="C259" s="2" t="s">
        <v>88</v>
      </c>
      <c r="D259" s="2" t="s">
        <v>117</v>
      </c>
      <c r="E259" s="4">
        <v>-32673</v>
      </c>
      <c r="F259" s="3" t="s">
        <v>472</v>
      </c>
      <c r="G259" s="3" t="s">
        <v>35</v>
      </c>
      <c r="H259" s="2" t="s">
        <v>74</v>
      </c>
      <c r="I259" s="2" t="s">
        <v>918</v>
      </c>
      <c r="J259" s="3" t="str">
        <f>HYPERLINK("https://www.boe.es/gazeta/dias/1810/07/17/pdfs/GMD-1810-198.pdf#page=2","Abrir facsímil")</f>
        <v>Abrir facsímil</v>
      </c>
      <c r="K259" s="3" t="s">
        <v>76</v>
      </c>
    </row>
    <row r="260" spans="1:11" ht="42" customHeight="1">
      <c r="A260" s="2" t="s">
        <v>919</v>
      </c>
      <c r="B260" s="2" t="s">
        <v>920</v>
      </c>
      <c r="C260" s="2" t="s">
        <v>26</v>
      </c>
      <c r="D260" s="2" t="s">
        <v>39</v>
      </c>
      <c r="E260" s="4">
        <v>-32702</v>
      </c>
      <c r="F260" s="3" t="s">
        <v>179</v>
      </c>
      <c r="G260" s="3" t="s">
        <v>119</v>
      </c>
      <c r="H260" s="2" t="s">
        <v>74</v>
      </c>
      <c r="I260" s="2" t="s">
        <v>921</v>
      </c>
      <c r="J260" s="3" t="str">
        <f>HYPERLINK("https://www.boe.es/gazeta/dias/1810/06/18/pdfs/GMD-C-1810-169.pdf#page=1","Abrir facsímil")</f>
        <v>Abrir facsímil</v>
      </c>
      <c r="K260" s="3" t="s">
        <v>76</v>
      </c>
    </row>
    <row r="261" spans="1:11" ht="42" customHeight="1">
      <c r="A261" s="2" t="s">
        <v>922</v>
      </c>
      <c r="B261" s="2" t="s">
        <v>923</v>
      </c>
      <c r="C261" s="2" t="s">
        <v>26</v>
      </c>
      <c r="D261" s="2" t="s">
        <v>39</v>
      </c>
      <c r="E261" s="4">
        <v>-32667</v>
      </c>
      <c r="F261" s="3" t="s">
        <v>924</v>
      </c>
      <c r="G261" s="3" t="s">
        <v>925</v>
      </c>
      <c r="H261" s="2" t="s">
        <v>74</v>
      </c>
      <c r="I261" s="2" t="s">
        <v>926</v>
      </c>
      <c r="J261" s="3" t="str">
        <f>HYPERLINK("https://www.boe.es/gazeta/dias/1810/07/23/pdfs/GMD-C-1810-204.pdf#page=4","Abrir facsímil")</f>
        <v>Abrir facsímil</v>
      </c>
      <c r="K261" s="3" t="s">
        <v>76</v>
      </c>
    </row>
    <row r="262" spans="1:11" ht="42" customHeight="1">
      <c r="A262" s="2" t="s">
        <v>927</v>
      </c>
      <c r="B262" s="2" t="s">
        <v>927</v>
      </c>
      <c r="C262" s="2" t="s">
        <v>317</v>
      </c>
      <c r="D262" s="2" t="s">
        <v>27</v>
      </c>
      <c r="E262" s="4">
        <v>-32524</v>
      </c>
      <c r="F262" s="3" t="s">
        <v>281</v>
      </c>
      <c r="G262" s="3" t="s">
        <v>645</v>
      </c>
      <c r="H262" s="2" t="s">
        <v>74</v>
      </c>
      <c r="I262" s="2" t="s">
        <v>928</v>
      </c>
      <c r="J262" s="3" t="str">
        <f>HYPERLINK("https://www.boe.es/gazeta/dias/1810/12/13/pdfs/GEI-1810-107.pdf#page=1","Abrir facsímil")</f>
        <v>Abrir facsímil</v>
      </c>
      <c r="K262" s="3" t="s">
        <v>76</v>
      </c>
    </row>
    <row r="263" spans="1:11" ht="42" customHeight="1">
      <c r="A263" s="2" t="s">
        <v>929</v>
      </c>
      <c r="B263" s="2" t="s">
        <v>929</v>
      </c>
      <c r="C263" s="2" t="s">
        <v>930</v>
      </c>
      <c r="D263" s="2" t="s">
        <v>27</v>
      </c>
      <c r="E263" s="4">
        <v>-32693</v>
      </c>
      <c r="F263" s="3" t="s">
        <v>54</v>
      </c>
      <c r="G263" s="3" t="s">
        <v>90</v>
      </c>
      <c r="H263" s="2" t="s">
        <v>74</v>
      </c>
      <c r="I263" s="2" t="s">
        <v>931</v>
      </c>
      <c r="J263" s="3" t="str">
        <f>HYPERLINK("https://www.boe.es/gazeta/dias/1810/06/27/pdfs/GMD-1810-178.pdf#page=2","Abrir facsímil")</f>
        <v>Abrir facsímil</v>
      </c>
      <c r="K263" s="3" t="s">
        <v>76</v>
      </c>
    </row>
    <row r="264" spans="1:11" ht="42" customHeight="1">
      <c r="A264" s="2" t="s">
        <v>929</v>
      </c>
      <c r="B264" s="2" t="s">
        <v>929</v>
      </c>
      <c r="C264" s="2" t="s">
        <v>26</v>
      </c>
      <c r="D264" s="2" t="s">
        <v>27</v>
      </c>
      <c r="E264" s="4">
        <v>-32575</v>
      </c>
      <c r="F264" s="3" t="s">
        <v>734</v>
      </c>
      <c r="G264" s="3" t="s">
        <v>932</v>
      </c>
      <c r="H264" s="2" t="s">
        <v>74</v>
      </c>
      <c r="I264" s="2" t="s">
        <v>933</v>
      </c>
      <c r="J264" s="3" t="str">
        <f>HYPERLINK("https://www.boe.es/gazeta/dias/1810/10/23/pdfs/GMD-1810-296.pdf#page=2","Abrir facsímil")</f>
        <v>Abrir facsímil</v>
      </c>
      <c r="K264" s="3" t="s">
        <v>76</v>
      </c>
    </row>
    <row r="265" spans="1:11" ht="42" customHeight="1">
      <c r="A265" s="2" t="s">
        <v>934</v>
      </c>
      <c r="B265" s="2" t="s">
        <v>935</v>
      </c>
      <c r="C265" s="2" t="s">
        <v>88</v>
      </c>
      <c r="D265" s="2" t="s">
        <v>117</v>
      </c>
      <c r="E265" s="4">
        <v>-32818</v>
      </c>
      <c r="F265" s="3" t="s">
        <v>936</v>
      </c>
      <c r="G265" s="3" t="s">
        <v>937</v>
      </c>
      <c r="H265" s="2" t="s">
        <v>74</v>
      </c>
      <c r="I265" s="2" t="s">
        <v>938</v>
      </c>
      <c r="J265" s="3" t="str">
        <f>HYPERLINK("https://www.boe.es/gazeta/dias/1810/02/22/pdfs/GMD-1810-53.pdf#page=1","Abrir facsímil")</f>
        <v>Abrir facsímil</v>
      </c>
      <c r="K265" s="3" t="s">
        <v>76</v>
      </c>
    </row>
    <row r="266" spans="1:11" ht="42" customHeight="1">
      <c r="A266" s="2" t="s">
        <v>939</v>
      </c>
      <c r="B266" s="2" t="s">
        <v>940</v>
      </c>
      <c r="C266" s="2" t="s">
        <v>33</v>
      </c>
      <c r="D266" s="2" t="s">
        <v>58</v>
      </c>
      <c r="E266" s="4">
        <v>-32601</v>
      </c>
      <c r="F266" s="3" t="s">
        <v>392</v>
      </c>
      <c r="G266" s="3" t="s">
        <v>35</v>
      </c>
      <c r="H266" s="2" t="s">
        <v>74</v>
      </c>
      <c r="I266" s="2" t="s">
        <v>941</v>
      </c>
      <c r="J266" s="3" t="str">
        <f>HYPERLINK("https://www.boe.es/gazeta/dias/1810/09/27/pdfs/GEI-1810-74E.pdf#page=2","Abrir facsímil")</f>
        <v>Abrir facsímil</v>
      </c>
      <c r="K266" s="3" t="s">
        <v>76</v>
      </c>
    </row>
    <row r="267" spans="1:11" ht="42" customHeight="1">
      <c r="A267" s="2" t="s">
        <v>942</v>
      </c>
      <c r="B267" s="2" t="s">
        <v>943</v>
      </c>
      <c r="C267" s="2" t="s">
        <v>26</v>
      </c>
      <c r="D267" s="2" t="s">
        <v>27</v>
      </c>
      <c r="E267" s="4">
        <v>-32508</v>
      </c>
      <c r="F267" s="3" t="s">
        <v>864</v>
      </c>
      <c r="G267" s="3" t="s">
        <v>691</v>
      </c>
      <c r="H267" s="2" t="s">
        <v>74</v>
      </c>
      <c r="I267" s="2" t="s">
        <v>944</v>
      </c>
      <c r="J267" s="3" t="str">
        <f>HYPERLINK("https://www.boe.es/gazeta/dias/1810/12/29/pdfs/GEI-1810-114.pdf#page=8","Abrir facsímil")</f>
        <v>Abrir facsímil</v>
      </c>
      <c r="K267" s="3" t="s">
        <v>76</v>
      </c>
    </row>
    <row r="268" spans="1:11" ht="42" customHeight="1">
      <c r="A268" s="2" t="s">
        <v>945</v>
      </c>
      <c r="B268" s="2" t="s">
        <v>946</v>
      </c>
      <c r="C268" s="2" t="s">
        <v>33</v>
      </c>
      <c r="D268" s="2" t="s">
        <v>58</v>
      </c>
      <c r="E268" s="4">
        <v>-32612</v>
      </c>
      <c r="F268" s="3" t="s">
        <v>947</v>
      </c>
      <c r="G268" s="3" t="s">
        <v>948</v>
      </c>
      <c r="H268" s="2" t="s">
        <v>74</v>
      </c>
      <c r="I268" s="2" t="s">
        <v>949</v>
      </c>
      <c r="J268" s="3" t="str">
        <f>HYPERLINK("https://www.boe.es/gazeta/dias/1810/09/16/pdfs/GEI-1810-68E.pdf#page=2","Abrir facsímil")</f>
        <v>Abrir facsímil</v>
      </c>
      <c r="K268" s="3" t="s">
        <v>76</v>
      </c>
    </row>
    <row r="269" spans="1:11" ht="42" customHeight="1">
      <c r="A269" s="2" t="s">
        <v>950</v>
      </c>
      <c r="B269" s="2" t="s">
        <v>951</v>
      </c>
      <c r="C269" s="2" t="s">
        <v>26</v>
      </c>
      <c r="D269" s="2" t="s">
        <v>39</v>
      </c>
      <c r="E269" s="4">
        <v>-32702</v>
      </c>
      <c r="F269" s="3" t="s">
        <v>179</v>
      </c>
      <c r="G269" s="3" t="s">
        <v>180</v>
      </c>
      <c r="H269" s="2" t="s">
        <v>74</v>
      </c>
      <c r="I269" s="2" t="s">
        <v>952</v>
      </c>
      <c r="J269" s="3" t="str">
        <f>HYPERLINK("https://www.boe.es/gazeta/dias/1810/06/18/pdfs/GMD-C-1810-169.pdf#page=2","Abrir facsímil")</f>
        <v>Abrir facsímil</v>
      </c>
      <c r="K269" s="3" t="s">
        <v>76</v>
      </c>
    </row>
    <row r="270" spans="1:11" ht="42" customHeight="1">
      <c r="A270" s="2" t="s">
        <v>953</v>
      </c>
      <c r="B270" s="2" t="s">
        <v>954</v>
      </c>
      <c r="C270" s="2" t="s">
        <v>33</v>
      </c>
      <c r="D270" s="2" t="s">
        <v>18</v>
      </c>
      <c r="E270" s="4">
        <v>-32733</v>
      </c>
      <c r="F270" s="3" t="s">
        <v>955</v>
      </c>
      <c r="G270" s="3" t="s">
        <v>20</v>
      </c>
      <c r="H270" s="2" t="s">
        <v>74</v>
      </c>
      <c r="I270" s="2" t="s">
        <v>956</v>
      </c>
      <c r="J270" s="3" t="str">
        <f>HYPERLINK("https://www.boe.es/gazeta/dias/1810/05/18/pdfs/GEI-1810-27.pdf#page=4","Abrir facsímil")</f>
        <v>Abrir facsímil</v>
      </c>
      <c r="K270" s="3" t="s">
        <v>76</v>
      </c>
    </row>
    <row r="271" spans="1:11" ht="42" customHeight="1">
      <c r="A271" s="2" t="s">
        <v>957</v>
      </c>
      <c r="B271" s="2" t="s">
        <v>958</v>
      </c>
      <c r="C271" s="2" t="s">
        <v>88</v>
      </c>
      <c r="D271" s="2" t="s">
        <v>117</v>
      </c>
      <c r="E271" s="4">
        <v>-32713</v>
      </c>
      <c r="F271" s="3" t="s">
        <v>959</v>
      </c>
      <c r="G271" s="3" t="s">
        <v>960</v>
      </c>
      <c r="H271" s="2" t="s">
        <v>74</v>
      </c>
      <c r="I271" s="2" t="s">
        <v>961</v>
      </c>
      <c r="J271" s="3" t="str">
        <f>HYPERLINK("https://www.boe.es/gazeta/dias/1810/06/07/pdfs/GMD-1810-158.pdf#page=4","Abrir facsímil")</f>
        <v>Abrir facsímil</v>
      </c>
      <c r="K271" s="3" t="s">
        <v>76</v>
      </c>
    </row>
    <row r="272" spans="1:11" ht="42" customHeight="1">
      <c r="A272" s="2" t="s">
        <v>962</v>
      </c>
      <c r="B272" s="2" t="s">
        <v>962</v>
      </c>
      <c r="C272" s="2" t="s">
        <v>26</v>
      </c>
      <c r="D272" s="2" t="s">
        <v>27</v>
      </c>
      <c r="E272" s="4">
        <v>-32856</v>
      </c>
      <c r="F272" s="3" t="s">
        <v>963</v>
      </c>
      <c r="G272" s="3" t="s">
        <v>99</v>
      </c>
      <c r="H272" s="2" t="s">
        <v>74</v>
      </c>
      <c r="I272" s="2" t="s">
        <v>964</v>
      </c>
      <c r="J272" s="3" t="str">
        <f>HYPERLINK("https://www.boe.es/gazeta/dias/1810/01/15/pdfs/GMD-1810-15.pdf#page=3","Abrir facsímil")</f>
        <v>Abrir facsímil</v>
      </c>
      <c r="K272" s="3" t="s">
        <v>76</v>
      </c>
    </row>
    <row r="273" spans="1:11" ht="42" customHeight="1">
      <c r="A273" s="2" t="s">
        <v>962</v>
      </c>
      <c r="B273" s="2" t="s">
        <v>962</v>
      </c>
      <c r="C273" s="2" t="s">
        <v>195</v>
      </c>
      <c r="D273" s="2" t="s">
        <v>27</v>
      </c>
      <c r="E273" s="4">
        <v>-32719</v>
      </c>
      <c r="F273" s="3" t="s">
        <v>965</v>
      </c>
      <c r="G273" s="3" t="s">
        <v>966</v>
      </c>
      <c r="H273" s="2" t="s">
        <v>74</v>
      </c>
      <c r="I273" s="2" t="s">
        <v>967</v>
      </c>
      <c r="J273" s="3" t="str">
        <f>HYPERLINK("https://www.boe.es/gazeta/dias/1810/06/01/pdfs/GMD-1810-152.pdf#page=4","Abrir facsímil")</f>
        <v>Abrir facsímil</v>
      </c>
      <c r="K273" s="3" t="s">
        <v>76</v>
      </c>
    </row>
    <row r="274" spans="1:11" ht="42" customHeight="1">
      <c r="A274" s="2" t="s">
        <v>962</v>
      </c>
      <c r="B274" s="2" t="s">
        <v>962</v>
      </c>
      <c r="C274" s="2" t="s">
        <v>88</v>
      </c>
      <c r="D274" s="2" t="s">
        <v>117</v>
      </c>
      <c r="E274" s="4">
        <v>-32551</v>
      </c>
      <c r="F274" s="3" t="s">
        <v>968</v>
      </c>
      <c r="G274" s="3" t="s">
        <v>969</v>
      </c>
      <c r="H274" s="2" t="s">
        <v>74</v>
      </c>
      <c r="I274" s="2" t="s">
        <v>970</v>
      </c>
      <c r="J274" s="3" t="str">
        <f>HYPERLINK("https://www.boe.es/gazeta/dias/1810/11/16/pdfs/GMD-1810-320.pdf#page=2","Abrir facsímil")</f>
        <v>Abrir facsímil</v>
      </c>
      <c r="K274" s="3" t="s">
        <v>76</v>
      </c>
    </row>
    <row r="275" spans="1:11" ht="42" customHeight="1">
      <c r="A275" s="2" t="s">
        <v>962</v>
      </c>
      <c r="B275" s="2" t="s">
        <v>962</v>
      </c>
      <c r="C275" s="2" t="s">
        <v>88</v>
      </c>
      <c r="D275" s="2" t="s">
        <v>117</v>
      </c>
      <c r="E275" s="4">
        <v>-32515</v>
      </c>
      <c r="F275" s="3" t="s">
        <v>351</v>
      </c>
      <c r="G275" s="3" t="s">
        <v>971</v>
      </c>
      <c r="H275" s="2" t="s">
        <v>74</v>
      </c>
      <c r="I275" s="2" t="s">
        <v>972</v>
      </c>
      <c r="J275" s="3" t="str">
        <f>HYPERLINK("https://www.boe.es/gazeta/dias/1810/12/22/pdfs/GEI-1810-111.pdf#page=3","Abrir facsímil")</f>
        <v>Abrir facsímil</v>
      </c>
      <c r="K275" s="3" t="s">
        <v>76</v>
      </c>
    </row>
    <row r="276" spans="1:11" ht="42" customHeight="1">
      <c r="A276" s="2" t="s">
        <v>973</v>
      </c>
      <c r="B276" s="2" t="s">
        <v>974</v>
      </c>
      <c r="C276" s="2" t="s">
        <v>26</v>
      </c>
      <c r="D276" s="2" t="s">
        <v>39</v>
      </c>
      <c r="E276" s="4">
        <v>-32667</v>
      </c>
      <c r="F276" s="3" t="s">
        <v>924</v>
      </c>
      <c r="G276" s="3" t="s">
        <v>925</v>
      </c>
      <c r="H276" s="2" t="s">
        <v>74</v>
      </c>
      <c r="I276" s="2" t="s">
        <v>975</v>
      </c>
      <c r="J276" s="3" t="str">
        <f>HYPERLINK("https://www.boe.es/gazeta/dias/1810/07/23/pdfs/GMD-C-1810-204.pdf#page=4","Abrir facsímil")</f>
        <v>Abrir facsímil</v>
      </c>
      <c r="K276" s="3" t="s">
        <v>76</v>
      </c>
    </row>
    <row r="277" spans="1:11" ht="42" customHeight="1">
      <c r="A277" s="2" t="s">
        <v>976</v>
      </c>
      <c r="B277" s="2" t="s">
        <v>976</v>
      </c>
      <c r="C277" s="2" t="s">
        <v>26</v>
      </c>
      <c r="D277" s="2" t="s">
        <v>27</v>
      </c>
      <c r="E277" s="4">
        <v>-32714</v>
      </c>
      <c r="F277" s="3" t="s">
        <v>977</v>
      </c>
      <c r="G277" s="3" t="s">
        <v>180</v>
      </c>
      <c r="H277" s="2" t="s">
        <v>74</v>
      </c>
      <c r="I277" s="2" t="s">
        <v>978</v>
      </c>
      <c r="J277" s="3" t="str">
        <f>HYPERLINK("https://www.boe.es/gazeta/dias/1810/06/06/pdfs/GMD-1810-157.pdf#page=1","Abrir facsímil")</f>
        <v>Abrir facsímil</v>
      </c>
      <c r="K277" s="3" t="s">
        <v>76</v>
      </c>
    </row>
    <row r="278" spans="1:11" ht="42" customHeight="1">
      <c r="A278" s="2" t="s">
        <v>976</v>
      </c>
      <c r="B278" s="2" t="s">
        <v>976</v>
      </c>
      <c r="C278" s="2" t="s">
        <v>26</v>
      </c>
      <c r="D278" s="2" t="s">
        <v>27</v>
      </c>
      <c r="E278" s="4">
        <v>-32517</v>
      </c>
      <c r="F278" s="3" t="s">
        <v>979</v>
      </c>
      <c r="G278" s="3" t="s">
        <v>213</v>
      </c>
      <c r="H278" s="2" t="s">
        <v>74</v>
      </c>
      <c r="I278" s="2" t="s">
        <v>980</v>
      </c>
      <c r="J278" s="3" t="str">
        <f>HYPERLINK("https://www.boe.es/gazeta/dias/1810/12/20/pdfs/GMD-1810-354.pdf#page=4","Abrir facsímil")</f>
        <v>Abrir facsímil</v>
      </c>
      <c r="K278" s="3" t="s">
        <v>76</v>
      </c>
    </row>
    <row r="279" spans="1:11" ht="42" customHeight="1">
      <c r="A279" s="2" t="s">
        <v>976</v>
      </c>
      <c r="B279" s="2" t="s">
        <v>976</v>
      </c>
      <c r="C279" s="2" t="s">
        <v>317</v>
      </c>
      <c r="D279" s="2" t="s">
        <v>220</v>
      </c>
      <c r="E279" s="4">
        <v>-32515</v>
      </c>
      <c r="F279" s="3" t="s">
        <v>745</v>
      </c>
      <c r="G279" s="3" t="s">
        <v>981</v>
      </c>
      <c r="H279" s="2" t="s">
        <v>74</v>
      </c>
      <c r="I279" s="2" t="s">
        <v>982</v>
      </c>
      <c r="J279" s="3" t="str">
        <f>HYPERLINK("https://www.boe.es/gazeta/dias/1810/12/22/pdfs/GMD-1810-356.pdf#page=3","Abrir facsímil")</f>
        <v>Abrir facsímil</v>
      </c>
      <c r="K279" s="3" t="s">
        <v>76</v>
      </c>
    </row>
    <row r="280" spans="1:11" ht="42" customHeight="1">
      <c r="A280" s="2" t="s">
        <v>983</v>
      </c>
      <c r="B280" s="2" t="s">
        <v>984</v>
      </c>
      <c r="C280" s="2" t="s">
        <v>26</v>
      </c>
      <c r="D280" s="2" t="s">
        <v>27</v>
      </c>
      <c r="E280" s="4">
        <v>-32647</v>
      </c>
      <c r="F280" s="3" t="s">
        <v>118</v>
      </c>
      <c r="G280" s="3" t="s">
        <v>140</v>
      </c>
      <c r="H280" s="2" t="s">
        <v>74</v>
      </c>
      <c r="I280" s="2" t="s">
        <v>985</v>
      </c>
      <c r="J280" s="3" t="str">
        <f>HYPERLINK("https://www.boe.es/gazeta/dias/1810/08/12/pdfs/GMD-1810-224.pdf#page=2","Abrir facsímil")</f>
        <v>Abrir facsímil</v>
      </c>
      <c r="K280" s="3" t="s">
        <v>76</v>
      </c>
    </row>
    <row r="281" spans="1:11" ht="42" customHeight="1">
      <c r="A281" s="2" t="s">
        <v>986</v>
      </c>
      <c r="B281" s="2" t="s">
        <v>987</v>
      </c>
      <c r="C281" s="2" t="s">
        <v>88</v>
      </c>
      <c r="D281" s="2" t="s">
        <v>117</v>
      </c>
      <c r="E281" s="4">
        <v>-32771</v>
      </c>
      <c r="F281" s="3" t="s">
        <v>543</v>
      </c>
      <c r="G281" s="3" t="s">
        <v>65</v>
      </c>
      <c r="H281" s="2" t="s">
        <v>74</v>
      </c>
      <c r="I281" s="2" t="s">
        <v>988</v>
      </c>
      <c r="J281" s="3" t="str">
        <f>HYPERLINK("https://www.boe.es/gazeta/dias/1810/04/10/pdfs/GEI-1810-13.pdf#page=7","Abrir facsímil")</f>
        <v>Abrir facsímil</v>
      </c>
      <c r="K281" s="3" t="s">
        <v>76</v>
      </c>
    </row>
    <row r="282" spans="1:11" ht="42" customHeight="1">
      <c r="A282" s="2" t="s">
        <v>989</v>
      </c>
      <c r="B282" s="2" t="s">
        <v>989</v>
      </c>
      <c r="C282" s="2" t="s">
        <v>33</v>
      </c>
      <c r="D282" s="2" t="s">
        <v>27</v>
      </c>
      <c r="E282" s="4">
        <v>-32554</v>
      </c>
      <c r="F282" s="3" t="s">
        <v>990</v>
      </c>
      <c r="G282" s="3" t="s">
        <v>140</v>
      </c>
      <c r="H282" s="2" t="s">
        <v>74</v>
      </c>
      <c r="I282" s="2" t="s">
        <v>991</v>
      </c>
      <c r="J282" s="3" t="str">
        <f>HYPERLINK("https://www.boe.es/gazeta/dias/1810/11/13/pdfs/GMD-1810-317.pdf#page=2","Abrir facsímil")</f>
        <v>Abrir facsímil</v>
      </c>
      <c r="K282" s="3" t="s">
        <v>76</v>
      </c>
    </row>
    <row r="283" spans="1:11" ht="42" customHeight="1">
      <c r="A283" s="2" t="s">
        <v>992</v>
      </c>
      <c r="B283" s="2" t="s">
        <v>992</v>
      </c>
      <c r="C283" s="2" t="s">
        <v>26</v>
      </c>
      <c r="D283" s="2" t="s">
        <v>27</v>
      </c>
      <c r="E283" s="4">
        <v>-32587</v>
      </c>
      <c r="F283" s="3" t="s">
        <v>103</v>
      </c>
      <c r="G283" s="3" t="s">
        <v>104</v>
      </c>
      <c r="H283" s="2" t="s">
        <v>74</v>
      </c>
      <c r="I283" s="2" t="s">
        <v>993</v>
      </c>
      <c r="J283" s="3" t="str">
        <f>HYPERLINK("https://www.boe.es/gazeta/dias/1810/10/11/pdfs/GEI-1810-80.pdf#page=3","Abrir facsímil")</f>
        <v>Abrir facsímil</v>
      </c>
      <c r="K283" s="3" t="s">
        <v>76</v>
      </c>
    </row>
    <row r="284" spans="1:11" ht="42" customHeight="1">
      <c r="A284" s="2" t="s">
        <v>992</v>
      </c>
      <c r="B284" s="2" t="s">
        <v>992</v>
      </c>
      <c r="C284" s="2" t="s">
        <v>88</v>
      </c>
      <c r="D284" s="2" t="s">
        <v>117</v>
      </c>
      <c r="E284" s="4">
        <v>-32571</v>
      </c>
      <c r="F284" s="3" t="s">
        <v>737</v>
      </c>
      <c r="G284" s="3" t="s">
        <v>785</v>
      </c>
      <c r="H284" s="2" t="s">
        <v>74</v>
      </c>
      <c r="I284" s="2" t="s">
        <v>994</v>
      </c>
      <c r="J284" s="3" t="str">
        <f>HYPERLINK("https://www.boe.es/gazeta/dias/1810/10/27/pdfs/GEI-1810-87.pdf#page=3","Abrir facsímil")</f>
        <v>Abrir facsímil</v>
      </c>
      <c r="K284" s="3" t="s">
        <v>76</v>
      </c>
    </row>
    <row r="285" spans="1:11" ht="42" customHeight="1">
      <c r="A285" s="2" t="s">
        <v>995</v>
      </c>
      <c r="B285" s="2" t="s">
        <v>996</v>
      </c>
      <c r="C285" s="2" t="s">
        <v>26</v>
      </c>
      <c r="D285" s="2" t="s">
        <v>27</v>
      </c>
      <c r="E285" s="4">
        <v>-32688</v>
      </c>
      <c r="F285" s="3" t="s">
        <v>997</v>
      </c>
      <c r="G285" s="3" t="s">
        <v>749</v>
      </c>
      <c r="H285" s="2" t="s">
        <v>74</v>
      </c>
      <c r="I285" s="2" t="s">
        <v>998</v>
      </c>
      <c r="J285" s="3" t="str">
        <f>HYPERLINK("https://www.boe.es/gazeta/dias/1810/07/02/pdfs/GMD-1810-183.pdf#page=4","Abrir facsímil")</f>
        <v>Abrir facsímil</v>
      </c>
      <c r="K285" s="3" t="s">
        <v>76</v>
      </c>
    </row>
    <row r="286" spans="1:11" ht="42" customHeight="1">
      <c r="A286" s="2" t="s">
        <v>999</v>
      </c>
      <c r="B286" s="2" t="s">
        <v>1000</v>
      </c>
      <c r="C286" s="2" t="s">
        <v>26</v>
      </c>
      <c r="D286" s="2" t="s">
        <v>27</v>
      </c>
      <c r="E286" s="4">
        <v>-32543</v>
      </c>
      <c r="F286" s="3" t="s">
        <v>69</v>
      </c>
      <c r="G286" s="3" t="s">
        <v>70</v>
      </c>
      <c r="H286" s="2" t="s">
        <v>21</v>
      </c>
      <c r="I286" s="2" t="s">
        <v>1001</v>
      </c>
      <c r="J286" s="3" t="str">
        <f>HYPERLINK("https://www.boe.es/gazeta/dias/1810/11/24/pdfs/GEI-1810-99.pdf#page=8","Abrir facsímil")</f>
        <v>Abrir facsímil</v>
      </c>
      <c r="K286" s="3" t="s">
        <v>23</v>
      </c>
    </row>
    <row r="287" spans="1:11" ht="42" customHeight="1">
      <c r="A287" s="2" t="s">
        <v>1002</v>
      </c>
      <c r="B287" s="2" t="s">
        <v>1003</v>
      </c>
      <c r="C287" s="2" t="s">
        <v>111</v>
      </c>
      <c r="D287" s="2" t="s">
        <v>18</v>
      </c>
      <c r="E287" s="4">
        <v>-32764</v>
      </c>
      <c r="F287" s="3" t="s">
        <v>640</v>
      </c>
      <c r="G287" s="3" t="s">
        <v>641</v>
      </c>
      <c r="H287" s="2" t="s">
        <v>74</v>
      </c>
      <c r="I287" s="2" t="s">
        <v>1004</v>
      </c>
      <c r="J287" s="3" t="str">
        <f>HYPERLINK("https://www.boe.es/gazeta/dias/1810/04/17/pdfs/GEI-1810-15.pdf#page=8","Abrir facsímil")</f>
        <v>Abrir facsímil</v>
      </c>
      <c r="K287" s="3" t="s">
        <v>76</v>
      </c>
    </row>
    <row r="288" spans="1:11" ht="42" customHeight="1">
      <c r="A288" s="2" t="s">
        <v>1005</v>
      </c>
      <c r="B288" s="2" t="s">
        <v>1006</v>
      </c>
      <c r="C288" s="2" t="s">
        <v>111</v>
      </c>
      <c r="D288" s="2" t="s">
        <v>27</v>
      </c>
      <c r="E288" s="4">
        <v>-32631</v>
      </c>
      <c r="F288" s="3" t="s">
        <v>497</v>
      </c>
      <c r="G288" s="3" t="s">
        <v>498</v>
      </c>
      <c r="H288" s="2" t="s">
        <v>74</v>
      </c>
      <c r="I288" s="2" t="s">
        <v>1007</v>
      </c>
      <c r="J288" s="3" t="str">
        <f>HYPERLINK("https://www.boe.es/gazeta/dias/1810/08/28/pdfs/GMD-1810-240.pdf#page=2","Abrir facsímil")</f>
        <v>Abrir facsímil</v>
      </c>
      <c r="K288" s="3" t="s">
        <v>76</v>
      </c>
    </row>
    <row r="289" spans="1:11" ht="42" customHeight="1">
      <c r="A289" s="2" t="s">
        <v>1008</v>
      </c>
      <c r="B289" s="2" t="s">
        <v>1009</v>
      </c>
      <c r="C289" s="2" t="s">
        <v>111</v>
      </c>
      <c r="D289" s="2" t="s">
        <v>18</v>
      </c>
      <c r="E289" s="4">
        <v>-32764</v>
      </c>
      <c r="F289" s="3" t="s">
        <v>640</v>
      </c>
      <c r="G289" s="3" t="s">
        <v>641</v>
      </c>
      <c r="H289" s="2" t="s">
        <v>74</v>
      </c>
      <c r="I289" s="2" t="s">
        <v>1010</v>
      </c>
      <c r="J289" s="3" t="str">
        <f>HYPERLINK("https://www.boe.es/gazeta/dias/1810/04/17/pdfs/GEI-1810-15.pdf#page=8","Abrir facsímil")</f>
        <v>Abrir facsímil</v>
      </c>
      <c r="K289" s="3" t="s">
        <v>76</v>
      </c>
    </row>
    <row r="290" spans="1:11" ht="42" customHeight="1">
      <c r="A290" s="2" t="s">
        <v>1011</v>
      </c>
      <c r="B290" s="2" t="s">
        <v>1011</v>
      </c>
      <c r="C290" s="2" t="s">
        <v>88</v>
      </c>
      <c r="D290" s="2" t="s">
        <v>27</v>
      </c>
      <c r="E290" s="4">
        <v>-32668</v>
      </c>
      <c r="F290" s="3" t="s">
        <v>1012</v>
      </c>
      <c r="G290" s="3" t="s">
        <v>191</v>
      </c>
      <c r="H290" s="2" t="s">
        <v>74</v>
      </c>
      <c r="I290" s="2" t="s">
        <v>1013</v>
      </c>
      <c r="J290" s="3" t="str">
        <f>HYPERLINK("https://www.boe.es/gazeta/dias/1810/07/22/pdfs/GMD-1810-203.pdf#page=3","Abrir facsímil")</f>
        <v>Abrir facsímil</v>
      </c>
      <c r="K290" s="3" t="s">
        <v>76</v>
      </c>
    </row>
    <row r="291" spans="1:11" ht="42" customHeight="1">
      <c r="A291" s="2" t="s">
        <v>1014</v>
      </c>
      <c r="B291" s="2" t="s">
        <v>1015</v>
      </c>
      <c r="C291" s="2" t="s">
        <v>26</v>
      </c>
      <c r="D291" s="2" t="s">
        <v>27</v>
      </c>
      <c r="E291" s="4">
        <v>-32543</v>
      </c>
      <c r="F291" s="3" t="s">
        <v>69</v>
      </c>
      <c r="G291" s="3" t="s">
        <v>70</v>
      </c>
      <c r="H291" s="2" t="s">
        <v>74</v>
      </c>
      <c r="I291" s="2" t="s">
        <v>1016</v>
      </c>
      <c r="J291" s="3" t="str">
        <f>HYPERLINK("https://www.boe.es/gazeta/dias/1810/11/24/pdfs/GEI-1810-99.pdf#page=8","Abrir facsímil")</f>
        <v>Abrir facsímil</v>
      </c>
      <c r="K291" s="3" t="s">
        <v>76</v>
      </c>
    </row>
    <row r="292" spans="1:11" ht="42" customHeight="1">
      <c r="A292" s="2" t="s">
        <v>1017</v>
      </c>
      <c r="B292" s="2" t="s">
        <v>1018</v>
      </c>
      <c r="C292" s="2" t="s">
        <v>111</v>
      </c>
      <c r="D292" s="2" t="s">
        <v>27</v>
      </c>
      <c r="E292" s="4">
        <v>-32701</v>
      </c>
      <c r="F292" s="3" t="s">
        <v>1019</v>
      </c>
      <c r="G292" s="3" t="s">
        <v>20</v>
      </c>
      <c r="H292" s="2" t="s">
        <v>74</v>
      </c>
      <c r="I292" s="2" t="s">
        <v>1020</v>
      </c>
      <c r="J292" s="3" t="str">
        <f>HYPERLINK("https://www.boe.es/gazeta/dias/1810/06/19/pdfs/GMD-1810-170.pdf#page=4","Abrir facsímil")</f>
        <v>Abrir facsímil</v>
      </c>
      <c r="K292" s="3" t="s">
        <v>76</v>
      </c>
    </row>
    <row r="293" spans="1:11" ht="42" customHeight="1">
      <c r="A293" s="2" t="s">
        <v>1021</v>
      </c>
      <c r="B293" s="2" t="s">
        <v>1022</v>
      </c>
      <c r="C293" s="2" t="s">
        <v>26</v>
      </c>
      <c r="D293" s="2" t="s">
        <v>27</v>
      </c>
      <c r="E293" s="4">
        <v>-32729</v>
      </c>
      <c r="F293" s="3" t="s">
        <v>174</v>
      </c>
      <c r="G293" s="3" t="s">
        <v>70</v>
      </c>
      <c r="H293" s="2" t="s">
        <v>74</v>
      </c>
      <c r="I293" s="2" t="s">
        <v>1023</v>
      </c>
      <c r="J293" s="3" t="str">
        <f>HYPERLINK("https://www.boe.es/gazeta/dias/1810/05/22/pdfs/GEI-1810-28.pdf#page=7","Abrir facsímil")</f>
        <v>Abrir facsímil</v>
      </c>
      <c r="K293" s="3" t="s">
        <v>76</v>
      </c>
    </row>
    <row r="294" spans="1:11" ht="42" customHeight="1">
      <c r="A294" s="2" t="s">
        <v>1024</v>
      </c>
      <c r="B294" s="2" t="s">
        <v>1024</v>
      </c>
      <c r="C294" s="2" t="s">
        <v>930</v>
      </c>
      <c r="D294" s="2" t="s">
        <v>27</v>
      </c>
      <c r="E294" s="4">
        <v>-32729</v>
      </c>
      <c r="F294" s="3" t="s">
        <v>1025</v>
      </c>
      <c r="G294" s="3" t="s">
        <v>90</v>
      </c>
      <c r="H294" s="2" t="s">
        <v>74</v>
      </c>
      <c r="I294" s="2" t="s">
        <v>1026</v>
      </c>
      <c r="J294" s="3" t="str">
        <f>HYPERLINK("https://www.boe.es/gazeta/dias/1810/05/22/pdfs/GMD-1810-142.pdf#page=2","Abrir facsímil")</f>
        <v>Abrir facsímil</v>
      </c>
      <c r="K294" s="3" t="s">
        <v>76</v>
      </c>
    </row>
    <row r="295" spans="1:11" ht="42" customHeight="1">
      <c r="A295" s="2" t="s">
        <v>1024</v>
      </c>
      <c r="B295" s="2" t="s">
        <v>1024</v>
      </c>
      <c r="C295" s="2" t="s">
        <v>26</v>
      </c>
      <c r="D295" s="2" t="s">
        <v>27</v>
      </c>
      <c r="E295" s="4">
        <v>-32724</v>
      </c>
      <c r="F295" s="3" t="s">
        <v>1027</v>
      </c>
      <c r="G295" s="3" t="s">
        <v>119</v>
      </c>
      <c r="H295" s="2" t="s">
        <v>74</v>
      </c>
      <c r="I295" s="2" t="s">
        <v>1028</v>
      </c>
      <c r="J295" s="3" t="str">
        <f>HYPERLINK("https://www.boe.es/gazeta/dias/1810/05/27/pdfs/GMD-1810-147.pdf#page=1","Abrir facsímil")</f>
        <v>Abrir facsímil</v>
      </c>
      <c r="K295" s="3" t="s">
        <v>76</v>
      </c>
    </row>
    <row r="296" spans="1:11" ht="42" customHeight="1">
      <c r="A296" s="2" t="s">
        <v>1024</v>
      </c>
      <c r="B296" s="2" t="s">
        <v>1024</v>
      </c>
      <c r="C296" s="2" t="s">
        <v>17</v>
      </c>
      <c r="D296" s="2" t="s">
        <v>220</v>
      </c>
      <c r="E296" s="4">
        <v>-32715</v>
      </c>
      <c r="F296" s="3" t="s">
        <v>1029</v>
      </c>
      <c r="G296" s="3" t="s">
        <v>1030</v>
      </c>
      <c r="H296" s="2" t="s">
        <v>74</v>
      </c>
      <c r="I296" s="2" t="s">
        <v>1031</v>
      </c>
      <c r="J296" s="3" t="str">
        <f>HYPERLINK("https://www.boe.es/gazeta/dias/1810/06/05/pdfs/GEI-1810-33.pdf#page=2","Abrir facsímil")</f>
        <v>Abrir facsímil</v>
      </c>
      <c r="K296" s="3" t="s">
        <v>76</v>
      </c>
    </row>
    <row r="297" spans="1:11" ht="42" customHeight="1">
      <c r="A297" s="2" t="s">
        <v>1024</v>
      </c>
      <c r="B297" s="2" t="s">
        <v>1024</v>
      </c>
      <c r="C297" s="2" t="s">
        <v>26</v>
      </c>
      <c r="D297" s="2" t="s">
        <v>58</v>
      </c>
      <c r="E297" s="4">
        <v>-32654</v>
      </c>
      <c r="F297" s="3" t="s">
        <v>1032</v>
      </c>
      <c r="G297" s="3" t="s">
        <v>1033</v>
      </c>
      <c r="H297" s="2" t="s">
        <v>74</v>
      </c>
      <c r="I297" s="2" t="s">
        <v>1034</v>
      </c>
      <c r="J297" s="3" t="str">
        <f>HYPERLINK("https://www.boe.es/gazeta/dias/1810/08/05/pdfs/GEI-1810-51E.pdf#page=13","Abrir facsímil")</f>
        <v>Abrir facsímil</v>
      </c>
      <c r="K297" s="3" t="s">
        <v>76</v>
      </c>
    </row>
    <row r="298" spans="1:11" ht="42" customHeight="1">
      <c r="A298" s="2" t="s">
        <v>1035</v>
      </c>
      <c r="B298" s="2" t="s">
        <v>1036</v>
      </c>
      <c r="C298" s="2" t="s">
        <v>26</v>
      </c>
      <c r="D298" s="2" t="s">
        <v>39</v>
      </c>
      <c r="E298" s="4">
        <v>-32661</v>
      </c>
      <c r="F298" s="3" t="s">
        <v>157</v>
      </c>
      <c r="G298" s="3" t="s">
        <v>592</v>
      </c>
      <c r="H298" s="2" t="s">
        <v>21</v>
      </c>
      <c r="I298" s="2" t="s">
        <v>1037</v>
      </c>
      <c r="J298" s="3" t="str">
        <f>HYPERLINK("https://www.boe.es/gazeta/dias/1810/07/29/pdfs/GMD-C-1810-210.pdf#page=2","Abrir facsímil")</f>
        <v>Abrir facsímil</v>
      </c>
      <c r="K298" s="3" t="s">
        <v>23</v>
      </c>
    </row>
    <row r="299" spans="1:11" ht="42" customHeight="1">
      <c r="A299" s="2" t="s">
        <v>1038</v>
      </c>
      <c r="B299" s="2" t="s">
        <v>1039</v>
      </c>
      <c r="C299" s="2" t="s">
        <v>33</v>
      </c>
      <c r="D299" s="2" t="s">
        <v>27</v>
      </c>
      <c r="E299" s="4">
        <v>-32655</v>
      </c>
      <c r="F299" s="3" t="s">
        <v>1040</v>
      </c>
      <c r="G299" s="3" t="s">
        <v>1041</v>
      </c>
      <c r="H299" s="2" t="s">
        <v>74</v>
      </c>
      <c r="I299" s="2" t="s">
        <v>1042</v>
      </c>
      <c r="J299" s="3" t="str">
        <f>HYPERLINK("https://www.boe.es/gazeta/dias/1810/08/04/pdfs/GMD-1810-216.pdf#page=4","Abrir facsímil")</f>
        <v>Abrir facsímil</v>
      </c>
      <c r="K299" s="3" t="s">
        <v>76</v>
      </c>
    </row>
    <row r="300" spans="1:11" ht="42" customHeight="1">
      <c r="A300" s="2" t="s">
        <v>1038</v>
      </c>
      <c r="B300" s="2" t="s">
        <v>1039</v>
      </c>
      <c r="C300" s="2" t="s">
        <v>26</v>
      </c>
      <c r="D300" s="2" t="s">
        <v>27</v>
      </c>
      <c r="E300" s="4">
        <v>-32653</v>
      </c>
      <c r="F300" s="3" t="s">
        <v>1043</v>
      </c>
      <c r="G300" s="3" t="s">
        <v>1044</v>
      </c>
      <c r="H300" s="2" t="s">
        <v>74</v>
      </c>
      <c r="I300" s="2" t="s">
        <v>1045</v>
      </c>
      <c r="J300" s="3" t="str">
        <f>HYPERLINK("https://www.boe.es/gazeta/dias/1810/08/06/pdfs/GMD-1810-218.pdf#page=1","Abrir facsímil")</f>
        <v>Abrir facsímil</v>
      </c>
      <c r="K300" s="3" t="s">
        <v>76</v>
      </c>
    </row>
    <row r="301" spans="1:11" ht="42" customHeight="1">
      <c r="A301" s="2" t="s">
        <v>1046</v>
      </c>
      <c r="B301" s="2" t="s">
        <v>1047</v>
      </c>
      <c r="C301" s="2" t="s">
        <v>88</v>
      </c>
      <c r="D301" s="2" t="s">
        <v>58</v>
      </c>
      <c r="E301" s="4">
        <v>-32651</v>
      </c>
      <c r="F301" s="3" t="s">
        <v>59</v>
      </c>
      <c r="G301" s="3" t="s">
        <v>60</v>
      </c>
      <c r="H301" s="2" t="s">
        <v>74</v>
      </c>
      <c r="I301" s="2" t="s">
        <v>1048</v>
      </c>
      <c r="J301" s="3" t="str">
        <f>HYPERLINK("https://www.boe.es/gazeta/dias/1810/08/08/pdfs/GEI-1810-53E.pdf#page=3","Abrir facsímil")</f>
        <v>Abrir facsímil</v>
      </c>
      <c r="K301" s="3" t="s">
        <v>76</v>
      </c>
    </row>
    <row r="302" spans="1:11" ht="42" customHeight="1">
      <c r="A302" s="2" t="s">
        <v>1049</v>
      </c>
      <c r="B302" s="2" t="s">
        <v>1050</v>
      </c>
      <c r="C302" s="2" t="s">
        <v>26</v>
      </c>
      <c r="D302" s="2" t="s">
        <v>27</v>
      </c>
      <c r="E302" s="4">
        <v>-32764</v>
      </c>
      <c r="F302" s="3" t="s">
        <v>718</v>
      </c>
      <c r="G302" s="3" t="s">
        <v>29</v>
      </c>
      <c r="H302" s="2" t="s">
        <v>74</v>
      </c>
      <c r="I302" s="2" t="s">
        <v>1051</v>
      </c>
      <c r="J302" s="3" t="str">
        <f>HYPERLINK("https://www.boe.es/gazeta/dias/1810/04/17/pdfs/GMD-1810-107.pdf#page=4","Abrir facsímil")</f>
        <v>Abrir facsímil</v>
      </c>
      <c r="K302" s="3" t="s">
        <v>76</v>
      </c>
    </row>
    <row r="303" spans="1:11" ht="42" customHeight="1">
      <c r="A303" s="2" t="s">
        <v>1052</v>
      </c>
      <c r="B303" s="2" t="s">
        <v>1053</v>
      </c>
      <c r="C303" s="2" t="s">
        <v>88</v>
      </c>
      <c r="D303" s="2" t="s">
        <v>117</v>
      </c>
      <c r="E303" s="4">
        <v>-32783</v>
      </c>
      <c r="F303" s="3" t="s">
        <v>896</v>
      </c>
      <c r="G303" s="3" t="s">
        <v>20</v>
      </c>
      <c r="H303" s="2" t="s">
        <v>74</v>
      </c>
      <c r="I303" s="2" t="s">
        <v>1054</v>
      </c>
      <c r="J303" s="3" t="str">
        <f>HYPERLINK("https://www.boe.es/gazeta/dias/1810/03/29/pdfs/GMD-1810-88.pdf#page=4","Abrir facsímil")</f>
        <v>Abrir facsímil</v>
      </c>
      <c r="K303" s="3" t="s">
        <v>76</v>
      </c>
    </row>
    <row r="304" spans="1:11" ht="42" customHeight="1">
      <c r="A304" s="2" t="s">
        <v>1055</v>
      </c>
      <c r="B304" s="2" t="s">
        <v>1056</v>
      </c>
      <c r="C304" s="2" t="s">
        <v>88</v>
      </c>
      <c r="D304" s="2" t="s">
        <v>27</v>
      </c>
      <c r="E304" s="4">
        <v>-32754</v>
      </c>
      <c r="F304" s="3" t="s">
        <v>1057</v>
      </c>
      <c r="G304" s="3" t="s">
        <v>1058</v>
      </c>
      <c r="H304" s="2" t="s">
        <v>74</v>
      </c>
      <c r="I304" s="2" t="s">
        <v>1059</v>
      </c>
      <c r="J304" s="3" t="str">
        <f>HYPERLINK("https://www.boe.es/gazeta/dias/1810/04/27/pdfs/GEI-1810-18.pdf#page=12","Abrir facsímil")</f>
        <v>Abrir facsímil</v>
      </c>
      <c r="K304" s="3" t="s">
        <v>76</v>
      </c>
    </row>
    <row r="305" spans="1:11" ht="42" customHeight="1">
      <c r="A305" s="2" t="s">
        <v>1060</v>
      </c>
      <c r="B305" s="2" t="s">
        <v>1061</v>
      </c>
      <c r="C305" s="2" t="s">
        <v>17</v>
      </c>
      <c r="D305" s="2" t="s">
        <v>18</v>
      </c>
      <c r="E305" s="4">
        <v>-32738</v>
      </c>
      <c r="F305" s="3" t="s">
        <v>321</v>
      </c>
      <c r="G305" s="3" t="s">
        <v>140</v>
      </c>
      <c r="H305" s="2" t="s">
        <v>74</v>
      </c>
      <c r="I305" s="2" t="s">
        <v>1062</v>
      </c>
      <c r="J305" s="3" t="str">
        <f>HYPERLINK("https://www.boe.es/gazeta/dias/1810/05/13/pdfs/GMD-1810-133.pdf#page=4","Abrir facsímil")</f>
        <v>Abrir facsímil</v>
      </c>
      <c r="K305" s="3" t="s">
        <v>76</v>
      </c>
    </row>
    <row r="306" spans="1:11" ht="42" customHeight="1">
      <c r="A306" s="2" t="s">
        <v>1063</v>
      </c>
      <c r="B306" s="2" t="s">
        <v>1064</v>
      </c>
      <c r="C306" s="2" t="s">
        <v>33</v>
      </c>
      <c r="D306" s="2" t="s">
        <v>27</v>
      </c>
      <c r="E306" s="4">
        <v>-32687</v>
      </c>
      <c r="F306" s="3" t="s">
        <v>221</v>
      </c>
      <c r="G306" s="3" t="s">
        <v>20</v>
      </c>
      <c r="H306" s="2" t="s">
        <v>74</v>
      </c>
      <c r="I306" s="2" t="s">
        <v>1065</v>
      </c>
      <c r="J306" s="3" t="str">
        <f>HYPERLINK("https://www.boe.es/gazeta/dias/1810/07/03/pdfs/GMD-1810-184.pdf#page=4","Abrir facsímil")</f>
        <v>Abrir facsímil</v>
      </c>
      <c r="K306" s="3" t="s">
        <v>76</v>
      </c>
    </row>
    <row r="307" spans="1:11" ht="42" customHeight="1">
      <c r="A307" s="2" t="s">
        <v>1066</v>
      </c>
      <c r="B307" s="2" t="s">
        <v>1066</v>
      </c>
      <c r="C307" s="2" t="s">
        <v>88</v>
      </c>
      <c r="D307" s="2" t="s">
        <v>117</v>
      </c>
      <c r="E307" s="4">
        <v>-32813</v>
      </c>
      <c r="F307" s="3" t="s">
        <v>1067</v>
      </c>
      <c r="G307" s="3" t="s">
        <v>1068</v>
      </c>
      <c r="H307" s="2" t="s">
        <v>74</v>
      </c>
      <c r="I307" s="2" t="s">
        <v>1069</v>
      </c>
      <c r="J307" s="3" t="str">
        <f>HYPERLINK("https://www.boe.es/gazeta/dias/1810/02/27/pdfs/GMD-1810-58.pdf#page=1","Abrir facsímil")</f>
        <v>Abrir facsímil</v>
      </c>
      <c r="K307" s="3" t="s">
        <v>76</v>
      </c>
    </row>
    <row r="308" spans="1:11" ht="42" customHeight="1">
      <c r="A308" s="2" t="s">
        <v>1070</v>
      </c>
      <c r="B308" s="2" t="s">
        <v>1070</v>
      </c>
      <c r="C308" s="2" t="s">
        <v>26</v>
      </c>
      <c r="D308" s="2" t="s">
        <v>27</v>
      </c>
      <c r="E308" s="4">
        <v>-32554</v>
      </c>
      <c r="F308" s="3" t="s">
        <v>990</v>
      </c>
      <c r="G308" s="3" t="s">
        <v>235</v>
      </c>
      <c r="H308" s="2" t="s">
        <v>74</v>
      </c>
      <c r="I308" s="2" t="s">
        <v>1071</v>
      </c>
      <c r="J308" s="3" t="str">
        <f>HYPERLINK("https://www.boe.es/gazeta/dias/1810/11/13/pdfs/GMD-1810-317.pdf#page=3","Abrir facsímil")</f>
        <v>Abrir facsímil</v>
      </c>
      <c r="K308" s="3" t="s">
        <v>76</v>
      </c>
    </row>
    <row r="309" spans="1:11" ht="42" customHeight="1">
      <c r="A309" s="2" t="s">
        <v>1072</v>
      </c>
      <c r="B309" s="2" t="s">
        <v>1072</v>
      </c>
      <c r="C309" s="2" t="s">
        <v>88</v>
      </c>
      <c r="D309" s="2" t="s">
        <v>18</v>
      </c>
      <c r="E309" s="4">
        <v>-32861</v>
      </c>
      <c r="F309" s="3" t="s">
        <v>796</v>
      </c>
      <c r="G309" s="3" t="s">
        <v>29</v>
      </c>
      <c r="H309" s="2" t="s">
        <v>74</v>
      </c>
      <c r="I309" s="2" t="s">
        <v>1073</v>
      </c>
      <c r="J309" s="3" t="str">
        <f>HYPERLINK("https://www.boe.es/gazeta/dias/1810/01/10/pdfs/GMD-1810-10.pdf#page=2","Abrir facsímil")</f>
        <v>Abrir facsímil</v>
      </c>
      <c r="K309" s="3" t="s">
        <v>76</v>
      </c>
    </row>
    <row r="310" spans="1:11" ht="42" customHeight="1">
      <c r="A310" s="2" t="s">
        <v>1072</v>
      </c>
      <c r="B310" s="2" t="s">
        <v>1072</v>
      </c>
      <c r="C310" s="2" t="s">
        <v>88</v>
      </c>
      <c r="D310" s="2" t="s">
        <v>27</v>
      </c>
      <c r="E310" s="4">
        <v>-32820</v>
      </c>
      <c r="F310" s="3" t="s">
        <v>226</v>
      </c>
      <c r="G310" s="3" t="s">
        <v>227</v>
      </c>
      <c r="H310" s="2" t="s">
        <v>74</v>
      </c>
      <c r="I310" s="2" t="s">
        <v>1074</v>
      </c>
      <c r="J310" s="3" t="str">
        <f>HYPERLINK("https://www.boe.es/gazeta/dias/1810/02/20/pdfs/GMD-1810-51.pdf#page=4","Abrir facsímil")</f>
        <v>Abrir facsímil</v>
      </c>
      <c r="K310" s="3" t="s">
        <v>76</v>
      </c>
    </row>
    <row r="311" spans="1:11" ht="42" customHeight="1">
      <c r="A311" s="2" t="s">
        <v>1072</v>
      </c>
      <c r="B311" s="2" t="s">
        <v>1072</v>
      </c>
      <c r="C311" s="2" t="s">
        <v>88</v>
      </c>
      <c r="D311" s="2" t="s">
        <v>27</v>
      </c>
      <c r="E311" s="4">
        <v>-32802</v>
      </c>
      <c r="F311" s="3" t="s">
        <v>1075</v>
      </c>
      <c r="G311" s="3" t="s">
        <v>90</v>
      </c>
      <c r="H311" s="2" t="s">
        <v>74</v>
      </c>
      <c r="I311" s="2" t="s">
        <v>1076</v>
      </c>
      <c r="J311" s="3" t="str">
        <f>HYPERLINK("https://www.boe.es/gazeta/dias/1810/03/10/pdfs/GMD-1810-69.pdf#page=3","Abrir facsímil")</f>
        <v>Abrir facsímil</v>
      </c>
      <c r="K311" s="3" t="s">
        <v>76</v>
      </c>
    </row>
    <row r="312" spans="1:11" ht="42" customHeight="1">
      <c r="A312" s="2" t="s">
        <v>1072</v>
      </c>
      <c r="B312" s="2" t="s">
        <v>1072</v>
      </c>
      <c r="C312" s="2" t="s">
        <v>88</v>
      </c>
      <c r="D312" s="2" t="s">
        <v>18</v>
      </c>
      <c r="E312" s="4">
        <v>-32776</v>
      </c>
      <c r="F312" s="3" t="s">
        <v>752</v>
      </c>
      <c r="G312" s="3" t="s">
        <v>213</v>
      </c>
      <c r="H312" s="2" t="s">
        <v>74</v>
      </c>
      <c r="I312" s="2" t="s">
        <v>1077</v>
      </c>
      <c r="J312" s="3" t="str">
        <f>HYPERLINK("https://www.boe.es/gazeta/dias/1810/04/05/pdfs/GMD-1810-95.pdf#page=3","Abrir facsímil")</f>
        <v>Abrir facsímil</v>
      </c>
      <c r="K312" s="3" t="s">
        <v>76</v>
      </c>
    </row>
    <row r="313" spans="1:11" ht="42" customHeight="1">
      <c r="A313" s="2" t="s">
        <v>1072</v>
      </c>
      <c r="B313" s="2" t="s">
        <v>1072</v>
      </c>
      <c r="C313" s="2" t="s">
        <v>26</v>
      </c>
      <c r="D313" s="2" t="s">
        <v>39</v>
      </c>
      <c r="E313" s="4">
        <v>-32702</v>
      </c>
      <c r="F313" s="3" t="s">
        <v>179</v>
      </c>
      <c r="G313" s="3" t="s">
        <v>213</v>
      </c>
      <c r="H313" s="2" t="s">
        <v>74</v>
      </c>
      <c r="I313" s="2" t="s">
        <v>1078</v>
      </c>
      <c r="J313" s="3" t="str">
        <f>HYPERLINK("https://www.boe.es/gazeta/dias/1810/06/18/pdfs/GMD-C-1810-169.pdf#page=4","Abrir facsímil")</f>
        <v>Abrir facsímil</v>
      </c>
      <c r="K313" s="3" t="s">
        <v>76</v>
      </c>
    </row>
    <row r="314" spans="1:11" ht="42" customHeight="1">
      <c r="A314" s="2" t="s">
        <v>1072</v>
      </c>
      <c r="B314" s="2" t="s">
        <v>1072</v>
      </c>
      <c r="C314" s="2" t="s">
        <v>26</v>
      </c>
      <c r="D314" s="2" t="s">
        <v>39</v>
      </c>
      <c r="E314" s="4">
        <v>-32599</v>
      </c>
      <c r="F314" s="3" t="s">
        <v>662</v>
      </c>
      <c r="G314" s="3" t="s">
        <v>668</v>
      </c>
      <c r="H314" s="2" t="s">
        <v>74</v>
      </c>
      <c r="I314" s="2" t="s">
        <v>1079</v>
      </c>
      <c r="J314" s="3" t="str">
        <f>HYPERLINK("https://www.boe.es/gazeta/dias/1810/09/29/pdfs/GMD-C-1810-272.pdf#page=4","Abrir facsímil")</f>
        <v>Abrir facsímil</v>
      </c>
      <c r="K314" s="3" t="s">
        <v>76</v>
      </c>
    </row>
    <row r="315" spans="1:11" ht="42" customHeight="1">
      <c r="A315" s="2" t="s">
        <v>1072</v>
      </c>
      <c r="B315" s="2" t="s">
        <v>1072</v>
      </c>
      <c r="C315" s="2" t="s">
        <v>26</v>
      </c>
      <c r="D315" s="2" t="s">
        <v>27</v>
      </c>
      <c r="E315" s="4">
        <v>-32543</v>
      </c>
      <c r="F315" s="3" t="s">
        <v>69</v>
      </c>
      <c r="G315" s="3" t="s">
        <v>84</v>
      </c>
      <c r="H315" s="2" t="s">
        <v>74</v>
      </c>
      <c r="I315" s="2" t="s">
        <v>1080</v>
      </c>
      <c r="J315" s="3" t="str">
        <f>HYPERLINK("https://www.boe.es/gazeta/dias/1810/11/24/pdfs/GEI-1810-99.pdf#page=7","Abrir facsímil")</f>
        <v>Abrir facsímil</v>
      </c>
      <c r="K315" s="3" t="s">
        <v>76</v>
      </c>
    </row>
    <row r="316" spans="1:11" ht="42" customHeight="1">
      <c r="A316" s="2" t="s">
        <v>1081</v>
      </c>
      <c r="B316" s="2" t="s">
        <v>1082</v>
      </c>
      <c r="C316" s="2" t="s">
        <v>88</v>
      </c>
      <c r="D316" s="2" t="s">
        <v>27</v>
      </c>
      <c r="E316" s="4">
        <v>-32614</v>
      </c>
      <c r="F316" s="3" t="s">
        <v>1083</v>
      </c>
      <c r="G316" s="3" t="s">
        <v>1084</v>
      </c>
      <c r="H316" s="2" t="s">
        <v>74</v>
      </c>
      <c r="I316" s="2" t="s">
        <v>1085</v>
      </c>
      <c r="J316" s="3" t="str">
        <f>HYPERLINK("https://www.boe.es/gazeta/dias/1810/09/14/pdfs/GEI-1810-67.pdf#page=10","Abrir facsímil")</f>
        <v>Abrir facsímil</v>
      </c>
      <c r="K316" s="3" t="s">
        <v>76</v>
      </c>
    </row>
    <row r="317" spans="1:11" ht="42" customHeight="1">
      <c r="A317" s="2" t="s">
        <v>1086</v>
      </c>
      <c r="B317" s="2" t="s">
        <v>1087</v>
      </c>
      <c r="C317" s="2" t="s">
        <v>88</v>
      </c>
      <c r="D317" s="2" t="s">
        <v>27</v>
      </c>
      <c r="E317" s="4">
        <v>-32710</v>
      </c>
      <c r="F317" s="3" t="s">
        <v>126</v>
      </c>
      <c r="G317" s="3" t="s">
        <v>184</v>
      </c>
      <c r="H317" s="2" t="s">
        <v>74</v>
      </c>
      <c r="I317" s="2" t="s">
        <v>1088</v>
      </c>
      <c r="J317" s="3" t="str">
        <f>HYPERLINK("https://www.boe.es/gazeta/dias/1810/06/10/pdfs/GMD-1810-161.pdf#page=3","Abrir facsímil")</f>
        <v>Abrir facsímil</v>
      </c>
      <c r="K317" s="3" t="s">
        <v>76</v>
      </c>
    </row>
    <row r="318" spans="1:11" ht="42" customHeight="1">
      <c r="A318" s="2" t="s">
        <v>1089</v>
      </c>
      <c r="B318" s="2" t="s">
        <v>1090</v>
      </c>
      <c r="C318" s="2" t="s">
        <v>317</v>
      </c>
      <c r="D318" s="2" t="s">
        <v>27</v>
      </c>
      <c r="E318" s="4">
        <v>-32537</v>
      </c>
      <c r="F318" s="3" t="s">
        <v>1091</v>
      </c>
      <c r="G318" s="3" t="s">
        <v>20</v>
      </c>
      <c r="H318" s="2" t="s">
        <v>74</v>
      </c>
      <c r="I318" s="2" t="s">
        <v>1092</v>
      </c>
      <c r="J318" s="3" t="str">
        <f>HYPERLINK("https://www.boe.es/gazeta/dias/1810/11/30/pdfs/GMD-1810-334.pdf#page=4","Abrir facsímil")</f>
        <v>Abrir facsímil</v>
      </c>
      <c r="K318" s="3" t="s">
        <v>76</v>
      </c>
    </row>
    <row r="319" spans="1:11" ht="42" customHeight="1">
      <c r="A319" s="2" t="s">
        <v>1093</v>
      </c>
      <c r="B319" s="2" t="s">
        <v>1093</v>
      </c>
      <c r="C319" s="2" t="s">
        <v>88</v>
      </c>
      <c r="D319" s="2" t="s">
        <v>117</v>
      </c>
      <c r="E319" s="4">
        <v>-32836</v>
      </c>
      <c r="F319" s="3" t="s">
        <v>1094</v>
      </c>
      <c r="G319" s="3" t="s">
        <v>140</v>
      </c>
      <c r="H319" s="2" t="s">
        <v>74</v>
      </c>
      <c r="I319" s="2" t="s">
        <v>1095</v>
      </c>
      <c r="J319" s="3" t="str">
        <f>HYPERLINK("https://www.boe.es/gazeta/dias/1810/02/04/pdfs/GMD-1810-35.pdf#page=2","Abrir facsímil")</f>
        <v>Abrir facsímil</v>
      </c>
      <c r="K319" s="3" t="s">
        <v>76</v>
      </c>
    </row>
    <row r="320" spans="1:11" ht="42" customHeight="1">
      <c r="A320" s="2" t="s">
        <v>1096</v>
      </c>
      <c r="B320" s="2" t="s">
        <v>1097</v>
      </c>
      <c r="C320" s="2" t="s">
        <v>26</v>
      </c>
      <c r="D320" s="2" t="s">
        <v>39</v>
      </c>
      <c r="E320" s="4">
        <v>-32702</v>
      </c>
      <c r="F320" s="3" t="s">
        <v>179</v>
      </c>
      <c r="G320" s="3" t="s">
        <v>180</v>
      </c>
      <c r="H320" s="2" t="s">
        <v>74</v>
      </c>
      <c r="I320" s="2" t="s">
        <v>1098</v>
      </c>
      <c r="J320" s="3" t="str">
        <f>HYPERLINK("https://www.boe.es/gazeta/dias/1810/06/18/pdfs/GMD-C-1810-169.pdf#page=2","Abrir facsímil")</f>
        <v>Abrir facsímil</v>
      </c>
      <c r="K320" s="3" t="s">
        <v>76</v>
      </c>
    </row>
    <row r="321" spans="1:11" ht="42" customHeight="1">
      <c r="A321" s="2" t="s">
        <v>1099</v>
      </c>
      <c r="B321" s="2" t="s">
        <v>1099</v>
      </c>
      <c r="C321" s="2" t="s">
        <v>33</v>
      </c>
      <c r="D321" s="2" t="s">
        <v>27</v>
      </c>
      <c r="E321" s="4">
        <v>-32857</v>
      </c>
      <c r="F321" s="3" t="s">
        <v>1100</v>
      </c>
      <c r="G321" s="3" t="s">
        <v>180</v>
      </c>
      <c r="H321" s="2" t="s">
        <v>74</v>
      </c>
      <c r="I321" s="2" t="s">
        <v>1101</v>
      </c>
      <c r="J321" s="3" t="str">
        <f>HYPERLINK("https://www.boe.es/gazeta/dias/1810/01/14/pdfs/GMD-1810-14.pdf#page=1","Abrir facsímil")</f>
        <v>Abrir facsímil</v>
      </c>
      <c r="K321" s="3" t="s">
        <v>76</v>
      </c>
    </row>
    <row r="322" spans="1:11" ht="42" customHeight="1">
      <c r="A322" s="2" t="s">
        <v>1102</v>
      </c>
      <c r="B322" s="2" t="s">
        <v>1103</v>
      </c>
      <c r="C322" s="2" t="s">
        <v>88</v>
      </c>
      <c r="D322" s="2" t="s">
        <v>117</v>
      </c>
      <c r="E322" s="4">
        <v>-32716</v>
      </c>
      <c r="F322" s="3" t="s">
        <v>624</v>
      </c>
      <c r="G322" s="3" t="s">
        <v>140</v>
      </c>
      <c r="H322" s="2" t="s">
        <v>74</v>
      </c>
      <c r="I322" s="2" t="s">
        <v>1104</v>
      </c>
      <c r="J322" s="3" t="str">
        <f>HYPERLINK("https://www.boe.es/gazeta/dias/1810/06/04/pdfs/GMD-1810-155.pdf#page=4","Abrir facsímil")</f>
        <v>Abrir facsímil</v>
      </c>
      <c r="K322" s="3" t="s">
        <v>76</v>
      </c>
    </row>
    <row r="323" spans="1:11" ht="42" customHeight="1">
      <c r="A323" s="2" t="s">
        <v>1105</v>
      </c>
      <c r="B323" s="2" t="s">
        <v>1105</v>
      </c>
      <c r="C323" s="2" t="s">
        <v>26</v>
      </c>
      <c r="D323" s="2" t="s">
        <v>27</v>
      </c>
      <c r="E323" s="4">
        <v>-32685</v>
      </c>
      <c r="F323" s="3" t="s">
        <v>1106</v>
      </c>
      <c r="G323" s="3" t="s">
        <v>70</v>
      </c>
      <c r="H323" s="2" t="s">
        <v>74</v>
      </c>
      <c r="I323" s="2" t="s">
        <v>1107</v>
      </c>
      <c r="J323" s="3" t="str">
        <f>HYPERLINK("https://www.boe.es/gazeta/dias/1810/07/05/pdfs/GMD-1810-186.pdf#page=2","Abrir facsímil")</f>
        <v>Abrir facsímil</v>
      </c>
      <c r="K323" s="3" t="s">
        <v>76</v>
      </c>
    </row>
    <row r="324" spans="1:11" ht="42" customHeight="1">
      <c r="A324" s="2" t="s">
        <v>1108</v>
      </c>
      <c r="B324" s="2" t="s">
        <v>1109</v>
      </c>
      <c r="C324" s="2" t="s">
        <v>26</v>
      </c>
      <c r="D324" s="2" t="s">
        <v>39</v>
      </c>
      <c r="E324" s="4">
        <v>-32669</v>
      </c>
      <c r="F324" s="3" t="s">
        <v>1110</v>
      </c>
      <c r="G324" s="3" t="s">
        <v>473</v>
      </c>
      <c r="H324" s="2" t="s">
        <v>74</v>
      </c>
      <c r="I324" s="2" t="s">
        <v>1111</v>
      </c>
      <c r="J324" s="3" t="str">
        <f>HYPERLINK("https://www.boe.es/gazeta/dias/1810/07/21/pdfs/GMD-C-1810-202.pdf#page=3","Abrir facsímil")</f>
        <v>Abrir facsímil</v>
      </c>
      <c r="K324" s="3" t="s">
        <v>76</v>
      </c>
    </row>
    <row r="325" spans="1:11" ht="42" customHeight="1">
      <c r="A325" s="2" t="s">
        <v>1112</v>
      </c>
      <c r="B325" s="2" t="s">
        <v>1113</v>
      </c>
      <c r="C325" s="2" t="s">
        <v>195</v>
      </c>
      <c r="D325" s="2" t="s">
        <v>27</v>
      </c>
      <c r="E325" s="4">
        <v>-32517</v>
      </c>
      <c r="F325" s="3" t="s">
        <v>566</v>
      </c>
      <c r="G325" s="3" t="s">
        <v>762</v>
      </c>
      <c r="H325" s="2" t="s">
        <v>74</v>
      </c>
      <c r="I325" s="2" t="s">
        <v>1114</v>
      </c>
      <c r="J325" s="3" t="str">
        <f>HYPERLINK("https://www.boe.es/gazeta/dias/1810/12/20/pdfs/GEI-1810-110.pdf#page=8","Abrir facsímil")</f>
        <v>Abrir facsímil</v>
      </c>
      <c r="K325" s="3" t="s">
        <v>76</v>
      </c>
    </row>
    <row r="326" spans="1:11" ht="42" customHeight="1">
      <c r="A326" s="2" t="s">
        <v>1115</v>
      </c>
      <c r="B326" s="2" t="s">
        <v>1116</v>
      </c>
      <c r="C326" s="2" t="s">
        <v>88</v>
      </c>
      <c r="D326" s="2" t="s">
        <v>27</v>
      </c>
      <c r="E326" s="4">
        <v>-32710</v>
      </c>
      <c r="F326" s="3" t="s">
        <v>126</v>
      </c>
      <c r="G326" s="3" t="s">
        <v>184</v>
      </c>
      <c r="H326" s="2" t="s">
        <v>74</v>
      </c>
      <c r="I326" s="2" t="s">
        <v>1117</v>
      </c>
      <c r="J326" s="3" t="str">
        <f>HYPERLINK("https://www.boe.es/gazeta/dias/1810/06/10/pdfs/GMD-1810-161.pdf#page=3","Abrir facsímil")</f>
        <v>Abrir facsímil</v>
      </c>
      <c r="K326" s="3" t="s">
        <v>76</v>
      </c>
    </row>
    <row r="327" spans="1:11" ht="42" customHeight="1">
      <c r="A327" s="2" t="s">
        <v>1118</v>
      </c>
      <c r="B327" s="2" t="s">
        <v>1119</v>
      </c>
      <c r="C327" s="2" t="s">
        <v>26</v>
      </c>
      <c r="D327" s="2" t="s">
        <v>27</v>
      </c>
      <c r="E327" s="4">
        <v>-32771</v>
      </c>
      <c r="F327" s="3" t="s">
        <v>543</v>
      </c>
      <c r="G327" s="3" t="s">
        <v>65</v>
      </c>
      <c r="H327" s="2" t="s">
        <v>74</v>
      </c>
      <c r="I327" s="2" t="s">
        <v>1120</v>
      </c>
      <c r="J327" s="3" t="str">
        <f>HYPERLINK("https://www.boe.es/gazeta/dias/1810/04/10/pdfs/GEI-1810-13.pdf#page=7","Abrir facsímil")</f>
        <v>Abrir facsímil</v>
      </c>
      <c r="K327" s="3" t="s">
        <v>76</v>
      </c>
    </row>
    <row r="328" spans="1:11" ht="42" customHeight="1">
      <c r="A328" s="2" t="s">
        <v>1121</v>
      </c>
      <c r="B328" s="2" t="s">
        <v>1122</v>
      </c>
      <c r="C328" s="2" t="s">
        <v>26</v>
      </c>
      <c r="D328" s="2" t="s">
        <v>27</v>
      </c>
      <c r="E328" s="4">
        <v>-32771</v>
      </c>
      <c r="F328" s="3" t="s">
        <v>543</v>
      </c>
      <c r="G328" s="3" t="s">
        <v>65</v>
      </c>
      <c r="H328" s="2" t="s">
        <v>74</v>
      </c>
      <c r="I328" s="2" t="s">
        <v>1123</v>
      </c>
      <c r="J328" s="3" t="str">
        <f>HYPERLINK("https://www.boe.es/gazeta/dias/1810/04/10/pdfs/GEI-1810-13.pdf#page=7","Abrir facsímil")</f>
        <v>Abrir facsímil</v>
      </c>
      <c r="K328" s="3" t="s">
        <v>76</v>
      </c>
    </row>
    <row r="329" spans="1:11" ht="42" customHeight="1">
      <c r="A329" s="2" t="s">
        <v>1124</v>
      </c>
      <c r="B329" s="2" t="s">
        <v>1125</v>
      </c>
      <c r="C329" s="2" t="s">
        <v>26</v>
      </c>
      <c r="D329" s="2" t="s">
        <v>18</v>
      </c>
      <c r="E329" s="4">
        <v>-32829</v>
      </c>
      <c r="F329" s="3" t="s">
        <v>1126</v>
      </c>
      <c r="G329" s="3" t="s">
        <v>29</v>
      </c>
      <c r="H329" s="2" t="s">
        <v>74</v>
      </c>
      <c r="I329" s="2" t="s">
        <v>1127</v>
      </c>
      <c r="J329" s="3" t="str">
        <f>HYPERLINK("https://www.boe.es/gazeta/dias/1810/02/11/pdfs/GMD-1810-42.pdf#page=2","Abrir facsímil")</f>
        <v>Abrir facsímil</v>
      </c>
      <c r="K329" s="3" t="s">
        <v>76</v>
      </c>
    </row>
    <row r="330" spans="1:11" ht="42" customHeight="1">
      <c r="A330" s="2" t="s">
        <v>1124</v>
      </c>
      <c r="B330" s="2" t="s">
        <v>1125</v>
      </c>
      <c r="C330" s="2" t="s">
        <v>26</v>
      </c>
      <c r="D330" s="2" t="s">
        <v>27</v>
      </c>
      <c r="E330" s="4">
        <v>-32813</v>
      </c>
      <c r="F330" s="3" t="s">
        <v>1067</v>
      </c>
      <c r="G330" s="3" t="s">
        <v>213</v>
      </c>
      <c r="H330" s="2" t="s">
        <v>74</v>
      </c>
      <c r="I330" s="2" t="s">
        <v>1128</v>
      </c>
      <c r="J330" s="3" t="str">
        <f>HYPERLINK("https://www.boe.es/gazeta/dias/1810/02/27/pdfs/GMD-1810-58.pdf#page=4","Abrir facsímil")</f>
        <v>Abrir facsímil</v>
      </c>
      <c r="K330" s="3" t="s">
        <v>76</v>
      </c>
    </row>
    <row r="331" spans="1:11" ht="42" customHeight="1">
      <c r="A331" s="2" t="s">
        <v>1124</v>
      </c>
      <c r="B331" s="2" t="s">
        <v>1125</v>
      </c>
      <c r="C331" s="2" t="s">
        <v>26</v>
      </c>
      <c r="D331" s="2" t="s">
        <v>27</v>
      </c>
      <c r="E331" s="4">
        <v>-32796</v>
      </c>
      <c r="F331" s="3" t="s">
        <v>1129</v>
      </c>
      <c r="G331" s="3" t="s">
        <v>679</v>
      </c>
      <c r="H331" s="2" t="s">
        <v>74</v>
      </c>
      <c r="I331" s="2" t="s">
        <v>1130</v>
      </c>
      <c r="J331" s="3" t="str">
        <f>HYPERLINK("https://www.boe.es/gazeta/dias/1810/03/16/pdfs/GMD-1810-75.pdf#page=3","Abrir facsímil")</f>
        <v>Abrir facsímil</v>
      </c>
      <c r="K331" s="3" t="s">
        <v>76</v>
      </c>
    </row>
    <row r="332" spans="1:11" ht="42" customHeight="1">
      <c r="A332" s="2" t="s">
        <v>1131</v>
      </c>
      <c r="B332" s="2" t="s">
        <v>1132</v>
      </c>
      <c r="C332" s="2" t="s">
        <v>88</v>
      </c>
      <c r="D332" s="2" t="s">
        <v>117</v>
      </c>
      <c r="E332" s="4">
        <v>-32631</v>
      </c>
      <c r="F332" s="3" t="s">
        <v>497</v>
      </c>
      <c r="G332" s="3" t="s">
        <v>498</v>
      </c>
      <c r="H332" s="2" t="s">
        <v>74</v>
      </c>
      <c r="I332" s="2" t="s">
        <v>1133</v>
      </c>
      <c r="J332" s="3" t="str">
        <f>HYPERLINK("https://www.boe.es/gazeta/dias/1810/08/28/pdfs/GMD-1810-240.pdf#page=2","Abrir facsímil")</f>
        <v>Abrir facsímil</v>
      </c>
      <c r="K332" s="3" t="s">
        <v>76</v>
      </c>
    </row>
    <row r="333" spans="1:11" ht="42" customHeight="1">
      <c r="A333" s="2" t="s">
        <v>1134</v>
      </c>
      <c r="B333" s="2" t="s">
        <v>1135</v>
      </c>
      <c r="C333" s="2" t="s">
        <v>88</v>
      </c>
      <c r="D333" s="2" t="s">
        <v>117</v>
      </c>
      <c r="E333" s="4">
        <v>-32757</v>
      </c>
      <c r="F333" s="3" t="s">
        <v>1136</v>
      </c>
      <c r="G333" s="3" t="s">
        <v>592</v>
      </c>
      <c r="H333" s="2" t="s">
        <v>74</v>
      </c>
      <c r="I333" s="2" t="s">
        <v>1137</v>
      </c>
      <c r="J333" s="3" t="str">
        <f>HYPERLINK("https://www.boe.es/gazeta/dias/1810/04/24/pdfs/GEI-1810-17.pdf#page=7","Abrir facsímil")</f>
        <v>Abrir facsímil</v>
      </c>
      <c r="K333" s="3" t="s">
        <v>76</v>
      </c>
    </row>
    <row r="334" spans="1:11" ht="42" customHeight="1">
      <c r="A334" s="2" t="s">
        <v>1138</v>
      </c>
      <c r="B334" s="2" t="s">
        <v>1138</v>
      </c>
      <c r="C334" s="2" t="s">
        <v>317</v>
      </c>
      <c r="D334" s="2" t="s">
        <v>39</v>
      </c>
      <c r="E334" s="4">
        <v>-32650</v>
      </c>
      <c r="F334" s="3" t="s">
        <v>765</v>
      </c>
      <c r="G334" s="3" t="s">
        <v>766</v>
      </c>
      <c r="H334" s="2" t="s">
        <v>74</v>
      </c>
      <c r="I334" s="2" t="s">
        <v>1139</v>
      </c>
      <c r="J334" s="3" t="str">
        <f>HYPERLINK("https://www.boe.es/gazeta/dias/1810/08/09/pdfs/GMD-C-1810-221.pdf#page=3","Abrir facsímil")</f>
        <v>Abrir facsímil</v>
      </c>
      <c r="K334" s="3" t="s">
        <v>76</v>
      </c>
    </row>
    <row r="335" spans="1:11" ht="42" customHeight="1">
      <c r="A335" s="2" t="s">
        <v>1140</v>
      </c>
      <c r="B335" s="2" t="s">
        <v>1140</v>
      </c>
      <c r="C335" s="2" t="s">
        <v>88</v>
      </c>
      <c r="D335" s="2" t="s">
        <v>27</v>
      </c>
      <c r="E335" s="4">
        <v>-32782</v>
      </c>
      <c r="F335" s="3" t="s">
        <v>1141</v>
      </c>
      <c r="G335" s="3" t="s">
        <v>1142</v>
      </c>
      <c r="H335" s="2" t="s">
        <v>74</v>
      </c>
      <c r="I335" s="2" t="s">
        <v>1143</v>
      </c>
      <c r="J335" s="3" t="str">
        <f>HYPERLINK("https://www.boe.es/gazeta/dias/1810/03/30/pdfs/GMD-1810-89.pdf#page=1","Abrir facsímil")</f>
        <v>Abrir facsímil</v>
      </c>
      <c r="K335" s="3" t="s">
        <v>76</v>
      </c>
    </row>
    <row r="336" spans="1:11" ht="42" customHeight="1">
      <c r="A336" s="2" t="s">
        <v>1144</v>
      </c>
      <c r="B336" s="2" t="s">
        <v>1145</v>
      </c>
      <c r="C336" s="2" t="s">
        <v>88</v>
      </c>
      <c r="D336" s="2" t="s">
        <v>27</v>
      </c>
      <c r="E336" s="4">
        <v>-32763</v>
      </c>
      <c r="F336" s="3" t="s">
        <v>1146</v>
      </c>
      <c r="G336" s="3" t="s">
        <v>140</v>
      </c>
      <c r="H336" s="2" t="s">
        <v>74</v>
      </c>
      <c r="I336" s="2" t="s">
        <v>1147</v>
      </c>
      <c r="J336" s="3" t="str">
        <f>HYPERLINK("https://www.boe.es/gazeta/dias/1810/04/18/pdfs/GMD-1810-108.pdf#page=3","Abrir facsímil")</f>
        <v>Abrir facsímil</v>
      </c>
      <c r="K336" s="3" t="s">
        <v>76</v>
      </c>
    </row>
    <row r="337" spans="1:11" ht="42" customHeight="1">
      <c r="A337" s="2" t="s">
        <v>1148</v>
      </c>
      <c r="B337" s="2" t="s">
        <v>1149</v>
      </c>
      <c r="C337" s="2" t="s">
        <v>26</v>
      </c>
      <c r="D337" s="2" t="s">
        <v>27</v>
      </c>
      <c r="E337" s="4">
        <v>-32536</v>
      </c>
      <c r="F337" s="3" t="s">
        <v>1150</v>
      </c>
      <c r="G337" s="3" t="s">
        <v>849</v>
      </c>
      <c r="H337" s="2" t="s">
        <v>21</v>
      </c>
      <c r="I337" s="2" t="s">
        <v>1151</v>
      </c>
      <c r="J337" s="3" t="str">
        <f>HYPERLINK("https://www.boe.es/gazeta/dias/1810/12/01/pdfs/GMD-1810-335.pdf#page=2","Abrir facsímil")</f>
        <v>Abrir facsímil</v>
      </c>
      <c r="K337" s="3" t="s">
        <v>23</v>
      </c>
    </row>
    <row r="338" spans="1:11" ht="42" customHeight="1">
      <c r="A338" s="2" t="s">
        <v>1152</v>
      </c>
      <c r="B338" s="2" t="s">
        <v>1152</v>
      </c>
      <c r="C338" s="2" t="s">
        <v>88</v>
      </c>
      <c r="D338" s="2" t="s">
        <v>27</v>
      </c>
      <c r="E338" s="4">
        <v>-32846</v>
      </c>
      <c r="F338" s="3" t="s">
        <v>1153</v>
      </c>
      <c r="G338" s="3" t="s">
        <v>70</v>
      </c>
      <c r="H338" s="2" t="s">
        <v>74</v>
      </c>
      <c r="I338" s="2" t="s">
        <v>1154</v>
      </c>
      <c r="J338" s="3" t="str">
        <f>HYPERLINK("https://www.boe.es/gazeta/dias/1810/01/25/pdfs/GMD-1810-25.pdf#page=1","Abrir facsímil")</f>
        <v>Abrir facsímil</v>
      </c>
      <c r="K338" s="3" t="s">
        <v>76</v>
      </c>
    </row>
    <row r="339" spans="1:11" ht="42" customHeight="1">
      <c r="A339" s="2" t="s">
        <v>1155</v>
      </c>
      <c r="B339" s="2" t="s">
        <v>1155</v>
      </c>
      <c r="C339" s="2" t="s">
        <v>225</v>
      </c>
      <c r="D339" s="2" t="s">
        <v>27</v>
      </c>
      <c r="E339" s="4">
        <v>-32704</v>
      </c>
      <c r="F339" s="3" t="s">
        <v>94</v>
      </c>
      <c r="G339" s="3" t="s">
        <v>227</v>
      </c>
      <c r="H339" s="2" t="s">
        <v>74</v>
      </c>
      <c r="I339" s="2" t="s">
        <v>1156</v>
      </c>
      <c r="J339" s="3" t="str">
        <f>HYPERLINK("https://www.boe.es/gazeta/dias/1810/06/16/pdfs/GMD-1810-167.pdf#page=1","Abrir facsímil")</f>
        <v>Abrir facsímil</v>
      </c>
      <c r="K339" s="3" t="s">
        <v>76</v>
      </c>
    </row>
    <row r="340" spans="1:11" ht="42" customHeight="1">
      <c r="A340" s="2" t="s">
        <v>1157</v>
      </c>
      <c r="B340" s="2" t="s">
        <v>1157</v>
      </c>
      <c r="C340" s="2" t="s">
        <v>26</v>
      </c>
      <c r="D340" s="2" t="s">
        <v>27</v>
      </c>
      <c r="E340" s="4">
        <v>-32705</v>
      </c>
      <c r="F340" s="3" t="s">
        <v>1158</v>
      </c>
      <c r="G340" s="3" t="s">
        <v>1159</v>
      </c>
      <c r="H340" s="2" t="s">
        <v>74</v>
      </c>
      <c r="I340" s="2" t="s">
        <v>1160</v>
      </c>
      <c r="J340" s="3" t="str">
        <f>HYPERLINK("https://www.boe.es/gazeta/dias/1810/06/15/pdfs/GMD-1810-166.pdf#page=1","Abrir facsímil")</f>
        <v>Abrir facsímil</v>
      </c>
      <c r="K340" s="3" t="s">
        <v>76</v>
      </c>
    </row>
    <row r="341" spans="1:11" ht="42" customHeight="1">
      <c r="A341" s="2" t="s">
        <v>1161</v>
      </c>
      <c r="B341" s="2" t="s">
        <v>1161</v>
      </c>
      <c r="C341" s="2" t="s">
        <v>88</v>
      </c>
      <c r="D341" s="2" t="s">
        <v>117</v>
      </c>
      <c r="E341" s="4">
        <v>-32860</v>
      </c>
      <c r="F341" s="3" t="s">
        <v>504</v>
      </c>
      <c r="G341" s="3" t="s">
        <v>90</v>
      </c>
      <c r="H341" s="2" t="s">
        <v>74</v>
      </c>
      <c r="I341" s="2" t="s">
        <v>1162</v>
      </c>
      <c r="J341" s="3" t="str">
        <f>HYPERLINK("https://www.boe.es/gazeta/dias/1810/01/11/pdfs/GGB-1810-5.pdf#page=7","Abrir facsímil")</f>
        <v>Abrir facsímil</v>
      </c>
      <c r="K341" s="3" t="s">
        <v>76</v>
      </c>
    </row>
    <row r="342" spans="1:11" ht="42" customHeight="1">
      <c r="A342" s="2" t="s">
        <v>1161</v>
      </c>
      <c r="B342" s="2" t="s">
        <v>1161</v>
      </c>
      <c r="C342" s="2" t="s">
        <v>88</v>
      </c>
      <c r="D342" s="2" t="s">
        <v>117</v>
      </c>
      <c r="E342" s="4">
        <v>-32762</v>
      </c>
      <c r="F342" s="3" t="s">
        <v>231</v>
      </c>
      <c r="G342" s="3" t="s">
        <v>140</v>
      </c>
      <c r="H342" s="2" t="s">
        <v>74</v>
      </c>
      <c r="I342" s="2" t="s">
        <v>1163</v>
      </c>
      <c r="J342" s="3" t="str">
        <f>HYPERLINK("https://www.boe.es/gazeta/dias/1810/04/19/pdfs/GMD-1810-109.pdf#page=3","Abrir facsímil")</f>
        <v>Abrir facsímil</v>
      </c>
      <c r="K342" s="3" t="s">
        <v>76</v>
      </c>
    </row>
    <row r="343" spans="1:11" ht="42" customHeight="1">
      <c r="A343" s="2" t="s">
        <v>1161</v>
      </c>
      <c r="B343" s="2" t="s">
        <v>1161</v>
      </c>
      <c r="C343" s="2" t="s">
        <v>26</v>
      </c>
      <c r="D343" s="2" t="s">
        <v>27</v>
      </c>
      <c r="E343" s="4">
        <v>-32729</v>
      </c>
      <c r="F343" s="3" t="s">
        <v>174</v>
      </c>
      <c r="G343" s="3" t="s">
        <v>1164</v>
      </c>
      <c r="H343" s="2" t="s">
        <v>74</v>
      </c>
      <c r="I343" s="2" t="s">
        <v>1165</v>
      </c>
      <c r="J343" s="3" t="str">
        <f>HYPERLINK("https://www.boe.es/gazeta/dias/1810/05/22/pdfs/GEI-1810-28.pdf#page=9","Abrir facsímil")</f>
        <v>Abrir facsímil</v>
      </c>
      <c r="K343" s="3" t="s">
        <v>76</v>
      </c>
    </row>
    <row r="344" spans="1:11" ht="42" customHeight="1">
      <c r="A344" s="2" t="s">
        <v>1161</v>
      </c>
      <c r="B344" s="2" t="s">
        <v>1161</v>
      </c>
      <c r="C344" s="2" t="s">
        <v>26</v>
      </c>
      <c r="D344" s="2" t="s">
        <v>18</v>
      </c>
      <c r="E344" s="4">
        <v>-32705</v>
      </c>
      <c r="F344" s="3" t="s">
        <v>678</v>
      </c>
      <c r="G344" s="3" t="s">
        <v>592</v>
      </c>
      <c r="H344" s="2" t="s">
        <v>74</v>
      </c>
      <c r="I344" s="2" t="s">
        <v>1166</v>
      </c>
      <c r="J344" s="3" t="str">
        <f>HYPERLINK("https://www.boe.es/gazeta/dias/1810/06/15/pdfs/GEI-1810-36.pdf#page=5","Abrir facsímil")</f>
        <v>Abrir facsímil</v>
      </c>
      <c r="K344" s="3" t="s">
        <v>76</v>
      </c>
    </row>
    <row r="345" spans="1:11" ht="42" customHeight="1">
      <c r="A345" s="2" t="s">
        <v>1161</v>
      </c>
      <c r="B345" s="2" t="s">
        <v>1161</v>
      </c>
      <c r="C345" s="2" t="s">
        <v>26</v>
      </c>
      <c r="D345" s="2" t="s">
        <v>27</v>
      </c>
      <c r="E345" s="4">
        <v>-32649</v>
      </c>
      <c r="F345" s="3" t="s">
        <v>190</v>
      </c>
      <c r="G345" s="3" t="s">
        <v>213</v>
      </c>
      <c r="H345" s="2" t="s">
        <v>74</v>
      </c>
      <c r="I345" s="2" t="s">
        <v>1167</v>
      </c>
      <c r="J345" s="3" t="str">
        <f>HYPERLINK("https://www.boe.es/gazeta/dias/1810/08/10/pdfs/GEI-1810-54.pdf#page=11","Abrir facsímil")</f>
        <v>Abrir facsímil</v>
      </c>
      <c r="K345" s="3" t="s">
        <v>76</v>
      </c>
    </row>
    <row r="346" spans="1:11" ht="42" customHeight="1">
      <c r="A346" s="2" t="s">
        <v>1161</v>
      </c>
      <c r="B346" s="2" t="s">
        <v>1161</v>
      </c>
      <c r="C346" s="2" t="s">
        <v>26</v>
      </c>
      <c r="D346" s="2" t="s">
        <v>27</v>
      </c>
      <c r="E346" s="4">
        <v>-32522</v>
      </c>
      <c r="F346" s="3" t="s">
        <v>1168</v>
      </c>
      <c r="G346" s="3" t="s">
        <v>90</v>
      </c>
      <c r="H346" s="2" t="s">
        <v>74</v>
      </c>
      <c r="I346" s="2" t="s">
        <v>1169</v>
      </c>
      <c r="J346" s="3" t="str">
        <f>HYPERLINK("https://www.boe.es/gazeta/dias/1810/12/15/pdfs/GMD-1810-349.pdf#page=3","Abrir facsímil")</f>
        <v>Abrir facsímil</v>
      </c>
      <c r="K346" s="3" t="s">
        <v>76</v>
      </c>
    </row>
    <row r="347" spans="1:11" ht="42" customHeight="1">
      <c r="A347" s="2" t="s">
        <v>1170</v>
      </c>
      <c r="B347" s="2" t="s">
        <v>1171</v>
      </c>
      <c r="C347" s="2" t="s">
        <v>225</v>
      </c>
      <c r="D347" s="2" t="s">
        <v>27</v>
      </c>
      <c r="E347" s="4">
        <v>-32704</v>
      </c>
      <c r="F347" s="3" t="s">
        <v>94</v>
      </c>
      <c r="G347" s="3" t="s">
        <v>20</v>
      </c>
      <c r="H347" s="2" t="s">
        <v>74</v>
      </c>
      <c r="I347" s="2" t="s">
        <v>1172</v>
      </c>
      <c r="J347" s="3" t="str">
        <f>HYPERLINK("https://www.boe.es/gazeta/dias/1810/06/16/pdfs/GMD-1810-167.pdf#page=4","Abrir facsímil")</f>
        <v>Abrir facsímil</v>
      </c>
      <c r="K347" s="3" t="s">
        <v>76</v>
      </c>
    </row>
    <row r="348" spans="1:11" ht="42" customHeight="1">
      <c r="A348" s="2" t="s">
        <v>1173</v>
      </c>
      <c r="B348" s="2" t="s">
        <v>1174</v>
      </c>
      <c r="C348" s="2" t="s">
        <v>17</v>
      </c>
      <c r="D348" s="2" t="s">
        <v>27</v>
      </c>
      <c r="E348" s="4">
        <v>-32741</v>
      </c>
      <c r="F348" s="3" t="s">
        <v>98</v>
      </c>
      <c r="G348" s="3" t="s">
        <v>90</v>
      </c>
      <c r="H348" s="2" t="s">
        <v>74</v>
      </c>
      <c r="I348" s="2" t="s">
        <v>1175</v>
      </c>
      <c r="J348" s="3" t="str">
        <f>HYPERLINK("https://www.boe.es/gazeta/dias/1810/05/10/pdfs/GMD-1810-130.pdf#page=4","Abrir facsímil")</f>
        <v>Abrir facsímil</v>
      </c>
      <c r="K348" s="3" t="s">
        <v>76</v>
      </c>
    </row>
    <row r="349" spans="1:11" ht="42" customHeight="1">
      <c r="A349" s="2" t="s">
        <v>1176</v>
      </c>
      <c r="B349" s="2" t="s">
        <v>1176</v>
      </c>
      <c r="C349" s="2" t="s">
        <v>111</v>
      </c>
      <c r="D349" s="2" t="s">
        <v>27</v>
      </c>
      <c r="E349" s="4">
        <v>-32856</v>
      </c>
      <c r="F349" s="3" t="s">
        <v>963</v>
      </c>
      <c r="G349" s="3" t="s">
        <v>140</v>
      </c>
      <c r="H349" s="2" t="s">
        <v>74</v>
      </c>
      <c r="I349" s="2" t="s">
        <v>1177</v>
      </c>
      <c r="J349" s="3" t="str">
        <f>HYPERLINK("https://www.boe.es/gazeta/dias/1810/01/15/pdfs/GMD-1810-15.pdf#page=4","Abrir facsímil")</f>
        <v>Abrir facsímil</v>
      </c>
      <c r="K349" s="3" t="s">
        <v>76</v>
      </c>
    </row>
    <row r="350" spans="1:11" ht="42" customHeight="1">
      <c r="A350" s="2" t="s">
        <v>1178</v>
      </c>
      <c r="B350" s="2" t="s">
        <v>1178</v>
      </c>
      <c r="C350" s="2" t="s">
        <v>26</v>
      </c>
      <c r="D350" s="2" t="s">
        <v>27</v>
      </c>
      <c r="E350" s="4">
        <v>-32728</v>
      </c>
      <c r="F350" s="3" t="s">
        <v>269</v>
      </c>
      <c r="G350" s="3" t="s">
        <v>119</v>
      </c>
      <c r="H350" s="2" t="s">
        <v>74</v>
      </c>
      <c r="I350" s="2" t="s">
        <v>1179</v>
      </c>
      <c r="J350" s="3" t="str">
        <f>HYPERLINK("https://www.boe.es/gazeta/dias/1810/05/23/pdfs/GMD-1810-143.pdf#page=3","Abrir facsímil")</f>
        <v>Abrir facsímil</v>
      </c>
      <c r="K350" s="3" t="s">
        <v>76</v>
      </c>
    </row>
    <row r="351" spans="1:11" ht="42" customHeight="1">
      <c r="A351" s="2" t="s">
        <v>1180</v>
      </c>
      <c r="B351" s="2" t="s">
        <v>1181</v>
      </c>
      <c r="C351" s="2" t="s">
        <v>26</v>
      </c>
      <c r="D351" s="2" t="s">
        <v>27</v>
      </c>
      <c r="E351" s="4">
        <v>-32632</v>
      </c>
      <c r="F351" s="3" t="s">
        <v>358</v>
      </c>
      <c r="G351" s="3" t="s">
        <v>359</v>
      </c>
      <c r="H351" s="2" t="s">
        <v>74</v>
      </c>
      <c r="I351" s="2" t="s">
        <v>1182</v>
      </c>
      <c r="J351" s="3" t="str">
        <f>HYPERLINK("https://www.boe.es/gazeta/dias/1810/08/27/pdfs/GMD-1810-239.pdf#page=3","Abrir facsímil")</f>
        <v>Abrir facsímil</v>
      </c>
      <c r="K351" s="3" t="s">
        <v>76</v>
      </c>
    </row>
    <row r="352" spans="1:11" ht="42" customHeight="1">
      <c r="A352" s="2" t="s">
        <v>1183</v>
      </c>
      <c r="B352" s="2" t="s">
        <v>1183</v>
      </c>
      <c r="C352" s="2" t="s">
        <v>26</v>
      </c>
      <c r="D352" s="2" t="s">
        <v>27</v>
      </c>
      <c r="E352" s="4">
        <v>-32839</v>
      </c>
      <c r="F352" s="3" t="s">
        <v>28</v>
      </c>
      <c r="G352" s="3" t="s">
        <v>29</v>
      </c>
      <c r="H352" s="2" t="s">
        <v>74</v>
      </c>
      <c r="I352" s="2" t="s">
        <v>1184</v>
      </c>
      <c r="J352" s="3" t="str">
        <f>HYPERLINK("https://www.boe.es/gazeta/dias/1810/02/01/pdfs/GMD-1810-32.pdf#page=3","Abrir facsímil")</f>
        <v>Abrir facsímil</v>
      </c>
      <c r="K352" s="3" t="s">
        <v>76</v>
      </c>
    </row>
    <row r="353" spans="1:11" ht="42" customHeight="1">
      <c r="A353" s="2" t="s">
        <v>1185</v>
      </c>
      <c r="B353" s="2" t="s">
        <v>1185</v>
      </c>
      <c r="C353" s="2" t="s">
        <v>26</v>
      </c>
      <c r="D353" s="2" t="s">
        <v>27</v>
      </c>
      <c r="E353" s="4">
        <v>-32562</v>
      </c>
      <c r="F353" s="3" t="s">
        <v>1186</v>
      </c>
      <c r="G353" s="3" t="s">
        <v>29</v>
      </c>
      <c r="H353" s="2" t="s">
        <v>74</v>
      </c>
      <c r="I353" s="2" t="s">
        <v>1187</v>
      </c>
      <c r="J353" s="3" t="str">
        <f>HYPERLINK("https://www.boe.es/gazeta/dias/1810/11/05/pdfs/GMD-1810-309.pdf#page=2","Abrir facsímil")</f>
        <v>Abrir facsímil</v>
      </c>
      <c r="K353" s="3" t="s">
        <v>76</v>
      </c>
    </row>
    <row r="354" spans="1:11" ht="42" customHeight="1">
      <c r="A354" s="2" t="s">
        <v>1188</v>
      </c>
      <c r="B354" s="2" t="s">
        <v>1188</v>
      </c>
      <c r="C354" s="2" t="s">
        <v>33</v>
      </c>
      <c r="D354" s="2" t="s">
        <v>27</v>
      </c>
      <c r="E354" s="4">
        <v>-32784</v>
      </c>
      <c r="F354" s="3" t="s">
        <v>429</v>
      </c>
      <c r="G354" s="3" t="s">
        <v>131</v>
      </c>
      <c r="H354" s="2" t="s">
        <v>74</v>
      </c>
      <c r="I354" s="2" t="s">
        <v>1189</v>
      </c>
      <c r="J354" s="3" t="str">
        <f>HYPERLINK("https://www.boe.es/gazeta/dias/1810/03/28/pdfs/GMD-1810-87.pdf#page=3","Abrir facsímil")</f>
        <v>Abrir facsímil</v>
      </c>
      <c r="K354" s="3" t="s">
        <v>76</v>
      </c>
    </row>
    <row r="355" spans="1:11" ht="42" customHeight="1">
      <c r="A355" s="2" t="s">
        <v>1188</v>
      </c>
      <c r="B355" s="2" t="s">
        <v>1188</v>
      </c>
      <c r="C355" s="2" t="s">
        <v>26</v>
      </c>
      <c r="D355" s="2" t="s">
        <v>220</v>
      </c>
      <c r="E355" s="4">
        <v>-32622</v>
      </c>
      <c r="F355" s="3" t="s">
        <v>1190</v>
      </c>
      <c r="G355" s="3" t="s">
        <v>1191</v>
      </c>
      <c r="H355" s="2" t="s">
        <v>74</v>
      </c>
      <c r="I355" s="2" t="s">
        <v>1192</v>
      </c>
      <c r="J355" s="3" t="str">
        <f>HYPERLINK("https://www.boe.es/gazeta/dias/1810/09/06/pdfs/GMD-1810-249.pdf#page=1","Abrir facsímil")</f>
        <v>Abrir facsímil</v>
      </c>
      <c r="K355" s="3" t="s">
        <v>76</v>
      </c>
    </row>
    <row r="356" spans="1:11" ht="42" customHeight="1">
      <c r="A356" s="2" t="s">
        <v>1193</v>
      </c>
      <c r="B356" s="2" t="s">
        <v>1193</v>
      </c>
      <c r="C356" s="2" t="s">
        <v>88</v>
      </c>
      <c r="D356" s="2" t="s">
        <v>117</v>
      </c>
      <c r="E356" s="4">
        <v>-32861</v>
      </c>
      <c r="F356" s="3" t="s">
        <v>796</v>
      </c>
      <c r="G356" s="3" t="s">
        <v>29</v>
      </c>
      <c r="H356" s="2" t="s">
        <v>74</v>
      </c>
      <c r="I356" s="2" t="s">
        <v>1194</v>
      </c>
      <c r="J356" s="3" t="str">
        <f>HYPERLINK("https://www.boe.es/gazeta/dias/1810/01/10/pdfs/GMD-1810-10.pdf#page=2","Abrir facsímil")</f>
        <v>Abrir facsímil</v>
      </c>
      <c r="K356" s="3" t="s">
        <v>76</v>
      </c>
    </row>
    <row r="357" spans="1:11" ht="42" customHeight="1">
      <c r="A357" s="2" t="s">
        <v>1193</v>
      </c>
      <c r="B357" s="2" t="s">
        <v>1193</v>
      </c>
      <c r="C357" s="2" t="s">
        <v>88</v>
      </c>
      <c r="D357" s="2" t="s">
        <v>117</v>
      </c>
      <c r="E357" s="4">
        <v>-32828</v>
      </c>
      <c r="F357" s="3" t="s">
        <v>1195</v>
      </c>
      <c r="G357" s="3" t="s">
        <v>701</v>
      </c>
      <c r="H357" s="2" t="s">
        <v>74</v>
      </c>
      <c r="I357" s="2" t="s">
        <v>1196</v>
      </c>
      <c r="J357" s="3" t="str">
        <f>HYPERLINK("https://www.boe.es/gazeta/dias/1810/02/12/pdfs/GMD-1810-43.pdf#page=2","Abrir facsímil")</f>
        <v>Abrir facsímil</v>
      </c>
      <c r="K357" s="3" t="s">
        <v>76</v>
      </c>
    </row>
    <row r="358" spans="1:11" ht="42" customHeight="1">
      <c r="A358" s="2" t="s">
        <v>1193</v>
      </c>
      <c r="B358" s="2" t="s">
        <v>1193</v>
      </c>
      <c r="C358" s="2" t="s">
        <v>88</v>
      </c>
      <c r="D358" s="2" t="s">
        <v>27</v>
      </c>
      <c r="E358" s="4">
        <v>-32822</v>
      </c>
      <c r="F358" s="3" t="s">
        <v>1197</v>
      </c>
      <c r="G358" s="3" t="s">
        <v>151</v>
      </c>
      <c r="H358" s="2" t="s">
        <v>74</v>
      </c>
      <c r="I358" s="2" t="s">
        <v>1198</v>
      </c>
      <c r="J358" s="3" t="str">
        <f>HYPERLINK("https://www.boe.es/gazeta/dias/1810/02/18/pdfs/GMD-1810-49.pdf#page=2","Abrir facsímil")</f>
        <v>Abrir facsímil</v>
      </c>
      <c r="K358" s="3" t="s">
        <v>76</v>
      </c>
    </row>
    <row r="359" spans="1:11" ht="42" customHeight="1">
      <c r="A359" s="2" t="s">
        <v>1193</v>
      </c>
      <c r="B359" s="2" t="s">
        <v>1193</v>
      </c>
      <c r="C359" s="2" t="s">
        <v>88</v>
      </c>
      <c r="D359" s="2" t="s">
        <v>117</v>
      </c>
      <c r="E359" s="4">
        <v>-32820</v>
      </c>
      <c r="F359" s="3" t="s">
        <v>226</v>
      </c>
      <c r="G359" s="3" t="s">
        <v>356</v>
      </c>
      <c r="H359" s="2" t="s">
        <v>74</v>
      </c>
      <c r="I359" s="2" t="s">
        <v>1199</v>
      </c>
      <c r="J359" s="3" t="str">
        <f>HYPERLINK("https://www.boe.es/gazeta/dias/1810/02/20/pdfs/GMD-1810-51.pdf#page=3","Abrir facsímil")</f>
        <v>Abrir facsímil</v>
      </c>
      <c r="K359" s="3" t="s">
        <v>76</v>
      </c>
    </row>
    <row r="360" spans="1:11" ht="42" customHeight="1">
      <c r="A360" s="2" t="s">
        <v>1193</v>
      </c>
      <c r="B360" s="2" t="s">
        <v>1193</v>
      </c>
      <c r="C360" s="2" t="s">
        <v>88</v>
      </c>
      <c r="D360" s="2" t="s">
        <v>27</v>
      </c>
      <c r="E360" s="4">
        <v>-32820</v>
      </c>
      <c r="F360" s="3" t="s">
        <v>226</v>
      </c>
      <c r="G360" s="3" t="s">
        <v>227</v>
      </c>
      <c r="H360" s="2" t="s">
        <v>74</v>
      </c>
      <c r="I360" s="2" t="s">
        <v>1200</v>
      </c>
      <c r="J360" s="3" t="str">
        <f>HYPERLINK("https://www.boe.es/gazeta/dias/1810/02/20/pdfs/GMD-1810-51.pdf#page=4","Abrir facsímil")</f>
        <v>Abrir facsímil</v>
      </c>
      <c r="K360" s="3" t="s">
        <v>76</v>
      </c>
    </row>
    <row r="361" spans="1:11" ht="42" customHeight="1">
      <c r="A361" s="2" t="s">
        <v>1193</v>
      </c>
      <c r="B361" s="2" t="s">
        <v>1193</v>
      </c>
      <c r="C361" s="2" t="s">
        <v>111</v>
      </c>
      <c r="D361" s="2" t="s">
        <v>27</v>
      </c>
      <c r="E361" s="4">
        <v>-32815</v>
      </c>
      <c r="F361" s="3" t="s">
        <v>1201</v>
      </c>
      <c r="G361" s="3" t="s">
        <v>90</v>
      </c>
      <c r="H361" s="2" t="s">
        <v>74</v>
      </c>
      <c r="I361" s="2" t="s">
        <v>1202</v>
      </c>
      <c r="J361" s="3" t="str">
        <f>HYPERLINK("https://www.boe.es/gazeta/dias/1810/02/25/pdfs/GMD-1810-56.pdf#page=2","Abrir facsímil")</f>
        <v>Abrir facsímil</v>
      </c>
      <c r="K361" s="3" t="s">
        <v>76</v>
      </c>
    </row>
    <row r="362" spans="1:11" ht="42" customHeight="1">
      <c r="A362" s="2" t="s">
        <v>1193</v>
      </c>
      <c r="B362" s="2" t="s">
        <v>1193</v>
      </c>
      <c r="C362" s="2" t="s">
        <v>26</v>
      </c>
      <c r="D362" s="2" t="s">
        <v>27</v>
      </c>
      <c r="E362" s="4">
        <v>-32776</v>
      </c>
      <c r="F362" s="3" t="s">
        <v>752</v>
      </c>
      <c r="G362" s="3" t="s">
        <v>213</v>
      </c>
      <c r="H362" s="2" t="s">
        <v>74</v>
      </c>
      <c r="I362" s="2" t="s">
        <v>1203</v>
      </c>
      <c r="J362" s="3" t="str">
        <f>HYPERLINK("https://www.boe.es/gazeta/dias/1810/04/05/pdfs/GMD-1810-95.pdf#page=3","Abrir facsímil")</f>
        <v>Abrir facsímil</v>
      </c>
      <c r="K362" s="3" t="s">
        <v>76</v>
      </c>
    </row>
    <row r="363" spans="1:11" ht="42" customHeight="1">
      <c r="A363" s="2" t="s">
        <v>1193</v>
      </c>
      <c r="B363" s="2" t="s">
        <v>1193</v>
      </c>
      <c r="C363" s="2" t="s">
        <v>33</v>
      </c>
      <c r="D363" s="2" t="s">
        <v>220</v>
      </c>
      <c r="E363" s="4">
        <v>-32766</v>
      </c>
      <c r="F363" s="3" t="s">
        <v>492</v>
      </c>
      <c r="G363" s="3" t="s">
        <v>99</v>
      </c>
      <c r="H363" s="2" t="s">
        <v>74</v>
      </c>
      <c r="I363" s="2" t="s">
        <v>1204</v>
      </c>
      <c r="J363" s="3" t="str">
        <f>HYPERLINK("https://www.boe.es/gazeta/dias/1810/04/15/pdfs/GMD-1810-105.pdf#page=3","Abrir facsímil")</f>
        <v>Abrir facsímil</v>
      </c>
      <c r="K363" s="3" t="s">
        <v>76</v>
      </c>
    </row>
    <row r="364" spans="1:11" ht="42" customHeight="1">
      <c r="A364" s="2" t="s">
        <v>1193</v>
      </c>
      <c r="B364" s="2" t="s">
        <v>1193</v>
      </c>
      <c r="C364" s="2" t="s">
        <v>88</v>
      </c>
      <c r="D364" s="2" t="s">
        <v>27</v>
      </c>
      <c r="E364" s="4">
        <v>-32751</v>
      </c>
      <c r="F364" s="3" t="s">
        <v>1205</v>
      </c>
      <c r="G364" s="3" t="s">
        <v>191</v>
      </c>
      <c r="H364" s="2" t="s">
        <v>74</v>
      </c>
      <c r="I364" s="2" t="s">
        <v>1206</v>
      </c>
      <c r="J364" s="3" t="str">
        <f>HYPERLINK("https://www.boe.es/gazeta/dias/1810/04/30/pdfs/GMD-1810-120.pdf#page=3","Abrir facsímil")</f>
        <v>Abrir facsímil</v>
      </c>
      <c r="K364" s="3" t="s">
        <v>76</v>
      </c>
    </row>
    <row r="365" spans="1:11" ht="42" customHeight="1">
      <c r="A365" s="2" t="s">
        <v>1193</v>
      </c>
      <c r="B365" s="2" t="s">
        <v>1193</v>
      </c>
      <c r="C365" s="2" t="s">
        <v>26</v>
      </c>
      <c r="D365" s="2" t="s">
        <v>27</v>
      </c>
      <c r="E365" s="4">
        <v>-32740</v>
      </c>
      <c r="F365" s="3" t="s">
        <v>1207</v>
      </c>
      <c r="G365" s="3" t="s">
        <v>20</v>
      </c>
      <c r="H365" s="2" t="s">
        <v>74</v>
      </c>
      <c r="I365" s="2" t="s">
        <v>1208</v>
      </c>
      <c r="J365" s="3" t="str">
        <f>HYPERLINK("https://www.boe.es/gazeta/dias/1810/05/11/pdfs/GMD-1810-131.pdf#page=4","Abrir facsímil")</f>
        <v>Abrir facsímil</v>
      </c>
      <c r="K365" s="3" t="s">
        <v>76</v>
      </c>
    </row>
    <row r="366" spans="1:11" ht="42" customHeight="1">
      <c r="A366" s="2" t="s">
        <v>1193</v>
      </c>
      <c r="B366" s="2" t="s">
        <v>1193</v>
      </c>
      <c r="C366" s="2" t="s">
        <v>26</v>
      </c>
      <c r="D366" s="2" t="s">
        <v>27</v>
      </c>
      <c r="E366" s="4">
        <v>-32736</v>
      </c>
      <c r="F366" s="3" t="s">
        <v>400</v>
      </c>
      <c r="G366" s="3" t="s">
        <v>401</v>
      </c>
      <c r="H366" s="2" t="s">
        <v>74</v>
      </c>
      <c r="I366" s="2" t="s">
        <v>1209</v>
      </c>
      <c r="J366" s="3" t="str">
        <f>HYPERLINK("https://www.boe.es/gazeta/dias/1810/05/15/pdfs/GMD-1810-135.pdf#page=4","Abrir facsímil")</f>
        <v>Abrir facsímil</v>
      </c>
      <c r="K366" s="3" t="s">
        <v>76</v>
      </c>
    </row>
    <row r="367" spans="1:11" ht="42" customHeight="1">
      <c r="A367" s="2" t="s">
        <v>1193</v>
      </c>
      <c r="B367" s="2" t="s">
        <v>1193</v>
      </c>
      <c r="C367" s="2" t="s">
        <v>88</v>
      </c>
      <c r="D367" s="2" t="s">
        <v>27</v>
      </c>
      <c r="E367" s="4">
        <v>-32706</v>
      </c>
      <c r="F367" s="3" t="s">
        <v>1210</v>
      </c>
      <c r="G367" s="3" t="s">
        <v>1211</v>
      </c>
      <c r="H367" s="2" t="s">
        <v>74</v>
      </c>
      <c r="I367" s="2" t="s">
        <v>1212</v>
      </c>
      <c r="J367" s="3" t="str">
        <f>HYPERLINK("https://www.boe.es/gazeta/dias/1810/06/14/pdfs/GMD-1810-165.pdf#page=1","Abrir facsímil")</f>
        <v>Abrir facsímil</v>
      </c>
      <c r="K367" s="3" t="s">
        <v>76</v>
      </c>
    </row>
    <row r="368" spans="1:11" ht="42" customHeight="1">
      <c r="A368" s="2" t="s">
        <v>1193</v>
      </c>
      <c r="B368" s="2" t="s">
        <v>1193</v>
      </c>
      <c r="C368" s="2" t="s">
        <v>26</v>
      </c>
      <c r="D368" s="2" t="s">
        <v>18</v>
      </c>
      <c r="E368" s="4">
        <v>-32703</v>
      </c>
      <c r="F368" s="3" t="s">
        <v>1213</v>
      </c>
      <c r="G368" s="3" t="s">
        <v>1214</v>
      </c>
      <c r="H368" s="2" t="s">
        <v>74</v>
      </c>
      <c r="I368" s="2" t="s">
        <v>1215</v>
      </c>
      <c r="J368" s="3" t="str">
        <f>HYPERLINK("https://www.boe.es/gazeta/dias/1810/06/17/pdfs/GMD-1810-168.pdf#page=4","Abrir facsímil")</f>
        <v>Abrir facsímil</v>
      </c>
      <c r="K368" s="3" t="s">
        <v>76</v>
      </c>
    </row>
    <row r="369" spans="1:11" ht="42" customHeight="1">
      <c r="A369" s="2" t="s">
        <v>1193</v>
      </c>
      <c r="B369" s="2" t="s">
        <v>1193</v>
      </c>
      <c r="C369" s="2" t="s">
        <v>26</v>
      </c>
      <c r="D369" s="2" t="s">
        <v>220</v>
      </c>
      <c r="E369" s="4">
        <v>-32699</v>
      </c>
      <c r="F369" s="3" t="s">
        <v>1216</v>
      </c>
      <c r="G369" s="3" t="s">
        <v>1217</v>
      </c>
      <c r="H369" s="2" t="s">
        <v>74</v>
      </c>
      <c r="I369" s="2" t="s">
        <v>1218</v>
      </c>
      <c r="J369" s="3" t="str">
        <f>HYPERLINK("https://www.boe.es/gazeta/dias/1810/06/21/pdfs/GMD-1810-172.pdf#page=1","Abrir facsímil")</f>
        <v>Abrir facsímil</v>
      </c>
      <c r="K369" s="3" t="s">
        <v>76</v>
      </c>
    </row>
    <row r="370" spans="1:11" ht="42" customHeight="1">
      <c r="A370" s="2" t="s">
        <v>1193</v>
      </c>
      <c r="B370" s="2" t="s">
        <v>1193</v>
      </c>
      <c r="C370" s="2" t="s">
        <v>88</v>
      </c>
      <c r="D370" s="2" t="s">
        <v>27</v>
      </c>
      <c r="E370" s="4">
        <v>-32699</v>
      </c>
      <c r="F370" s="3" t="s">
        <v>1216</v>
      </c>
      <c r="G370" s="3" t="s">
        <v>1219</v>
      </c>
      <c r="H370" s="2" t="s">
        <v>74</v>
      </c>
      <c r="I370" s="2" t="s">
        <v>1220</v>
      </c>
      <c r="J370" s="3" t="str">
        <f>HYPERLINK("https://www.boe.es/gazeta/dias/1810/06/21/pdfs/GMD-1810-172.pdf#page=4","Abrir facsímil")</f>
        <v>Abrir facsímil</v>
      </c>
      <c r="K370" s="3" t="s">
        <v>76</v>
      </c>
    </row>
    <row r="371" spans="1:11" ht="42" customHeight="1">
      <c r="A371" s="2" t="s">
        <v>1193</v>
      </c>
      <c r="B371" s="2" t="s">
        <v>1193</v>
      </c>
      <c r="C371" s="2" t="s">
        <v>26</v>
      </c>
      <c r="D371" s="2" t="s">
        <v>27</v>
      </c>
      <c r="E371" s="4">
        <v>-32689</v>
      </c>
      <c r="F371" s="3" t="s">
        <v>571</v>
      </c>
      <c r="G371" s="3" t="s">
        <v>140</v>
      </c>
      <c r="H371" s="2" t="s">
        <v>74</v>
      </c>
      <c r="I371" s="2" t="s">
        <v>1221</v>
      </c>
      <c r="J371" s="3" t="str">
        <f>HYPERLINK("https://www.boe.es/gazeta/dias/1810/07/01/pdfs/GMD-1810-182.pdf#page=4","Abrir facsímil")</f>
        <v>Abrir facsímil</v>
      </c>
      <c r="K371" s="3" t="s">
        <v>76</v>
      </c>
    </row>
    <row r="372" spans="1:11" ht="42" customHeight="1">
      <c r="A372" s="2" t="s">
        <v>1193</v>
      </c>
      <c r="B372" s="2" t="s">
        <v>1193</v>
      </c>
      <c r="C372" s="2" t="s">
        <v>26</v>
      </c>
      <c r="D372" s="2" t="s">
        <v>39</v>
      </c>
      <c r="E372" s="4">
        <v>-32669</v>
      </c>
      <c r="F372" s="3" t="s">
        <v>1110</v>
      </c>
      <c r="G372" s="3" t="s">
        <v>1222</v>
      </c>
      <c r="H372" s="2" t="s">
        <v>74</v>
      </c>
      <c r="I372" s="2" t="s">
        <v>1223</v>
      </c>
      <c r="J372" s="3" t="str">
        <f>HYPERLINK("https://www.boe.es/gazeta/dias/1810/07/21/pdfs/GMD-C-1810-202.pdf#page=2","Abrir facsímil")</f>
        <v>Abrir facsímil</v>
      </c>
      <c r="K372" s="3" t="s">
        <v>76</v>
      </c>
    </row>
    <row r="373" spans="1:11" ht="42" customHeight="1">
      <c r="A373" s="2" t="s">
        <v>1193</v>
      </c>
      <c r="B373" s="2" t="s">
        <v>1193</v>
      </c>
      <c r="C373" s="2" t="s">
        <v>88</v>
      </c>
      <c r="D373" s="2" t="s">
        <v>117</v>
      </c>
      <c r="E373" s="4">
        <v>-32658</v>
      </c>
      <c r="F373" s="3" t="s">
        <v>1224</v>
      </c>
      <c r="G373" s="3" t="s">
        <v>140</v>
      </c>
      <c r="H373" s="2" t="s">
        <v>74</v>
      </c>
      <c r="I373" s="2" t="s">
        <v>1225</v>
      </c>
      <c r="J373" s="3" t="str">
        <f>HYPERLINK("https://www.boe.es/gazeta/dias/1810/08/01/pdfs/GMD-1810-213.pdf#page=4","Abrir facsímil")</f>
        <v>Abrir facsímil</v>
      </c>
      <c r="K373" s="3" t="s">
        <v>76</v>
      </c>
    </row>
    <row r="374" spans="1:11" ht="42" customHeight="1">
      <c r="A374" s="2" t="s">
        <v>1193</v>
      </c>
      <c r="B374" s="2" t="s">
        <v>1193</v>
      </c>
      <c r="C374" s="2" t="s">
        <v>17</v>
      </c>
      <c r="D374" s="2" t="s">
        <v>18</v>
      </c>
      <c r="E374" s="4">
        <v>-32654</v>
      </c>
      <c r="F374" s="3" t="s">
        <v>1226</v>
      </c>
      <c r="G374" s="3" t="s">
        <v>732</v>
      </c>
      <c r="H374" s="2" t="s">
        <v>74</v>
      </c>
      <c r="I374" s="2" t="s">
        <v>1227</v>
      </c>
      <c r="J374" s="3" t="str">
        <f>HYPERLINK("https://www.boe.es/gazeta/dias/1810/08/05/pdfs/GMD-1810-217.pdf#page=3","Abrir facsímil")</f>
        <v>Abrir facsímil</v>
      </c>
      <c r="K374" s="3" t="s">
        <v>76</v>
      </c>
    </row>
    <row r="375" spans="1:11" ht="42" customHeight="1">
      <c r="A375" s="2" t="s">
        <v>1193</v>
      </c>
      <c r="B375" s="2" t="s">
        <v>1193</v>
      </c>
      <c r="C375" s="2" t="s">
        <v>26</v>
      </c>
      <c r="D375" s="2" t="s">
        <v>27</v>
      </c>
      <c r="E375" s="4">
        <v>-32654</v>
      </c>
      <c r="F375" s="3" t="s">
        <v>1226</v>
      </c>
      <c r="G375" s="3" t="s">
        <v>180</v>
      </c>
      <c r="H375" s="2" t="s">
        <v>74</v>
      </c>
      <c r="I375" s="2" t="s">
        <v>1228</v>
      </c>
      <c r="J375" s="3" t="str">
        <f>HYPERLINK("https://www.boe.es/gazeta/dias/1810/08/05/pdfs/GMD-1810-217.pdf#page=4","Abrir facsímil")</f>
        <v>Abrir facsímil</v>
      </c>
      <c r="K375" s="3" t="s">
        <v>76</v>
      </c>
    </row>
    <row r="376" spans="1:11" ht="42" customHeight="1">
      <c r="A376" s="2" t="s">
        <v>1193</v>
      </c>
      <c r="B376" s="2" t="s">
        <v>1193</v>
      </c>
      <c r="C376" s="2" t="s">
        <v>88</v>
      </c>
      <c r="D376" s="2" t="s">
        <v>117</v>
      </c>
      <c r="E376" s="4">
        <v>-32644</v>
      </c>
      <c r="F376" s="3" t="s">
        <v>457</v>
      </c>
      <c r="G376" s="3" t="s">
        <v>90</v>
      </c>
      <c r="H376" s="2" t="s">
        <v>74</v>
      </c>
      <c r="I376" s="2" t="s">
        <v>1229</v>
      </c>
      <c r="J376" s="3" t="str">
        <f>HYPERLINK("https://www.boe.es/gazeta/dias/1810/08/15/pdfs/GMD-1810-227.pdf#page=2","Abrir facsímil")</f>
        <v>Abrir facsímil</v>
      </c>
      <c r="K376" s="3" t="s">
        <v>76</v>
      </c>
    </row>
    <row r="377" spans="1:11" ht="42" customHeight="1">
      <c r="A377" s="2" t="s">
        <v>1193</v>
      </c>
      <c r="B377" s="2" t="s">
        <v>1193</v>
      </c>
      <c r="C377" s="2" t="s">
        <v>111</v>
      </c>
      <c r="D377" s="2" t="s">
        <v>27</v>
      </c>
      <c r="E377" s="4">
        <v>-32633</v>
      </c>
      <c r="F377" s="3" t="s">
        <v>1230</v>
      </c>
      <c r="G377" s="3" t="s">
        <v>1231</v>
      </c>
      <c r="H377" s="2" t="s">
        <v>74</v>
      </c>
      <c r="I377" s="2" t="s">
        <v>1232</v>
      </c>
      <c r="J377" s="3" t="str">
        <f>HYPERLINK("https://www.boe.es/gazeta/dias/1810/08/26/pdfs/GMD-1810-238.pdf#page=2","Abrir facsímil")</f>
        <v>Abrir facsímil</v>
      </c>
      <c r="K377" s="3" t="s">
        <v>76</v>
      </c>
    </row>
    <row r="378" spans="1:11" ht="42" customHeight="1">
      <c r="A378" s="2" t="s">
        <v>1193</v>
      </c>
      <c r="B378" s="2" t="s">
        <v>1193</v>
      </c>
      <c r="C378" s="2" t="s">
        <v>26</v>
      </c>
      <c r="D378" s="2" t="s">
        <v>27</v>
      </c>
      <c r="E378" s="4">
        <v>-32568</v>
      </c>
      <c r="F378" s="3" t="s">
        <v>1233</v>
      </c>
      <c r="G378" s="3" t="s">
        <v>140</v>
      </c>
      <c r="H378" s="2" t="s">
        <v>74</v>
      </c>
      <c r="I378" s="2" t="s">
        <v>1234</v>
      </c>
      <c r="J378" s="3" t="str">
        <f>HYPERLINK("https://www.boe.es/gazeta/dias/1810/10/30/pdfs/GMD-1810-303.pdf#page=4","Abrir facsímil")</f>
        <v>Abrir facsímil</v>
      </c>
      <c r="K378" s="3" t="s">
        <v>76</v>
      </c>
    </row>
    <row r="379" spans="1:11" ht="42" customHeight="1">
      <c r="A379" s="2" t="s">
        <v>1193</v>
      </c>
      <c r="B379" s="2" t="s">
        <v>1193</v>
      </c>
      <c r="C379" s="2" t="s">
        <v>88</v>
      </c>
      <c r="D379" s="2" t="s">
        <v>117</v>
      </c>
      <c r="E379" s="4">
        <v>-32566</v>
      </c>
      <c r="F379" s="3" t="s">
        <v>405</v>
      </c>
      <c r="G379" s="3" t="s">
        <v>469</v>
      </c>
      <c r="H379" s="2" t="s">
        <v>74</v>
      </c>
      <c r="I379" s="2" t="s">
        <v>1235</v>
      </c>
      <c r="J379" s="3" t="str">
        <f>HYPERLINK("https://www.boe.es/gazeta/dias/1810/11/01/pdfs/GMD-1810-305.pdf#page=2","Abrir facsímil")</f>
        <v>Abrir facsímil</v>
      </c>
      <c r="K379" s="3" t="s">
        <v>76</v>
      </c>
    </row>
    <row r="380" spans="1:11" ht="42" customHeight="1">
      <c r="A380" s="2" t="s">
        <v>1193</v>
      </c>
      <c r="B380" s="2" t="s">
        <v>1193</v>
      </c>
      <c r="C380" s="2" t="s">
        <v>26</v>
      </c>
      <c r="D380" s="2" t="s">
        <v>27</v>
      </c>
      <c r="E380" s="4">
        <v>-32566</v>
      </c>
      <c r="F380" s="3" t="s">
        <v>405</v>
      </c>
      <c r="G380" s="3" t="s">
        <v>99</v>
      </c>
      <c r="H380" s="2" t="s">
        <v>74</v>
      </c>
      <c r="I380" s="2" t="s">
        <v>1236</v>
      </c>
      <c r="J380" s="3" t="str">
        <f>HYPERLINK("https://www.boe.es/gazeta/dias/1810/11/01/pdfs/GMD-1810-305.pdf#page=3","Abrir facsímil")</f>
        <v>Abrir facsímil</v>
      </c>
      <c r="K380" s="3" t="s">
        <v>76</v>
      </c>
    </row>
    <row r="381" spans="1:11" ht="42" customHeight="1">
      <c r="A381" s="2" t="s">
        <v>1193</v>
      </c>
      <c r="B381" s="2" t="s">
        <v>1193</v>
      </c>
      <c r="C381" s="2" t="s">
        <v>26</v>
      </c>
      <c r="D381" s="2" t="s">
        <v>27</v>
      </c>
      <c r="E381" s="4">
        <v>-32549</v>
      </c>
      <c r="F381" s="3" t="s">
        <v>1237</v>
      </c>
      <c r="G381" s="3" t="s">
        <v>493</v>
      </c>
      <c r="H381" s="2" t="s">
        <v>74</v>
      </c>
      <c r="I381" s="2" t="s">
        <v>1238</v>
      </c>
      <c r="J381" s="3" t="str">
        <f>HYPERLINK("https://www.boe.es/gazeta/dias/1810/11/18/pdfs/GMD-1810-322.pdf#page=2","Abrir facsímil")</f>
        <v>Abrir facsímil</v>
      </c>
      <c r="K381" s="3" t="s">
        <v>76</v>
      </c>
    </row>
    <row r="382" spans="1:11" ht="42" customHeight="1">
      <c r="A382" s="2" t="s">
        <v>1193</v>
      </c>
      <c r="B382" s="2" t="s">
        <v>1193</v>
      </c>
      <c r="C382" s="2" t="s">
        <v>26</v>
      </c>
      <c r="D382" s="2" t="s">
        <v>27</v>
      </c>
      <c r="E382" s="4">
        <v>-32544</v>
      </c>
      <c r="F382" s="3" t="s">
        <v>1239</v>
      </c>
      <c r="G382" s="3" t="s">
        <v>99</v>
      </c>
      <c r="H382" s="2" t="s">
        <v>74</v>
      </c>
      <c r="I382" s="2" t="s">
        <v>1240</v>
      </c>
      <c r="J382" s="3" t="str">
        <f>HYPERLINK("https://www.boe.es/gazeta/dias/1810/11/23/pdfs/GMD-1810-327.pdf#page=3","Abrir facsímil")</f>
        <v>Abrir facsímil</v>
      </c>
      <c r="K382" s="3" t="s">
        <v>76</v>
      </c>
    </row>
    <row r="383" spans="1:11" ht="42" customHeight="1">
      <c r="A383" s="2" t="s">
        <v>1241</v>
      </c>
      <c r="B383" s="2" t="s">
        <v>1242</v>
      </c>
      <c r="C383" s="2" t="s">
        <v>26</v>
      </c>
      <c r="D383" s="2" t="s">
        <v>27</v>
      </c>
      <c r="E383" s="4">
        <v>-32563</v>
      </c>
      <c r="F383" s="3" t="s">
        <v>535</v>
      </c>
      <c r="G383" s="3" t="s">
        <v>210</v>
      </c>
      <c r="H383" s="2" t="s">
        <v>74</v>
      </c>
      <c r="I383" s="2" t="s">
        <v>1243</v>
      </c>
      <c r="J383" s="3" t="str">
        <f>HYPERLINK("https://www.boe.es/gazeta/dias/1810/11/04/pdfs/GMD-1810-308.pdf#page=18","Abrir facsímil")</f>
        <v>Abrir facsímil</v>
      </c>
      <c r="K383" s="3" t="s">
        <v>76</v>
      </c>
    </row>
    <row r="384" spans="1:11" ht="42" customHeight="1">
      <c r="A384" s="2" t="s">
        <v>1244</v>
      </c>
      <c r="B384" s="2" t="s">
        <v>1245</v>
      </c>
      <c r="C384" s="2" t="s">
        <v>88</v>
      </c>
      <c r="D384" s="2" t="s">
        <v>27</v>
      </c>
      <c r="E384" s="4">
        <v>-32566</v>
      </c>
      <c r="F384" s="3" t="s">
        <v>405</v>
      </c>
      <c r="G384" s="3" t="s">
        <v>469</v>
      </c>
      <c r="H384" s="2" t="s">
        <v>74</v>
      </c>
      <c r="I384" s="2" t="s">
        <v>1246</v>
      </c>
      <c r="J384" s="3" t="str">
        <f>HYPERLINK("https://www.boe.es/gazeta/dias/1810/11/01/pdfs/GMD-1810-305.pdf#page=2","Abrir facsímil")</f>
        <v>Abrir facsímil</v>
      </c>
      <c r="K384" s="3" t="s">
        <v>76</v>
      </c>
    </row>
    <row r="385" spans="1:11" ht="42" customHeight="1">
      <c r="A385" s="2" t="s">
        <v>1247</v>
      </c>
      <c r="B385" s="2" t="s">
        <v>1248</v>
      </c>
      <c r="C385" s="2" t="s">
        <v>111</v>
      </c>
      <c r="D385" s="2" t="s">
        <v>27</v>
      </c>
      <c r="E385" s="4">
        <v>-32653</v>
      </c>
      <c r="F385" s="3" t="s">
        <v>1043</v>
      </c>
      <c r="G385" s="3" t="s">
        <v>90</v>
      </c>
      <c r="H385" s="2" t="s">
        <v>74</v>
      </c>
      <c r="I385" s="2" t="s">
        <v>1249</v>
      </c>
      <c r="J385" s="3" t="str">
        <f>HYPERLINK("https://www.boe.es/gazeta/dias/1810/08/06/pdfs/GMD-1810-218.pdf#page=4","Abrir facsímil")</f>
        <v>Abrir facsímil</v>
      </c>
      <c r="K385" s="3" t="s">
        <v>76</v>
      </c>
    </row>
    <row r="386" spans="1:11" ht="42" customHeight="1">
      <c r="A386" s="2" t="s">
        <v>1250</v>
      </c>
      <c r="B386" s="2" t="s">
        <v>1251</v>
      </c>
      <c r="C386" s="2" t="s">
        <v>17</v>
      </c>
      <c r="D386" s="2" t="s">
        <v>18</v>
      </c>
      <c r="E386" s="4">
        <v>-32826</v>
      </c>
      <c r="F386" s="3" t="s">
        <v>1252</v>
      </c>
      <c r="G386" s="3" t="s">
        <v>227</v>
      </c>
      <c r="H386" s="2" t="s">
        <v>74</v>
      </c>
      <c r="I386" s="2" t="s">
        <v>1253</v>
      </c>
      <c r="J386" s="3" t="str">
        <f>HYPERLINK("https://www.boe.es/gazeta/dias/1810/02/14/pdfs/GMD-1810-45.pdf#page=4","Abrir facsímil")</f>
        <v>Abrir facsímil</v>
      </c>
      <c r="K386" s="3" t="s">
        <v>76</v>
      </c>
    </row>
    <row r="387" spans="1:11" ht="42" customHeight="1">
      <c r="A387" s="2" t="s">
        <v>1250</v>
      </c>
      <c r="B387" s="2" t="s">
        <v>1251</v>
      </c>
      <c r="C387" s="2" t="s">
        <v>88</v>
      </c>
      <c r="D387" s="2" t="s">
        <v>27</v>
      </c>
      <c r="E387" s="4">
        <v>-32788</v>
      </c>
      <c r="F387" s="3" t="s">
        <v>1254</v>
      </c>
      <c r="G387" s="3" t="s">
        <v>90</v>
      </c>
      <c r="H387" s="2" t="s">
        <v>74</v>
      </c>
      <c r="I387" s="2" t="s">
        <v>1255</v>
      </c>
      <c r="J387" s="3" t="str">
        <f>HYPERLINK("https://www.boe.es/gazeta/dias/1810/03/24/pdfs/GMD-1810-83.pdf#page=4","Abrir facsímil")</f>
        <v>Abrir facsímil</v>
      </c>
      <c r="K387" s="3" t="s">
        <v>76</v>
      </c>
    </row>
    <row r="388" spans="1:11" ht="42" customHeight="1">
      <c r="A388" s="2" t="s">
        <v>1250</v>
      </c>
      <c r="B388" s="2" t="s">
        <v>1251</v>
      </c>
      <c r="C388" s="2" t="s">
        <v>26</v>
      </c>
      <c r="D388" s="2" t="s">
        <v>39</v>
      </c>
      <c r="E388" s="4">
        <v>-32661</v>
      </c>
      <c r="F388" s="3" t="s">
        <v>157</v>
      </c>
      <c r="G388" s="3" t="s">
        <v>158</v>
      </c>
      <c r="H388" s="2" t="s">
        <v>74</v>
      </c>
      <c r="I388" s="2" t="s">
        <v>1256</v>
      </c>
      <c r="J388" s="3" t="str">
        <f>HYPERLINK("https://www.boe.es/gazeta/dias/1810/07/29/pdfs/GMD-C-1810-210.pdf#page=1","Abrir facsímil")</f>
        <v>Abrir facsímil</v>
      </c>
      <c r="K388" s="3" t="s">
        <v>76</v>
      </c>
    </row>
    <row r="389" spans="1:11" ht="42" customHeight="1">
      <c r="A389" s="2" t="s">
        <v>1257</v>
      </c>
      <c r="B389" s="2" t="s">
        <v>1258</v>
      </c>
      <c r="C389" s="2" t="s">
        <v>26</v>
      </c>
      <c r="D389" s="2" t="s">
        <v>27</v>
      </c>
      <c r="E389" s="4">
        <v>-32736</v>
      </c>
      <c r="F389" s="3" t="s">
        <v>400</v>
      </c>
      <c r="G389" s="3" t="s">
        <v>401</v>
      </c>
      <c r="H389" s="2" t="s">
        <v>74</v>
      </c>
      <c r="I389" s="2" t="s">
        <v>1259</v>
      </c>
      <c r="J389" s="3" t="str">
        <f>HYPERLINK("https://www.boe.es/gazeta/dias/1810/05/15/pdfs/GMD-1810-135.pdf#page=4","Abrir facsímil")</f>
        <v>Abrir facsímil</v>
      </c>
      <c r="K389" s="3" t="s">
        <v>76</v>
      </c>
    </row>
    <row r="390" spans="1:11" ht="42" customHeight="1">
      <c r="A390" s="2" t="s">
        <v>1260</v>
      </c>
      <c r="B390" s="2" t="s">
        <v>1261</v>
      </c>
      <c r="C390" s="2" t="s">
        <v>88</v>
      </c>
      <c r="D390" s="2" t="s">
        <v>18</v>
      </c>
      <c r="E390" s="4">
        <v>-32566</v>
      </c>
      <c r="F390" s="3" t="s">
        <v>405</v>
      </c>
      <c r="G390" s="3" t="s">
        <v>99</v>
      </c>
      <c r="H390" s="2" t="s">
        <v>74</v>
      </c>
      <c r="I390" s="2" t="s">
        <v>1262</v>
      </c>
      <c r="J390" s="3" t="str">
        <f>HYPERLINK("https://www.boe.es/gazeta/dias/1810/11/01/pdfs/GMD-1810-305.pdf#page=3","Abrir facsímil")</f>
        <v>Abrir facsímil</v>
      </c>
      <c r="K390" s="3" t="s">
        <v>76</v>
      </c>
    </row>
    <row r="391" spans="1:11" ht="42" customHeight="1">
      <c r="A391" s="2" t="s">
        <v>1263</v>
      </c>
      <c r="B391" s="2" t="s">
        <v>1264</v>
      </c>
      <c r="C391" s="2" t="s">
        <v>33</v>
      </c>
      <c r="D391" s="2" t="s">
        <v>27</v>
      </c>
      <c r="E391" s="4">
        <v>-32767</v>
      </c>
      <c r="F391" s="3" t="s">
        <v>1265</v>
      </c>
      <c r="G391" s="3" t="s">
        <v>1266</v>
      </c>
      <c r="H391" s="2" t="s">
        <v>74</v>
      </c>
      <c r="I391" s="2" t="s">
        <v>1267</v>
      </c>
      <c r="J391" s="3" t="str">
        <f>HYPERLINK("https://www.boe.es/gazeta/dias/1810/04/14/pdfs/GMD-1810-104.pdf#page=4","Abrir facsímil")</f>
        <v>Abrir facsímil</v>
      </c>
      <c r="K391" s="3" t="s">
        <v>76</v>
      </c>
    </row>
    <row r="392" spans="1:11" ht="42" customHeight="1">
      <c r="A392" s="2" t="s">
        <v>1263</v>
      </c>
      <c r="B392" s="2" t="s">
        <v>1264</v>
      </c>
      <c r="C392" s="2" t="s">
        <v>26</v>
      </c>
      <c r="D392" s="2" t="s">
        <v>39</v>
      </c>
      <c r="E392" s="4">
        <v>-32702</v>
      </c>
      <c r="F392" s="3" t="s">
        <v>179</v>
      </c>
      <c r="G392" s="3" t="s">
        <v>517</v>
      </c>
      <c r="H392" s="2" t="s">
        <v>74</v>
      </c>
      <c r="I392" s="2" t="s">
        <v>1268</v>
      </c>
      <c r="J392" s="3" t="str">
        <f>HYPERLINK("https://www.boe.es/gazeta/dias/1810/06/18/pdfs/GMD-C-1810-169.pdf#page=3","Abrir facsímil")</f>
        <v>Abrir facsímil</v>
      </c>
      <c r="K392" s="3" t="s">
        <v>76</v>
      </c>
    </row>
    <row r="393" spans="1:11" ht="42" customHeight="1">
      <c r="A393" s="2" t="s">
        <v>1263</v>
      </c>
      <c r="B393" s="2" t="s">
        <v>1264</v>
      </c>
      <c r="C393" s="2" t="s">
        <v>26</v>
      </c>
      <c r="D393" s="2" t="s">
        <v>27</v>
      </c>
      <c r="E393" s="4">
        <v>-32669</v>
      </c>
      <c r="F393" s="3" t="s">
        <v>217</v>
      </c>
      <c r="G393" s="3" t="s">
        <v>29</v>
      </c>
      <c r="H393" s="2" t="s">
        <v>74</v>
      </c>
      <c r="I393" s="2" t="s">
        <v>1269</v>
      </c>
      <c r="J393" s="3" t="str">
        <f>HYPERLINK("https://www.boe.es/gazeta/dias/1810/07/21/pdfs/GMD-1810-202.pdf#page=3","Abrir facsímil")</f>
        <v>Abrir facsímil</v>
      </c>
      <c r="K393" s="3" t="s">
        <v>76</v>
      </c>
    </row>
    <row r="394" spans="1:11" ht="42" customHeight="1">
      <c r="A394" s="2" t="s">
        <v>1263</v>
      </c>
      <c r="B394" s="2" t="s">
        <v>1264</v>
      </c>
      <c r="C394" s="2" t="s">
        <v>17</v>
      </c>
      <c r="D394" s="2" t="s">
        <v>27</v>
      </c>
      <c r="E394" s="4">
        <v>-32619</v>
      </c>
      <c r="F394" s="3" t="s">
        <v>1270</v>
      </c>
      <c r="G394" s="3" t="s">
        <v>1271</v>
      </c>
      <c r="H394" s="2" t="s">
        <v>74</v>
      </c>
      <c r="I394" s="2" t="s">
        <v>1272</v>
      </c>
      <c r="J394" s="3" t="str">
        <f>HYPERLINK("https://www.boe.es/gazeta/dias/1810/09/09/pdfs/GMD-1810-252.pdf#page=4","Abrir facsímil")</f>
        <v>Abrir facsímil</v>
      </c>
      <c r="K394" s="3" t="s">
        <v>76</v>
      </c>
    </row>
    <row r="395" spans="1:11" ht="42" customHeight="1">
      <c r="A395" s="2" t="s">
        <v>1263</v>
      </c>
      <c r="B395" s="2" t="s">
        <v>1264</v>
      </c>
      <c r="C395" s="2" t="s">
        <v>26</v>
      </c>
      <c r="D395" s="2" t="s">
        <v>27</v>
      </c>
      <c r="E395" s="4">
        <v>-32569</v>
      </c>
      <c r="F395" s="3" t="s">
        <v>421</v>
      </c>
      <c r="G395" s="3" t="s">
        <v>20</v>
      </c>
      <c r="H395" s="2" t="s">
        <v>74</v>
      </c>
      <c r="I395" s="2" t="s">
        <v>1273</v>
      </c>
      <c r="J395" s="3" t="str">
        <f>HYPERLINK("https://www.boe.es/gazeta/dias/1810/10/29/pdfs/GMD-1810-302.pdf#page=4","Abrir facsímil")</f>
        <v>Abrir facsímil</v>
      </c>
      <c r="K395" s="3" t="s">
        <v>76</v>
      </c>
    </row>
    <row r="396" spans="1:11" ht="42" customHeight="1">
      <c r="A396" s="2" t="s">
        <v>1263</v>
      </c>
      <c r="B396" s="2" t="s">
        <v>1264</v>
      </c>
      <c r="C396" s="2" t="s">
        <v>88</v>
      </c>
      <c r="D396" s="2" t="s">
        <v>27</v>
      </c>
      <c r="E396" s="4">
        <v>-32566</v>
      </c>
      <c r="F396" s="3" t="s">
        <v>405</v>
      </c>
      <c r="G396" s="3" t="s">
        <v>469</v>
      </c>
      <c r="H396" s="2" t="s">
        <v>74</v>
      </c>
      <c r="I396" s="2" t="s">
        <v>1274</v>
      </c>
      <c r="J396" s="3" t="str">
        <f>HYPERLINK("https://www.boe.es/gazeta/dias/1810/11/01/pdfs/GMD-1810-305.pdf#page=2","Abrir facsímil")</f>
        <v>Abrir facsímil</v>
      </c>
      <c r="K396" s="3" t="s">
        <v>76</v>
      </c>
    </row>
    <row r="397" spans="1:11" ht="42" customHeight="1">
      <c r="A397" s="2" t="s">
        <v>1275</v>
      </c>
      <c r="B397" s="2" t="s">
        <v>1276</v>
      </c>
      <c r="C397" s="2" t="s">
        <v>26</v>
      </c>
      <c r="D397" s="2" t="s">
        <v>39</v>
      </c>
      <c r="E397" s="4">
        <v>-32702</v>
      </c>
      <c r="F397" s="3" t="s">
        <v>179</v>
      </c>
      <c r="G397" s="3" t="s">
        <v>517</v>
      </c>
      <c r="H397" s="2" t="s">
        <v>74</v>
      </c>
      <c r="I397" s="2" t="s">
        <v>1277</v>
      </c>
      <c r="J397" s="3" t="str">
        <f>HYPERLINK("https://www.boe.es/gazeta/dias/1810/06/18/pdfs/GMD-C-1810-169.pdf#page=3","Abrir facsímil")</f>
        <v>Abrir facsímil</v>
      </c>
      <c r="K397" s="3" t="s">
        <v>76</v>
      </c>
    </row>
    <row r="398" spans="1:11" ht="42" customHeight="1">
      <c r="A398" s="2" t="s">
        <v>1278</v>
      </c>
      <c r="B398" s="2" t="s">
        <v>1279</v>
      </c>
      <c r="C398" s="2" t="s">
        <v>26</v>
      </c>
      <c r="D398" s="2" t="s">
        <v>27</v>
      </c>
      <c r="E398" s="4">
        <v>-32751</v>
      </c>
      <c r="F398" s="3" t="s">
        <v>1205</v>
      </c>
      <c r="G398" s="3" t="s">
        <v>70</v>
      </c>
      <c r="H398" s="2" t="s">
        <v>74</v>
      </c>
      <c r="I398" s="2" t="s">
        <v>1280</v>
      </c>
      <c r="J398" s="3" t="str">
        <f>HYPERLINK("https://www.boe.es/gazeta/dias/1810/04/30/pdfs/GMD-1810-120.pdf#page=4","Abrir facsímil")</f>
        <v>Abrir facsímil</v>
      </c>
      <c r="K398" s="3" t="s">
        <v>76</v>
      </c>
    </row>
    <row r="399" spans="1:11" ht="42" customHeight="1">
      <c r="A399" s="2" t="s">
        <v>1281</v>
      </c>
      <c r="B399" s="2" t="s">
        <v>1282</v>
      </c>
      <c r="C399" s="2" t="s">
        <v>26</v>
      </c>
      <c r="D399" s="2" t="s">
        <v>39</v>
      </c>
      <c r="E399" s="4">
        <v>-32702</v>
      </c>
      <c r="F399" s="3" t="s">
        <v>179</v>
      </c>
      <c r="G399" s="3" t="s">
        <v>180</v>
      </c>
      <c r="H399" s="2" t="s">
        <v>74</v>
      </c>
      <c r="I399" s="2" t="s">
        <v>1283</v>
      </c>
      <c r="J399" s="3" t="str">
        <f>HYPERLINK("https://www.boe.es/gazeta/dias/1810/06/18/pdfs/GMD-C-1810-169.pdf#page=2","Abrir facsímil")</f>
        <v>Abrir facsímil</v>
      </c>
      <c r="K399" s="3" t="s">
        <v>76</v>
      </c>
    </row>
    <row r="400" spans="1:11" ht="42" customHeight="1">
      <c r="A400" s="2" t="s">
        <v>1284</v>
      </c>
      <c r="B400" s="2" t="s">
        <v>1284</v>
      </c>
      <c r="C400" s="2" t="s">
        <v>88</v>
      </c>
      <c r="D400" s="2" t="s">
        <v>117</v>
      </c>
      <c r="E400" s="4">
        <v>-32861</v>
      </c>
      <c r="F400" s="3" t="s">
        <v>796</v>
      </c>
      <c r="G400" s="3" t="s">
        <v>29</v>
      </c>
      <c r="H400" s="2" t="s">
        <v>74</v>
      </c>
      <c r="I400" s="2" t="s">
        <v>1285</v>
      </c>
      <c r="J400" s="3" t="str">
        <f>HYPERLINK("https://www.boe.es/gazeta/dias/1810/01/10/pdfs/GMD-1810-10.pdf#page=2","Abrir facsímil")</f>
        <v>Abrir facsímil</v>
      </c>
      <c r="K400" s="3" t="s">
        <v>76</v>
      </c>
    </row>
    <row r="401" spans="1:11" ht="42" customHeight="1">
      <c r="A401" s="2" t="s">
        <v>1286</v>
      </c>
      <c r="B401" s="2" t="s">
        <v>1287</v>
      </c>
      <c r="C401" s="2" t="s">
        <v>26</v>
      </c>
      <c r="D401" s="2" t="s">
        <v>39</v>
      </c>
      <c r="E401" s="4">
        <v>-32701</v>
      </c>
      <c r="F401" s="3" t="s">
        <v>40</v>
      </c>
      <c r="G401" s="3" t="s">
        <v>333</v>
      </c>
      <c r="H401" s="2" t="s">
        <v>74</v>
      </c>
      <c r="I401" s="2" t="s">
        <v>1288</v>
      </c>
      <c r="J401" s="3" t="str">
        <f>HYPERLINK("https://www.boe.es/gazeta/dias/1810/06/19/pdfs/GMD-C-1810-170.pdf#page=4","Abrir facsímil")</f>
        <v>Abrir facsímil</v>
      </c>
      <c r="K401" s="3" t="s">
        <v>76</v>
      </c>
    </row>
    <row r="402" spans="1:11" ht="42" customHeight="1">
      <c r="A402" s="2" t="s">
        <v>1289</v>
      </c>
      <c r="B402" s="2" t="s">
        <v>1290</v>
      </c>
      <c r="C402" s="2" t="s">
        <v>88</v>
      </c>
      <c r="D402" s="2" t="s">
        <v>27</v>
      </c>
      <c r="E402" s="4">
        <v>-32842</v>
      </c>
      <c r="F402" s="3" t="s">
        <v>1291</v>
      </c>
      <c r="G402" s="3" t="s">
        <v>1292</v>
      </c>
      <c r="H402" s="2" t="s">
        <v>74</v>
      </c>
      <c r="I402" s="2" t="s">
        <v>1293</v>
      </c>
      <c r="J402" s="3" t="str">
        <f>HYPERLINK("https://www.boe.es/gazeta/dias/1810/01/29/pdfs/GMD-1810-29.pdf#page=3","Abrir facsímil")</f>
        <v>Abrir facsímil</v>
      </c>
      <c r="K402" s="3" t="s">
        <v>76</v>
      </c>
    </row>
    <row r="403" spans="1:11" ht="42" customHeight="1">
      <c r="A403" s="2" t="s">
        <v>1294</v>
      </c>
      <c r="B403" s="2" t="s">
        <v>1294</v>
      </c>
      <c r="C403" s="2" t="s">
        <v>88</v>
      </c>
      <c r="D403" s="2" t="s">
        <v>117</v>
      </c>
      <c r="E403" s="4">
        <v>-32780</v>
      </c>
      <c r="F403" s="3" t="s">
        <v>1295</v>
      </c>
      <c r="G403" s="3" t="s">
        <v>213</v>
      </c>
      <c r="H403" s="2" t="s">
        <v>74</v>
      </c>
      <c r="I403" s="2" t="s">
        <v>1296</v>
      </c>
      <c r="J403" s="3" t="str">
        <f>HYPERLINK("https://www.boe.es/gazeta/dias/1810/04/01/pdfs/GMD-1810-91.pdf#page=3","Abrir facsímil")</f>
        <v>Abrir facsímil</v>
      </c>
      <c r="K403" s="3" t="s">
        <v>76</v>
      </c>
    </row>
    <row r="404" spans="1:11" ht="42" customHeight="1">
      <c r="A404" s="2" t="s">
        <v>1297</v>
      </c>
      <c r="B404" s="2" t="s">
        <v>1297</v>
      </c>
      <c r="C404" s="2" t="s">
        <v>26</v>
      </c>
      <c r="D404" s="2" t="s">
        <v>27</v>
      </c>
      <c r="E404" s="4">
        <v>-32685</v>
      </c>
      <c r="F404" s="3" t="s">
        <v>1106</v>
      </c>
      <c r="G404" s="3" t="s">
        <v>70</v>
      </c>
      <c r="H404" s="2" t="s">
        <v>74</v>
      </c>
      <c r="I404" s="2" t="s">
        <v>1298</v>
      </c>
      <c r="J404" s="3" t="str">
        <f>HYPERLINK("https://www.boe.es/gazeta/dias/1810/07/05/pdfs/GMD-1810-186.pdf#page=3","Abrir facsímil")</f>
        <v>Abrir facsímil</v>
      </c>
      <c r="K404" s="3" t="s">
        <v>76</v>
      </c>
    </row>
    <row r="405" spans="1:11" ht="42" customHeight="1">
      <c r="A405" s="2" t="s">
        <v>1299</v>
      </c>
      <c r="B405" s="2" t="s">
        <v>1300</v>
      </c>
      <c r="C405" s="2" t="s">
        <v>26</v>
      </c>
      <c r="D405" s="2" t="s">
        <v>39</v>
      </c>
      <c r="E405" s="4">
        <v>-32702</v>
      </c>
      <c r="F405" s="3" t="s">
        <v>179</v>
      </c>
      <c r="G405" s="3" t="s">
        <v>180</v>
      </c>
      <c r="H405" s="2" t="s">
        <v>74</v>
      </c>
      <c r="I405" s="2" t="s">
        <v>1301</v>
      </c>
      <c r="J405" s="3" t="str">
        <f>HYPERLINK("https://www.boe.es/gazeta/dias/1810/06/18/pdfs/GMD-C-1810-169.pdf#page=2","Abrir facsímil")</f>
        <v>Abrir facsímil</v>
      </c>
      <c r="K405" s="3" t="s">
        <v>76</v>
      </c>
    </row>
    <row r="406" spans="1:11" ht="42" customHeight="1">
      <c r="A406" s="2" t="s">
        <v>1302</v>
      </c>
      <c r="B406" s="2" t="s">
        <v>1303</v>
      </c>
      <c r="C406" s="2" t="s">
        <v>26</v>
      </c>
      <c r="D406" s="2" t="s">
        <v>39</v>
      </c>
      <c r="E406" s="4">
        <v>-32659</v>
      </c>
      <c r="F406" s="3" t="s">
        <v>1304</v>
      </c>
      <c r="G406" s="3" t="s">
        <v>29</v>
      </c>
      <c r="H406" s="2" t="s">
        <v>74</v>
      </c>
      <c r="I406" s="2" t="s">
        <v>1305</v>
      </c>
      <c r="J406" s="3" t="str">
        <f>HYPERLINK("https://www.boe.es/gazeta/dias/1810/07/31/pdfs/GMD-C-1810-212.pdf#page=4","Abrir facsímil")</f>
        <v>Abrir facsímil</v>
      </c>
      <c r="K406" s="3" t="s">
        <v>76</v>
      </c>
    </row>
    <row r="407" spans="1:11" ht="42" customHeight="1">
      <c r="A407" s="2" t="s">
        <v>1306</v>
      </c>
      <c r="B407" s="2" t="s">
        <v>1307</v>
      </c>
      <c r="C407" s="2" t="s">
        <v>88</v>
      </c>
      <c r="D407" s="2" t="s">
        <v>27</v>
      </c>
      <c r="E407" s="4">
        <v>-32564</v>
      </c>
      <c r="F407" s="3" t="s">
        <v>108</v>
      </c>
      <c r="G407" s="3" t="s">
        <v>227</v>
      </c>
      <c r="H407" s="2" t="s">
        <v>74</v>
      </c>
      <c r="I407" s="2" t="s">
        <v>1308</v>
      </c>
      <c r="J407" s="3" t="str">
        <f>HYPERLINK("https://www.boe.es/gazeta/dias/1810/11/03/pdfs/GEI-1810-90.pdf#page=2","Abrir facsímil")</f>
        <v>Abrir facsímil</v>
      </c>
      <c r="K407" s="3" t="s">
        <v>76</v>
      </c>
    </row>
    <row r="408" spans="1:11" ht="42" customHeight="1">
      <c r="A408" s="2" t="s">
        <v>1309</v>
      </c>
      <c r="B408" s="2" t="s">
        <v>1310</v>
      </c>
      <c r="C408" s="2" t="s">
        <v>26</v>
      </c>
      <c r="D408" s="2" t="s">
        <v>27</v>
      </c>
      <c r="E408" s="4">
        <v>-32596</v>
      </c>
      <c r="F408" s="3" t="s">
        <v>1311</v>
      </c>
      <c r="G408" s="3" t="s">
        <v>29</v>
      </c>
      <c r="H408" s="2" t="s">
        <v>74</v>
      </c>
      <c r="I408" s="2" t="s">
        <v>1312</v>
      </c>
      <c r="J408" s="3" t="str">
        <f>HYPERLINK("https://www.boe.es/gazeta/dias/1810/10/02/pdfs/GMD-1810-275.pdf#page=4","Abrir facsímil")</f>
        <v>Abrir facsímil</v>
      </c>
      <c r="K408" s="3" t="s">
        <v>76</v>
      </c>
    </row>
    <row r="409" spans="1:11" ht="42" customHeight="1">
      <c r="A409" s="2" t="s">
        <v>1313</v>
      </c>
      <c r="B409" s="2" t="s">
        <v>1314</v>
      </c>
      <c r="C409" s="2" t="s">
        <v>26</v>
      </c>
      <c r="D409" s="2" t="s">
        <v>27</v>
      </c>
      <c r="E409" s="4">
        <v>-32647</v>
      </c>
      <c r="F409" s="3" t="s">
        <v>118</v>
      </c>
      <c r="G409" s="3" t="s">
        <v>119</v>
      </c>
      <c r="H409" s="2" t="s">
        <v>74</v>
      </c>
      <c r="I409" s="2" t="s">
        <v>1315</v>
      </c>
      <c r="J409" s="3" t="str">
        <f>HYPERLINK("https://www.boe.es/gazeta/dias/1810/08/12/pdfs/GMD-1810-224.pdf#page=3","Abrir facsímil")</f>
        <v>Abrir facsímil</v>
      </c>
      <c r="K409" s="3" t="s">
        <v>76</v>
      </c>
    </row>
    <row r="410" spans="1:11" ht="42" customHeight="1">
      <c r="A410" s="2" t="s">
        <v>1316</v>
      </c>
      <c r="B410" s="2" t="s">
        <v>1316</v>
      </c>
      <c r="C410" s="2" t="s">
        <v>88</v>
      </c>
      <c r="D410" s="2" t="s">
        <v>117</v>
      </c>
      <c r="E410" s="4">
        <v>-32541</v>
      </c>
      <c r="F410" s="3" t="s">
        <v>748</v>
      </c>
      <c r="G410" s="3" t="s">
        <v>749</v>
      </c>
      <c r="H410" s="2" t="s">
        <v>74</v>
      </c>
      <c r="I410" s="2" t="s">
        <v>1317</v>
      </c>
      <c r="J410" s="3" t="str">
        <f>HYPERLINK("https://www.boe.es/gazeta/dias/1810/11/26/pdfs/GMD-1810-330.pdf#page=1","Abrir facsímil")</f>
        <v>Abrir facsímil</v>
      </c>
      <c r="K410" s="3" t="s">
        <v>76</v>
      </c>
    </row>
    <row r="411" spans="1:11" ht="42" customHeight="1">
      <c r="A411" s="2" t="s">
        <v>1318</v>
      </c>
      <c r="B411" s="2" t="s">
        <v>1318</v>
      </c>
      <c r="C411" s="2" t="s">
        <v>33</v>
      </c>
      <c r="D411" s="2" t="s">
        <v>27</v>
      </c>
      <c r="E411" s="4">
        <v>-32674</v>
      </c>
      <c r="F411" s="3" t="s">
        <v>1319</v>
      </c>
      <c r="G411" s="3" t="s">
        <v>235</v>
      </c>
      <c r="H411" s="2" t="s">
        <v>74</v>
      </c>
      <c r="I411" s="2" t="s">
        <v>1320</v>
      </c>
      <c r="J411" s="3" t="str">
        <f>HYPERLINK("https://www.boe.es/gazeta/dias/1810/07/16/pdfs/GMD-1810-197.pdf#page=4","Abrir facsímil")</f>
        <v>Abrir facsímil</v>
      </c>
      <c r="K411" s="3" t="s">
        <v>76</v>
      </c>
    </row>
    <row r="412" spans="1:11" ht="42" customHeight="1">
      <c r="A412" s="2" t="s">
        <v>1321</v>
      </c>
      <c r="B412" s="2" t="s">
        <v>1321</v>
      </c>
      <c r="C412" s="2" t="s">
        <v>88</v>
      </c>
      <c r="D412" s="2" t="s">
        <v>117</v>
      </c>
      <c r="E412" s="4">
        <v>-32827</v>
      </c>
      <c r="F412" s="3" t="s">
        <v>290</v>
      </c>
      <c r="G412" s="3" t="s">
        <v>1322</v>
      </c>
      <c r="H412" s="2" t="s">
        <v>74</v>
      </c>
      <c r="I412" s="2" t="s">
        <v>1323</v>
      </c>
      <c r="J412" s="3" t="str">
        <f>HYPERLINK("https://www.boe.es/gazeta/dias/1810/02/13/pdfs/GMD-1810-44.pdf#page=1","Abrir facsímil")</f>
        <v>Abrir facsímil</v>
      </c>
      <c r="K412" s="3" t="s">
        <v>76</v>
      </c>
    </row>
    <row r="413" spans="1:11" ht="42" customHeight="1">
      <c r="A413" s="2" t="s">
        <v>1324</v>
      </c>
      <c r="B413" s="2" t="s">
        <v>1325</v>
      </c>
      <c r="C413" s="2" t="s">
        <v>26</v>
      </c>
      <c r="D413" s="2" t="s">
        <v>27</v>
      </c>
      <c r="E413" s="4">
        <v>-32722</v>
      </c>
      <c r="F413" s="3" t="s">
        <v>856</v>
      </c>
      <c r="G413" s="3" t="s">
        <v>668</v>
      </c>
      <c r="H413" s="2" t="s">
        <v>74</v>
      </c>
      <c r="I413" s="2" t="s">
        <v>1326</v>
      </c>
      <c r="J413" s="3" t="str">
        <f>HYPERLINK("https://www.boe.es/gazeta/dias/1810/05/29/pdfs/GEI-1810-31.pdf#page=12","Abrir facsímil")</f>
        <v>Abrir facsímil</v>
      </c>
      <c r="K413" s="3" t="s">
        <v>76</v>
      </c>
    </row>
    <row r="414" spans="1:11" ht="42" customHeight="1">
      <c r="A414" s="2" t="s">
        <v>1327</v>
      </c>
      <c r="B414" s="2" t="s">
        <v>1328</v>
      </c>
      <c r="C414" s="2" t="s">
        <v>26</v>
      </c>
      <c r="D414" s="2" t="s">
        <v>27</v>
      </c>
      <c r="E414" s="4">
        <v>-32735</v>
      </c>
      <c r="F414" s="3" t="s">
        <v>612</v>
      </c>
      <c r="G414" s="3" t="s">
        <v>701</v>
      </c>
      <c r="H414" s="2" t="s">
        <v>74</v>
      </c>
      <c r="I414" s="2" t="s">
        <v>1329</v>
      </c>
      <c r="J414" s="3" t="str">
        <f>HYPERLINK("https://www.boe.es/gazeta/dias/1810/05/16/pdfs/GMD-1810-136.pdf#page=4","Abrir facsímil")</f>
        <v>Abrir facsímil</v>
      </c>
      <c r="K414" s="3" t="s">
        <v>76</v>
      </c>
    </row>
    <row r="415" spans="1:11" ht="42" customHeight="1">
      <c r="A415" s="2" t="s">
        <v>1330</v>
      </c>
      <c r="B415" s="2" t="s">
        <v>1331</v>
      </c>
      <c r="C415" s="2" t="s">
        <v>88</v>
      </c>
      <c r="D415" s="2" t="s">
        <v>27</v>
      </c>
      <c r="E415" s="4">
        <v>-32524</v>
      </c>
      <c r="F415" s="3" t="s">
        <v>281</v>
      </c>
      <c r="G415" s="3" t="s">
        <v>119</v>
      </c>
      <c r="H415" s="2" t="s">
        <v>21</v>
      </c>
      <c r="I415" s="2" t="s">
        <v>1332</v>
      </c>
      <c r="J415" s="3" t="str">
        <f>HYPERLINK("https://www.boe.es/gazeta/dias/1810/12/13/pdfs/GEI-1810-107.pdf#page=7","Abrir facsímil")</f>
        <v>Abrir facsímil</v>
      </c>
      <c r="K415" s="3" t="s">
        <v>23</v>
      </c>
    </row>
    <row r="416" spans="1:11" ht="42" customHeight="1">
      <c r="A416" s="2" t="s">
        <v>1333</v>
      </c>
      <c r="B416" s="2" t="s">
        <v>1334</v>
      </c>
      <c r="C416" s="2" t="s">
        <v>26</v>
      </c>
      <c r="D416" s="2" t="s">
        <v>27</v>
      </c>
      <c r="E416" s="4">
        <v>-32563</v>
      </c>
      <c r="F416" s="3" t="s">
        <v>535</v>
      </c>
      <c r="G416" s="3" t="s">
        <v>1335</v>
      </c>
      <c r="H416" s="2" t="s">
        <v>74</v>
      </c>
      <c r="I416" s="2" t="s">
        <v>1336</v>
      </c>
      <c r="J416" s="3" t="str">
        <f>HYPERLINK("https://www.boe.es/gazeta/dias/1810/11/04/pdfs/GMD-1810-308.pdf#page=6","Abrir facsímil")</f>
        <v>Abrir facsímil</v>
      </c>
      <c r="K416" s="3" t="s">
        <v>76</v>
      </c>
    </row>
    <row r="417" spans="1:11" ht="42" customHeight="1">
      <c r="A417" s="2" t="s">
        <v>1337</v>
      </c>
      <c r="B417" s="2" t="s">
        <v>1337</v>
      </c>
      <c r="C417" s="2" t="s">
        <v>33</v>
      </c>
      <c r="D417" s="2" t="s">
        <v>27</v>
      </c>
      <c r="E417" s="4">
        <v>-32807</v>
      </c>
      <c r="F417" s="3" t="s">
        <v>1338</v>
      </c>
      <c r="G417" s="3" t="s">
        <v>180</v>
      </c>
      <c r="H417" s="2" t="s">
        <v>74</v>
      </c>
      <c r="I417" s="2" t="s">
        <v>1339</v>
      </c>
      <c r="J417" s="3" t="str">
        <f>HYPERLINK("https://www.boe.es/gazeta/dias/1810/03/05/pdfs/GMD-1810-64.pdf#page=1","Abrir facsímil")</f>
        <v>Abrir facsímil</v>
      </c>
      <c r="K417" s="3" t="s">
        <v>76</v>
      </c>
    </row>
    <row r="418" spans="1:11" ht="42" customHeight="1">
      <c r="A418" s="2" t="s">
        <v>1340</v>
      </c>
      <c r="B418" s="2" t="s">
        <v>1341</v>
      </c>
      <c r="C418" s="2" t="s">
        <v>225</v>
      </c>
      <c r="D418" s="2" t="s">
        <v>27</v>
      </c>
      <c r="E418" s="4">
        <v>-32771</v>
      </c>
      <c r="F418" s="3" t="s">
        <v>543</v>
      </c>
      <c r="G418" s="3" t="s">
        <v>65</v>
      </c>
      <c r="H418" s="2" t="s">
        <v>74</v>
      </c>
      <c r="I418" s="2" t="s">
        <v>1342</v>
      </c>
      <c r="J418" s="3" t="str">
        <f>HYPERLINK("https://www.boe.es/gazeta/dias/1810/04/10/pdfs/GEI-1810-13.pdf#page=7","Abrir facsímil")</f>
        <v>Abrir facsímil</v>
      </c>
      <c r="K418" s="3" t="s">
        <v>76</v>
      </c>
    </row>
    <row r="419" spans="1:11" ht="42" customHeight="1">
      <c r="A419" s="2" t="s">
        <v>1343</v>
      </c>
      <c r="B419" s="2" t="s">
        <v>1344</v>
      </c>
      <c r="C419" s="2" t="s">
        <v>26</v>
      </c>
      <c r="D419" s="2" t="s">
        <v>27</v>
      </c>
      <c r="E419" s="4">
        <v>-32761</v>
      </c>
      <c r="F419" s="3" t="s">
        <v>811</v>
      </c>
      <c r="G419" s="3" t="s">
        <v>140</v>
      </c>
      <c r="H419" s="2" t="s">
        <v>74</v>
      </c>
      <c r="I419" s="2" t="s">
        <v>1345</v>
      </c>
      <c r="J419" s="3" t="str">
        <f>HYPERLINK("https://www.boe.es/gazeta/dias/1810/04/20/pdfs/GEI-1810-16.pdf#page=8","Abrir facsímil")</f>
        <v>Abrir facsímil</v>
      </c>
      <c r="K419" s="3" t="s">
        <v>76</v>
      </c>
    </row>
    <row r="420" spans="1:11" ht="42" customHeight="1">
      <c r="A420" s="2" t="s">
        <v>1346</v>
      </c>
      <c r="B420" s="2" t="s">
        <v>1346</v>
      </c>
      <c r="C420" s="2" t="s">
        <v>26</v>
      </c>
      <c r="D420" s="2" t="s">
        <v>18</v>
      </c>
      <c r="E420" s="4">
        <v>-32547</v>
      </c>
      <c r="F420" s="3" t="s">
        <v>407</v>
      </c>
      <c r="G420" s="3" t="s">
        <v>1347</v>
      </c>
      <c r="H420" s="2" t="s">
        <v>74</v>
      </c>
      <c r="I420" s="2" t="s">
        <v>1348</v>
      </c>
      <c r="J420" s="3" t="str">
        <f>HYPERLINK("https://www.boe.es/gazeta/dias/1810/11/20/pdfs/GEI-1810-97.pdf#page=7","Abrir facsímil")</f>
        <v>Abrir facsímil</v>
      </c>
      <c r="K420" s="3" t="s">
        <v>76</v>
      </c>
    </row>
    <row r="421" spans="1:11" ht="42" customHeight="1">
      <c r="A421" s="2" t="s">
        <v>1349</v>
      </c>
      <c r="B421" s="2" t="s">
        <v>1350</v>
      </c>
      <c r="C421" s="2" t="s">
        <v>17</v>
      </c>
      <c r="D421" s="2" t="s">
        <v>27</v>
      </c>
      <c r="E421" s="4">
        <v>-32820</v>
      </c>
      <c r="F421" s="3" t="s">
        <v>226</v>
      </c>
      <c r="G421" s="3" t="s">
        <v>213</v>
      </c>
      <c r="H421" s="2" t="s">
        <v>74</v>
      </c>
      <c r="I421" s="2" t="s">
        <v>1351</v>
      </c>
      <c r="J421" s="3" t="str">
        <f>HYPERLINK("https://www.boe.es/gazeta/dias/1810/02/20/pdfs/GMD-1810-51.pdf#page=2","Abrir facsímil")</f>
        <v>Abrir facsímil</v>
      </c>
      <c r="K421" s="3" t="s">
        <v>76</v>
      </c>
    </row>
    <row r="422" spans="1:11" ht="42" customHeight="1">
      <c r="A422" s="2" t="s">
        <v>1352</v>
      </c>
      <c r="B422" s="2" t="s">
        <v>1353</v>
      </c>
      <c r="C422" s="2" t="s">
        <v>26</v>
      </c>
      <c r="D422" s="2" t="s">
        <v>18</v>
      </c>
      <c r="E422" s="4">
        <v>-32783</v>
      </c>
      <c r="F422" s="3" t="s">
        <v>896</v>
      </c>
      <c r="G422" s="3" t="s">
        <v>20</v>
      </c>
      <c r="H422" s="2" t="s">
        <v>74</v>
      </c>
      <c r="I422" s="2" t="s">
        <v>1354</v>
      </c>
      <c r="J422" s="3" t="str">
        <f>HYPERLINK("https://www.boe.es/gazeta/dias/1810/03/29/pdfs/GMD-1810-88.pdf#page=4","Abrir facsímil")</f>
        <v>Abrir facsímil</v>
      </c>
      <c r="K422" s="3" t="s">
        <v>76</v>
      </c>
    </row>
    <row r="423" spans="1:11" ht="42" customHeight="1">
      <c r="A423" s="2" t="s">
        <v>1355</v>
      </c>
      <c r="B423" s="2" t="s">
        <v>1356</v>
      </c>
      <c r="C423" s="2" t="s">
        <v>88</v>
      </c>
      <c r="D423" s="2" t="s">
        <v>27</v>
      </c>
      <c r="E423" s="4">
        <v>-32533</v>
      </c>
      <c r="F423" s="3" t="s">
        <v>1357</v>
      </c>
      <c r="G423" s="3" t="s">
        <v>701</v>
      </c>
      <c r="H423" s="2" t="s">
        <v>74</v>
      </c>
      <c r="I423" s="2" t="s">
        <v>1358</v>
      </c>
      <c r="J423" s="3" t="str">
        <f>HYPERLINK("https://www.boe.es/gazeta/dias/1810/12/04/pdfs/GEI-1810-103.pdf#page=8","Abrir facsímil")</f>
        <v>Abrir facsímil</v>
      </c>
      <c r="K423" s="3" t="s">
        <v>76</v>
      </c>
    </row>
    <row r="424" spans="1:11" ht="42" customHeight="1">
      <c r="A424" s="2" t="s">
        <v>1359</v>
      </c>
      <c r="B424" s="2" t="s">
        <v>1360</v>
      </c>
      <c r="C424" s="2" t="s">
        <v>26</v>
      </c>
      <c r="D424" s="2" t="s">
        <v>39</v>
      </c>
      <c r="E424" s="4">
        <v>-32701</v>
      </c>
      <c r="F424" s="3" t="s">
        <v>40</v>
      </c>
      <c r="G424" s="3" t="s">
        <v>315</v>
      </c>
      <c r="H424" s="2" t="s">
        <v>74</v>
      </c>
      <c r="I424" s="2" t="s">
        <v>1361</v>
      </c>
      <c r="J424" s="3" t="str">
        <f>HYPERLINK("https://www.boe.es/gazeta/dias/1810/06/19/pdfs/GMD-C-1810-170.pdf#page=2","Abrir facsímil")</f>
        <v>Abrir facsímil</v>
      </c>
      <c r="K424" s="3" t="s">
        <v>76</v>
      </c>
    </row>
    <row r="425" spans="1:11" ht="42" customHeight="1">
      <c r="A425" s="2" t="s">
        <v>1362</v>
      </c>
      <c r="B425" s="2" t="s">
        <v>1362</v>
      </c>
      <c r="C425" s="2" t="s">
        <v>111</v>
      </c>
      <c r="D425" s="2" t="s">
        <v>27</v>
      </c>
      <c r="E425" s="4">
        <v>-32622</v>
      </c>
      <c r="F425" s="3" t="s">
        <v>1190</v>
      </c>
      <c r="G425" s="3" t="s">
        <v>1363</v>
      </c>
      <c r="H425" s="2" t="s">
        <v>74</v>
      </c>
      <c r="I425" s="2" t="s">
        <v>1364</v>
      </c>
      <c r="J425" s="3" t="str">
        <f>HYPERLINK("https://www.boe.es/gazeta/dias/1810/09/06/pdfs/GMD-1810-249.pdf#page=3","Abrir facsímil")</f>
        <v>Abrir facsímil</v>
      </c>
      <c r="K425" s="3" t="s">
        <v>76</v>
      </c>
    </row>
    <row r="426" spans="1:11" ht="42" customHeight="1">
      <c r="A426" s="2" t="s">
        <v>1365</v>
      </c>
      <c r="B426" s="2" t="s">
        <v>1366</v>
      </c>
      <c r="C426" s="2" t="s">
        <v>26</v>
      </c>
      <c r="D426" s="2" t="s">
        <v>27</v>
      </c>
      <c r="E426" s="4">
        <v>-32543</v>
      </c>
      <c r="F426" s="3" t="s">
        <v>69</v>
      </c>
      <c r="G426" s="3" t="s">
        <v>84</v>
      </c>
      <c r="H426" s="2" t="s">
        <v>74</v>
      </c>
      <c r="I426" s="2" t="s">
        <v>1367</v>
      </c>
      <c r="J426" s="3" t="str">
        <f>HYPERLINK("https://www.boe.es/gazeta/dias/1810/11/24/pdfs/GEI-1810-99.pdf#page=7","Abrir facsímil")</f>
        <v>Abrir facsímil</v>
      </c>
      <c r="K426" s="3" t="s">
        <v>76</v>
      </c>
    </row>
    <row r="427" spans="1:11" ht="42" customHeight="1">
      <c r="A427" s="2" t="s">
        <v>1368</v>
      </c>
      <c r="B427" s="2" t="s">
        <v>1369</v>
      </c>
      <c r="C427" s="2" t="s">
        <v>26</v>
      </c>
      <c r="D427" s="2" t="s">
        <v>27</v>
      </c>
      <c r="E427" s="4">
        <v>-32659</v>
      </c>
      <c r="F427" s="3" t="s">
        <v>328</v>
      </c>
      <c r="G427" s="3" t="s">
        <v>119</v>
      </c>
      <c r="H427" s="2" t="s">
        <v>74</v>
      </c>
      <c r="I427" s="2" t="s">
        <v>1370</v>
      </c>
      <c r="J427" s="3" t="str">
        <f>HYPERLINK("https://www.boe.es/gazeta/dias/1810/07/31/pdfs/GEI-1810-49.pdf#page=8","Abrir facsímil")</f>
        <v>Abrir facsímil</v>
      </c>
      <c r="K427" s="3" t="s">
        <v>76</v>
      </c>
    </row>
    <row r="428" spans="1:11" ht="42" customHeight="1">
      <c r="A428" s="2" t="s">
        <v>1371</v>
      </c>
      <c r="B428" s="2" t="s">
        <v>1372</v>
      </c>
      <c r="C428" s="2" t="s">
        <v>26</v>
      </c>
      <c r="D428" s="2" t="s">
        <v>27</v>
      </c>
      <c r="E428" s="4">
        <v>-32684</v>
      </c>
      <c r="F428" s="3" t="s">
        <v>1373</v>
      </c>
      <c r="G428" s="3" t="s">
        <v>1374</v>
      </c>
      <c r="H428" s="2" t="s">
        <v>74</v>
      </c>
      <c r="I428" s="2" t="s">
        <v>1375</v>
      </c>
      <c r="J428" s="3" t="str">
        <f>HYPERLINK("https://www.boe.es/gazeta/dias/1810/07/06/pdfs/GEI-1810-42.pdf#page=8","Abrir facsímil")</f>
        <v>Abrir facsímil</v>
      </c>
      <c r="K428" s="3" t="s">
        <v>76</v>
      </c>
    </row>
    <row r="429" spans="1:11" ht="42" customHeight="1">
      <c r="A429" s="2" t="s">
        <v>1376</v>
      </c>
      <c r="B429" s="2" t="s">
        <v>1376</v>
      </c>
      <c r="C429" s="2" t="s">
        <v>33</v>
      </c>
      <c r="D429" s="2" t="s">
        <v>220</v>
      </c>
      <c r="E429" s="4">
        <v>-32865</v>
      </c>
      <c r="F429" s="3" t="s">
        <v>1377</v>
      </c>
      <c r="G429" s="3" t="s">
        <v>691</v>
      </c>
      <c r="H429" s="2" t="s">
        <v>74</v>
      </c>
      <c r="I429" s="2" t="s">
        <v>1378</v>
      </c>
      <c r="J429" s="3" t="str">
        <f>HYPERLINK("https://www.boe.es/gazeta/dias/1810/01/06/pdfs/GMD-1810-6.pdf#page=2","Abrir facsímil")</f>
        <v>Abrir facsímil</v>
      </c>
      <c r="K429" s="3" t="s">
        <v>76</v>
      </c>
    </row>
    <row r="430" spans="1:11" ht="42" customHeight="1">
      <c r="A430" s="2" t="s">
        <v>1379</v>
      </c>
      <c r="B430" s="2" t="s">
        <v>1379</v>
      </c>
      <c r="C430" s="2" t="s">
        <v>26</v>
      </c>
      <c r="D430" s="2" t="s">
        <v>27</v>
      </c>
      <c r="E430" s="4">
        <v>-32865</v>
      </c>
      <c r="F430" s="3" t="s">
        <v>1377</v>
      </c>
      <c r="G430" s="3" t="s">
        <v>20</v>
      </c>
      <c r="H430" s="2" t="s">
        <v>74</v>
      </c>
      <c r="I430" s="2" t="s">
        <v>1380</v>
      </c>
      <c r="J430" s="3" t="str">
        <f>HYPERLINK("https://www.boe.es/gazeta/dias/1810/01/06/pdfs/GMD-1810-6.pdf#page=4","Abrir facsímil")</f>
        <v>Abrir facsímil</v>
      </c>
      <c r="K430" s="3" t="s">
        <v>76</v>
      </c>
    </row>
    <row r="431" spans="1:11" ht="42" customHeight="1">
      <c r="A431" s="2" t="s">
        <v>1381</v>
      </c>
      <c r="B431" s="2" t="s">
        <v>1381</v>
      </c>
      <c r="C431" s="2" t="s">
        <v>26</v>
      </c>
      <c r="D431" s="2" t="s">
        <v>27</v>
      </c>
      <c r="E431" s="4">
        <v>-32865</v>
      </c>
      <c r="F431" s="3" t="s">
        <v>1377</v>
      </c>
      <c r="G431" s="3" t="s">
        <v>29</v>
      </c>
      <c r="H431" s="2" t="s">
        <v>74</v>
      </c>
      <c r="I431" s="2" t="s">
        <v>1382</v>
      </c>
      <c r="J431" s="3" t="str">
        <f>HYPERLINK("https://www.boe.es/gazeta/dias/1810/01/06/pdfs/GMD-1810-6.pdf#page=3","Abrir facsímil")</f>
        <v>Abrir facsímil</v>
      </c>
      <c r="K431" s="3" t="s">
        <v>76</v>
      </c>
    </row>
    <row r="432" spans="1:11" ht="42" customHeight="1">
      <c r="A432" s="2" t="s">
        <v>1383</v>
      </c>
      <c r="B432" s="2" t="s">
        <v>1383</v>
      </c>
      <c r="C432" s="2" t="s">
        <v>33</v>
      </c>
      <c r="D432" s="2" t="s">
        <v>220</v>
      </c>
      <c r="E432" s="4">
        <v>-32865</v>
      </c>
      <c r="F432" s="3" t="s">
        <v>1377</v>
      </c>
      <c r="G432" s="3" t="s">
        <v>227</v>
      </c>
      <c r="H432" s="2" t="s">
        <v>74</v>
      </c>
      <c r="I432" s="2" t="s">
        <v>1384</v>
      </c>
      <c r="J432" s="3" t="str">
        <f>HYPERLINK("https://www.boe.es/gazeta/dias/1810/01/06/pdfs/GMD-1810-6.pdf#page=1","Abrir facsímil")</f>
        <v>Abrir facsímil</v>
      </c>
      <c r="K432" s="3" t="s">
        <v>76</v>
      </c>
    </row>
    <row r="433" spans="1:11" ht="42" customHeight="1">
      <c r="A433" s="2" t="s">
        <v>1383</v>
      </c>
      <c r="B433" s="2" t="s">
        <v>1383</v>
      </c>
      <c r="C433" s="2" t="s">
        <v>33</v>
      </c>
      <c r="D433" s="2" t="s">
        <v>27</v>
      </c>
      <c r="E433" s="4">
        <v>-32865</v>
      </c>
      <c r="F433" s="3" t="s">
        <v>1377</v>
      </c>
      <c r="G433" s="3" t="s">
        <v>29</v>
      </c>
      <c r="H433" s="2" t="s">
        <v>74</v>
      </c>
      <c r="I433" s="2" t="s">
        <v>1385</v>
      </c>
      <c r="J433" s="3" t="str">
        <f>HYPERLINK("https://www.boe.es/gazeta/dias/1810/01/06/pdfs/GMD-1810-6.pdf#page=3","Abrir facsímil")</f>
        <v>Abrir facsímil</v>
      </c>
      <c r="K433" s="3" t="s">
        <v>76</v>
      </c>
    </row>
    <row r="434" spans="1:11" ht="42" customHeight="1">
      <c r="A434" s="2" t="s">
        <v>1383</v>
      </c>
      <c r="B434" s="2" t="s">
        <v>1383</v>
      </c>
      <c r="C434" s="2" t="s">
        <v>26</v>
      </c>
      <c r="D434" s="2" t="s">
        <v>27</v>
      </c>
      <c r="E434" s="4">
        <v>-32865</v>
      </c>
      <c r="F434" s="3" t="s">
        <v>1377</v>
      </c>
      <c r="G434" s="3" t="s">
        <v>20</v>
      </c>
      <c r="H434" s="2" t="s">
        <v>74</v>
      </c>
      <c r="I434" s="2" t="s">
        <v>1386</v>
      </c>
      <c r="J434" s="3" t="str">
        <f>HYPERLINK("https://www.boe.es/gazeta/dias/1810/01/06/pdfs/GMD-1810-6.pdf#page=4","Abrir facsímil")</f>
        <v>Abrir facsímil</v>
      </c>
      <c r="K434" s="3" t="s">
        <v>76</v>
      </c>
    </row>
    <row r="435" spans="1:11" ht="42" customHeight="1">
      <c r="A435" s="2" t="s">
        <v>1383</v>
      </c>
      <c r="B435" s="2" t="s">
        <v>1383</v>
      </c>
      <c r="C435" s="2" t="s">
        <v>225</v>
      </c>
      <c r="D435" s="2" t="s">
        <v>27</v>
      </c>
      <c r="E435" s="4">
        <v>-32865</v>
      </c>
      <c r="F435" s="3" t="s">
        <v>1377</v>
      </c>
      <c r="G435" s="3" t="s">
        <v>782</v>
      </c>
      <c r="H435" s="2" t="s">
        <v>74</v>
      </c>
      <c r="I435" s="2" t="s">
        <v>1387</v>
      </c>
      <c r="J435" s="3" t="str">
        <f>HYPERLINK("https://www.boe.es/gazeta/dias/1810/01/06/pdfs/GMD-1810-6.pdf#page=5","Abrir facsímil")</f>
        <v>Abrir facsímil</v>
      </c>
      <c r="K435" s="3" t="s">
        <v>76</v>
      </c>
    </row>
    <row r="436" spans="1:11" ht="42" customHeight="1">
      <c r="A436" s="2" t="s">
        <v>1388</v>
      </c>
      <c r="B436" s="2" t="s">
        <v>1388</v>
      </c>
      <c r="C436" s="2" t="s">
        <v>225</v>
      </c>
      <c r="D436" s="2" t="s">
        <v>27</v>
      </c>
      <c r="E436" s="4">
        <v>-32865</v>
      </c>
      <c r="F436" s="3" t="s">
        <v>1377</v>
      </c>
      <c r="G436" s="3" t="s">
        <v>691</v>
      </c>
      <c r="H436" s="2" t="s">
        <v>74</v>
      </c>
      <c r="I436" s="2" t="s">
        <v>1389</v>
      </c>
      <c r="J436" s="3" t="str">
        <f>HYPERLINK("https://www.boe.es/gazeta/dias/1810/01/06/pdfs/GMD-1810-6.pdf#page=2","Abrir facsímil")</f>
        <v>Abrir facsímil</v>
      </c>
      <c r="K436" s="3" t="s">
        <v>76</v>
      </c>
    </row>
    <row r="437" spans="1:11" ht="42" customHeight="1">
      <c r="A437" s="2" t="s">
        <v>1390</v>
      </c>
      <c r="B437" s="2" t="s">
        <v>1390</v>
      </c>
      <c r="C437" s="2" t="s">
        <v>26</v>
      </c>
      <c r="D437" s="2" t="s">
        <v>27</v>
      </c>
      <c r="E437" s="4">
        <v>-32865</v>
      </c>
      <c r="F437" s="3" t="s">
        <v>1377</v>
      </c>
      <c r="G437" s="3" t="s">
        <v>782</v>
      </c>
      <c r="H437" s="2" t="s">
        <v>74</v>
      </c>
      <c r="I437" s="2" t="s">
        <v>1391</v>
      </c>
      <c r="J437" s="3" t="str">
        <f>HYPERLINK("https://www.boe.es/gazeta/dias/1810/01/06/pdfs/GMD-1810-6.pdf#page=5","Abrir facsímil")</f>
        <v>Abrir facsímil</v>
      </c>
      <c r="K437" s="3" t="s">
        <v>76</v>
      </c>
    </row>
    <row r="438" spans="1:11" ht="42" customHeight="1">
      <c r="A438" s="2" t="s">
        <v>1392</v>
      </c>
      <c r="B438" s="2" t="s">
        <v>1392</v>
      </c>
      <c r="C438" s="2" t="s">
        <v>88</v>
      </c>
      <c r="D438" s="2" t="s">
        <v>27</v>
      </c>
      <c r="E438" s="4">
        <v>-32573</v>
      </c>
      <c r="F438" s="3" t="s">
        <v>1393</v>
      </c>
      <c r="G438" s="3" t="s">
        <v>70</v>
      </c>
      <c r="H438" s="2" t="s">
        <v>74</v>
      </c>
      <c r="I438" s="2" t="s">
        <v>1394</v>
      </c>
      <c r="J438" s="3" t="str">
        <f>HYPERLINK("https://www.boe.es/gazeta/dias/1810/10/25/pdfs/GMD-1810-298.pdf#page=1","Abrir facsímil")</f>
        <v>Abrir facsímil</v>
      </c>
      <c r="K438" s="3" t="s">
        <v>76</v>
      </c>
    </row>
    <row r="439" spans="1:11" ht="42" customHeight="1">
      <c r="A439" s="2" t="s">
        <v>1395</v>
      </c>
      <c r="B439" s="2" t="s">
        <v>1395</v>
      </c>
      <c r="C439" s="2" t="s">
        <v>88</v>
      </c>
      <c r="D439" s="2" t="s">
        <v>27</v>
      </c>
      <c r="E439" s="4">
        <v>-32568</v>
      </c>
      <c r="F439" s="3" t="s">
        <v>683</v>
      </c>
      <c r="G439" s="3" t="s">
        <v>1396</v>
      </c>
      <c r="H439" s="2" t="s">
        <v>74</v>
      </c>
      <c r="I439" s="2" t="s">
        <v>1397</v>
      </c>
      <c r="J439" s="3" t="str">
        <f>HYPERLINK("https://www.boe.es/gazeta/dias/1810/10/30/pdfs/GEI-1810-88.pdf#page=11","Abrir facsímil")</f>
        <v>Abrir facsímil</v>
      </c>
      <c r="K439" s="3" t="s">
        <v>76</v>
      </c>
    </row>
    <row r="440" spans="1:11" ht="42" customHeight="1">
      <c r="A440" s="2" t="s">
        <v>1398</v>
      </c>
      <c r="B440" s="2" t="s">
        <v>1399</v>
      </c>
      <c r="C440" s="2" t="s">
        <v>26</v>
      </c>
      <c r="D440" s="2" t="s">
        <v>27</v>
      </c>
      <c r="E440" s="4">
        <v>-32761</v>
      </c>
      <c r="F440" s="3" t="s">
        <v>811</v>
      </c>
      <c r="G440" s="3" t="s">
        <v>140</v>
      </c>
      <c r="H440" s="2" t="s">
        <v>74</v>
      </c>
      <c r="I440" s="2" t="s">
        <v>1400</v>
      </c>
      <c r="J440" s="3" t="str">
        <f>HYPERLINK("https://www.boe.es/gazeta/dias/1810/04/20/pdfs/GEI-1810-16.pdf#page=8","Abrir facsímil")</f>
        <v>Abrir facsímil</v>
      </c>
      <c r="K440" s="3" t="s">
        <v>76</v>
      </c>
    </row>
    <row r="441" spans="1:11" ht="42" customHeight="1">
      <c r="A441" s="2" t="s">
        <v>1401</v>
      </c>
      <c r="B441" s="2" t="s">
        <v>1401</v>
      </c>
      <c r="C441" s="2" t="s">
        <v>88</v>
      </c>
      <c r="D441" s="2" t="s">
        <v>117</v>
      </c>
      <c r="E441" s="4">
        <v>-32851</v>
      </c>
      <c r="F441" s="3" t="s">
        <v>1402</v>
      </c>
      <c r="G441" s="3" t="s">
        <v>70</v>
      </c>
      <c r="H441" s="2" t="s">
        <v>74</v>
      </c>
      <c r="I441" s="2" t="s">
        <v>1403</v>
      </c>
      <c r="J441" s="3" t="str">
        <f>HYPERLINK("https://www.boe.es/gazeta/dias/1810/01/20/pdfs/E00081-00082.pdf#page=1","Abrir facsímil")</f>
        <v>Abrir facsímil</v>
      </c>
      <c r="K441" s="3" t="s">
        <v>76</v>
      </c>
    </row>
    <row r="442" spans="1:11" ht="42" customHeight="1">
      <c r="A442" s="2" t="s">
        <v>1404</v>
      </c>
      <c r="B442" s="2" t="s">
        <v>1405</v>
      </c>
      <c r="C442" s="2" t="s">
        <v>26</v>
      </c>
      <c r="D442" s="2" t="s">
        <v>27</v>
      </c>
      <c r="E442" s="4">
        <v>-32710</v>
      </c>
      <c r="F442" s="3" t="s">
        <v>126</v>
      </c>
      <c r="G442" s="3" t="s">
        <v>20</v>
      </c>
      <c r="H442" s="2" t="s">
        <v>74</v>
      </c>
      <c r="I442" s="2" t="s">
        <v>1406</v>
      </c>
      <c r="J442" s="3" t="str">
        <f>HYPERLINK("https://www.boe.es/gazeta/dias/1810/06/10/pdfs/GMD-1810-161.pdf#page=4","Abrir facsímil")</f>
        <v>Abrir facsímil</v>
      </c>
      <c r="K442" s="3" t="s">
        <v>76</v>
      </c>
    </row>
    <row r="443" spans="1:11" ht="42" customHeight="1">
      <c r="A443" s="2" t="s">
        <v>1407</v>
      </c>
      <c r="B443" s="2" t="s">
        <v>1407</v>
      </c>
      <c r="C443" s="2" t="s">
        <v>88</v>
      </c>
      <c r="D443" s="2" t="s">
        <v>117</v>
      </c>
      <c r="E443" s="4">
        <v>-32575</v>
      </c>
      <c r="F443" s="3" t="s">
        <v>135</v>
      </c>
      <c r="G443" s="3" t="s">
        <v>1408</v>
      </c>
      <c r="H443" s="2" t="s">
        <v>74</v>
      </c>
      <c r="I443" s="2" t="s">
        <v>1409</v>
      </c>
      <c r="J443" s="3" t="str">
        <f>HYPERLINK("https://www.boe.es/gazeta/dias/1810/10/23/pdfs/GEI-1810-85.pdf#page=6","Abrir facsímil")</f>
        <v>Abrir facsímil</v>
      </c>
      <c r="K443" s="3" t="s">
        <v>76</v>
      </c>
    </row>
    <row r="444" spans="1:11" ht="42" customHeight="1">
      <c r="A444" s="2" t="s">
        <v>1410</v>
      </c>
      <c r="B444" s="2" t="s">
        <v>1410</v>
      </c>
      <c r="C444" s="2" t="s">
        <v>88</v>
      </c>
      <c r="D444" s="2" t="s">
        <v>117</v>
      </c>
      <c r="E444" s="4">
        <v>-32860</v>
      </c>
      <c r="F444" s="3" t="s">
        <v>504</v>
      </c>
      <c r="G444" s="3" t="s">
        <v>613</v>
      </c>
      <c r="H444" s="2" t="s">
        <v>74</v>
      </c>
      <c r="I444" s="2" t="s">
        <v>1411</v>
      </c>
      <c r="J444" s="3" t="str">
        <f>HYPERLINK("https://www.boe.es/gazeta/dias/1810/01/11/pdfs/GGB-1810-5.pdf#page=1","Abrir facsímil")</f>
        <v>Abrir facsímil</v>
      </c>
      <c r="K444" s="3" t="s">
        <v>76</v>
      </c>
    </row>
    <row r="445" spans="1:11" ht="42" customHeight="1">
      <c r="A445" s="2" t="s">
        <v>1412</v>
      </c>
      <c r="B445" s="2" t="s">
        <v>1413</v>
      </c>
      <c r="C445" s="2" t="s">
        <v>88</v>
      </c>
      <c r="D445" s="2" t="s">
        <v>27</v>
      </c>
      <c r="E445" s="4">
        <v>-32649</v>
      </c>
      <c r="F445" s="3" t="s">
        <v>190</v>
      </c>
      <c r="G445" s="3" t="s">
        <v>1414</v>
      </c>
      <c r="H445" s="2" t="s">
        <v>74</v>
      </c>
      <c r="I445" s="2" t="s">
        <v>1415</v>
      </c>
      <c r="J445" s="3" t="str">
        <f>HYPERLINK("https://www.boe.es/gazeta/dias/1810/08/10/pdfs/GEI-1810-54.pdf#page=9","Abrir facsímil")</f>
        <v>Abrir facsímil</v>
      </c>
      <c r="K445" s="3" t="s">
        <v>76</v>
      </c>
    </row>
    <row r="446" spans="1:11" ht="42" customHeight="1">
      <c r="A446" s="2" t="s">
        <v>1416</v>
      </c>
      <c r="B446" s="2" t="s">
        <v>1417</v>
      </c>
      <c r="C446" s="2" t="s">
        <v>26</v>
      </c>
      <c r="D446" s="2" t="s">
        <v>27</v>
      </c>
      <c r="E446" s="4">
        <v>-32691</v>
      </c>
      <c r="F446" s="3" t="s">
        <v>727</v>
      </c>
      <c r="G446" s="3" t="s">
        <v>807</v>
      </c>
      <c r="H446" s="2" t="s">
        <v>74</v>
      </c>
      <c r="I446" s="2" t="s">
        <v>1418</v>
      </c>
      <c r="J446" s="3" t="str">
        <f>HYPERLINK("https://www.boe.es/gazeta/dias/1810/06/29/pdfs/GMD-1810-180.pdf#page=3","Abrir facsímil")</f>
        <v>Abrir facsímil</v>
      </c>
      <c r="K446" s="3" t="s">
        <v>76</v>
      </c>
    </row>
    <row r="447" spans="1:11" ht="42" customHeight="1">
      <c r="A447" s="2" t="s">
        <v>1419</v>
      </c>
      <c r="B447" s="2" t="s">
        <v>1420</v>
      </c>
      <c r="C447" s="2" t="s">
        <v>26</v>
      </c>
      <c r="D447" s="2" t="s">
        <v>27</v>
      </c>
      <c r="E447" s="4">
        <v>-32839</v>
      </c>
      <c r="F447" s="3" t="s">
        <v>28</v>
      </c>
      <c r="G447" s="3" t="s">
        <v>29</v>
      </c>
      <c r="H447" s="2" t="s">
        <v>74</v>
      </c>
      <c r="I447" s="2" t="s">
        <v>1421</v>
      </c>
      <c r="J447" s="3" t="str">
        <f>HYPERLINK("https://www.boe.es/gazeta/dias/1810/02/01/pdfs/GMD-1810-32.pdf#page=3","Abrir facsímil")</f>
        <v>Abrir facsímil</v>
      </c>
      <c r="K447" s="3" t="s">
        <v>76</v>
      </c>
    </row>
    <row r="448" spans="1:11" ht="42" customHeight="1">
      <c r="A448" s="2" t="s">
        <v>1422</v>
      </c>
      <c r="B448" s="2" t="s">
        <v>1423</v>
      </c>
      <c r="C448" s="2" t="s">
        <v>88</v>
      </c>
      <c r="D448" s="2" t="s">
        <v>220</v>
      </c>
      <c r="E448" s="4">
        <v>-32591</v>
      </c>
      <c r="F448" s="3" t="s">
        <v>377</v>
      </c>
      <c r="G448" s="3" t="s">
        <v>136</v>
      </c>
      <c r="H448" s="2" t="s">
        <v>74</v>
      </c>
      <c r="I448" s="2" t="s">
        <v>1424</v>
      </c>
      <c r="J448" s="3" t="str">
        <f>HYPERLINK("https://www.boe.es/gazeta/dias/1810/10/07/pdfs/GMD-1810-280.pdf#page=3","Abrir facsímil")</f>
        <v>Abrir facsímil</v>
      </c>
      <c r="K448" s="3" t="s">
        <v>76</v>
      </c>
    </row>
    <row r="449" spans="1:11" ht="42" customHeight="1">
      <c r="A449" s="2" t="s">
        <v>1425</v>
      </c>
      <c r="B449" s="2" t="s">
        <v>1426</v>
      </c>
      <c r="C449" s="2" t="s">
        <v>26</v>
      </c>
      <c r="D449" s="2" t="s">
        <v>39</v>
      </c>
      <c r="E449" s="4">
        <v>-32701</v>
      </c>
      <c r="F449" s="3" t="s">
        <v>40</v>
      </c>
      <c r="G449" s="3" t="s">
        <v>170</v>
      </c>
      <c r="H449" s="2" t="s">
        <v>74</v>
      </c>
      <c r="I449" s="2" t="s">
        <v>1427</v>
      </c>
      <c r="J449" s="3" t="str">
        <f>HYPERLINK("https://www.boe.es/gazeta/dias/1810/06/19/pdfs/GMD-C-1810-170.pdf#page=1","Abrir facsímil")</f>
        <v>Abrir facsímil</v>
      </c>
      <c r="K449" s="3" t="s">
        <v>76</v>
      </c>
    </row>
    <row r="450" spans="1:11" ht="42" customHeight="1">
      <c r="A450" s="2" t="s">
        <v>1428</v>
      </c>
      <c r="B450" s="2" t="s">
        <v>1429</v>
      </c>
      <c r="C450" s="2" t="s">
        <v>26</v>
      </c>
      <c r="D450" s="2" t="s">
        <v>58</v>
      </c>
      <c r="E450" s="4">
        <v>-32601</v>
      </c>
      <c r="F450" s="3" t="s">
        <v>392</v>
      </c>
      <c r="G450" s="3" t="s">
        <v>1430</v>
      </c>
      <c r="H450" s="2" t="s">
        <v>74</v>
      </c>
      <c r="I450" s="2" t="s">
        <v>1431</v>
      </c>
      <c r="J450" s="3" t="str">
        <f>HYPERLINK("https://www.boe.es/gazeta/dias/1810/09/27/pdfs/GEI-1810-74E.pdf#page=3","Abrir facsímil")</f>
        <v>Abrir facsímil</v>
      </c>
      <c r="K450" s="3" t="s">
        <v>76</v>
      </c>
    </row>
    <row r="451" spans="1:11" ht="42" customHeight="1">
      <c r="A451" s="2" t="s">
        <v>1432</v>
      </c>
      <c r="B451" s="2" t="s">
        <v>1433</v>
      </c>
      <c r="C451" s="2" t="s">
        <v>88</v>
      </c>
      <c r="D451" s="2" t="s">
        <v>117</v>
      </c>
      <c r="E451" s="4">
        <v>-32631</v>
      </c>
      <c r="F451" s="3" t="s">
        <v>497</v>
      </c>
      <c r="G451" s="3" t="s">
        <v>498</v>
      </c>
      <c r="H451" s="2" t="s">
        <v>74</v>
      </c>
      <c r="I451" s="2" t="s">
        <v>1434</v>
      </c>
      <c r="J451" s="3" t="str">
        <f>HYPERLINK("https://www.boe.es/gazeta/dias/1810/08/28/pdfs/GMD-1810-240.pdf#page=2","Abrir facsímil")</f>
        <v>Abrir facsímil</v>
      </c>
      <c r="K451" s="3" t="s">
        <v>76</v>
      </c>
    </row>
    <row r="452" spans="1:11" ht="42" customHeight="1">
      <c r="A452" s="2" t="s">
        <v>1435</v>
      </c>
      <c r="B452" s="2" t="s">
        <v>1436</v>
      </c>
      <c r="C452" s="2" t="s">
        <v>88</v>
      </c>
      <c r="D452" s="2" t="s">
        <v>27</v>
      </c>
      <c r="E452" s="4">
        <v>-32710</v>
      </c>
      <c r="F452" s="3" t="s">
        <v>126</v>
      </c>
      <c r="G452" s="3" t="s">
        <v>184</v>
      </c>
      <c r="H452" s="2" t="s">
        <v>74</v>
      </c>
      <c r="I452" s="2" t="s">
        <v>1437</v>
      </c>
      <c r="J452" s="3" t="str">
        <f>HYPERLINK("https://www.boe.es/gazeta/dias/1810/06/10/pdfs/GMD-1810-161.pdf#page=3","Abrir facsímil")</f>
        <v>Abrir facsímil</v>
      </c>
      <c r="K452" s="3" t="s">
        <v>76</v>
      </c>
    </row>
    <row r="453" spans="1:11" ht="42" customHeight="1">
      <c r="A453" s="2" t="s">
        <v>1438</v>
      </c>
      <c r="B453" s="2" t="s">
        <v>1439</v>
      </c>
      <c r="C453" s="2" t="s">
        <v>26</v>
      </c>
      <c r="D453" s="2" t="s">
        <v>27</v>
      </c>
      <c r="E453" s="4">
        <v>-32729</v>
      </c>
      <c r="F453" s="3" t="s">
        <v>174</v>
      </c>
      <c r="G453" s="3" t="s">
        <v>70</v>
      </c>
      <c r="H453" s="2" t="s">
        <v>74</v>
      </c>
      <c r="I453" s="2" t="s">
        <v>1440</v>
      </c>
      <c r="J453" s="3" t="str">
        <f>HYPERLINK("https://www.boe.es/gazeta/dias/1810/05/22/pdfs/GEI-1810-28.pdf#page=7","Abrir facsímil")</f>
        <v>Abrir facsímil</v>
      </c>
      <c r="K453" s="3" t="s">
        <v>76</v>
      </c>
    </row>
    <row r="454" spans="1:11" ht="42" customHeight="1">
      <c r="A454" s="2" t="s">
        <v>1441</v>
      </c>
      <c r="B454" s="2" t="s">
        <v>1442</v>
      </c>
      <c r="C454" s="2" t="s">
        <v>26</v>
      </c>
      <c r="D454" s="2" t="s">
        <v>27</v>
      </c>
      <c r="E454" s="4">
        <v>-32585</v>
      </c>
      <c r="F454" s="3" t="s">
        <v>260</v>
      </c>
      <c r="G454" s="3" t="s">
        <v>180</v>
      </c>
      <c r="H454" s="2" t="s">
        <v>74</v>
      </c>
      <c r="I454" s="2" t="s">
        <v>1443</v>
      </c>
      <c r="J454" s="3" t="str">
        <f>HYPERLINK("https://www.boe.es/gazeta/dias/1810/10/13/pdfs/GEI-1810-81.pdf#page=7","Abrir facsímil")</f>
        <v>Abrir facsímil</v>
      </c>
      <c r="K454" s="3" t="s">
        <v>76</v>
      </c>
    </row>
    <row r="455" spans="1:11" ht="42" customHeight="1">
      <c r="A455" s="2" t="s">
        <v>1444</v>
      </c>
      <c r="B455" s="2" t="s">
        <v>1445</v>
      </c>
      <c r="C455" s="2" t="s">
        <v>88</v>
      </c>
      <c r="D455" s="2" t="s">
        <v>27</v>
      </c>
      <c r="E455" s="4">
        <v>-32533</v>
      </c>
      <c r="F455" s="3" t="s">
        <v>1357</v>
      </c>
      <c r="G455" s="3" t="s">
        <v>701</v>
      </c>
      <c r="H455" s="2" t="s">
        <v>74</v>
      </c>
      <c r="I455" s="2" t="s">
        <v>1446</v>
      </c>
      <c r="J455" s="3" t="str">
        <f>HYPERLINK("https://www.boe.es/gazeta/dias/1810/12/04/pdfs/GEI-1810-103.pdf#page=8","Abrir facsímil")</f>
        <v>Abrir facsímil</v>
      </c>
      <c r="K455" s="3" t="s">
        <v>76</v>
      </c>
    </row>
    <row r="456" spans="1:11" ht="42" customHeight="1">
      <c r="A456" s="2" t="s">
        <v>1447</v>
      </c>
      <c r="B456" s="2" t="s">
        <v>1447</v>
      </c>
      <c r="C456" s="2" t="s">
        <v>88</v>
      </c>
      <c r="D456" s="2" t="s">
        <v>27</v>
      </c>
      <c r="E456" s="4">
        <v>-32754</v>
      </c>
      <c r="F456" s="3" t="s">
        <v>1057</v>
      </c>
      <c r="G456" s="3" t="s">
        <v>1448</v>
      </c>
      <c r="H456" s="2" t="s">
        <v>74</v>
      </c>
      <c r="I456" s="2" t="s">
        <v>1449</v>
      </c>
      <c r="J456" s="3" t="str">
        <f>HYPERLINK("https://www.boe.es/gazeta/dias/1810/04/27/pdfs/GEI-1810-18.pdf#page=10","Abrir facsímil")</f>
        <v>Abrir facsímil</v>
      </c>
      <c r="K456" s="3" t="s">
        <v>76</v>
      </c>
    </row>
    <row r="457" spans="1:11" ht="42" customHeight="1">
      <c r="A457" s="2" t="s">
        <v>1450</v>
      </c>
      <c r="B457" s="2" t="s">
        <v>1451</v>
      </c>
      <c r="C457" s="2" t="s">
        <v>26</v>
      </c>
      <c r="D457" s="2" t="s">
        <v>27</v>
      </c>
      <c r="E457" s="4">
        <v>-32563</v>
      </c>
      <c r="F457" s="3" t="s">
        <v>535</v>
      </c>
      <c r="G457" s="3" t="s">
        <v>210</v>
      </c>
      <c r="H457" s="2" t="s">
        <v>21</v>
      </c>
      <c r="I457" s="2" t="s">
        <v>1452</v>
      </c>
      <c r="J457" s="3" t="str">
        <f>HYPERLINK("https://www.boe.es/gazeta/dias/1810/11/04/pdfs/GMD-1810-308.pdf#page=18","Abrir facsímil")</f>
        <v>Abrir facsímil</v>
      </c>
      <c r="K457" s="3" t="s">
        <v>23</v>
      </c>
    </row>
    <row r="458" spans="1:11" ht="42" customHeight="1">
      <c r="A458" s="2" t="s">
        <v>1453</v>
      </c>
      <c r="B458" s="2" t="s">
        <v>1453</v>
      </c>
      <c r="C458" s="2" t="s">
        <v>88</v>
      </c>
      <c r="D458" s="2" t="s">
        <v>117</v>
      </c>
      <c r="E458" s="4">
        <v>-32845</v>
      </c>
      <c r="F458" s="3" t="s">
        <v>1454</v>
      </c>
      <c r="G458" s="3" t="s">
        <v>35</v>
      </c>
      <c r="H458" s="2" t="s">
        <v>74</v>
      </c>
      <c r="I458" s="2" t="s">
        <v>1455</v>
      </c>
      <c r="J458" s="3" t="str">
        <f>HYPERLINK("https://www.boe.es/gazeta/dias/1810/01/26/pdfs/GMD-1810-26.pdf#page=2","Abrir facsímil")</f>
        <v>Abrir facsímil</v>
      </c>
      <c r="K458" s="3" t="s">
        <v>76</v>
      </c>
    </row>
    <row r="459" spans="1:11" ht="42" customHeight="1">
      <c r="A459" s="2" t="s">
        <v>1453</v>
      </c>
      <c r="B459" s="2" t="s">
        <v>1453</v>
      </c>
      <c r="C459" s="2" t="s">
        <v>88</v>
      </c>
      <c r="D459" s="2" t="s">
        <v>27</v>
      </c>
      <c r="E459" s="4">
        <v>-32845</v>
      </c>
      <c r="F459" s="3" t="s">
        <v>1454</v>
      </c>
      <c r="G459" s="3" t="s">
        <v>140</v>
      </c>
      <c r="H459" s="2" t="s">
        <v>74</v>
      </c>
      <c r="I459" s="2" t="s">
        <v>1456</v>
      </c>
      <c r="J459" s="3" t="str">
        <f>HYPERLINK("https://www.boe.es/gazeta/dias/1810/01/26/pdfs/GMD-1810-26.pdf#page=3","Abrir facsímil")</f>
        <v>Abrir facsímil</v>
      </c>
      <c r="K459" s="3" t="s">
        <v>76</v>
      </c>
    </row>
    <row r="460" spans="1:11" ht="42" customHeight="1">
      <c r="A460" s="2" t="s">
        <v>1457</v>
      </c>
      <c r="B460" s="2" t="s">
        <v>1458</v>
      </c>
      <c r="C460" s="2" t="s">
        <v>88</v>
      </c>
      <c r="D460" s="2" t="s">
        <v>27</v>
      </c>
      <c r="E460" s="4">
        <v>-32617</v>
      </c>
      <c r="F460" s="3" t="s">
        <v>1459</v>
      </c>
      <c r="G460" s="3" t="s">
        <v>1460</v>
      </c>
      <c r="H460" s="2" t="s">
        <v>21</v>
      </c>
      <c r="I460" s="2" t="s">
        <v>1461</v>
      </c>
      <c r="J460" s="3" t="str">
        <f>HYPERLINK("https://www.boe.es/gazeta/dias/1810/09/11/pdfs/GEI-1810-66.pdf#page=5","Abrir facsímil")</f>
        <v>Abrir facsímil</v>
      </c>
      <c r="K460" s="3" t="s">
        <v>23</v>
      </c>
    </row>
    <row r="461" spans="1:11" ht="42" customHeight="1">
      <c r="A461" s="2" t="s">
        <v>1462</v>
      </c>
      <c r="B461" s="2" t="s">
        <v>1463</v>
      </c>
      <c r="C461" s="2" t="s">
        <v>88</v>
      </c>
      <c r="D461" s="2" t="s">
        <v>27</v>
      </c>
      <c r="E461" s="4">
        <v>-32592</v>
      </c>
      <c r="F461" s="3" t="s">
        <v>771</v>
      </c>
      <c r="G461" s="3" t="s">
        <v>1464</v>
      </c>
      <c r="H461" s="2" t="s">
        <v>21</v>
      </c>
      <c r="I461" s="2" t="s">
        <v>1465</v>
      </c>
      <c r="J461" s="3" t="str">
        <f>HYPERLINK("https://www.boe.es/gazeta/dias/1810/10/06/pdfs/GEI-1810-78.pdf#page=3","Abrir facsímil")</f>
        <v>Abrir facsímil</v>
      </c>
      <c r="K461" s="3" t="s">
        <v>23</v>
      </c>
    </row>
    <row r="462" spans="1:11" ht="42" customHeight="1">
      <c r="A462" s="2" t="s">
        <v>1466</v>
      </c>
      <c r="B462" s="2" t="s">
        <v>1467</v>
      </c>
      <c r="C462" s="2" t="s">
        <v>88</v>
      </c>
      <c r="D462" s="2" t="s">
        <v>27</v>
      </c>
      <c r="E462" s="4">
        <v>-32789</v>
      </c>
      <c r="F462" s="3" t="s">
        <v>1468</v>
      </c>
      <c r="G462" s="3" t="s">
        <v>140</v>
      </c>
      <c r="H462" s="2" t="s">
        <v>74</v>
      </c>
      <c r="I462" s="2" t="s">
        <v>1469</v>
      </c>
      <c r="J462" s="3" t="str">
        <f>HYPERLINK("https://www.boe.es/gazeta/dias/1810/03/23/pdfs/GEI-1810-5.pdf#page=8","Abrir facsímil")</f>
        <v>Abrir facsímil</v>
      </c>
      <c r="K462" s="3" t="s">
        <v>76</v>
      </c>
    </row>
    <row r="463" spans="1:11" ht="42" customHeight="1">
      <c r="A463" s="2" t="s">
        <v>1470</v>
      </c>
      <c r="B463" s="2" t="s">
        <v>1471</v>
      </c>
      <c r="C463" s="2" t="s">
        <v>88</v>
      </c>
      <c r="D463" s="2" t="s">
        <v>27</v>
      </c>
      <c r="E463" s="4">
        <v>-32550</v>
      </c>
      <c r="F463" s="3" t="s">
        <v>1472</v>
      </c>
      <c r="G463" s="3" t="s">
        <v>1473</v>
      </c>
      <c r="H463" s="2" t="s">
        <v>74</v>
      </c>
      <c r="I463" s="2" t="s">
        <v>1474</v>
      </c>
      <c r="J463" s="3" t="str">
        <f>HYPERLINK("https://www.boe.es/gazeta/dias/1810/11/17/pdfs/GEI-1810-96.pdf#page=8","Abrir facsímil")</f>
        <v>Abrir facsímil</v>
      </c>
      <c r="K463" s="3" t="s">
        <v>76</v>
      </c>
    </row>
    <row r="464" spans="1:11" ht="42" customHeight="1">
      <c r="A464" s="2" t="s">
        <v>1475</v>
      </c>
      <c r="B464" s="2" t="s">
        <v>1476</v>
      </c>
      <c r="C464" s="2" t="s">
        <v>88</v>
      </c>
      <c r="D464" s="2" t="s">
        <v>27</v>
      </c>
      <c r="E464" s="4">
        <v>-32754</v>
      </c>
      <c r="F464" s="3" t="s">
        <v>1057</v>
      </c>
      <c r="G464" s="3" t="s">
        <v>1477</v>
      </c>
      <c r="H464" s="2" t="s">
        <v>74</v>
      </c>
      <c r="I464" s="2" t="s">
        <v>1478</v>
      </c>
      <c r="J464" s="3" t="str">
        <f>HYPERLINK("https://www.boe.es/gazeta/dias/1810/04/27/pdfs/GEI-1810-18.pdf#page=5","Abrir facsímil")</f>
        <v>Abrir facsímil</v>
      </c>
      <c r="K464" s="3" t="s">
        <v>76</v>
      </c>
    </row>
    <row r="465" spans="1:11" ht="42" customHeight="1">
      <c r="A465" s="2" t="s">
        <v>1479</v>
      </c>
      <c r="B465" s="2" t="s">
        <v>1480</v>
      </c>
      <c r="C465" s="2" t="s">
        <v>26</v>
      </c>
      <c r="D465" s="2" t="s">
        <v>27</v>
      </c>
      <c r="E465" s="4">
        <v>-32839</v>
      </c>
      <c r="F465" s="3" t="s">
        <v>28</v>
      </c>
      <c r="G465" s="3" t="s">
        <v>29</v>
      </c>
      <c r="H465" s="2" t="s">
        <v>74</v>
      </c>
      <c r="I465" s="2" t="s">
        <v>1481</v>
      </c>
      <c r="J465" s="3" t="str">
        <f>HYPERLINK("https://www.boe.es/gazeta/dias/1810/02/01/pdfs/GMD-1810-32.pdf#page=3","Abrir facsímil")</f>
        <v>Abrir facsímil</v>
      </c>
      <c r="K465" s="3" t="s">
        <v>76</v>
      </c>
    </row>
    <row r="466" spans="1:11" ht="42" customHeight="1">
      <c r="A466" s="2" t="s">
        <v>1482</v>
      </c>
      <c r="B466" s="2" t="s">
        <v>1483</v>
      </c>
      <c r="C466" s="2" t="s">
        <v>317</v>
      </c>
      <c r="D466" s="2" t="s">
        <v>27</v>
      </c>
      <c r="E466" s="4">
        <v>-32523</v>
      </c>
      <c r="F466" s="3" t="s">
        <v>1484</v>
      </c>
      <c r="G466" s="3" t="s">
        <v>29</v>
      </c>
      <c r="H466" s="2" t="s">
        <v>74</v>
      </c>
      <c r="I466" s="2" t="s">
        <v>1485</v>
      </c>
      <c r="J466" s="3" t="str">
        <f>HYPERLINK("https://www.boe.es/gazeta/dias/1810/12/14/pdfs/GMD-1810-348.pdf#page=4","Abrir facsímil")</f>
        <v>Abrir facsímil</v>
      </c>
      <c r="K466" s="3" t="s">
        <v>76</v>
      </c>
    </row>
    <row r="467" spans="1:11" ht="42" customHeight="1">
      <c r="A467" s="2" t="s">
        <v>1486</v>
      </c>
      <c r="B467" s="2" t="s">
        <v>1486</v>
      </c>
      <c r="C467" s="2" t="s">
        <v>88</v>
      </c>
      <c r="D467" s="2" t="s">
        <v>27</v>
      </c>
      <c r="E467" s="4">
        <v>-32662</v>
      </c>
      <c r="F467" s="3" t="s">
        <v>1487</v>
      </c>
      <c r="G467" s="3" t="s">
        <v>1488</v>
      </c>
      <c r="H467" s="2" t="s">
        <v>74</v>
      </c>
      <c r="I467" s="2" t="s">
        <v>1489</v>
      </c>
      <c r="J467" s="3" t="str">
        <f>HYPERLINK("https://www.boe.es/gazeta/dias/1810/07/28/pdfs/GMD-1810-209.pdf#page=1","Abrir facsímil")</f>
        <v>Abrir facsímil</v>
      </c>
      <c r="K467" s="3" t="s">
        <v>76</v>
      </c>
    </row>
    <row r="468" spans="1:11" ht="42" customHeight="1">
      <c r="A468" s="2" t="s">
        <v>1490</v>
      </c>
      <c r="B468" s="2" t="s">
        <v>1490</v>
      </c>
      <c r="C468" s="2" t="s">
        <v>88</v>
      </c>
      <c r="D468" s="2" t="s">
        <v>27</v>
      </c>
      <c r="E468" s="4">
        <v>-32767</v>
      </c>
      <c r="F468" s="3" t="s">
        <v>1265</v>
      </c>
      <c r="G468" s="3" t="s">
        <v>235</v>
      </c>
      <c r="H468" s="2" t="s">
        <v>74</v>
      </c>
      <c r="I468" s="2" t="s">
        <v>1491</v>
      </c>
      <c r="J468" s="3" t="str">
        <f>HYPERLINK("https://www.boe.es/gazeta/dias/1810/04/14/pdfs/GMD-1810-104.pdf#page=3","Abrir facsímil")</f>
        <v>Abrir facsímil</v>
      </c>
      <c r="K468" s="3" t="s">
        <v>76</v>
      </c>
    </row>
    <row r="469" spans="1:11" ht="42" customHeight="1">
      <c r="A469" s="2" t="s">
        <v>1492</v>
      </c>
      <c r="B469" s="2" t="s">
        <v>1492</v>
      </c>
      <c r="C469" s="2" t="s">
        <v>88</v>
      </c>
      <c r="D469" s="2" t="s">
        <v>27</v>
      </c>
      <c r="E469" s="4">
        <v>-32662</v>
      </c>
      <c r="F469" s="3" t="s">
        <v>1487</v>
      </c>
      <c r="G469" s="3" t="s">
        <v>1488</v>
      </c>
      <c r="H469" s="2" t="s">
        <v>74</v>
      </c>
      <c r="I469" s="2" t="s">
        <v>1493</v>
      </c>
      <c r="J469" s="3" t="str">
        <f>HYPERLINK("https://www.boe.es/gazeta/dias/1810/07/28/pdfs/GMD-1810-209.pdf#page=1","Abrir facsímil")</f>
        <v>Abrir facsímil</v>
      </c>
      <c r="K469" s="3" t="s">
        <v>76</v>
      </c>
    </row>
    <row r="470" spans="1:11" ht="42" customHeight="1">
      <c r="A470" s="2" t="s">
        <v>1492</v>
      </c>
      <c r="B470" s="2" t="s">
        <v>1492</v>
      </c>
      <c r="C470" s="2" t="s">
        <v>88</v>
      </c>
      <c r="D470" s="2" t="s">
        <v>27</v>
      </c>
      <c r="E470" s="4">
        <v>-32629</v>
      </c>
      <c r="F470" s="3" t="s">
        <v>1494</v>
      </c>
      <c r="G470" s="3" t="s">
        <v>213</v>
      </c>
      <c r="H470" s="2" t="s">
        <v>74</v>
      </c>
      <c r="I470" s="2" t="s">
        <v>1495</v>
      </c>
      <c r="J470" s="3" t="str">
        <f>HYPERLINK("https://www.boe.es/gazeta/dias/1810/08/30/pdfs/GMD-1810-242.pdf#page=2","Abrir facsímil")</f>
        <v>Abrir facsímil</v>
      </c>
      <c r="K470" s="3" t="s">
        <v>76</v>
      </c>
    </row>
    <row r="471" spans="1:11" ht="42" customHeight="1">
      <c r="A471" s="2" t="s">
        <v>1492</v>
      </c>
      <c r="B471" s="2" t="s">
        <v>1492</v>
      </c>
      <c r="C471" s="2" t="s">
        <v>225</v>
      </c>
      <c r="D471" s="2" t="s">
        <v>27</v>
      </c>
      <c r="E471" s="4">
        <v>-32627</v>
      </c>
      <c r="F471" s="3" t="s">
        <v>1496</v>
      </c>
      <c r="G471" s="3" t="s">
        <v>1497</v>
      </c>
      <c r="H471" s="2" t="s">
        <v>74</v>
      </c>
      <c r="I471" s="2" t="s">
        <v>1498</v>
      </c>
      <c r="J471" s="3" t="str">
        <f>HYPERLINK("https://www.boe.es/gazeta/dias/1810/09/01/pdfs/GMD-1810-244.pdf#page=1","Abrir facsímil")</f>
        <v>Abrir facsímil</v>
      </c>
      <c r="K471" s="3" t="s">
        <v>76</v>
      </c>
    </row>
    <row r="472" spans="1:11" ht="42" customHeight="1">
      <c r="A472" s="2" t="s">
        <v>1492</v>
      </c>
      <c r="B472" s="2" t="s">
        <v>1492</v>
      </c>
      <c r="C472" s="2" t="s">
        <v>88</v>
      </c>
      <c r="D472" s="2" t="s">
        <v>27</v>
      </c>
      <c r="E472" s="4">
        <v>-32620</v>
      </c>
      <c r="F472" s="3" t="s">
        <v>1499</v>
      </c>
      <c r="G472" s="3" t="s">
        <v>20</v>
      </c>
      <c r="H472" s="2" t="s">
        <v>74</v>
      </c>
      <c r="I472" s="2" t="s">
        <v>1500</v>
      </c>
      <c r="J472" s="3" t="str">
        <f>HYPERLINK("https://www.boe.es/gazeta/dias/1810/09/08/pdfs/GMD-1810-251.pdf#page=4","Abrir facsímil")</f>
        <v>Abrir facsímil</v>
      </c>
      <c r="K472" s="3" t="s">
        <v>76</v>
      </c>
    </row>
    <row r="473" spans="1:11" ht="42" customHeight="1">
      <c r="A473" s="2" t="s">
        <v>1492</v>
      </c>
      <c r="B473" s="2" t="s">
        <v>1492</v>
      </c>
      <c r="C473" s="2" t="s">
        <v>88</v>
      </c>
      <c r="D473" s="2" t="s">
        <v>27</v>
      </c>
      <c r="E473" s="4">
        <v>-32618</v>
      </c>
      <c r="F473" s="3" t="s">
        <v>1501</v>
      </c>
      <c r="G473" s="3" t="s">
        <v>1502</v>
      </c>
      <c r="H473" s="2" t="s">
        <v>74</v>
      </c>
      <c r="I473" s="2" t="s">
        <v>1503</v>
      </c>
      <c r="J473" s="3" t="str">
        <f>HYPERLINK("https://www.boe.es/gazeta/dias/1810/09/10/pdfs/GMD-1810-253.pdf#page=1","Abrir facsímil")</f>
        <v>Abrir facsímil</v>
      </c>
      <c r="K473" s="3" t="s">
        <v>76</v>
      </c>
    </row>
    <row r="474" spans="1:11" ht="42" customHeight="1">
      <c r="A474" s="2" t="s">
        <v>1492</v>
      </c>
      <c r="B474" s="2" t="s">
        <v>1492</v>
      </c>
      <c r="C474" s="2" t="s">
        <v>88</v>
      </c>
      <c r="D474" s="2" t="s">
        <v>220</v>
      </c>
      <c r="E474" s="4">
        <v>-32587</v>
      </c>
      <c r="F474" s="3" t="s">
        <v>1504</v>
      </c>
      <c r="G474" s="3" t="s">
        <v>70</v>
      </c>
      <c r="H474" s="2" t="s">
        <v>74</v>
      </c>
      <c r="I474" s="2" t="s">
        <v>1505</v>
      </c>
      <c r="J474" s="3" t="str">
        <f>HYPERLINK("https://www.boe.es/gazeta/dias/1810/10/11/pdfs/GMD-1810-284.pdf#page=2","Abrir facsímil")</f>
        <v>Abrir facsímil</v>
      </c>
      <c r="K474" s="3" t="s">
        <v>76</v>
      </c>
    </row>
    <row r="475" spans="1:11" ht="42" customHeight="1">
      <c r="A475" s="2" t="s">
        <v>1492</v>
      </c>
      <c r="B475" s="2" t="s">
        <v>1492</v>
      </c>
      <c r="C475" s="2" t="s">
        <v>88</v>
      </c>
      <c r="D475" s="2" t="s">
        <v>27</v>
      </c>
      <c r="E475" s="4">
        <v>-32585</v>
      </c>
      <c r="F475" s="3" t="s">
        <v>260</v>
      </c>
      <c r="G475" s="3" t="s">
        <v>1506</v>
      </c>
      <c r="H475" s="2" t="s">
        <v>74</v>
      </c>
      <c r="I475" s="2" t="s">
        <v>1507</v>
      </c>
      <c r="J475" s="3" t="str">
        <f>HYPERLINK("https://www.boe.es/gazeta/dias/1810/10/13/pdfs/GEI-1810-81.pdf#page=1","Abrir facsímil")</f>
        <v>Abrir facsímil</v>
      </c>
      <c r="K475" s="3" t="s">
        <v>76</v>
      </c>
    </row>
    <row r="476" spans="1:11" ht="42" customHeight="1">
      <c r="A476" s="2" t="s">
        <v>1508</v>
      </c>
      <c r="B476" s="2" t="s">
        <v>1509</v>
      </c>
      <c r="C476" s="2" t="s">
        <v>88</v>
      </c>
      <c r="D476" s="2" t="s">
        <v>27</v>
      </c>
      <c r="E476" s="4">
        <v>-32754</v>
      </c>
      <c r="F476" s="3" t="s">
        <v>1057</v>
      </c>
      <c r="G476" s="3" t="s">
        <v>1058</v>
      </c>
      <c r="H476" s="2" t="s">
        <v>74</v>
      </c>
      <c r="I476" s="2" t="s">
        <v>1510</v>
      </c>
      <c r="J476" s="3" t="str">
        <f>HYPERLINK("https://www.boe.es/gazeta/dias/1810/04/27/pdfs/GEI-1810-18.pdf#page=12","Abrir facsímil")</f>
        <v>Abrir facsímil</v>
      </c>
      <c r="K476" s="3" t="s">
        <v>76</v>
      </c>
    </row>
    <row r="477" spans="1:11" ht="42" customHeight="1">
      <c r="A477" s="2" t="s">
        <v>1511</v>
      </c>
      <c r="B477" s="2" t="s">
        <v>1512</v>
      </c>
      <c r="C477" s="2" t="s">
        <v>26</v>
      </c>
      <c r="D477" s="2" t="s">
        <v>39</v>
      </c>
      <c r="E477" s="4">
        <v>-32702</v>
      </c>
      <c r="F477" s="3" t="s">
        <v>179</v>
      </c>
      <c r="G477" s="3" t="s">
        <v>213</v>
      </c>
      <c r="H477" s="2" t="s">
        <v>74</v>
      </c>
      <c r="I477" s="2" t="s">
        <v>1513</v>
      </c>
      <c r="J477" s="3" t="str">
        <f>HYPERLINK("https://www.boe.es/gazeta/dias/1810/06/18/pdfs/GMD-C-1810-169.pdf#page=4","Abrir facsímil")</f>
        <v>Abrir facsímil</v>
      </c>
      <c r="K477" s="3" t="s">
        <v>76</v>
      </c>
    </row>
    <row r="478" spans="1:11" ht="42" customHeight="1">
      <c r="A478" s="2" t="s">
        <v>1514</v>
      </c>
      <c r="B478" s="2" t="s">
        <v>1515</v>
      </c>
      <c r="C478" s="2" t="s">
        <v>88</v>
      </c>
      <c r="D478" s="2" t="s">
        <v>27</v>
      </c>
      <c r="E478" s="4">
        <v>-32545</v>
      </c>
      <c r="F478" s="3" t="s">
        <v>165</v>
      </c>
      <c r="G478" s="3" t="s">
        <v>1516</v>
      </c>
      <c r="H478" s="2" t="s">
        <v>74</v>
      </c>
      <c r="I478" s="2" t="s">
        <v>1517</v>
      </c>
      <c r="J478" s="3" t="str">
        <f>HYPERLINK("https://www.boe.es/gazeta/dias/1810/11/22/pdfs/GEI-1810-98.pdf#page=7","Abrir facsímil")</f>
        <v>Abrir facsímil</v>
      </c>
      <c r="K478" s="3" t="s">
        <v>76</v>
      </c>
    </row>
    <row r="479" spans="1:11" ht="42" customHeight="1">
      <c r="A479" s="2" t="s">
        <v>1518</v>
      </c>
      <c r="B479" s="2" t="s">
        <v>1519</v>
      </c>
      <c r="C479" s="2" t="s">
        <v>26</v>
      </c>
      <c r="D479" s="2" t="s">
        <v>27</v>
      </c>
      <c r="E479" s="4">
        <v>-32827</v>
      </c>
      <c r="F479" s="3" t="s">
        <v>290</v>
      </c>
      <c r="G479" s="3" t="s">
        <v>695</v>
      </c>
      <c r="H479" s="2" t="s">
        <v>74</v>
      </c>
      <c r="I479" s="2" t="s">
        <v>1520</v>
      </c>
      <c r="J479" s="3" t="str">
        <f>HYPERLINK("https://www.boe.es/gazeta/dias/1810/02/13/pdfs/GMD-1810-44.pdf#page=2","Abrir facsímil")</f>
        <v>Abrir facsímil</v>
      </c>
      <c r="K479" s="3" t="s">
        <v>76</v>
      </c>
    </row>
    <row r="480" spans="1:11" ht="42" customHeight="1">
      <c r="A480" s="2" t="s">
        <v>1521</v>
      </c>
      <c r="B480" s="2" t="s">
        <v>1522</v>
      </c>
      <c r="C480" s="2" t="s">
        <v>195</v>
      </c>
      <c r="D480" s="2" t="s">
        <v>39</v>
      </c>
      <c r="E480" s="4">
        <v>-32599</v>
      </c>
      <c r="F480" s="3" t="s">
        <v>662</v>
      </c>
      <c r="G480" s="3" t="s">
        <v>140</v>
      </c>
      <c r="H480" s="2" t="s">
        <v>74</v>
      </c>
      <c r="I480" s="2" t="s">
        <v>1523</v>
      </c>
      <c r="J480" s="3" t="str">
        <f>HYPERLINK("https://www.boe.es/gazeta/dias/1810/09/29/pdfs/GMD-C-1810-272.pdf#page=10","Abrir facsímil")</f>
        <v>Abrir facsímil</v>
      </c>
      <c r="K480" s="3" t="s">
        <v>76</v>
      </c>
    </row>
    <row r="481" spans="1:11" ht="42" customHeight="1">
      <c r="A481" s="2" t="s">
        <v>1524</v>
      </c>
      <c r="B481" s="2" t="s">
        <v>1525</v>
      </c>
      <c r="C481" s="2" t="s">
        <v>26</v>
      </c>
      <c r="D481" s="2" t="s">
        <v>27</v>
      </c>
      <c r="E481" s="4">
        <v>-32647</v>
      </c>
      <c r="F481" s="3" t="s">
        <v>118</v>
      </c>
      <c r="G481" s="3" t="s">
        <v>140</v>
      </c>
      <c r="H481" s="2" t="s">
        <v>74</v>
      </c>
      <c r="I481" s="2" t="s">
        <v>1526</v>
      </c>
      <c r="J481" s="3" t="str">
        <f>HYPERLINK("https://www.boe.es/gazeta/dias/1810/08/12/pdfs/GMD-1810-224.pdf#page=2","Abrir facsímil")</f>
        <v>Abrir facsímil</v>
      </c>
      <c r="K481" s="3" t="s">
        <v>76</v>
      </c>
    </row>
    <row r="482" spans="1:11" ht="42" customHeight="1">
      <c r="A482" s="2" t="s">
        <v>1527</v>
      </c>
      <c r="B482" s="2" t="s">
        <v>1528</v>
      </c>
      <c r="C482" s="2" t="s">
        <v>26</v>
      </c>
      <c r="D482" s="2" t="s">
        <v>39</v>
      </c>
      <c r="E482" s="4">
        <v>-32661</v>
      </c>
      <c r="F482" s="3" t="s">
        <v>157</v>
      </c>
      <c r="G482" s="3" t="s">
        <v>592</v>
      </c>
      <c r="H482" s="2" t="s">
        <v>74</v>
      </c>
      <c r="I482" s="2" t="s">
        <v>1529</v>
      </c>
      <c r="J482" s="3" t="str">
        <f>HYPERLINK("https://www.boe.es/gazeta/dias/1810/07/29/pdfs/GMD-C-1810-210.pdf#page=2","Abrir facsímil")</f>
        <v>Abrir facsímil</v>
      </c>
      <c r="K482" s="3" t="s">
        <v>76</v>
      </c>
    </row>
    <row r="483" spans="1:11" ht="42" customHeight="1">
      <c r="A483" s="2" t="s">
        <v>1530</v>
      </c>
      <c r="B483" s="2" t="s">
        <v>1531</v>
      </c>
      <c r="C483" s="2" t="s">
        <v>26</v>
      </c>
      <c r="D483" s="2" t="s">
        <v>27</v>
      </c>
      <c r="E483" s="4">
        <v>-32591</v>
      </c>
      <c r="F483" s="3" t="s">
        <v>377</v>
      </c>
      <c r="G483" s="3" t="s">
        <v>140</v>
      </c>
      <c r="H483" s="2" t="s">
        <v>74</v>
      </c>
      <c r="I483" s="2" t="s">
        <v>1532</v>
      </c>
      <c r="J483" s="3" t="str">
        <f>HYPERLINK("https://www.boe.es/gazeta/dias/1810/10/07/pdfs/GMD-1810-280.pdf#page=4","Abrir facsímil")</f>
        <v>Abrir facsímil</v>
      </c>
      <c r="K483" s="3" t="s">
        <v>76</v>
      </c>
    </row>
    <row r="484" spans="1:11" ht="42" customHeight="1">
      <c r="A484" s="2" t="s">
        <v>1533</v>
      </c>
      <c r="B484" s="2" t="s">
        <v>1533</v>
      </c>
      <c r="C484" s="2" t="s">
        <v>111</v>
      </c>
      <c r="D484" s="2" t="s">
        <v>27</v>
      </c>
      <c r="E484" s="4">
        <v>-32741</v>
      </c>
      <c r="F484" s="3" t="s">
        <v>98</v>
      </c>
      <c r="G484" s="3" t="s">
        <v>90</v>
      </c>
      <c r="H484" s="2" t="s">
        <v>74</v>
      </c>
      <c r="I484" s="2" t="s">
        <v>1534</v>
      </c>
      <c r="J484" s="3" t="str">
        <f>HYPERLINK("https://www.boe.es/gazeta/dias/1810/05/10/pdfs/GMD-1810-130.pdf#page=4","Abrir facsímil")</f>
        <v>Abrir facsímil</v>
      </c>
      <c r="K484" s="3" t="s">
        <v>76</v>
      </c>
    </row>
    <row r="485" spans="1:11" ht="42" customHeight="1">
      <c r="A485" s="2" t="s">
        <v>1535</v>
      </c>
      <c r="B485" s="2" t="s">
        <v>1536</v>
      </c>
      <c r="C485" s="2" t="s">
        <v>26</v>
      </c>
      <c r="D485" s="2" t="s">
        <v>27</v>
      </c>
      <c r="E485" s="4">
        <v>-32562</v>
      </c>
      <c r="F485" s="3" t="s">
        <v>1186</v>
      </c>
      <c r="G485" s="3" t="s">
        <v>90</v>
      </c>
      <c r="H485" s="2" t="s">
        <v>74</v>
      </c>
      <c r="I485" s="2" t="s">
        <v>1537</v>
      </c>
      <c r="J485" s="3" t="str">
        <f>HYPERLINK("https://www.boe.es/gazeta/dias/1810/11/05/pdfs/GMD-1810-309.pdf#page=3","Abrir facsímil")</f>
        <v>Abrir facsímil</v>
      </c>
      <c r="K485" s="3" t="s">
        <v>76</v>
      </c>
    </row>
    <row r="486" spans="1:11" ht="42" customHeight="1">
      <c r="A486" s="2" t="s">
        <v>1538</v>
      </c>
      <c r="B486" s="2" t="s">
        <v>1539</v>
      </c>
      <c r="C486" s="2" t="s">
        <v>26</v>
      </c>
      <c r="D486" s="2" t="s">
        <v>39</v>
      </c>
      <c r="E486" s="4">
        <v>-32677</v>
      </c>
      <c r="F486" s="3" t="s">
        <v>549</v>
      </c>
      <c r="G486" s="3" t="s">
        <v>1540</v>
      </c>
      <c r="H486" s="2" t="s">
        <v>74</v>
      </c>
      <c r="I486" s="2" t="s">
        <v>1541</v>
      </c>
      <c r="J486" s="3" t="str">
        <f>HYPERLINK("https://www.boe.es/gazeta/dias/1810/07/13/pdfs/GEI-D-1810-44.pdf#page=4","Abrir facsímil")</f>
        <v>Abrir facsímil</v>
      </c>
      <c r="K486" s="3" t="s">
        <v>76</v>
      </c>
    </row>
    <row r="487" spans="1:11" ht="42" customHeight="1">
      <c r="A487" s="2" t="s">
        <v>1542</v>
      </c>
      <c r="B487" s="2" t="s">
        <v>1542</v>
      </c>
      <c r="C487" s="2" t="s">
        <v>88</v>
      </c>
      <c r="D487" s="2" t="s">
        <v>117</v>
      </c>
      <c r="E487" s="4">
        <v>-32769</v>
      </c>
      <c r="F487" s="3" t="s">
        <v>1543</v>
      </c>
      <c r="G487" s="3" t="s">
        <v>29</v>
      </c>
      <c r="H487" s="2" t="s">
        <v>74</v>
      </c>
      <c r="I487" s="2" t="s">
        <v>1544</v>
      </c>
      <c r="J487" s="3" t="str">
        <f>HYPERLINK("https://www.boe.es/gazeta/dias/1810/04/12/pdfs/GMD-1810-102.pdf#page=2","Abrir facsímil")</f>
        <v>Abrir facsímil</v>
      </c>
      <c r="K487" s="3" t="s">
        <v>76</v>
      </c>
    </row>
    <row r="488" spans="1:11" ht="42" customHeight="1">
      <c r="A488" s="2" t="s">
        <v>1545</v>
      </c>
      <c r="B488" s="2" t="s">
        <v>1545</v>
      </c>
      <c r="C488" s="2" t="s">
        <v>33</v>
      </c>
      <c r="D488" s="2" t="s">
        <v>18</v>
      </c>
      <c r="E488" s="4">
        <v>-32764</v>
      </c>
      <c r="F488" s="3" t="s">
        <v>1546</v>
      </c>
      <c r="G488" s="3" t="s">
        <v>1547</v>
      </c>
      <c r="H488" s="2" t="s">
        <v>74</v>
      </c>
      <c r="I488" s="2" t="s">
        <v>1548</v>
      </c>
      <c r="J488" s="3" t="str">
        <f>HYPERLINK("https://www.boe.es/gazeta/dias/1810/04/17/pdfs/GEI-D-1810-15.pdf#page=2","Abrir facsímil")</f>
        <v>Abrir facsímil</v>
      </c>
      <c r="K488" s="3" t="s">
        <v>76</v>
      </c>
    </row>
    <row r="489" spans="1:11" ht="42" customHeight="1">
      <c r="A489" s="2" t="s">
        <v>1549</v>
      </c>
      <c r="B489" s="2" t="s">
        <v>1550</v>
      </c>
      <c r="C489" s="2" t="s">
        <v>26</v>
      </c>
      <c r="D489" s="2" t="s">
        <v>18</v>
      </c>
      <c r="E489" s="4">
        <v>-32661</v>
      </c>
      <c r="F489" s="3" t="s">
        <v>157</v>
      </c>
      <c r="G489" s="3" t="s">
        <v>592</v>
      </c>
      <c r="H489" s="2" t="s">
        <v>74</v>
      </c>
      <c r="I489" s="2" t="s">
        <v>1551</v>
      </c>
      <c r="J489" s="3" t="str">
        <f>HYPERLINK("https://www.boe.es/gazeta/dias/1810/07/29/pdfs/GMD-C-1810-210.pdf#page=2","Abrir facsímil")</f>
        <v>Abrir facsímil</v>
      </c>
      <c r="K489" s="3" t="s">
        <v>76</v>
      </c>
    </row>
    <row r="490" spans="1:11" ht="42" customHeight="1">
      <c r="A490" s="2" t="s">
        <v>1552</v>
      </c>
      <c r="B490" s="2" t="s">
        <v>1553</v>
      </c>
      <c r="C490" s="2" t="s">
        <v>26</v>
      </c>
      <c r="D490" s="2" t="s">
        <v>27</v>
      </c>
      <c r="E490" s="4">
        <v>-32545</v>
      </c>
      <c r="F490" s="3" t="s">
        <v>165</v>
      </c>
      <c r="G490" s="3" t="s">
        <v>166</v>
      </c>
      <c r="H490" s="2" t="s">
        <v>74</v>
      </c>
      <c r="I490" s="2" t="s">
        <v>1554</v>
      </c>
      <c r="J490" s="3" t="str">
        <f>HYPERLINK("https://www.boe.es/gazeta/dias/1810/11/22/pdfs/GEI-1810-98.pdf#page=8","Abrir facsímil")</f>
        <v>Abrir facsímil</v>
      </c>
      <c r="K490" s="3" t="s">
        <v>76</v>
      </c>
    </row>
    <row r="491" spans="1:11" ht="42" customHeight="1">
      <c r="A491" s="2" t="s">
        <v>1555</v>
      </c>
      <c r="B491" s="2" t="s">
        <v>1556</v>
      </c>
      <c r="C491" s="2" t="s">
        <v>26</v>
      </c>
      <c r="D491" s="2" t="s">
        <v>27</v>
      </c>
      <c r="E491" s="4">
        <v>-32771</v>
      </c>
      <c r="F491" s="3" t="s">
        <v>543</v>
      </c>
      <c r="G491" s="3" t="s">
        <v>65</v>
      </c>
      <c r="H491" s="2" t="s">
        <v>74</v>
      </c>
      <c r="I491" s="2" t="s">
        <v>1557</v>
      </c>
      <c r="J491" s="3" t="str">
        <f>HYPERLINK("https://www.boe.es/gazeta/dias/1810/04/10/pdfs/GEI-1810-13.pdf#page=7","Abrir facsímil")</f>
        <v>Abrir facsímil</v>
      </c>
      <c r="K491" s="3" t="s">
        <v>76</v>
      </c>
    </row>
    <row r="492" spans="1:11" ht="42" customHeight="1">
      <c r="A492" s="2" t="s">
        <v>1558</v>
      </c>
      <c r="B492" s="2" t="s">
        <v>1559</v>
      </c>
      <c r="C492" s="2" t="s">
        <v>26</v>
      </c>
      <c r="D492" s="2" t="s">
        <v>18</v>
      </c>
      <c r="E492" s="4">
        <v>-32584</v>
      </c>
      <c r="F492" s="3" t="s">
        <v>1560</v>
      </c>
      <c r="G492" s="3" t="s">
        <v>971</v>
      </c>
      <c r="H492" s="2" t="s">
        <v>74</v>
      </c>
      <c r="I492" s="2" t="s">
        <v>1561</v>
      </c>
      <c r="J492" s="3" t="str">
        <f>HYPERLINK("https://www.boe.es/gazeta/dias/1810/10/14/pdfs/GMD-1810-287.pdf#page=3","Abrir facsímil")</f>
        <v>Abrir facsímil</v>
      </c>
      <c r="K492" s="3" t="s">
        <v>76</v>
      </c>
    </row>
    <row r="493" spans="1:11" ht="42" customHeight="1">
      <c r="A493" s="2" t="s">
        <v>1562</v>
      </c>
      <c r="B493" s="2" t="s">
        <v>1563</v>
      </c>
      <c r="C493" s="2" t="s">
        <v>317</v>
      </c>
      <c r="D493" s="2" t="s">
        <v>27</v>
      </c>
      <c r="E493" s="4">
        <v>-32680</v>
      </c>
      <c r="F493" s="3" t="s">
        <v>509</v>
      </c>
      <c r="G493" s="3" t="s">
        <v>213</v>
      </c>
      <c r="H493" s="2" t="s">
        <v>74</v>
      </c>
      <c r="I493" s="2" t="s">
        <v>1564</v>
      </c>
      <c r="J493" s="3" t="str">
        <f>HYPERLINK("https://www.boe.es/gazeta/dias/1810/07/10/pdfs/GMD-1810-191.pdf#page=4","Abrir facsímil")</f>
        <v>Abrir facsímil</v>
      </c>
      <c r="K493" s="3" t="s">
        <v>76</v>
      </c>
    </row>
    <row r="494" spans="1:11" ht="42" customHeight="1">
      <c r="A494" s="2" t="s">
        <v>1565</v>
      </c>
      <c r="B494" s="2" t="s">
        <v>1566</v>
      </c>
      <c r="C494" s="2" t="s">
        <v>26</v>
      </c>
      <c r="D494" s="2" t="s">
        <v>27</v>
      </c>
      <c r="E494" s="4">
        <v>-32756</v>
      </c>
      <c r="F494" s="3" t="s">
        <v>203</v>
      </c>
      <c r="G494" s="3" t="s">
        <v>180</v>
      </c>
      <c r="H494" s="2" t="s">
        <v>74</v>
      </c>
      <c r="I494" s="2" t="s">
        <v>1567</v>
      </c>
      <c r="J494" s="3" t="str">
        <f>HYPERLINK("https://www.boe.es/gazeta/dias/1810/04/25/pdfs/GMD-1810-115.pdf#page=4","Abrir facsímil")</f>
        <v>Abrir facsímil</v>
      </c>
      <c r="K494" s="3" t="s">
        <v>76</v>
      </c>
    </row>
    <row r="495" spans="1:11" ht="42" customHeight="1">
      <c r="A495" s="2" t="s">
        <v>1568</v>
      </c>
      <c r="B495" s="2" t="s">
        <v>1569</v>
      </c>
      <c r="C495" s="2" t="s">
        <v>17</v>
      </c>
      <c r="D495" s="2" t="s">
        <v>27</v>
      </c>
      <c r="E495" s="4">
        <v>-32744</v>
      </c>
      <c r="F495" s="3" t="s">
        <v>1570</v>
      </c>
      <c r="G495" s="3" t="s">
        <v>136</v>
      </c>
      <c r="H495" s="2" t="s">
        <v>74</v>
      </c>
      <c r="I495" s="2" t="s">
        <v>1571</v>
      </c>
      <c r="J495" s="3" t="str">
        <f>HYPERLINK("https://www.boe.es/gazeta/dias/1810/05/07/pdfs/GMD-1810-127.pdf#page=4","Abrir facsímil")</f>
        <v>Abrir facsímil</v>
      </c>
      <c r="K495" s="3" t="s">
        <v>76</v>
      </c>
    </row>
    <row r="496" spans="1:11" ht="42" customHeight="1">
      <c r="A496" s="2" t="s">
        <v>1572</v>
      </c>
      <c r="B496" s="2" t="s">
        <v>1573</v>
      </c>
      <c r="C496" s="2" t="s">
        <v>88</v>
      </c>
      <c r="D496" s="2" t="s">
        <v>117</v>
      </c>
      <c r="E496" s="4">
        <v>-32761</v>
      </c>
      <c r="F496" s="3" t="s">
        <v>811</v>
      </c>
      <c r="G496" s="3" t="s">
        <v>140</v>
      </c>
      <c r="H496" s="2" t="s">
        <v>74</v>
      </c>
      <c r="I496" s="2" t="s">
        <v>1574</v>
      </c>
      <c r="J496" s="3" t="str">
        <f>HYPERLINK("https://www.boe.es/gazeta/dias/1810/04/20/pdfs/GEI-1810-16.pdf#page=8","Abrir facsímil")</f>
        <v>Abrir facsímil</v>
      </c>
      <c r="K496" s="3" t="s">
        <v>76</v>
      </c>
    </row>
    <row r="497" spans="1:11" ht="42" customHeight="1">
      <c r="A497" s="2" t="s">
        <v>1575</v>
      </c>
      <c r="B497" s="2" t="s">
        <v>1576</v>
      </c>
      <c r="C497" s="2" t="s">
        <v>26</v>
      </c>
      <c r="D497" s="2" t="s">
        <v>27</v>
      </c>
      <c r="E497" s="4">
        <v>-32722</v>
      </c>
      <c r="F497" s="3" t="s">
        <v>856</v>
      </c>
      <c r="G497" s="3" t="s">
        <v>668</v>
      </c>
      <c r="H497" s="2" t="s">
        <v>74</v>
      </c>
      <c r="I497" s="2" t="s">
        <v>1577</v>
      </c>
      <c r="J497" s="3" t="str">
        <f>HYPERLINK("https://www.boe.es/gazeta/dias/1810/05/29/pdfs/GEI-1810-31.pdf#page=12","Abrir facsímil")</f>
        <v>Abrir facsímil</v>
      </c>
      <c r="K497" s="3" t="s">
        <v>76</v>
      </c>
    </row>
    <row r="498" spans="1:11" ht="42" customHeight="1">
      <c r="A498" s="2" t="s">
        <v>1578</v>
      </c>
      <c r="B498" s="2" t="s">
        <v>1579</v>
      </c>
      <c r="C498" s="2" t="s">
        <v>26</v>
      </c>
      <c r="D498" s="2" t="s">
        <v>27</v>
      </c>
      <c r="E498" s="4">
        <v>-32526</v>
      </c>
      <c r="F498" s="3" t="s">
        <v>530</v>
      </c>
      <c r="G498" s="3" t="s">
        <v>531</v>
      </c>
      <c r="H498" s="2" t="s">
        <v>74</v>
      </c>
      <c r="I498" s="2" t="s">
        <v>1580</v>
      </c>
      <c r="J498" s="3" t="str">
        <f>HYPERLINK("https://www.boe.es/gazeta/dias/1810/12/11/pdfs/GEI-1810-106.pdf#page=2","Abrir facsímil")</f>
        <v>Abrir facsímil</v>
      </c>
      <c r="K498" s="3" t="s">
        <v>76</v>
      </c>
    </row>
    <row r="499" spans="1:11" ht="42" customHeight="1">
      <c r="A499" s="2" t="s">
        <v>1581</v>
      </c>
      <c r="B499" s="2" t="s">
        <v>1582</v>
      </c>
      <c r="C499" s="2" t="s">
        <v>111</v>
      </c>
      <c r="D499" s="2" t="s">
        <v>27</v>
      </c>
      <c r="E499" s="4">
        <v>-32796</v>
      </c>
      <c r="F499" s="3" t="s">
        <v>1129</v>
      </c>
      <c r="G499" s="3" t="s">
        <v>140</v>
      </c>
      <c r="H499" s="2" t="s">
        <v>74</v>
      </c>
      <c r="I499" s="2" t="s">
        <v>1583</v>
      </c>
      <c r="J499" s="3" t="str">
        <f>HYPERLINK("https://www.boe.es/gazeta/dias/1810/03/16/pdfs/GMD-1810-75.pdf#page=4","Abrir facsímil")</f>
        <v>Abrir facsímil</v>
      </c>
      <c r="K499" s="3" t="s">
        <v>76</v>
      </c>
    </row>
    <row r="500" spans="1:11" ht="42" customHeight="1">
      <c r="A500" s="2" t="s">
        <v>1584</v>
      </c>
      <c r="B500" s="2" t="s">
        <v>1585</v>
      </c>
      <c r="C500" s="2" t="s">
        <v>26</v>
      </c>
      <c r="D500" s="2" t="s">
        <v>27</v>
      </c>
      <c r="E500" s="4">
        <v>-32599</v>
      </c>
      <c r="F500" s="3" t="s">
        <v>1586</v>
      </c>
      <c r="G500" s="3" t="s">
        <v>140</v>
      </c>
      <c r="H500" s="2" t="s">
        <v>74</v>
      </c>
      <c r="I500" s="2" t="s">
        <v>1587</v>
      </c>
      <c r="J500" s="3" t="str">
        <f>HYPERLINK("https://www.boe.es/gazeta/dias/1810/09/29/pdfs/GMD-1810-272.pdf#page=4","Abrir facsímil")</f>
        <v>Abrir facsímil</v>
      </c>
      <c r="K500" s="3" t="s">
        <v>76</v>
      </c>
    </row>
    <row r="501" spans="1:11" ht="42" customHeight="1">
      <c r="A501" s="2" t="s">
        <v>1588</v>
      </c>
      <c r="B501" s="2" t="s">
        <v>1589</v>
      </c>
      <c r="C501" s="2" t="s">
        <v>88</v>
      </c>
      <c r="D501" s="2" t="s">
        <v>117</v>
      </c>
      <c r="E501" s="4">
        <v>-32848</v>
      </c>
      <c r="F501" s="3" t="s">
        <v>558</v>
      </c>
      <c r="G501" s="3" t="s">
        <v>1590</v>
      </c>
      <c r="H501" s="2" t="s">
        <v>74</v>
      </c>
      <c r="I501" s="2" t="s">
        <v>1591</v>
      </c>
      <c r="J501" s="3" t="str">
        <f>HYPERLINK("https://www.boe.es/gazeta/dias/1810/01/23/pdfs/GGB-1810-10.pdf#page=8","Abrir facsímil")</f>
        <v>Abrir facsímil</v>
      </c>
      <c r="K501" s="3" t="s">
        <v>76</v>
      </c>
    </row>
    <row r="502" spans="1:11" ht="42" customHeight="1">
      <c r="A502" s="2" t="s">
        <v>1592</v>
      </c>
      <c r="B502" s="2" t="s">
        <v>1593</v>
      </c>
      <c r="C502" s="2" t="s">
        <v>88</v>
      </c>
      <c r="D502" s="2" t="s">
        <v>117</v>
      </c>
      <c r="E502" s="4">
        <v>-32848</v>
      </c>
      <c r="F502" s="3" t="s">
        <v>558</v>
      </c>
      <c r="G502" s="3" t="s">
        <v>1590</v>
      </c>
      <c r="H502" s="2" t="s">
        <v>74</v>
      </c>
      <c r="I502" s="2" t="s">
        <v>1594</v>
      </c>
      <c r="J502" s="3" t="str">
        <f>HYPERLINK("https://www.boe.es/gazeta/dias/1810/01/23/pdfs/GGB-1810-10.pdf#page=8","Abrir facsímil")</f>
        <v>Abrir facsímil</v>
      </c>
      <c r="K502" s="3" t="s">
        <v>76</v>
      </c>
    </row>
    <row r="503" spans="1:11" ht="42" customHeight="1">
      <c r="A503" s="2" t="s">
        <v>1595</v>
      </c>
      <c r="B503" s="2" t="s">
        <v>1595</v>
      </c>
      <c r="C503" s="2" t="s">
        <v>88</v>
      </c>
      <c r="D503" s="2" t="s">
        <v>117</v>
      </c>
      <c r="E503" s="4">
        <v>-32861</v>
      </c>
      <c r="F503" s="3" t="s">
        <v>796</v>
      </c>
      <c r="G503" s="3" t="s">
        <v>99</v>
      </c>
      <c r="H503" s="2" t="s">
        <v>74</v>
      </c>
      <c r="I503" s="2" t="s">
        <v>1596</v>
      </c>
      <c r="J503" s="3" t="str">
        <f>HYPERLINK("https://www.boe.es/gazeta/dias/1810/01/10/pdfs/GMD-1810-10.pdf#page=3","Abrir facsímil")</f>
        <v>Abrir facsímil</v>
      </c>
      <c r="K503" s="3" t="s">
        <v>76</v>
      </c>
    </row>
    <row r="504" spans="1:11" ht="42" customHeight="1">
      <c r="A504" s="2" t="s">
        <v>1597</v>
      </c>
      <c r="B504" s="2" t="s">
        <v>1598</v>
      </c>
      <c r="C504" s="2" t="s">
        <v>26</v>
      </c>
      <c r="D504" s="2" t="s">
        <v>27</v>
      </c>
      <c r="E504" s="4">
        <v>-32545</v>
      </c>
      <c r="F504" s="3" t="s">
        <v>165</v>
      </c>
      <c r="G504" s="3" t="s">
        <v>166</v>
      </c>
      <c r="H504" s="2" t="s">
        <v>74</v>
      </c>
      <c r="I504" s="2" t="s">
        <v>1599</v>
      </c>
      <c r="J504" s="3" t="str">
        <f>HYPERLINK("https://www.boe.es/gazeta/dias/1810/11/22/pdfs/GEI-1810-98.pdf#page=8","Abrir facsímil")</f>
        <v>Abrir facsímil</v>
      </c>
      <c r="K504" s="3" t="s">
        <v>76</v>
      </c>
    </row>
    <row r="505" spans="1:11" ht="42" customHeight="1">
      <c r="A505" s="2" t="s">
        <v>1600</v>
      </c>
      <c r="B505" s="2" t="s">
        <v>1600</v>
      </c>
      <c r="C505" s="2" t="s">
        <v>17</v>
      </c>
      <c r="D505" s="2" t="s">
        <v>39</v>
      </c>
      <c r="E505" s="4">
        <v>-32708</v>
      </c>
      <c r="F505" s="3" t="s">
        <v>1601</v>
      </c>
      <c r="G505" s="3" t="s">
        <v>668</v>
      </c>
      <c r="H505" s="2" t="s">
        <v>74</v>
      </c>
      <c r="I505" s="2" t="s">
        <v>1602</v>
      </c>
      <c r="J505" s="3" t="str">
        <f>HYPERLINK("https://www.boe.es/gazeta/dias/1810/06/12/pdfs/GEI-D-1810-35.pdf#page=1","Abrir facsímil")</f>
        <v>Abrir facsímil</v>
      </c>
      <c r="K505" s="3" t="s">
        <v>76</v>
      </c>
    </row>
    <row r="506" spans="1:11" ht="42" customHeight="1">
      <c r="A506" s="2" t="s">
        <v>1603</v>
      </c>
      <c r="B506" s="2" t="s">
        <v>1603</v>
      </c>
      <c r="C506" s="2" t="s">
        <v>88</v>
      </c>
      <c r="D506" s="2" t="s">
        <v>117</v>
      </c>
      <c r="E506" s="4">
        <v>-32564</v>
      </c>
      <c r="F506" s="3" t="s">
        <v>1604</v>
      </c>
      <c r="G506" s="3" t="s">
        <v>1605</v>
      </c>
      <c r="H506" s="2" t="s">
        <v>74</v>
      </c>
      <c r="I506" s="2" t="s">
        <v>1606</v>
      </c>
      <c r="J506" s="3" t="str">
        <f>HYPERLINK("https://www.boe.es/gazeta/dias/1810/11/03/pdfs/GMD-1810-307.pdf#page=2","Abrir facsímil")</f>
        <v>Abrir facsímil</v>
      </c>
      <c r="K506" s="3" t="s">
        <v>76</v>
      </c>
    </row>
    <row r="507" spans="1:11" ht="42" customHeight="1">
      <c r="A507" s="2" t="s">
        <v>1607</v>
      </c>
      <c r="B507" s="2" t="s">
        <v>1607</v>
      </c>
      <c r="C507" s="2" t="s">
        <v>26</v>
      </c>
      <c r="D507" s="2" t="s">
        <v>39</v>
      </c>
      <c r="E507" s="4">
        <v>-32701</v>
      </c>
      <c r="F507" s="3" t="s">
        <v>40</v>
      </c>
      <c r="G507" s="3" t="s">
        <v>333</v>
      </c>
      <c r="H507" s="2" t="s">
        <v>74</v>
      </c>
      <c r="I507" s="2" t="s">
        <v>1608</v>
      </c>
      <c r="J507" s="3" t="str">
        <f>HYPERLINK("https://www.boe.es/gazeta/dias/1810/06/19/pdfs/GMD-C-1810-170.pdf#page=4","Abrir facsímil")</f>
        <v>Abrir facsímil</v>
      </c>
      <c r="K507" s="3" t="s">
        <v>76</v>
      </c>
    </row>
    <row r="508" spans="1:11" ht="42" customHeight="1">
      <c r="A508" s="2" t="s">
        <v>1609</v>
      </c>
      <c r="B508" s="2" t="s">
        <v>1610</v>
      </c>
      <c r="C508" s="2" t="s">
        <v>26</v>
      </c>
      <c r="D508" s="2" t="s">
        <v>27</v>
      </c>
      <c r="E508" s="4">
        <v>-32727</v>
      </c>
      <c r="F508" s="3" t="s">
        <v>1611</v>
      </c>
      <c r="G508" s="3" t="s">
        <v>227</v>
      </c>
      <c r="H508" s="2" t="s">
        <v>21</v>
      </c>
      <c r="I508" s="2" t="s">
        <v>1612</v>
      </c>
      <c r="J508" s="3" t="str">
        <f>HYPERLINK("https://www.boe.es/gazeta/dias/1810/05/24/pdfs/GMD-1810-144.pdf#page=4","Abrir facsímil")</f>
        <v>Abrir facsímil</v>
      </c>
      <c r="K508" s="3" t="s">
        <v>23</v>
      </c>
    </row>
    <row r="509" spans="1:11" ht="42" customHeight="1">
      <c r="A509" s="2" t="s">
        <v>1613</v>
      </c>
      <c r="B509" s="2" t="s">
        <v>1614</v>
      </c>
      <c r="C509" s="2" t="s">
        <v>26</v>
      </c>
      <c r="D509" s="2" t="s">
        <v>27</v>
      </c>
      <c r="E509" s="4">
        <v>-32663</v>
      </c>
      <c r="F509" s="3" t="s">
        <v>1615</v>
      </c>
      <c r="G509" s="3" t="s">
        <v>1616</v>
      </c>
      <c r="H509" s="2" t="s">
        <v>74</v>
      </c>
      <c r="I509" s="2" t="s">
        <v>1617</v>
      </c>
      <c r="J509" s="3" t="str">
        <f>HYPERLINK("https://www.boe.es/gazeta/dias/1810/07/27/pdfs/GMD-1810-208.pdf#page=1","Abrir facsímil")</f>
        <v>Abrir facsímil</v>
      </c>
      <c r="K509" s="3" t="s">
        <v>76</v>
      </c>
    </row>
    <row r="510" spans="1:11" ht="42" customHeight="1">
      <c r="A510" s="2" t="s">
        <v>1618</v>
      </c>
      <c r="B510" s="2" t="s">
        <v>1618</v>
      </c>
      <c r="C510" s="2" t="s">
        <v>88</v>
      </c>
      <c r="D510" s="2" t="s">
        <v>117</v>
      </c>
      <c r="E510" s="4">
        <v>-32793</v>
      </c>
      <c r="F510" s="3" t="s">
        <v>1619</v>
      </c>
      <c r="G510" s="3" t="s">
        <v>90</v>
      </c>
      <c r="H510" s="2" t="s">
        <v>74</v>
      </c>
      <c r="I510" s="2" t="s">
        <v>1620</v>
      </c>
      <c r="J510" s="3" t="str">
        <f>HYPERLINK("https://www.boe.es/gazeta/dias/1810/03/19/pdfs/GMD-1810-78.pdf#page=1","Abrir facsímil")</f>
        <v>Abrir facsímil</v>
      </c>
      <c r="K510" s="3" t="s">
        <v>76</v>
      </c>
    </row>
    <row r="511" spans="1:11" ht="42" customHeight="1">
      <c r="A511" s="2" t="s">
        <v>1621</v>
      </c>
      <c r="B511" s="2" t="s">
        <v>1622</v>
      </c>
      <c r="C511" s="2" t="s">
        <v>26</v>
      </c>
      <c r="D511" s="2" t="s">
        <v>27</v>
      </c>
      <c r="E511" s="4">
        <v>-32761</v>
      </c>
      <c r="F511" s="3" t="s">
        <v>811</v>
      </c>
      <c r="G511" s="3" t="s">
        <v>119</v>
      </c>
      <c r="H511" s="2" t="s">
        <v>74</v>
      </c>
      <c r="I511" s="2" t="s">
        <v>1623</v>
      </c>
      <c r="J511" s="3" t="str">
        <f>HYPERLINK("https://www.boe.es/gazeta/dias/1810/04/20/pdfs/GEI-1810-16.pdf#page=7","Abrir facsímil")</f>
        <v>Abrir facsímil</v>
      </c>
      <c r="K511" s="3" t="s">
        <v>76</v>
      </c>
    </row>
    <row r="512" spans="1:11" ht="42" customHeight="1">
      <c r="A512" s="2" t="s">
        <v>1624</v>
      </c>
      <c r="B512" s="2" t="s">
        <v>1624</v>
      </c>
      <c r="C512" s="2" t="s">
        <v>225</v>
      </c>
      <c r="D512" s="2" t="s">
        <v>27</v>
      </c>
      <c r="E512" s="4">
        <v>-32852</v>
      </c>
      <c r="F512" s="3" t="s">
        <v>1625</v>
      </c>
      <c r="G512" s="3" t="s">
        <v>90</v>
      </c>
      <c r="H512" s="2" t="s">
        <v>74</v>
      </c>
      <c r="I512" s="2" t="s">
        <v>1626</v>
      </c>
      <c r="J512" s="3" t="str">
        <f>HYPERLINK("https://www.boe.es/gazeta/dias/1810/01/19/pdfs/GMD-1810-19.pdf#page=3","Abrir facsímil")</f>
        <v>Abrir facsímil</v>
      </c>
      <c r="K512" s="3" t="s">
        <v>76</v>
      </c>
    </row>
    <row r="513" spans="1:11" ht="42" customHeight="1">
      <c r="A513" s="2" t="s">
        <v>1627</v>
      </c>
      <c r="B513" s="2" t="s">
        <v>1627</v>
      </c>
      <c r="C513" s="2" t="s">
        <v>225</v>
      </c>
      <c r="D513" s="2" t="s">
        <v>27</v>
      </c>
      <c r="E513" s="4">
        <v>-32822</v>
      </c>
      <c r="F513" s="3" t="s">
        <v>1197</v>
      </c>
      <c r="G513" s="3" t="s">
        <v>151</v>
      </c>
      <c r="H513" s="2" t="s">
        <v>74</v>
      </c>
      <c r="I513" s="2" t="s">
        <v>1628</v>
      </c>
      <c r="J513" s="3" t="str">
        <f>HYPERLINK("https://www.boe.es/gazeta/dias/1810/02/18/pdfs/GMD-1810-49.pdf#page=2","Abrir facsímil")</f>
        <v>Abrir facsímil</v>
      </c>
      <c r="K513" s="3" t="s">
        <v>76</v>
      </c>
    </row>
    <row r="514" spans="1:11" ht="42" customHeight="1">
      <c r="A514" s="2" t="s">
        <v>1629</v>
      </c>
      <c r="B514" s="2" t="s">
        <v>1629</v>
      </c>
      <c r="C514" s="2" t="s">
        <v>33</v>
      </c>
      <c r="D514" s="2" t="s">
        <v>27</v>
      </c>
      <c r="E514" s="4">
        <v>-32780</v>
      </c>
      <c r="F514" s="3" t="s">
        <v>1295</v>
      </c>
      <c r="G514" s="3" t="s">
        <v>1630</v>
      </c>
      <c r="H514" s="2" t="s">
        <v>74</v>
      </c>
      <c r="I514" s="2" t="s">
        <v>1631</v>
      </c>
      <c r="J514" s="3" t="str">
        <f>HYPERLINK("https://www.boe.es/gazeta/dias/1810/04/01/pdfs/GMD-1810-91.pdf#page=2","Abrir facsímil")</f>
        <v>Abrir facsímil</v>
      </c>
      <c r="K514" s="3" t="s">
        <v>76</v>
      </c>
    </row>
    <row r="515" spans="1:11" ht="42" customHeight="1">
      <c r="A515" s="2" t="s">
        <v>1632</v>
      </c>
      <c r="B515" s="2" t="s">
        <v>1632</v>
      </c>
      <c r="C515" s="2" t="s">
        <v>88</v>
      </c>
      <c r="D515" s="2" t="s">
        <v>117</v>
      </c>
      <c r="E515" s="4">
        <v>-32740</v>
      </c>
      <c r="F515" s="3" t="s">
        <v>721</v>
      </c>
      <c r="G515" s="3" t="s">
        <v>1633</v>
      </c>
      <c r="H515" s="2" t="s">
        <v>74</v>
      </c>
      <c r="I515" s="2" t="s">
        <v>1634</v>
      </c>
      <c r="J515" s="3" t="str">
        <f>HYPERLINK("https://www.boe.es/gazeta/dias/1810/05/11/pdfs/GEI-1810-24.pdf#page=4","Abrir facsímil")</f>
        <v>Abrir facsímil</v>
      </c>
      <c r="K515" s="3" t="s">
        <v>76</v>
      </c>
    </row>
    <row r="516" spans="1:11" ht="42" customHeight="1">
      <c r="A516" s="2" t="s">
        <v>1629</v>
      </c>
      <c r="B516" s="2" t="s">
        <v>1629</v>
      </c>
      <c r="C516" s="2" t="s">
        <v>88</v>
      </c>
      <c r="D516" s="2" t="s">
        <v>27</v>
      </c>
      <c r="E516" s="4">
        <v>-32708</v>
      </c>
      <c r="F516" s="3" t="s">
        <v>654</v>
      </c>
      <c r="G516" s="3" t="s">
        <v>1635</v>
      </c>
      <c r="H516" s="2" t="s">
        <v>74</v>
      </c>
      <c r="I516" s="2" t="s">
        <v>1636</v>
      </c>
      <c r="J516" s="3" t="str">
        <f>HYPERLINK("https://www.boe.es/gazeta/dias/1810/06/12/pdfs/GEI-1810-35.pdf#page=5","Abrir facsímil")</f>
        <v>Abrir facsímil</v>
      </c>
      <c r="K516" s="3" t="s">
        <v>76</v>
      </c>
    </row>
    <row r="517" spans="1:11" ht="42" customHeight="1">
      <c r="A517" s="2" t="s">
        <v>1637</v>
      </c>
      <c r="B517" s="2" t="s">
        <v>1637</v>
      </c>
      <c r="C517" s="2" t="s">
        <v>33</v>
      </c>
      <c r="D517" s="2" t="s">
        <v>220</v>
      </c>
      <c r="E517" s="4">
        <v>-32772</v>
      </c>
      <c r="F517" s="3" t="s">
        <v>398</v>
      </c>
      <c r="G517" s="3" t="s">
        <v>1638</v>
      </c>
      <c r="H517" s="2" t="s">
        <v>74</v>
      </c>
      <c r="I517" s="2" t="s">
        <v>1639</v>
      </c>
      <c r="J517" s="3" t="str">
        <f>HYPERLINK("https://www.boe.es/gazeta/dias/1810/04/09/pdfs/GMD-1810-99.pdf#page=2","Abrir facsímil")</f>
        <v>Abrir facsímil</v>
      </c>
      <c r="K517" s="3" t="s">
        <v>76</v>
      </c>
    </row>
    <row r="518" spans="1:11" ht="42" customHeight="1">
      <c r="A518" s="2" t="s">
        <v>1640</v>
      </c>
      <c r="B518" s="2" t="s">
        <v>1640</v>
      </c>
      <c r="C518" s="2" t="s">
        <v>317</v>
      </c>
      <c r="D518" s="2" t="s">
        <v>220</v>
      </c>
      <c r="E518" s="4">
        <v>-32755</v>
      </c>
      <c r="F518" s="3" t="s">
        <v>1641</v>
      </c>
      <c r="G518" s="3" t="s">
        <v>99</v>
      </c>
      <c r="H518" s="2" t="s">
        <v>74</v>
      </c>
      <c r="I518" s="2" t="s">
        <v>1642</v>
      </c>
      <c r="J518" s="3" t="str">
        <f>HYPERLINK("https://www.boe.es/gazeta/dias/1810/04/26/pdfs/GMD-1810-116.pdf#page=3","Abrir facsímil")</f>
        <v>Abrir facsímil</v>
      </c>
      <c r="K518" s="3" t="s">
        <v>76</v>
      </c>
    </row>
    <row r="519" spans="1:11" ht="42" customHeight="1">
      <c r="A519" s="2" t="s">
        <v>1640</v>
      </c>
      <c r="B519" s="2" t="s">
        <v>1640</v>
      </c>
      <c r="C519" s="2" t="s">
        <v>317</v>
      </c>
      <c r="D519" s="2" t="s">
        <v>27</v>
      </c>
      <c r="E519" s="4">
        <v>-32754</v>
      </c>
      <c r="F519" s="3" t="s">
        <v>34</v>
      </c>
      <c r="G519" s="3" t="s">
        <v>29</v>
      </c>
      <c r="H519" s="2" t="s">
        <v>74</v>
      </c>
      <c r="I519" s="2" t="s">
        <v>1643</v>
      </c>
      <c r="J519" s="3" t="str">
        <f>HYPERLINK("https://www.boe.es/gazeta/dias/1810/04/27/pdfs/GMD-1810-117.pdf#page=3","Abrir facsímil")</f>
        <v>Abrir facsímil</v>
      </c>
      <c r="K519" s="3" t="s">
        <v>76</v>
      </c>
    </row>
    <row r="520" spans="1:11" ht="42" customHeight="1">
      <c r="A520" s="2" t="s">
        <v>1640</v>
      </c>
      <c r="B520" s="2" t="s">
        <v>1640</v>
      </c>
      <c r="C520" s="2" t="s">
        <v>111</v>
      </c>
      <c r="D520" s="2" t="s">
        <v>27</v>
      </c>
      <c r="E520" s="4">
        <v>-32727</v>
      </c>
      <c r="F520" s="3" t="s">
        <v>1611</v>
      </c>
      <c r="G520" s="3" t="s">
        <v>1644</v>
      </c>
      <c r="H520" s="2" t="s">
        <v>74</v>
      </c>
      <c r="I520" s="2" t="s">
        <v>1645</v>
      </c>
      <c r="J520" s="3" t="str">
        <f>HYPERLINK("https://www.boe.es/gazeta/dias/1810/05/24/pdfs/GMD-1810-144.pdf#page=1","Abrir facsímil")</f>
        <v>Abrir facsímil</v>
      </c>
      <c r="K520" s="3" t="s">
        <v>76</v>
      </c>
    </row>
    <row r="521" spans="1:11" ht="42" customHeight="1">
      <c r="A521" s="2" t="s">
        <v>1640</v>
      </c>
      <c r="B521" s="2" t="s">
        <v>1640</v>
      </c>
      <c r="C521" s="2" t="s">
        <v>26</v>
      </c>
      <c r="D521" s="2" t="s">
        <v>220</v>
      </c>
      <c r="E521" s="4">
        <v>-32695</v>
      </c>
      <c r="F521" s="3" t="s">
        <v>1646</v>
      </c>
      <c r="G521" s="3" t="s">
        <v>1647</v>
      </c>
      <c r="H521" s="2" t="s">
        <v>74</v>
      </c>
      <c r="I521" s="2" t="s">
        <v>1648</v>
      </c>
      <c r="J521" s="3" t="str">
        <f>HYPERLINK("https://www.boe.es/gazeta/dias/1810/06/25/pdfs/GMD-1810-176.pdf#page=1","Abrir facsímil")</f>
        <v>Abrir facsímil</v>
      </c>
      <c r="K521" s="3" t="s">
        <v>76</v>
      </c>
    </row>
    <row r="522" spans="1:11" ht="42" customHeight="1">
      <c r="A522" s="2" t="s">
        <v>1640</v>
      </c>
      <c r="B522" s="2" t="s">
        <v>1640</v>
      </c>
      <c r="C522" s="2" t="s">
        <v>88</v>
      </c>
      <c r="D522" s="2" t="s">
        <v>18</v>
      </c>
      <c r="E522" s="4">
        <v>-32653</v>
      </c>
      <c r="F522" s="3" t="s">
        <v>1043</v>
      </c>
      <c r="G522" s="3" t="s">
        <v>1044</v>
      </c>
      <c r="H522" s="2" t="s">
        <v>74</v>
      </c>
      <c r="I522" s="2" t="s">
        <v>1649</v>
      </c>
      <c r="J522" s="3" t="str">
        <f>HYPERLINK("https://www.boe.es/gazeta/dias/1810/08/06/pdfs/GMD-1810-218.pdf#page=1","Abrir facsímil")</f>
        <v>Abrir facsímil</v>
      </c>
      <c r="K522" s="3" t="s">
        <v>76</v>
      </c>
    </row>
    <row r="523" spans="1:11" ht="42" customHeight="1">
      <c r="A523" s="2" t="s">
        <v>1640</v>
      </c>
      <c r="B523" s="2" t="s">
        <v>1640</v>
      </c>
      <c r="C523" s="2" t="s">
        <v>26</v>
      </c>
      <c r="D523" s="2" t="s">
        <v>27</v>
      </c>
      <c r="E523" s="4">
        <v>-32622</v>
      </c>
      <c r="F523" s="3" t="s">
        <v>1190</v>
      </c>
      <c r="G523" s="3" t="s">
        <v>1191</v>
      </c>
      <c r="H523" s="2" t="s">
        <v>74</v>
      </c>
      <c r="I523" s="2" t="s">
        <v>1650</v>
      </c>
      <c r="J523" s="3" t="str">
        <f>HYPERLINK("https://www.boe.es/gazeta/dias/1810/09/06/pdfs/GMD-1810-249.pdf#page=1","Abrir facsímil")</f>
        <v>Abrir facsímil</v>
      </c>
      <c r="K523" s="3" t="s">
        <v>76</v>
      </c>
    </row>
    <row r="524" spans="1:11" ht="42" customHeight="1">
      <c r="A524" s="2" t="s">
        <v>1651</v>
      </c>
      <c r="B524" s="2" t="s">
        <v>1651</v>
      </c>
      <c r="C524" s="2" t="s">
        <v>26</v>
      </c>
      <c r="D524" s="2" t="s">
        <v>27</v>
      </c>
      <c r="E524" s="4">
        <v>-32566</v>
      </c>
      <c r="F524" s="3" t="s">
        <v>405</v>
      </c>
      <c r="G524" s="3" t="s">
        <v>99</v>
      </c>
      <c r="H524" s="2" t="s">
        <v>74</v>
      </c>
      <c r="I524" s="2" t="s">
        <v>1652</v>
      </c>
      <c r="J524" s="3" t="str">
        <f>HYPERLINK("https://www.boe.es/gazeta/dias/1810/11/01/pdfs/GMD-1810-305.pdf#page=3","Abrir facsímil")</f>
        <v>Abrir facsímil</v>
      </c>
      <c r="K524" s="3" t="s">
        <v>76</v>
      </c>
    </row>
    <row r="525" spans="1:11" ht="42" customHeight="1">
      <c r="A525" s="2" t="s">
        <v>1653</v>
      </c>
      <c r="B525" s="2" t="s">
        <v>1654</v>
      </c>
      <c r="C525" s="2" t="s">
        <v>317</v>
      </c>
      <c r="D525" s="2" t="s">
        <v>27</v>
      </c>
      <c r="E525" s="4">
        <v>-32701</v>
      </c>
      <c r="F525" s="3" t="s">
        <v>1019</v>
      </c>
      <c r="G525" s="3" t="s">
        <v>517</v>
      </c>
      <c r="H525" s="2" t="s">
        <v>74</v>
      </c>
      <c r="I525" s="2" t="s">
        <v>1655</v>
      </c>
      <c r="J525" s="3" t="str">
        <f>HYPERLINK("https://www.boe.es/gazeta/dias/1810/06/19/pdfs/GMD-1810-170.pdf#page=2","Abrir facsímil")</f>
        <v>Abrir facsímil</v>
      </c>
      <c r="K525" s="3" t="s">
        <v>76</v>
      </c>
    </row>
    <row r="526" spans="1:11" ht="42" customHeight="1">
      <c r="A526" s="2" t="s">
        <v>1653</v>
      </c>
      <c r="B526" s="2" t="s">
        <v>1654</v>
      </c>
      <c r="C526" s="2" t="s">
        <v>317</v>
      </c>
      <c r="D526" s="2" t="s">
        <v>27</v>
      </c>
      <c r="E526" s="4">
        <v>-32596</v>
      </c>
      <c r="F526" s="3" t="s">
        <v>1311</v>
      </c>
      <c r="G526" s="3" t="s">
        <v>1656</v>
      </c>
      <c r="H526" s="2" t="s">
        <v>74</v>
      </c>
      <c r="I526" s="2" t="s">
        <v>1657</v>
      </c>
      <c r="J526" s="3" t="str">
        <f>HYPERLINK("https://www.boe.es/gazeta/dias/1810/10/02/pdfs/GMD-1810-275.pdf#page=2","Abrir facsímil")</f>
        <v>Abrir facsímil</v>
      </c>
      <c r="K526" s="3" t="s">
        <v>76</v>
      </c>
    </row>
    <row r="527" spans="1:11" ht="42" customHeight="1">
      <c r="A527" s="2" t="s">
        <v>1653</v>
      </c>
      <c r="B527" s="2" t="s">
        <v>1654</v>
      </c>
      <c r="C527" s="2" t="s">
        <v>88</v>
      </c>
      <c r="D527" s="2" t="s">
        <v>27</v>
      </c>
      <c r="E527" s="4">
        <v>-32566</v>
      </c>
      <c r="F527" s="3" t="s">
        <v>405</v>
      </c>
      <c r="G527" s="3" t="s">
        <v>99</v>
      </c>
      <c r="H527" s="2" t="s">
        <v>74</v>
      </c>
      <c r="I527" s="2" t="s">
        <v>1658</v>
      </c>
      <c r="J527" s="3" t="str">
        <f>HYPERLINK("https://www.boe.es/gazeta/dias/1810/11/01/pdfs/GMD-1810-305.pdf#page=3","Abrir facsímil")</f>
        <v>Abrir facsímil</v>
      </c>
      <c r="K527" s="3" t="s">
        <v>76</v>
      </c>
    </row>
    <row r="528" spans="1:11" ht="42" customHeight="1">
      <c r="A528" s="2" t="s">
        <v>1653</v>
      </c>
      <c r="B528" s="2" t="s">
        <v>1654</v>
      </c>
      <c r="C528" s="2" t="s">
        <v>88</v>
      </c>
      <c r="D528" s="2" t="s">
        <v>117</v>
      </c>
      <c r="E528" s="4">
        <v>-32540</v>
      </c>
      <c r="F528" s="3" t="s">
        <v>255</v>
      </c>
      <c r="G528" s="3" t="s">
        <v>1659</v>
      </c>
      <c r="H528" s="2" t="s">
        <v>74</v>
      </c>
      <c r="I528" s="2" t="s">
        <v>1660</v>
      </c>
      <c r="J528" s="3" t="str">
        <f>HYPERLINK("https://www.boe.es/gazeta/dias/1810/11/27/pdfs/GMD-1810-331.pdf#page=1","Abrir facsímil")</f>
        <v>Abrir facsímil</v>
      </c>
      <c r="K528" s="3" t="s">
        <v>76</v>
      </c>
    </row>
    <row r="529" spans="1:11" ht="42" customHeight="1">
      <c r="A529" s="2" t="s">
        <v>1661</v>
      </c>
      <c r="B529" s="2" t="s">
        <v>1662</v>
      </c>
      <c r="C529" s="2" t="s">
        <v>26</v>
      </c>
      <c r="D529" s="2" t="s">
        <v>27</v>
      </c>
      <c r="E529" s="4">
        <v>-32672</v>
      </c>
      <c r="F529" s="3" t="s">
        <v>1663</v>
      </c>
      <c r="G529" s="3" t="s">
        <v>465</v>
      </c>
      <c r="H529" s="2" t="s">
        <v>74</v>
      </c>
      <c r="I529" s="2" t="s">
        <v>1664</v>
      </c>
      <c r="J529" s="3" t="str">
        <f>HYPERLINK("https://www.boe.es/gazeta/dias/1810/07/18/pdfs/GMD-1810-199.pdf#page=1","Abrir facsímil")</f>
        <v>Abrir facsímil</v>
      </c>
      <c r="K529" s="3" t="s">
        <v>76</v>
      </c>
    </row>
    <row r="530" spans="1:11" ht="42" customHeight="1">
      <c r="A530" s="2" t="s">
        <v>1665</v>
      </c>
      <c r="B530" s="2" t="s">
        <v>1666</v>
      </c>
      <c r="C530" s="2" t="s">
        <v>317</v>
      </c>
      <c r="D530" s="2" t="s">
        <v>27</v>
      </c>
      <c r="E530" s="4">
        <v>-32596</v>
      </c>
      <c r="F530" s="3" t="s">
        <v>1311</v>
      </c>
      <c r="G530" s="3" t="s">
        <v>1667</v>
      </c>
      <c r="H530" s="2" t="s">
        <v>74</v>
      </c>
      <c r="I530" s="2" t="s">
        <v>1668</v>
      </c>
      <c r="J530" s="3" t="str">
        <f>HYPERLINK("https://www.boe.es/gazeta/dias/1810/10/02/pdfs/GMD-1810-275.pdf#page=1","Abrir facsímil")</f>
        <v>Abrir facsímil</v>
      </c>
      <c r="K530" s="3" t="s">
        <v>76</v>
      </c>
    </row>
    <row r="531" spans="1:11" ht="42" customHeight="1">
      <c r="A531" s="2" t="s">
        <v>1669</v>
      </c>
      <c r="B531" s="2" t="s">
        <v>1670</v>
      </c>
      <c r="C531" s="2" t="s">
        <v>26</v>
      </c>
      <c r="D531" s="2" t="s">
        <v>27</v>
      </c>
      <c r="E531" s="4">
        <v>-32517</v>
      </c>
      <c r="F531" s="3" t="s">
        <v>566</v>
      </c>
      <c r="G531" s="3" t="s">
        <v>762</v>
      </c>
      <c r="H531" s="2" t="s">
        <v>74</v>
      </c>
      <c r="I531" s="2" t="s">
        <v>1671</v>
      </c>
      <c r="J531" s="3" t="str">
        <f>HYPERLINK("https://www.boe.es/gazeta/dias/1810/12/20/pdfs/GEI-1810-110.pdf#page=8","Abrir facsímil")</f>
        <v>Abrir facsímil</v>
      </c>
      <c r="K531" s="3" t="s">
        <v>76</v>
      </c>
    </row>
    <row r="532" spans="1:11" ht="42" customHeight="1">
      <c r="A532" s="2" t="s">
        <v>1672</v>
      </c>
      <c r="B532" s="2" t="s">
        <v>1673</v>
      </c>
      <c r="C532" s="2" t="s">
        <v>26</v>
      </c>
      <c r="D532" s="2" t="s">
        <v>39</v>
      </c>
      <c r="E532" s="4">
        <v>-32702</v>
      </c>
      <c r="F532" s="3" t="s">
        <v>179</v>
      </c>
      <c r="G532" s="3" t="s">
        <v>119</v>
      </c>
      <c r="H532" s="2" t="s">
        <v>74</v>
      </c>
      <c r="I532" s="2" t="s">
        <v>1674</v>
      </c>
      <c r="J532" s="3" t="str">
        <f>HYPERLINK("https://www.boe.es/gazeta/dias/1810/06/18/pdfs/GMD-C-1810-169.pdf#page=1","Abrir facsímil")</f>
        <v>Abrir facsímil</v>
      </c>
      <c r="K532" s="3" t="s">
        <v>76</v>
      </c>
    </row>
    <row r="533" spans="1:11" ht="42" customHeight="1">
      <c r="A533" s="2" t="s">
        <v>1675</v>
      </c>
      <c r="B533" s="2" t="s">
        <v>1675</v>
      </c>
      <c r="C533" s="2" t="s">
        <v>88</v>
      </c>
      <c r="D533" s="2" t="s">
        <v>27</v>
      </c>
      <c r="E533" s="4">
        <v>-32606</v>
      </c>
      <c r="F533" s="3" t="s">
        <v>1676</v>
      </c>
      <c r="G533" s="3" t="s">
        <v>180</v>
      </c>
      <c r="H533" s="2" t="s">
        <v>74</v>
      </c>
      <c r="I533" s="2" t="s">
        <v>1677</v>
      </c>
      <c r="J533" s="3" t="str">
        <f>HYPERLINK("https://www.boe.es/gazeta/dias/1810/09/22/pdfs/GMD-1810-265.pdf#page=1","Abrir facsímil")</f>
        <v>Abrir facsímil</v>
      </c>
      <c r="K533" s="3" t="s">
        <v>76</v>
      </c>
    </row>
    <row r="534" spans="1:11" ht="42" customHeight="1">
      <c r="A534" s="2" t="s">
        <v>1678</v>
      </c>
      <c r="B534" s="2" t="s">
        <v>1678</v>
      </c>
      <c r="C534" s="2" t="s">
        <v>88</v>
      </c>
      <c r="D534" s="2" t="s">
        <v>27</v>
      </c>
      <c r="E534" s="4">
        <v>-32600</v>
      </c>
      <c r="F534" s="3" t="s">
        <v>1679</v>
      </c>
      <c r="G534" s="3" t="s">
        <v>465</v>
      </c>
      <c r="H534" s="2" t="s">
        <v>74</v>
      </c>
      <c r="I534" s="2" t="s">
        <v>1680</v>
      </c>
      <c r="J534" s="3" t="str">
        <f>HYPERLINK("https://www.boe.es/gazeta/dias/1810/09/28/pdfs/GMD-1810-271.pdf#page=2","Abrir facsímil")</f>
        <v>Abrir facsímil</v>
      </c>
      <c r="K534" s="3" t="s">
        <v>76</v>
      </c>
    </row>
    <row r="535" spans="1:11" ht="42" customHeight="1">
      <c r="A535" s="2" t="s">
        <v>1681</v>
      </c>
      <c r="B535" s="2" t="s">
        <v>1681</v>
      </c>
      <c r="C535" s="2" t="s">
        <v>26</v>
      </c>
      <c r="D535" s="2" t="s">
        <v>39</v>
      </c>
      <c r="E535" s="4">
        <v>-32701</v>
      </c>
      <c r="F535" s="3" t="s">
        <v>40</v>
      </c>
      <c r="G535" s="3" t="s">
        <v>170</v>
      </c>
      <c r="H535" s="2" t="s">
        <v>74</v>
      </c>
      <c r="I535" s="2" t="s">
        <v>1682</v>
      </c>
      <c r="J535" s="3" t="str">
        <f>HYPERLINK("https://www.boe.es/gazeta/dias/1810/06/19/pdfs/GMD-C-1810-170.pdf#page=1","Abrir facsímil")</f>
        <v>Abrir facsímil</v>
      </c>
      <c r="K535" s="3" t="s">
        <v>76</v>
      </c>
    </row>
    <row r="536" spans="1:11" ht="42" customHeight="1">
      <c r="A536" s="2" t="s">
        <v>1683</v>
      </c>
      <c r="B536" s="2" t="s">
        <v>1683</v>
      </c>
      <c r="C536" s="2" t="s">
        <v>26</v>
      </c>
      <c r="D536" s="2" t="s">
        <v>18</v>
      </c>
      <c r="E536" s="4">
        <v>-32659</v>
      </c>
      <c r="F536" s="3" t="s">
        <v>1684</v>
      </c>
      <c r="G536" s="3" t="s">
        <v>29</v>
      </c>
      <c r="H536" s="2" t="s">
        <v>74</v>
      </c>
      <c r="I536" s="2" t="s">
        <v>1685</v>
      </c>
      <c r="J536" s="3" t="str">
        <f>HYPERLINK("https://www.boe.es/gazeta/dias/1810/07/31/pdfs/GMD-1810-212.pdf#page=4","Abrir facsímil")</f>
        <v>Abrir facsímil</v>
      </c>
      <c r="K536" s="3" t="s">
        <v>76</v>
      </c>
    </row>
    <row r="537" spans="1:11" ht="42" customHeight="1">
      <c r="A537" s="2" t="s">
        <v>1686</v>
      </c>
      <c r="B537" s="2" t="s">
        <v>1687</v>
      </c>
      <c r="C537" s="2" t="s">
        <v>88</v>
      </c>
      <c r="D537" s="2" t="s">
        <v>27</v>
      </c>
      <c r="E537" s="4">
        <v>-32566</v>
      </c>
      <c r="F537" s="3" t="s">
        <v>405</v>
      </c>
      <c r="G537" s="3" t="s">
        <v>469</v>
      </c>
      <c r="H537" s="2" t="s">
        <v>74</v>
      </c>
      <c r="I537" s="2" t="s">
        <v>1688</v>
      </c>
      <c r="J537" s="3" t="str">
        <f>HYPERLINK("https://www.boe.es/gazeta/dias/1810/11/01/pdfs/GMD-1810-305.pdf#page=2","Abrir facsímil")</f>
        <v>Abrir facsímil</v>
      </c>
      <c r="K537" s="3" t="s">
        <v>76</v>
      </c>
    </row>
    <row r="538" spans="1:11" ht="42" customHeight="1">
      <c r="A538" s="2" t="s">
        <v>1689</v>
      </c>
      <c r="B538" s="2" t="s">
        <v>1690</v>
      </c>
      <c r="C538" s="2" t="s">
        <v>26</v>
      </c>
      <c r="D538" s="2" t="s">
        <v>27</v>
      </c>
      <c r="E538" s="4">
        <v>-32789</v>
      </c>
      <c r="F538" s="3" t="s">
        <v>1468</v>
      </c>
      <c r="G538" s="3" t="s">
        <v>1691</v>
      </c>
      <c r="H538" s="2" t="s">
        <v>74</v>
      </c>
      <c r="I538" s="2" t="s">
        <v>1692</v>
      </c>
      <c r="J538" s="3" t="str">
        <f>HYPERLINK("https://www.boe.es/gazeta/dias/1810/03/23/pdfs/GEI-1810-5.pdf#page=7","Abrir facsímil")</f>
        <v>Abrir facsímil</v>
      </c>
      <c r="K538" s="3" t="s">
        <v>76</v>
      </c>
    </row>
    <row r="539" spans="1:11" ht="42" customHeight="1">
      <c r="A539" s="2" t="s">
        <v>1693</v>
      </c>
      <c r="B539" s="2" t="s">
        <v>1694</v>
      </c>
      <c r="C539" s="2" t="s">
        <v>26</v>
      </c>
      <c r="D539" s="2" t="s">
        <v>27</v>
      </c>
      <c r="E539" s="4">
        <v>-32771</v>
      </c>
      <c r="F539" s="3" t="s">
        <v>543</v>
      </c>
      <c r="G539" s="3" t="s">
        <v>274</v>
      </c>
      <c r="H539" s="2" t="s">
        <v>74</v>
      </c>
      <c r="I539" s="2" t="s">
        <v>1695</v>
      </c>
      <c r="J539" s="3" t="str">
        <f>HYPERLINK("https://www.boe.es/gazeta/dias/1810/04/10/pdfs/GEI-1810-13.pdf#page=8","Abrir facsímil")</f>
        <v>Abrir facsímil</v>
      </c>
      <c r="K539" s="3" t="s">
        <v>76</v>
      </c>
    </row>
    <row r="540" spans="1:11" ht="42" customHeight="1">
      <c r="A540" s="2" t="s">
        <v>1696</v>
      </c>
      <c r="B540" s="2" t="s">
        <v>1696</v>
      </c>
      <c r="C540" s="2" t="s">
        <v>33</v>
      </c>
      <c r="D540" s="2" t="s">
        <v>27</v>
      </c>
      <c r="E540" s="4">
        <v>-32784</v>
      </c>
      <c r="F540" s="3" t="s">
        <v>429</v>
      </c>
      <c r="G540" s="3" t="s">
        <v>131</v>
      </c>
      <c r="H540" s="2" t="s">
        <v>74</v>
      </c>
      <c r="I540" s="2" t="s">
        <v>1697</v>
      </c>
      <c r="J540" s="3" t="str">
        <f>HYPERLINK("https://www.boe.es/gazeta/dias/1810/03/28/pdfs/GMD-1810-87.pdf#page=3","Abrir facsímil")</f>
        <v>Abrir facsímil</v>
      </c>
      <c r="K540" s="3" t="s">
        <v>76</v>
      </c>
    </row>
    <row r="541" spans="1:11" ht="42" customHeight="1">
      <c r="A541" s="2" t="s">
        <v>1698</v>
      </c>
      <c r="B541" s="2" t="s">
        <v>1699</v>
      </c>
      <c r="C541" s="2" t="s">
        <v>26</v>
      </c>
      <c r="D541" s="2" t="s">
        <v>27</v>
      </c>
      <c r="E541" s="4">
        <v>-32700</v>
      </c>
      <c r="F541" s="3" t="s">
        <v>89</v>
      </c>
      <c r="G541" s="3" t="s">
        <v>29</v>
      </c>
      <c r="H541" s="2" t="s">
        <v>74</v>
      </c>
      <c r="I541" s="2" t="s">
        <v>1700</v>
      </c>
      <c r="J541" s="3" t="str">
        <f>HYPERLINK("https://www.boe.es/gazeta/dias/1810/06/20/pdfs/GMD-1810-171.pdf#page=3","Abrir facsímil")</f>
        <v>Abrir facsímil</v>
      </c>
      <c r="K541" s="3" t="s">
        <v>76</v>
      </c>
    </row>
    <row r="542" spans="1:11" ht="42" customHeight="1">
      <c r="A542" s="2" t="s">
        <v>1701</v>
      </c>
      <c r="B542" s="2" t="s">
        <v>1702</v>
      </c>
      <c r="C542" s="2" t="s">
        <v>26</v>
      </c>
      <c r="D542" s="2" t="s">
        <v>27</v>
      </c>
      <c r="E542" s="4">
        <v>-32647</v>
      </c>
      <c r="F542" s="3" t="s">
        <v>118</v>
      </c>
      <c r="G542" s="3" t="s">
        <v>20</v>
      </c>
      <c r="H542" s="2" t="s">
        <v>74</v>
      </c>
      <c r="I542" s="2" t="s">
        <v>1703</v>
      </c>
      <c r="J542" s="3" t="str">
        <f>HYPERLINK("https://www.boe.es/gazeta/dias/1810/08/12/pdfs/GMD-1810-224.pdf#page=4","Abrir facsímil")</f>
        <v>Abrir facsímil</v>
      </c>
      <c r="K542" s="3" t="s">
        <v>76</v>
      </c>
    </row>
    <row r="543" spans="1:11" ht="42" customHeight="1">
      <c r="A543" s="2" t="s">
        <v>1704</v>
      </c>
      <c r="B543" s="2" t="s">
        <v>1705</v>
      </c>
      <c r="C543" s="2" t="s">
        <v>26</v>
      </c>
      <c r="D543" s="2" t="s">
        <v>27</v>
      </c>
      <c r="E543" s="4">
        <v>-32710</v>
      </c>
      <c r="F543" s="3" t="s">
        <v>126</v>
      </c>
      <c r="G543" s="3" t="s">
        <v>180</v>
      </c>
      <c r="H543" s="2" t="s">
        <v>74</v>
      </c>
      <c r="I543" s="2" t="s">
        <v>1706</v>
      </c>
      <c r="J543" s="3" t="str">
        <f>HYPERLINK("https://www.boe.es/gazeta/dias/1810/06/10/pdfs/GMD-1810-161.pdf#page=1","Abrir facsímil")</f>
        <v>Abrir facsímil</v>
      </c>
      <c r="K543" s="3" t="s">
        <v>76</v>
      </c>
    </row>
    <row r="544" spans="1:11" ht="42" customHeight="1">
      <c r="A544" s="2" t="s">
        <v>1707</v>
      </c>
      <c r="B544" s="2" t="s">
        <v>1707</v>
      </c>
      <c r="C544" s="2" t="s">
        <v>26</v>
      </c>
      <c r="D544" s="2" t="s">
        <v>18</v>
      </c>
      <c r="E544" s="4">
        <v>-32783</v>
      </c>
      <c r="F544" s="3" t="s">
        <v>896</v>
      </c>
      <c r="G544" s="3" t="s">
        <v>20</v>
      </c>
      <c r="H544" s="2" t="s">
        <v>21</v>
      </c>
      <c r="I544" s="2" t="s">
        <v>1708</v>
      </c>
      <c r="J544" s="3" t="str">
        <f>HYPERLINK("https://www.boe.es/gazeta/dias/1810/03/29/pdfs/GMD-1810-88.pdf#page=4","Abrir facsímil")</f>
        <v>Abrir facsímil</v>
      </c>
      <c r="K544" s="3" t="s">
        <v>23</v>
      </c>
    </row>
    <row r="545" spans="1:11" ht="42" customHeight="1">
      <c r="A545" s="2" t="s">
        <v>1709</v>
      </c>
      <c r="B545" s="2" t="s">
        <v>1710</v>
      </c>
      <c r="C545" s="2" t="s">
        <v>26</v>
      </c>
      <c r="D545" s="2" t="s">
        <v>27</v>
      </c>
      <c r="E545" s="4">
        <v>-32705</v>
      </c>
      <c r="F545" s="3" t="s">
        <v>1158</v>
      </c>
      <c r="G545" s="3" t="s">
        <v>1711</v>
      </c>
      <c r="H545" s="2" t="s">
        <v>74</v>
      </c>
      <c r="I545" s="2" t="s">
        <v>1712</v>
      </c>
      <c r="J545" s="3" t="str">
        <f>HYPERLINK("https://www.boe.es/gazeta/dias/1810/06/15/pdfs/GMD-1810-166.pdf#page=4","Abrir facsímil")</f>
        <v>Abrir facsímil</v>
      </c>
      <c r="K545" s="3" t="s">
        <v>76</v>
      </c>
    </row>
    <row r="546" spans="1:11" ht="42" customHeight="1">
      <c r="A546" s="2" t="s">
        <v>1713</v>
      </c>
      <c r="B546" s="2" t="s">
        <v>1713</v>
      </c>
      <c r="C546" s="2" t="s">
        <v>88</v>
      </c>
      <c r="D546" s="2" t="s">
        <v>27</v>
      </c>
      <c r="E546" s="4">
        <v>-32596</v>
      </c>
      <c r="F546" s="3" t="s">
        <v>248</v>
      </c>
      <c r="G546" s="3" t="s">
        <v>1714</v>
      </c>
      <c r="H546" s="2" t="s">
        <v>74</v>
      </c>
      <c r="I546" s="2" t="s">
        <v>1715</v>
      </c>
      <c r="J546" s="3" t="str">
        <f>HYPERLINK("https://www.boe.es/gazeta/dias/1810/10/02/pdfs/GEI-1810-76.pdf#page=3","Abrir facsímil")</f>
        <v>Abrir facsímil</v>
      </c>
      <c r="K546" s="3" t="s">
        <v>76</v>
      </c>
    </row>
    <row r="547" spans="1:11" ht="42" customHeight="1">
      <c r="A547" s="2" t="s">
        <v>1716</v>
      </c>
      <c r="B547" s="2" t="s">
        <v>1716</v>
      </c>
      <c r="C547" s="2" t="s">
        <v>88</v>
      </c>
      <c r="D547" s="2" t="s">
        <v>27</v>
      </c>
      <c r="E547" s="4">
        <v>-32631</v>
      </c>
      <c r="F547" s="3" t="s">
        <v>130</v>
      </c>
      <c r="G547" s="3" t="s">
        <v>131</v>
      </c>
      <c r="H547" s="2" t="s">
        <v>74</v>
      </c>
      <c r="I547" s="2" t="s">
        <v>1717</v>
      </c>
      <c r="J547" s="3" t="str">
        <f>HYPERLINK("https://www.boe.es/gazeta/dias/1810/08/28/pdfs/GEI-1810-60.pdf#page=6","Abrir facsímil")</f>
        <v>Abrir facsímil</v>
      </c>
      <c r="K547" s="3" t="s">
        <v>76</v>
      </c>
    </row>
    <row r="548" spans="1:11" ht="42" customHeight="1">
      <c r="A548" s="2" t="s">
        <v>1718</v>
      </c>
      <c r="B548" s="2" t="s">
        <v>1718</v>
      </c>
      <c r="C548" s="2" t="s">
        <v>317</v>
      </c>
      <c r="D548" s="2" t="s">
        <v>27</v>
      </c>
      <c r="E548" s="4">
        <v>-32644</v>
      </c>
      <c r="F548" s="3" t="s">
        <v>457</v>
      </c>
      <c r="G548" s="3" t="s">
        <v>458</v>
      </c>
      <c r="H548" s="2" t="s">
        <v>74</v>
      </c>
      <c r="I548" s="2" t="s">
        <v>1719</v>
      </c>
      <c r="J548" s="3" t="str">
        <f>HYPERLINK("https://www.boe.es/gazeta/dias/1810/08/15/pdfs/GMD-1810-227.pdf#page=1","Abrir facsímil")</f>
        <v>Abrir facsímil</v>
      </c>
      <c r="K548" s="3" t="s">
        <v>76</v>
      </c>
    </row>
    <row r="549" spans="1:11" ht="42" customHeight="1">
      <c r="A549" s="2" t="s">
        <v>1720</v>
      </c>
      <c r="B549" s="2" t="s">
        <v>1720</v>
      </c>
      <c r="C549" s="2" t="s">
        <v>88</v>
      </c>
      <c r="D549" s="2" t="s">
        <v>18</v>
      </c>
      <c r="E549" s="4">
        <v>-32698</v>
      </c>
      <c r="F549" s="3" t="s">
        <v>1721</v>
      </c>
      <c r="G549" s="3" t="s">
        <v>1722</v>
      </c>
      <c r="H549" s="2" t="s">
        <v>74</v>
      </c>
      <c r="I549" s="2" t="s">
        <v>1723</v>
      </c>
      <c r="J549" s="3" t="str">
        <f>HYPERLINK("https://www.boe.es/gazeta/dias/1810/06/22/pdfs/GMD-1810-173.pdf#page=1","Abrir facsímil")</f>
        <v>Abrir facsímil</v>
      </c>
      <c r="K549" s="3" t="s">
        <v>76</v>
      </c>
    </row>
    <row r="550" spans="1:11" ht="42" customHeight="1">
      <c r="A550" s="2" t="s">
        <v>1724</v>
      </c>
      <c r="B550" s="2" t="s">
        <v>1725</v>
      </c>
      <c r="C550" s="2" t="s">
        <v>88</v>
      </c>
      <c r="D550" s="2" t="s">
        <v>58</v>
      </c>
      <c r="E550" s="4">
        <v>-32651</v>
      </c>
      <c r="F550" s="3" t="s">
        <v>59</v>
      </c>
      <c r="G550" s="3" t="s">
        <v>60</v>
      </c>
      <c r="H550" s="2" t="s">
        <v>74</v>
      </c>
      <c r="I550" s="2" t="s">
        <v>1726</v>
      </c>
      <c r="J550" s="3" t="str">
        <f>HYPERLINK("https://www.boe.es/gazeta/dias/1810/08/08/pdfs/GEI-1810-53E.pdf#page=3","Abrir facsímil")</f>
        <v>Abrir facsímil</v>
      </c>
      <c r="K550" s="3" t="s">
        <v>76</v>
      </c>
    </row>
    <row r="551" spans="1:11" ht="42" customHeight="1">
      <c r="A551" s="2" t="s">
        <v>1727</v>
      </c>
      <c r="B551" s="2" t="s">
        <v>1728</v>
      </c>
      <c r="C551" s="2" t="s">
        <v>88</v>
      </c>
      <c r="D551" s="2" t="s">
        <v>27</v>
      </c>
      <c r="E551" s="4">
        <v>-32666</v>
      </c>
      <c r="F551" s="3" t="s">
        <v>346</v>
      </c>
      <c r="G551" s="3" t="s">
        <v>1408</v>
      </c>
      <c r="H551" s="2" t="s">
        <v>74</v>
      </c>
      <c r="I551" s="2" t="s">
        <v>1729</v>
      </c>
      <c r="J551" s="3" t="str">
        <f>HYPERLINK("https://www.boe.es/gazeta/dias/1810/07/24/pdfs/GEI-1810-47.pdf#page=6","Abrir facsímil")</f>
        <v>Abrir facsímil</v>
      </c>
      <c r="K551" s="3" t="s">
        <v>76</v>
      </c>
    </row>
    <row r="552" spans="1:11" ht="42" customHeight="1">
      <c r="A552" s="2" t="s">
        <v>1730</v>
      </c>
      <c r="B552" s="2" t="s">
        <v>1731</v>
      </c>
      <c r="C552" s="2" t="s">
        <v>26</v>
      </c>
      <c r="D552" s="2" t="s">
        <v>18</v>
      </c>
      <c r="E552" s="4">
        <v>-32738</v>
      </c>
      <c r="F552" s="3" t="s">
        <v>321</v>
      </c>
      <c r="G552" s="3" t="s">
        <v>140</v>
      </c>
      <c r="H552" s="2" t="s">
        <v>74</v>
      </c>
      <c r="I552" s="2" t="s">
        <v>1732</v>
      </c>
      <c r="J552" s="3" t="str">
        <f>HYPERLINK("https://www.boe.es/gazeta/dias/1810/05/13/pdfs/GMD-1810-133.pdf#page=4","Abrir facsímil")</f>
        <v>Abrir facsímil</v>
      </c>
      <c r="K552" s="3" t="s">
        <v>76</v>
      </c>
    </row>
    <row r="553" spans="1:11" ht="42" customHeight="1">
      <c r="A553" s="2" t="s">
        <v>1733</v>
      </c>
      <c r="B553" s="2" t="s">
        <v>1734</v>
      </c>
      <c r="C553" s="2" t="s">
        <v>26</v>
      </c>
      <c r="D553" s="2" t="s">
        <v>39</v>
      </c>
      <c r="E553" s="4">
        <v>-32710</v>
      </c>
      <c r="F553" s="3" t="s">
        <v>1735</v>
      </c>
      <c r="G553" s="3" t="s">
        <v>1736</v>
      </c>
      <c r="H553" s="2" t="s">
        <v>74</v>
      </c>
      <c r="I553" s="2" t="s">
        <v>1737</v>
      </c>
      <c r="J553" s="3" t="str">
        <f>HYPERLINK("https://www.boe.es/gazeta/dias/1810/06/10/pdfs/GMD-C-1810-161.pdf#page=2","Abrir facsímil")</f>
        <v>Abrir facsímil</v>
      </c>
      <c r="K553" s="3" t="s">
        <v>76</v>
      </c>
    </row>
    <row r="554" spans="1:11" ht="42" customHeight="1">
      <c r="A554" s="2" t="s">
        <v>1738</v>
      </c>
      <c r="B554" s="2" t="s">
        <v>1738</v>
      </c>
      <c r="C554" s="2" t="s">
        <v>33</v>
      </c>
      <c r="D554" s="2" t="s">
        <v>27</v>
      </c>
      <c r="E554" s="4">
        <v>-32733</v>
      </c>
      <c r="F554" s="3" t="s">
        <v>644</v>
      </c>
      <c r="G554" s="3" t="s">
        <v>35</v>
      </c>
      <c r="H554" s="2" t="s">
        <v>74</v>
      </c>
      <c r="I554" s="2" t="s">
        <v>1739</v>
      </c>
      <c r="J554" s="3" t="str">
        <f>HYPERLINK("https://www.boe.es/gazeta/dias/1810/05/18/pdfs/GMD-1810-138.pdf#page=2","Abrir facsímil")</f>
        <v>Abrir facsímil</v>
      </c>
      <c r="K554" s="3" t="s">
        <v>76</v>
      </c>
    </row>
    <row r="555" spans="1:11" ht="42" customHeight="1">
      <c r="A555" s="2" t="s">
        <v>1738</v>
      </c>
      <c r="B555" s="2" t="s">
        <v>1738</v>
      </c>
      <c r="C555" s="2" t="s">
        <v>26</v>
      </c>
      <c r="D555" s="2" t="s">
        <v>27</v>
      </c>
      <c r="E555" s="4">
        <v>-32693</v>
      </c>
      <c r="F555" s="3" t="s">
        <v>54</v>
      </c>
      <c r="G555" s="3" t="s">
        <v>90</v>
      </c>
      <c r="H555" s="2" t="s">
        <v>74</v>
      </c>
      <c r="I555" s="2" t="s">
        <v>1740</v>
      </c>
      <c r="J555" s="3" t="str">
        <f>HYPERLINK("https://www.boe.es/gazeta/dias/1810/06/27/pdfs/GMD-1810-178.pdf#page=2","Abrir facsímil")</f>
        <v>Abrir facsímil</v>
      </c>
      <c r="K555" s="3" t="s">
        <v>76</v>
      </c>
    </row>
    <row r="556" spans="1:11" ht="42" customHeight="1">
      <c r="A556" s="2" t="s">
        <v>1741</v>
      </c>
      <c r="B556" s="2" t="s">
        <v>1742</v>
      </c>
      <c r="C556" s="2" t="s">
        <v>33</v>
      </c>
      <c r="D556" s="2" t="s">
        <v>27</v>
      </c>
      <c r="E556" s="4">
        <v>-32821</v>
      </c>
      <c r="F556" s="3" t="s">
        <v>1743</v>
      </c>
      <c r="G556" s="3" t="s">
        <v>99</v>
      </c>
      <c r="H556" s="2" t="s">
        <v>74</v>
      </c>
      <c r="I556" s="2" t="s">
        <v>1744</v>
      </c>
      <c r="J556" s="3" t="str">
        <f>HYPERLINK("https://www.boe.es/gazeta/dias/1810/02/19/pdfs/GMD-1810-50.pdf#page=3","Abrir facsímil")</f>
        <v>Abrir facsímil</v>
      </c>
      <c r="K556" s="3" t="s">
        <v>76</v>
      </c>
    </row>
    <row r="557" spans="1:11" ht="42" customHeight="1">
      <c r="A557" s="2" t="s">
        <v>1745</v>
      </c>
      <c r="B557" s="2" t="s">
        <v>1746</v>
      </c>
      <c r="C557" s="2" t="s">
        <v>33</v>
      </c>
      <c r="D557" s="2" t="s">
        <v>220</v>
      </c>
      <c r="E557" s="4">
        <v>-32654</v>
      </c>
      <c r="F557" s="3" t="s">
        <v>1032</v>
      </c>
      <c r="G557" s="3" t="s">
        <v>90</v>
      </c>
      <c r="H557" s="2" t="s">
        <v>21</v>
      </c>
      <c r="I557" s="2" t="s">
        <v>1747</v>
      </c>
      <c r="J557" s="3" t="str">
        <f>HYPERLINK("https://www.boe.es/gazeta/dias/1810/08/05/pdfs/GEI-1810-51E.pdf#page=1","Abrir facsímil")</f>
        <v>Abrir facsímil</v>
      </c>
      <c r="K557" s="3" t="s">
        <v>23</v>
      </c>
    </row>
    <row r="558" spans="1:11" ht="42" customHeight="1">
      <c r="A558" s="2" t="s">
        <v>1748</v>
      </c>
      <c r="B558" s="2" t="s">
        <v>1749</v>
      </c>
      <c r="C558" s="2" t="s">
        <v>26</v>
      </c>
      <c r="D558" s="2" t="s">
        <v>27</v>
      </c>
      <c r="E558" s="4">
        <v>-32761</v>
      </c>
      <c r="F558" s="3" t="s">
        <v>811</v>
      </c>
      <c r="G558" s="3" t="s">
        <v>119</v>
      </c>
      <c r="H558" s="2" t="s">
        <v>74</v>
      </c>
      <c r="I558" s="2" t="s">
        <v>1750</v>
      </c>
      <c r="J558" s="3" t="str">
        <f>HYPERLINK("https://www.boe.es/gazeta/dias/1810/04/20/pdfs/GEI-1810-16.pdf#page=7","Abrir facsímil")</f>
        <v>Abrir facsímil</v>
      </c>
      <c r="K558" s="3" t="s">
        <v>76</v>
      </c>
    </row>
    <row r="559" spans="1:11" ht="42" customHeight="1">
      <c r="A559" s="2" t="s">
        <v>1751</v>
      </c>
      <c r="B559" s="2" t="s">
        <v>1752</v>
      </c>
      <c r="C559" s="2" t="s">
        <v>17</v>
      </c>
      <c r="D559" s="2" t="s">
        <v>27</v>
      </c>
      <c r="E559" s="4">
        <v>-32707</v>
      </c>
      <c r="F559" s="3" t="s">
        <v>1753</v>
      </c>
      <c r="G559" s="3" t="s">
        <v>227</v>
      </c>
      <c r="H559" s="2" t="s">
        <v>74</v>
      </c>
      <c r="I559" s="2" t="s">
        <v>1754</v>
      </c>
      <c r="J559" s="3" t="str">
        <f>HYPERLINK("https://www.boe.es/gazeta/dias/1810/06/13/pdfs/GMD-1810-164.pdf#page=4","Abrir facsímil")</f>
        <v>Abrir facsímil</v>
      </c>
      <c r="K559" s="3" t="s">
        <v>76</v>
      </c>
    </row>
    <row r="560" spans="1:11" ht="42" customHeight="1">
      <c r="A560" s="2" t="s">
        <v>1755</v>
      </c>
      <c r="B560" s="2" t="s">
        <v>1756</v>
      </c>
      <c r="C560" s="2" t="s">
        <v>26</v>
      </c>
      <c r="D560" s="2" t="s">
        <v>27</v>
      </c>
      <c r="E560" s="4">
        <v>-32764</v>
      </c>
      <c r="F560" s="3" t="s">
        <v>640</v>
      </c>
      <c r="G560" s="3" t="s">
        <v>641</v>
      </c>
      <c r="H560" s="2" t="s">
        <v>74</v>
      </c>
      <c r="I560" s="2" t="s">
        <v>1757</v>
      </c>
      <c r="J560" s="3" t="str">
        <f>HYPERLINK("https://www.boe.es/gazeta/dias/1810/04/17/pdfs/GEI-1810-15.pdf#page=8","Abrir facsímil")</f>
        <v>Abrir facsímil</v>
      </c>
      <c r="K560" s="3" t="s">
        <v>76</v>
      </c>
    </row>
    <row r="561" spans="1:11" ht="42" customHeight="1">
      <c r="A561" s="2" t="s">
        <v>1755</v>
      </c>
      <c r="B561" s="2" t="s">
        <v>1756</v>
      </c>
      <c r="C561" s="2" t="s">
        <v>195</v>
      </c>
      <c r="D561" s="2" t="s">
        <v>27</v>
      </c>
      <c r="E561" s="4">
        <v>-32756</v>
      </c>
      <c r="F561" s="3" t="s">
        <v>203</v>
      </c>
      <c r="G561" s="3" t="s">
        <v>180</v>
      </c>
      <c r="H561" s="2" t="s">
        <v>74</v>
      </c>
      <c r="I561" s="2" t="s">
        <v>1758</v>
      </c>
      <c r="J561" s="3" t="str">
        <f>HYPERLINK("https://www.boe.es/gazeta/dias/1810/04/25/pdfs/GMD-1810-115.pdf#page=4","Abrir facsímil")</f>
        <v>Abrir facsímil</v>
      </c>
      <c r="K561" s="3" t="s">
        <v>76</v>
      </c>
    </row>
    <row r="562" spans="1:11" ht="42" customHeight="1">
      <c r="A562" s="2" t="s">
        <v>1759</v>
      </c>
      <c r="B562" s="2" t="s">
        <v>1760</v>
      </c>
      <c r="C562" s="2" t="s">
        <v>26</v>
      </c>
      <c r="D562" s="2" t="s">
        <v>27</v>
      </c>
      <c r="E562" s="4">
        <v>-32771</v>
      </c>
      <c r="F562" s="3" t="s">
        <v>543</v>
      </c>
      <c r="G562" s="3" t="s">
        <v>65</v>
      </c>
      <c r="H562" s="2" t="s">
        <v>74</v>
      </c>
      <c r="I562" s="2" t="s">
        <v>1761</v>
      </c>
      <c r="J562" s="3" t="str">
        <f>HYPERLINK("https://www.boe.es/gazeta/dias/1810/04/10/pdfs/GEI-1810-13.pdf#page=7","Abrir facsímil")</f>
        <v>Abrir facsímil</v>
      </c>
      <c r="K562" s="3" t="s">
        <v>76</v>
      </c>
    </row>
    <row r="563" spans="1:11" ht="42" customHeight="1">
      <c r="A563" s="2" t="s">
        <v>1762</v>
      </c>
      <c r="B563" s="2" t="s">
        <v>1763</v>
      </c>
      <c r="C563" s="2" t="s">
        <v>88</v>
      </c>
      <c r="D563" s="2" t="s">
        <v>27</v>
      </c>
      <c r="E563" s="4">
        <v>-32508</v>
      </c>
      <c r="F563" s="3" t="s">
        <v>864</v>
      </c>
      <c r="G563" s="3" t="s">
        <v>1764</v>
      </c>
      <c r="H563" s="2" t="s">
        <v>74</v>
      </c>
      <c r="I563" s="2" t="s">
        <v>1765</v>
      </c>
      <c r="J563" s="3" t="str">
        <f>HYPERLINK("https://www.boe.es/gazeta/dias/1810/12/29/pdfs/GEI-1810-114.pdf#page=7","Abrir facsímil")</f>
        <v>Abrir facsímil</v>
      </c>
      <c r="K563" s="3" t="s">
        <v>76</v>
      </c>
    </row>
    <row r="564" spans="1:11" ht="42" customHeight="1">
      <c r="A564" s="2" t="s">
        <v>1766</v>
      </c>
      <c r="B564" s="2" t="s">
        <v>1767</v>
      </c>
      <c r="C564" s="2" t="s">
        <v>26</v>
      </c>
      <c r="D564" s="2" t="s">
        <v>39</v>
      </c>
      <c r="E564" s="4">
        <v>-32701</v>
      </c>
      <c r="F564" s="3" t="s">
        <v>40</v>
      </c>
      <c r="G564" s="3" t="s">
        <v>41</v>
      </c>
      <c r="H564" s="2" t="s">
        <v>74</v>
      </c>
      <c r="I564" s="2" t="s">
        <v>1768</v>
      </c>
      <c r="J564" s="3" t="str">
        <f>HYPERLINK("https://www.boe.es/gazeta/dias/1810/06/19/pdfs/GMD-C-1810-170.pdf#page=3","Abrir facsímil")</f>
        <v>Abrir facsímil</v>
      </c>
      <c r="K564" s="3" t="s">
        <v>76</v>
      </c>
    </row>
    <row r="565" spans="1:11" ht="42" customHeight="1">
      <c r="A565" s="2" t="s">
        <v>1769</v>
      </c>
      <c r="B565" s="2" t="s">
        <v>1770</v>
      </c>
      <c r="C565" s="2" t="s">
        <v>26</v>
      </c>
      <c r="D565" s="2" t="s">
        <v>39</v>
      </c>
      <c r="E565" s="4">
        <v>-32701</v>
      </c>
      <c r="F565" s="3" t="s">
        <v>40</v>
      </c>
      <c r="G565" s="3" t="s">
        <v>315</v>
      </c>
      <c r="H565" s="2" t="s">
        <v>74</v>
      </c>
      <c r="I565" s="2" t="s">
        <v>1771</v>
      </c>
      <c r="J565" s="3" t="str">
        <f>HYPERLINK("https://www.boe.es/gazeta/dias/1810/06/19/pdfs/GMD-C-1810-170.pdf#page=2","Abrir facsímil")</f>
        <v>Abrir facsímil</v>
      </c>
      <c r="K565" s="3" t="s">
        <v>76</v>
      </c>
    </row>
    <row r="566" spans="1:11" ht="42" customHeight="1">
      <c r="A566" s="2" t="s">
        <v>1772</v>
      </c>
      <c r="B566" s="2" t="s">
        <v>1773</v>
      </c>
      <c r="C566" s="2" t="s">
        <v>26</v>
      </c>
      <c r="D566" s="2" t="s">
        <v>27</v>
      </c>
      <c r="E566" s="4">
        <v>-32647</v>
      </c>
      <c r="F566" s="3" t="s">
        <v>118</v>
      </c>
      <c r="G566" s="3" t="s">
        <v>20</v>
      </c>
      <c r="H566" s="2" t="s">
        <v>21</v>
      </c>
      <c r="I566" s="2" t="s">
        <v>1774</v>
      </c>
      <c r="J566" s="3" t="str">
        <f>HYPERLINK("https://www.boe.es/gazeta/dias/1810/08/12/pdfs/GMD-1810-224.pdf#page=4","Abrir facsímil")</f>
        <v>Abrir facsímil</v>
      </c>
      <c r="K566" s="3" t="s">
        <v>23</v>
      </c>
    </row>
    <row r="567" spans="1:11" ht="42" customHeight="1">
      <c r="A567" s="2" t="s">
        <v>1775</v>
      </c>
      <c r="B567" s="2" t="s">
        <v>1776</v>
      </c>
      <c r="C567" s="2" t="s">
        <v>88</v>
      </c>
      <c r="D567" s="2" t="s">
        <v>27</v>
      </c>
      <c r="E567" s="4">
        <v>-32710</v>
      </c>
      <c r="F567" s="3" t="s">
        <v>126</v>
      </c>
      <c r="G567" s="3" t="s">
        <v>35</v>
      </c>
      <c r="H567" s="2" t="s">
        <v>21</v>
      </c>
      <c r="I567" s="2" t="s">
        <v>1777</v>
      </c>
      <c r="J567" s="3" t="str">
        <f>HYPERLINK("https://www.boe.es/gazeta/dias/1810/06/10/pdfs/GMD-1810-161.pdf#page=2","Abrir facsímil")</f>
        <v>Abrir facsímil</v>
      </c>
      <c r="K567" s="3" t="s">
        <v>23</v>
      </c>
    </row>
    <row r="568" spans="1:11" ht="42" customHeight="1">
      <c r="A568" s="2" t="s">
        <v>1778</v>
      </c>
      <c r="B568" s="2" t="s">
        <v>1779</v>
      </c>
      <c r="C568" s="2" t="s">
        <v>26</v>
      </c>
      <c r="D568" s="2" t="s">
        <v>27</v>
      </c>
      <c r="E568" s="4">
        <v>-32517</v>
      </c>
      <c r="F568" s="3" t="s">
        <v>566</v>
      </c>
      <c r="G568" s="3" t="s">
        <v>762</v>
      </c>
      <c r="H568" s="2" t="s">
        <v>21</v>
      </c>
      <c r="I568" s="2" t="s">
        <v>1780</v>
      </c>
      <c r="J568" s="3" t="str">
        <f>HYPERLINK("https://www.boe.es/gazeta/dias/1810/12/20/pdfs/GEI-1810-110.pdf#page=8","Abrir facsímil")</f>
        <v>Abrir facsímil</v>
      </c>
      <c r="K568" s="3" t="s">
        <v>23</v>
      </c>
    </row>
    <row r="569" spans="1:11" ht="42" customHeight="1">
      <c r="A569" s="2" t="s">
        <v>1781</v>
      </c>
      <c r="B569" s="2" t="s">
        <v>1782</v>
      </c>
      <c r="C569" s="2" t="s">
        <v>88</v>
      </c>
      <c r="D569" s="2" t="s">
        <v>117</v>
      </c>
      <c r="E569" s="4">
        <v>-32561</v>
      </c>
      <c r="F569" s="3" t="s">
        <v>273</v>
      </c>
      <c r="G569" s="3" t="s">
        <v>749</v>
      </c>
      <c r="H569" s="2" t="s">
        <v>21</v>
      </c>
      <c r="I569" s="2" t="s">
        <v>1783</v>
      </c>
      <c r="J569" s="3" t="str">
        <f>HYPERLINK("https://www.boe.es/gazeta/dias/1810/11/06/pdfs/GEI-1810-91.pdf#page=7","Abrir facsímil")</f>
        <v>Abrir facsímil</v>
      </c>
      <c r="K569" s="3" t="s">
        <v>23</v>
      </c>
    </row>
    <row r="570" spans="1:11" ht="42" customHeight="1">
      <c r="A570" s="2" t="s">
        <v>1784</v>
      </c>
      <c r="B570" s="2" t="s">
        <v>1785</v>
      </c>
      <c r="C570" s="2" t="s">
        <v>26</v>
      </c>
      <c r="D570" s="2" t="s">
        <v>39</v>
      </c>
      <c r="E570" s="4">
        <v>-32702</v>
      </c>
      <c r="F570" s="3" t="s">
        <v>179</v>
      </c>
      <c r="G570" s="3" t="s">
        <v>213</v>
      </c>
      <c r="H570" s="2" t="s">
        <v>21</v>
      </c>
      <c r="I570" s="2" t="s">
        <v>1786</v>
      </c>
      <c r="J570" s="3" t="str">
        <f>HYPERLINK("https://www.boe.es/gazeta/dias/1810/06/18/pdfs/GMD-C-1810-169.pdf#page=4","Abrir facsímil")</f>
        <v>Abrir facsímil</v>
      </c>
      <c r="K570" s="3" t="s">
        <v>23</v>
      </c>
    </row>
    <row r="571" spans="1:11" ht="42" customHeight="1">
      <c r="A571" s="2" t="s">
        <v>1787</v>
      </c>
      <c r="B571" s="2" t="s">
        <v>1788</v>
      </c>
      <c r="C571" s="2" t="s">
        <v>26</v>
      </c>
      <c r="D571" s="2" t="s">
        <v>39</v>
      </c>
      <c r="E571" s="4">
        <v>-32701</v>
      </c>
      <c r="F571" s="3" t="s">
        <v>40</v>
      </c>
      <c r="G571" s="3" t="s">
        <v>170</v>
      </c>
      <c r="H571" s="2" t="s">
        <v>21</v>
      </c>
      <c r="I571" s="2" t="s">
        <v>1789</v>
      </c>
      <c r="J571" s="3" t="str">
        <f>HYPERLINK("https://www.boe.es/gazeta/dias/1810/06/19/pdfs/GMD-C-1810-170.pdf#page=1","Abrir facsímil")</f>
        <v>Abrir facsímil</v>
      </c>
      <c r="K571" s="3" t="s">
        <v>23</v>
      </c>
    </row>
    <row r="572" spans="1:11" ht="42" customHeight="1">
      <c r="A572" s="2" t="s">
        <v>1790</v>
      </c>
      <c r="B572" s="2" t="s">
        <v>1791</v>
      </c>
      <c r="C572" s="2" t="s">
        <v>88</v>
      </c>
      <c r="D572" s="2" t="s">
        <v>27</v>
      </c>
      <c r="E572" s="4">
        <v>-32710</v>
      </c>
      <c r="F572" s="3" t="s">
        <v>126</v>
      </c>
      <c r="G572" s="3" t="s">
        <v>35</v>
      </c>
      <c r="H572" s="2" t="s">
        <v>21</v>
      </c>
      <c r="I572" s="2" t="s">
        <v>1792</v>
      </c>
      <c r="J572" s="3" t="str">
        <f>HYPERLINK("https://www.boe.es/gazeta/dias/1810/06/10/pdfs/GMD-1810-161.pdf#page=2","Abrir facsímil")</f>
        <v>Abrir facsímil</v>
      </c>
      <c r="K572" s="3" t="s">
        <v>23</v>
      </c>
    </row>
    <row r="573" spans="1:11" ht="42" customHeight="1">
      <c r="A573" s="2" t="s">
        <v>1793</v>
      </c>
      <c r="B573" s="2" t="s">
        <v>1794</v>
      </c>
      <c r="C573" s="2" t="s">
        <v>317</v>
      </c>
      <c r="D573" s="2" t="s">
        <v>27</v>
      </c>
      <c r="E573" s="4">
        <v>-32568</v>
      </c>
      <c r="F573" s="3" t="s">
        <v>1233</v>
      </c>
      <c r="G573" s="3" t="s">
        <v>140</v>
      </c>
      <c r="H573" s="2" t="s">
        <v>21</v>
      </c>
      <c r="I573" s="2" t="s">
        <v>1795</v>
      </c>
      <c r="J573" s="3" t="str">
        <f>HYPERLINK("https://www.boe.es/gazeta/dias/1810/10/30/pdfs/GMD-1810-303.pdf#page=4","Abrir facsímil")</f>
        <v>Abrir facsímil</v>
      </c>
      <c r="K573" s="3" t="s">
        <v>23</v>
      </c>
    </row>
    <row r="574" spans="1:11" ht="42" customHeight="1">
      <c r="A574" s="2" t="s">
        <v>1796</v>
      </c>
      <c r="B574" s="2" t="s">
        <v>1797</v>
      </c>
      <c r="C574" s="2" t="s">
        <v>26</v>
      </c>
      <c r="D574" s="2" t="s">
        <v>27</v>
      </c>
      <c r="E574" s="4">
        <v>-32729</v>
      </c>
      <c r="F574" s="3" t="s">
        <v>174</v>
      </c>
      <c r="G574" s="3" t="s">
        <v>175</v>
      </c>
      <c r="H574" s="2" t="s">
        <v>74</v>
      </c>
      <c r="I574" s="2" t="s">
        <v>1798</v>
      </c>
      <c r="J574" s="3" t="str">
        <f>HYPERLINK("https://www.boe.es/gazeta/dias/1810/05/22/pdfs/GEI-1810-28.pdf#page=10","Abrir facsímil")</f>
        <v>Abrir facsímil</v>
      </c>
      <c r="K574" s="3" t="s">
        <v>76</v>
      </c>
    </row>
    <row r="575" spans="1:11" ht="42" customHeight="1">
      <c r="A575" s="2" t="s">
        <v>1799</v>
      </c>
      <c r="B575" s="2" t="s">
        <v>1800</v>
      </c>
      <c r="C575" s="2" t="s">
        <v>17</v>
      </c>
      <c r="D575" s="2" t="s">
        <v>27</v>
      </c>
      <c r="E575" s="4">
        <v>-32595</v>
      </c>
      <c r="F575" s="3" t="s">
        <v>700</v>
      </c>
      <c r="G575" s="3" t="s">
        <v>701</v>
      </c>
      <c r="H575" s="2" t="s">
        <v>74</v>
      </c>
      <c r="I575" s="2" t="s">
        <v>1801</v>
      </c>
      <c r="J575" s="3" t="str">
        <f>HYPERLINK("https://www.boe.es/gazeta/dias/1810/10/03/pdfs/GMD-1810-276.pdf#page=3","Abrir facsímil")</f>
        <v>Abrir facsímil</v>
      </c>
      <c r="K575" s="3" t="s">
        <v>76</v>
      </c>
    </row>
    <row r="576" spans="1:11" ht="42" customHeight="1">
      <c r="A576" s="2" t="s">
        <v>1802</v>
      </c>
      <c r="B576" s="2" t="s">
        <v>1803</v>
      </c>
      <c r="C576" s="2" t="s">
        <v>26</v>
      </c>
      <c r="D576" s="2" t="s">
        <v>27</v>
      </c>
      <c r="E576" s="4">
        <v>-32545</v>
      </c>
      <c r="F576" s="3" t="s">
        <v>165</v>
      </c>
      <c r="G576" s="3" t="s">
        <v>166</v>
      </c>
      <c r="H576" s="2" t="s">
        <v>74</v>
      </c>
      <c r="I576" s="2" t="s">
        <v>1804</v>
      </c>
      <c r="J576" s="3" t="str">
        <f>HYPERLINK("https://www.boe.es/gazeta/dias/1810/11/22/pdfs/GEI-1810-98.pdf#page=8","Abrir facsímil")</f>
        <v>Abrir facsímil</v>
      </c>
      <c r="K576" s="3" t="s">
        <v>76</v>
      </c>
    </row>
    <row r="577" spans="1:11" ht="42" customHeight="1">
      <c r="A577" s="2" t="s">
        <v>1805</v>
      </c>
      <c r="B577" s="2" t="s">
        <v>1805</v>
      </c>
      <c r="C577" s="2" t="s">
        <v>17</v>
      </c>
      <c r="D577" s="2" t="s">
        <v>27</v>
      </c>
      <c r="E577" s="4">
        <v>-32580</v>
      </c>
      <c r="F577" s="3" t="s">
        <v>833</v>
      </c>
      <c r="G577" s="3" t="s">
        <v>465</v>
      </c>
      <c r="H577" s="2" t="s">
        <v>74</v>
      </c>
      <c r="I577" s="2" t="s">
        <v>1806</v>
      </c>
      <c r="J577" s="3" t="str">
        <f>HYPERLINK("https://www.boe.es/gazeta/dias/1810/10/18/pdfs/GMD-1810-291.pdf#page=2","Abrir facsímil")</f>
        <v>Abrir facsímil</v>
      </c>
      <c r="K577" s="3" t="s">
        <v>76</v>
      </c>
    </row>
    <row r="578" spans="1:11" ht="42" customHeight="1">
      <c r="A578" s="2" t="s">
        <v>1807</v>
      </c>
      <c r="B578" s="2" t="s">
        <v>1808</v>
      </c>
      <c r="C578" s="2" t="s">
        <v>88</v>
      </c>
      <c r="D578" s="2" t="s">
        <v>27</v>
      </c>
      <c r="E578" s="4">
        <v>-32567</v>
      </c>
      <c r="F578" s="3" t="s">
        <v>741</v>
      </c>
      <c r="G578" s="3" t="s">
        <v>90</v>
      </c>
      <c r="H578" s="2" t="s">
        <v>74</v>
      </c>
      <c r="I578" s="2" t="s">
        <v>1809</v>
      </c>
      <c r="J578" s="3" t="str">
        <f>HYPERLINK("https://www.boe.es/gazeta/dias/1810/10/31/pdfs/GMD-1810-304.pdf#page=2","Abrir facsímil")</f>
        <v>Abrir facsímil</v>
      </c>
      <c r="K578" s="3" t="s">
        <v>76</v>
      </c>
    </row>
    <row r="579" spans="1:11" ht="42" customHeight="1">
      <c r="A579" s="2" t="s">
        <v>1810</v>
      </c>
      <c r="B579" s="2" t="s">
        <v>1811</v>
      </c>
      <c r="C579" s="2" t="s">
        <v>26</v>
      </c>
      <c r="D579" s="2" t="s">
        <v>27</v>
      </c>
      <c r="E579" s="4">
        <v>-32647</v>
      </c>
      <c r="F579" s="3" t="s">
        <v>118</v>
      </c>
      <c r="G579" s="3" t="s">
        <v>20</v>
      </c>
      <c r="H579" s="2" t="s">
        <v>74</v>
      </c>
      <c r="I579" s="2" t="s">
        <v>1812</v>
      </c>
      <c r="J579" s="3" t="str">
        <f>HYPERLINK("https://www.boe.es/gazeta/dias/1810/08/12/pdfs/GMD-1810-224.pdf#page=4","Abrir facsímil")</f>
        <v>Abrir facsímil</v>
      </c>
      <c r="K579" s="3" t="s">
        <v>76</v>
      </c>
    </row>
    <row r="580" spans="1:11" ht="42" customHeight="1">
      <c r="A580" s="2" t="s">
        <v>1813</v>
      </c>
      <c r="B580" s="2" t="s">
        <v>1813</v>
      </c>
      <c r="C580" s="2" t="s">
        <v>88</v>
      </c>
      <c r="D580" s="2" t="s">
        <v>117</v>
      </c>
      <c r="E580" s="4">
        <v>-32566</v>
      </c>
      <c r="F580" s="3" t="s">
        <v>649</v>
      </c>
      <c r="G580" s="3" t="s">
        <v>1814</v>
      </c>
      <c r="H580" s="2" t="s">
        <v>74</v>
      </c>
      <c r="I580" s="2" t="s">
        <v>1815</v>
      </c>
      <c r="J580" s="3" t="str">
        <f>HYPERLINK("https://www.boe.es/gazeta/dias/1810/11/01/pdfs/GEI-1810-89.pdf#page=2","Abrir facsímil")</f>
        <v>Abrir facsímil</v>
      </c>
      <c r="K580" s="3" t="s">
        <v>76</v>
      </c>
    </row>
    <row r="581" spans="1:11" ht="42" customHeight="1">
      <c r="A581" s="2" t="s">
        <v>1816</v>
      </c>
      <c r="B581" s="2" t="s">
        <v>1817</v>
      </c>
      <c r="C581" s="2" t="s">
        <v>26</v>
      </c>
      <c r="D581" s="2" t="s">
        <v>27</v>
      </c>
      <c r="E581" s="4">
        <v>-32710</v>
      </c>
      <c r="F581" s="3" t="s">
        <v>126</v>
      </c>
      <c r="G581" s="3" t="s">
        <v>20</v>
      </c>
      <c r="H581" s="2" t="s">
        <v>74</v>
      </c>
      <c r="I581" s="2" t="s">
        <v>1818</v>
      </c>
      <c r="J581" s="3" t="str">
        <f>HYPERLINK("https://www.boe.es/gazeta/dias/1810/06/10/pdfs/GMD-1810-161.pdf#page=4","Abrir facsímil")</f>
        <v>Abrir facsímil</v>
      </c>
      <c r="K581" s="3" t="s">
        <v>76</v>
      </c>
    </row>
    <row r="582" spans="1:11" ht="42" customHeight="1">
      <c r="A582" s="2" t="s">
        <v>1819</v>
      </c>
      <c r="B582" s="2" t="s">
        <v>1820</v>
      </c>
      <c r="C582" s="2" t="s">
        <v>88</v>
      </c>
      <c r="D582" s="2" t="s">
        <v>117</v>
      </c>
      <c r="E582" s="4">
        <v>-32784</v>
      </c>
      <c r="F582" s="3" t="s">
        <v>429</v>
      </c>
      <c r="G582" s="3" t="s">
        <v>1821</v>
      </c>
      <c r="H582" s="2" t="s">
        <v>74</v>
      </c>
      <c r="I582" s="2" t="s">
        <v>1822</v>
      </c>
      <c r="J582" s="3" t="str">
        <f>HYPERLINK("https://www.boe.es/gazeta/dias/1810/03/28/pdfs/GMD-1810-87.pdf#page=4","Abrir facsímil")</f>
        <v>Abrir facsímil</v>
      </c>
      <c r="K582" s="3" t="s">
        <v>76</v>
      </c>
    </row>
    <row r="583" spans="1:11" ht="42" customHeight="1">
      <c r="A583" s="2" t="s">
        <v>1823</v>
      </c>
      <c r="B583" s="2" t="s">
        <v>1824</v>
      </c>
      <c r="C583" s="2" t="s">
        <v>88</v>
      </c>
      <c r="D583" s="2" t="s">
        <v>27</v>
      </c>
      <c r="E583" s="4">
        <v>-32756</v>
      </c>
      <c r="F583" s="3" t="s">
        <v>203</v>
      </c>
      <c r="G583" s="3" t="s">
        <v>180</v>
      </c>
      <c r="H583" s="2" t="s">
        <v>74</v>
      </c>
      <c r="I583" s="2" t="s">
        <v>1825</v>
      </c>
      <c r="J583" s="3" t="str">
        <f>HYPERLINK("https://www.boe.es/gazeta/dias/1810/04/25/pdfs/GMD-1810-115.pdf#page=4","Abrir facsímil")</f>
        <v>Abrir facsímil</v>
      </c>
      <c r="K583" s="3" t="s">
        <v>76</v>
      </c>
    </row>
    <row r="584" spans="1:11" ht="42" customHeight="1">
      <c r="A584" s="2" t="s">
        <v>1826</v>
      </c>
      <c r="B584" s="2" t="s">
        <v>1827</v>
      </c>
      <c r="C584" s="2" t="s">
        <v>26</v>
      </c>
      <c r="D584" s="2" t="s">
        <v>39</v>
      </c>
      <c r="E584" s="4">
        <v>-32599</v>
      </c>
      <c r="F584" s="3" t="s">
        <v>662</v>
      </c>
      <c r="G584" s="3" t="s">
        <v>227</v>
      </c>
      <c r="H584" s="2" t="s">
        <v>74</v>
      </c>
      <c r="I584" s="2" t="s">
        <v>1828</v>
      </c>
      <c r="J584" s="3" t="str">
        <f>HYPERLINK("https://www.boe.es/gazeta/dias/1810/09/29/pdfs/GMD-C-1810-272.pdf#page=12","Abrir facsímil")</f>
        <v>Abrir facsímil</v>
      </c>
      <c r="K584" s="3" t="s">
        <v>76</v>
      </c>
    </row>
    <row r="585" spans="1:11" ht="42" customHeight="1">
      <c r="A585" s="2" t="s">
        <v>1829</v>
      </c>
      <c r="B585" s="2" t="s">
        <v>1830</v>
      </c>
      <c r="C585" s="2" t="s">
        <v>88</v>
      </c>
      <c r="D585" s="2" t="s">
        <v>27</v>
      </c>
      <c r="E585" s="4">
        <v>-32708</v>
      </c>
      <c r="F585" s="3" t="s">
        <v>654</v>
      </c>
      <c r="G585" s="3" t="s">
        <v>140</v>
      </c>
      <c r="H585" s="2" t="s">
        <v>74</v>
      </c>
      <c r="I585" s="2" t="s">
        <v>1831</v>
      </c>
      <c r="J585" s="3" t="str">
        <f>HYPERLINK("https://www.boe.es/gazeta/dias/1810/06/12/pdfs/GEI-1810-35.pdf#page=6","Abrir facsímil")</f>
        <v>Abrir facsímil</v>
      </c>
      <c r="K585" s="3" t="s">
        <v>76</v>
      </c>
    </row>
    <row r="586" spans="1:11" ht="42" customHeight="1">
      <c r="A586" s="2" t="s">
        <v>1832</v>
      </c>
      <c r="B586" s="2" t="s">
        <v>1832</v>
      </c>
      <c r="C586" s="2" t="s">
        <v>88</v>
      </c>
      <c r="D586" s="2" t="s">
        <v>117</v>
      </c>
      <c r="E586" s="4">
        <v>-32795</v>
      </c>
      <c r="F586" s="3" t="s">
        <v>690</v>
      </c>
      <c r="G586" s="3" t="s">
        <v>1833</v>
      </c>
      <c r="H586" s="2" t="s">
        <v>74</v>
      </c>
      <c r="I586" s="2" t="s">
        <v>1834</v>
      </c>
      <c r="J586" s="3" t="str">
        <f>HYPERLINK("https://www.boe.es/gazeta/dias/1810/03/17/pdfs/GMD-1810-76.pdf#page=1","Abrir facsímil")</f>
        <v>Abrir facsímil</v>
      </c>
      <c r="K586" s="3" t="s">
        <v>76</v>
      </c>
    </row>
    <row r="587" spans="1:11" ht="42" customHeight="1">
      <c r="A587" s="2" t="s">
        <v>1835</v>
      </c>
      <c r="B587" s="2" t="s">
        <v>1835</v>
      </c>
      <c r="C587" s="2" t="s">
        <v>88</v>
      </c>
      <c r="D587" s="2" t="s">
        <v>117</v>
      </c>
      <c r="E587" s="4">
        <v>-32833</v>
      </c>
      <c r="F587" s="3" t="s">
        <v>1836</v>
      </c>
      <c r="G587" s="3" t="s">
        <v>35</v>
      </c>
      <c r="H587" s="2" t="s">
        <v>74</v>
      </c>
      <c r="I587" s="2" t="s">
        <v>1837</v>
      </c>
      <c r="J587" s="3" t="str">
        <f>HYPERLINK("https://www.boe.es/gazeta/dias/1810/02/07/pdfs/GMD-1810-38.pdf#page=2","Abrir facsímil")</f>
        <v>Abrir facsímil</v>
      </c>
      <c r="K587" s="3" t="s">
        <v>76</v>
      </c>
    </row>
    <row r="588" spans="1:11" ht="42" customHeight="1">
      <c r="A588" s="2" t="s">
        <v>1838</v>
      </c>
      <c r="B588" s="2" t="s">
        <v>1838</v>
      </c>
      <c r="C588" s="2" t="s">
        <v>26</v>
      </c>
      <c r="D588" s="2" t="s">
        <v>27</v>
      </c>
      <c r="E588" s="4">
        <v>-32806</v>
      </c>
      <c r="F588" s="3" t="s">
        <v>1839</v>
      </c>
      <c r="G588" s="3" t="s">
        <v>180</v>
      </c>
      <c r="H588" s="2" t="s">
        <v>74</v>
      </c>
      <c r="I588" s="2" t="s">
        <v>1840</v>
      </c>
      <c r="J588" s="3" t="str">
        <f>HYPERLINK("https://www.boe.es/gazeta/dias/1810/03/06/pdfs/GMD-1810-65.pdf#page=1","Abrir facsímil")</f>
        <v>Abrir facsímil</v>
      </c>
      <c r="K588" s="3" t="s">
        <v>76</v>
      </c>
    </row>
    <row r="589" spans="1:11" ht="42" customHeight="1">
      <c r="A589" s="2" t="s">
        <v>1838</v>
      </c>
      <c r="B589" s="2" t="s">
        <v>1838</v>
      </c>
      <c r="C589" s="2" t="s">
        <v>88</v>
      </c>
      <c r="D589" s="2" t="s">
        <v>117</v>
      </c>
      <c r="E589" s="4">
        <v>-32772</v>
      </c>
      <c r="F589" s="3" t="s">
        <v>398</v>
      </c>
      <c r="G589" s="3" t="s">
        <v>90</v>
      </c>
      <c r="H589" s="2" t="s">
        <v>74</v>
      </c>
      <c r="I589" s="2" t="s">
        <v>1841</v>
      </c>
      <c r="J589" s="3" t="str">
        <f>HYPERLINK("https://www.boe.es/gazeta/dias/1810/04/09/pdfs/GMD-1810-99.pdf#page=1","Abrir facsímil")</f>
        <v>Abrir facsímil</v>
      </c>
      <c r="K589" s="3" t="s">
        <v>76</v>
      </c>
    </row>
    <row r="590" spans="1:11" ht="42" customHeight="1">
      <c r="A590" s="2" t="s">
        <v>1838</v>
      </c>
      <c r="B590" s="2" t="s">
        <v>1838</v>
      </c>
      <c r="C590" s="2" t="s">
        <v>33</v>
      </c>
      <c r="D590" s="2" t="s">
        <v>27</v>
      </c>
      <c r="E590" s="4">
        <v>-32765</v>
      </c>
      <c r="F590" s="3" t="s">
        <v>1842</v>
      </c>
      <c r="G590" s="3" t="s">
        <v>1843</v>
      </c>
      <c r="H590" s="2" t="s">
        <v>74</v>
      </c>
      <c r="I590" s="2" t="s">
        <v>1844</v>
      </c>
      <c r="J590" s="3" t="str">
        <f>HYPERLINK("https://www.boe.es/gazeta/dias/1810/04/16/pdfs/GMD-1810-106.pdf#page=1","Abrir facsímil")</f>
        <v>Abrir facsímil</v>
      </c>
      <c r="K590" s="3" t="s">
        <v>76</v>
      </c>
    </row>
    <row r="591" spans="1:11" ht="42" customHeight="1">
      <c r="A591" s="2" t="s">
        <v>1845</v>
      </c>
      <c r="B591" s="2" t="s">
        <v>1845</v>
      </c>
      <c r="C591" s="2" t="s">
        <v>26</v>
      </c>
      <c r="D591" s="2" t="s">
        <v>27</v>
      </c>
      <c r="E591" s="4">
        <v>-32741</v>
      </c>
      <c r="F591" s="3" t="s">
        <v>98</v>
      </c>
      <c r="G591" s="3" t="s">
        <v>505</v>
      </c>
      <c r="H591" s="2" t="s">
        <v>74</v>
      </c>
      <c r="I591" s="2" t="s">
        <v>1846</v>
      </c>
      <c r="J591" s="3" t="str">
        <f>HYPERLINK("https://www.boe.es/gazeta/dias/1810/05/10/pdfs/GMD-1810-130.pdf#page=1","Abrir facsímil")</f>
        <v>Abrir facsímil</v>
      </c>
      <c r="K591" s="3" t="s">
        <v>76</v>
      </c>
    </row>
    <row r="592" spans="1:11" ht="42" customHeight="1">
      <c r="A592" s="2" t="s">
        <v>1838</v>
      </c>
      <c r="B592" s="2" t="s">
        <v>1838</v>
      </c>
      <c r="C592" s="2" t="s">
        <v>88</v>
      </c>
      <c r="D592" s="2" t="s">
        <v>117</v>
      </c>
      <c r="E592" s="4">
        <v>-32737</v>
      </c>
      <c r="F592" s="3" t="s">
        <v>1847</v>
      </c>
      <c r="G592" s="3" t="s">
        <v>227</v>
      </c>
      <c r="H592" s="2" t="s">
        <v>74</v>
      </c>
      <c r="I592" s="2" t="s">
        <v>1848</v>
      </c>
      <c r="J592" s="3" t="str">
        <f>HYPERLINK("https://www.boe.es/gazeta/dias/1810/05/14/pdfs/GMD-1810-134.pdf#page=1","Abrir facsímil")</f>
        <v>Abrir facsímil</v>
      </c>
      <c r="K592" s="3" t="s">
        <v>76</v>
      </c>
    </row>
    <row r="593" spans="1:11" ht="42" customHeight="1">
      <c r="A593" s="2" t="s">
        <v>1838</v>
      </c>
      <c r="B593" s="2" t="s">
        <v>1838</v>
      </c>
      <c r="C593" s="2" t="s">
        <v>88</v>
      </c>
      <c r="D593" s="2" t="s">
        <v>117</v>
      </c>
      <c r="E593" s="4">
        <v>-32732</v>
      </c>
      <c r="F593" s="3" t="s">
        <v>545</v>
      </c>
      <c r="G593" s="3" t="s">
        <v>29</v>
      </c>
      <c r="H593" s="2" t="s">
        <v>74</v>
      </c>
      <c r="I593" s="2" t="s">
        <v>1849</v>
      </c>
      <c r="J593" s="3" t="str">
        <f>HYPERLINK("https://www.boe.es/gazeta/dias/1810/05/19/pdfs/GMD-1810-139.pdf#page=2","Abrir facsímil")</f>
        <v>Abrir facsímil</v>
      </c>
      <c r="K593" s="3" t="s">
        <v>76</v>
      </c>
    </row>
    <row r="594" spans="1:11" ht="42" customHeight="1">
      <c r="A594" s="2" t="s">
        <v>1838</v>
      </c>
      <c r="B594" s="2" t="s">
        <v>1838</v>
      </c>
      <c r="C594" s="2" t="s">
        <v>111</v>
      </c>
      <c r="D594" s="2" t="s">
        <v>27</v>
      </c>
      <c r="E594" s="4">
        <v>-32726</v>
      </c>
      <c r="F594" s="3" t="s">
        <v>1850</v>
      </c>
      <c r="G594" s="3" t="s">
        <v>1851</v>
      </c>
      <c r="H594" s="2" t="s">
        <v>74</v>
      </c>
      <c r="I594" s="2" t="s">
        <v>1852</v>
      </c>
      <c r="J594" s="3" t="str">
        <f>HYPERLINK("https://www.boe.es/gazeta/dias/1810/05/25/pdfs/GEI-1810-30.pdf#page=1","Abrir facsímil")</f>
        <v>Abrir facsímil</v>
      </c>
      <c r="K594" s="3" t="s">
        <v>76</v>
      </c>
    </row>
    <row r="595" spans="1:11" ht="42" customHeight="1">
      <c r="A595" s="2" t="s">
        <v>1838</v>
      </c>
      <c r="B595" s="2" t="s">
        <v>1838</v>
      </c>
      <c r="C595" s="2" t="s">
        <v>88</v>
      </c>
      <c r="D595" s="2" t="s">
        <v>117</v>
      </c>
      <c r="E595" s="4">
        <v>-32701</v>
      </c>
      <c r="F595" s="3" t="s">
        <v>1019</v>
      </c>
      <c r="G595" s="3" t="s">
        <v>180</v>
      </c>
      <c r="H595" s="2" t="s">
        <v>74</v>
      </c>
      <c r="I595" s="2" t="s">
        <v>1853</v>
      </c>
      <c r="J595" s="3" t="str">
        <f>HYPERLINK("https://www.boe.es/gazeta/dias/1810/06/19/pdfs/GMD-1810-170.pdf#page=1","Abrir facsímil")</f>
        <v>Abrir facsímil</v>
      </c>
      <c r="K595" s="3" t="s">
        <v>76</v>
      </c>
    </row>
    <row r="596" spans="1:11" ht="42" customHeight="1">
      <c r="A596" s="2" t="s">
        <v>1838</v>
      </c>
      <c r="B596" s="2" t="s">
        <v>1838</v>
      </c>
      <c r="C596" s="2" t="s">
        <v>88</v>
      </c>
      <c r="D596" s="2" t="s">
        <v>117</v>
      </c>
      <c r="E596" s="4">
        <v>-32664</v>
      </c>
      <c r="F596" s="3" t="s">
        <v>618</v>
      </c>
      <c r="G596" s="3" t="s">
        <v>35</v>
      </c>
      <c r="H596" s="2" t="s">
        <v>74</v>
      </c>
      <c r="I596" s="2" t="s">
        <v>1854</v>
      </c>
      <c r="J596" s="3" t="str">
        <f>HYPERLINK("https://www.boe.es/gazeta/dias/1810/07/26/pdfs/GMD-1810-207.pdf#page=2","Abrir facsímil")</f>
        <v>Abrir facsímil</v>
      </c>
      <c r="K596" s="3" t="s">
        <v>76</v>
      </c>
    </row>
    <row r="597" spans="1:11" ht="42" customHeight="1">
      <c r="A597" s="2" t="s">
        <v>1855</v>
      </c>
      <c r="B597" s="2" t="s">
        <v>1855</v>
      </c>
      <c r="C597" s="2" t="s">
        <v>88</v>
      </c>
      <c r="D597" s="2" t="s">
        <v>117</v>
      </c>
      <c r="E597" s="4">
        <v>-32727</v>
      </c>
      <c r="F597" s="3" t="s">
        <v>1611</v>
      </c>
      <c r="G597" s="3" t="s">
        <v>1644</v>
      </c>
      <c r="H597" s="2" t="s">
        <v>74</v>
      </c>
      <c r="I597" s="2" t="s">
        <v>1856</v>
      </c>
      <c r="J597" s="3" t="str">
        <f>HYPERLINK("https://www.boe.es/gazeta/dias/1810/05/24/pdfs/GMD-1810-144.pdf#page=1","Abrir facsímil")</f>
        <v>Abrir facsímil</v>
      </c>
      <c r="K597" s="3" t="s">
        <v>76</v>
      </c>
    </row>
    <row r="598" spans="1:11" ht="42" customHeight="1">
      <c r="A598" s="2" t="s">
        <v>1857</v>
      </c>
      <c r="B598" s="2" t="s">
        <v>1858</v>
      </c>
      <c r="C598" s="2" t="s">
        <v>88</v>
      </c>
      <c r="D598" s="2" t="s">
        <v>27</v>
      </c>
      <c r="E598" s="4">
        <v>-32697</v>
      </c>
      <c r="F598" s="3" t="s">
        <v>1859</v>
      </c>
      <c r="G598" s="3" t="s">
        <v>140</v>
      </c>
      <c r="H598" s="2" t="s">
        <v>74</v>
      </c>
      <c r="I598" s="2" t="s">
        <v>1860</v>
      </c>
      <c r="J598" s="3" t="str">
        <f>HYPERLINK("https://www.boe.es/gazeta/dias/1810/06/23/pdfs/GMD-1810-174.pdf#page=3","Abrir facsímil")</f>
        <v>Abrir facsímil</v>
      </c>
      <c r="K598" s="3" t="s">
        <v>76</v>
      </c>
    </row>
    <row r="599" spans="1:11" ht="42" customHeight="1">
      <c r="A599" s="2" t="s">
        <v>1861</v>
      </c>
      <c r="B599" s="2" t="s">
        <v>1862</v>
      </c>
      <c r="C599" s="2" t="s">
        <v>26</v>
      </c>
      <c r="D599" s="2" t="s">
        <v>27</v>
      </c>
      <c r="E599" s="4">
        <v>-32696</v>
      </c>
      <c r="F599" s="3" t="s">
        <v>1863</v>
      </c>
      <c r="G599" s="3" t="s">
        <v>701</v>
      </c>
      <c r="H599" s="2" t="s">
        <v>74</v>
      </c>
      <c r="I599" s="2" t="s">
        <v>1864</v>
      </c>
      <c r="J599" s="3" t="str">
        <f>HYPERLINK("https://www.boe.es/gazeta/dias/1810/06/24/pdfs/GMD-1810-175.pdf#page=4","Abrir facsímil")</f>
        <v>Abrir facsímil</v>
      </c>
      <c r="K599" s="3" t="s">
        <v>76</v>
      </c>
    </row>
    <row r="600" spans="1:11" ht="42" customHeight="1">
      <c r="A600" s="2" t="s">
        <v>1865</v>
      </c>
      <c r="B600" s="2" t="s">
        <v>1866</v>
      </c>
      <c r="C600" s="2" t="s">
        <v>26</v>
      </c>
      <c r="D600" s="2" t="s">
        <v>58</v>
      </c>
      <c r="E600" s="4">
        <v>-32601</v>
      </c>
      <c r="F600" s="3" t="s">
        <v>392</v>
      </c>
      <c r="G600" s="3" t="s">
        <v>35</v>
      </c>
      <c r="H600" s="2" t="s">
        <v>74</v>
      </c>
      <c r="I600" s="2" t="s">
        <v>1867</v>
      </c>
      <c r="J600" s="3" t="str">
        <f>HYPERLINK("https://www.boe.es/gazeta/dias/1810/09/27/pdfs/GEI-1810-74E.pdf#page=2","Abrir facsímil")</f>
        <v>Abrir facsímil</v>
      </c>
      <c r="K600" s="3" t="s">
        <v>76</v>
      </c>
    </row>
    <row r="601" spans="1:11" ht="42" customHeight="1">
      <c r="A601" s="2" t="s">
        <v>1868</v>
      </c>
      <c r="B601" s="2" t="s">
        <v>1869</v>
      </c>
      <c r="C601" s="2" t="s">
        <v>88</v>
      </c>
      <c r="D601" s="2" t="s">
        <v>117</v>
      </c>
      <c r="E601" s="4">
        <v>-32631</v>
      </c>
      <c r="F601" s="3" t="s">
        <v>497</v>
      </c>
      <c r="G601" s="3" t="s">
        <v>498</v>
      </c>
      <c r="H601" s="2" t="s">
        <v>74</v>
      </c>
      <c r="I601" s="2" t="s">
        <v>1870</v>
      </c>
      <c r="J601" s="3" t="str">
        <f>HYPERLINK("https://www.boe.es/gazeta/dias/1810/08/28/pdfs/GMD-1810-240.pdf#page=2","Abrir facsímil")</f>
        <v>Abrir facsímil</v>
      </c>
      <c r="K601" s="3" t="s">
        <v>76</v>
      </c>
    </row>
    <row r="602" spans="1:11" ht="42" customHeight="1">
      <c r="A602" s="2" t="s">
        <v>1871</v>
      </c>
      <c r="B602" s="2" t="s">
        <v>1872</v>
      </c>
      <c r="C602" s="2" t="s">
        <v>33</v>
      </c>
      <c r="D602" s="2" t="s">
        <v>27</v>
      </c>
      <c r="E602" s="4">
        <v>-32809</v>
      </c>
      <c r="F602" s="3" t="s">
        <v>1873</v>
      </c>
      <c r="G602" s="3" t="s">
        <v>735</v>
      </c>
      <c r="H602" s="2" t="s">
        <v>74</v>
      </c>
      <c r="I602" s="2" t="s">
        <v>1874</v>
      </c>
      <c r="J602" s="3" t="str">
        <f>HYPERLINK("https://www.boe.es/gazeta/dias/1810/03/03/pdfs/GMD-1810-62.pdf#page=4","Abrir facsímil")</f>
        <v>Abrir facsímil</v>
      </c>
      <c r="K602" s="3" t="s">
        <v>76</v>
      </c>
    </row>
    <row r="603" spans="1:11" ht="42" customHeight="1">
      <c r="A603" s="2" t="s">
        <v>1871</v>
      </c>
      <c r="B603" s="2" t="s">
        <v>1872</v>
      </c>
      <c r="C603" s="2" t="s">
        <v>26</v>
      </c>
      <c r="D603" s="2" t="s">
        <v>39</v>
      </c>
      <c r="E603" s="4">
        <v>-32702</v>
      </c>
      <c r="F603" s="3" t="s">
        <v>179</v>
      </c>
      <c r="G603" s="3" t="s">
        <v>213</v>
      </c>
      <c r="H603" s="2" t="s">
        <v>74</v>
      </c>
      <c r="I603" s="2" t="s">
        <v>1875</v>
      </c>
      <c r="J603" s="3" t="str">
        <f>HYPERLINK("https://www.boe.es/gazeta/dias/1810/06/18/pdfs/GMD-C-1810-169.pdf#page=4","Abrir facsímil")</f>
        <v>Abrir facsímil</v>
      </c>
      <c r="K603" s="3" t="s">
        <v>76</v>
      </c>
    </row>
    <row r="604" spans="1:11" ht="42" customHeight="1">
      <c r="A604" s="2" t="s">
        <v>1871</v>
      </c>
      <c r="B604" s="2" t="s">
        <v>1872</v>
      </c>
      <c r="C604" s="2" t="s">
        <v>26</v>
      </c>
      <c r="D604" s="2" t="s">
        <v>39</v>
      </c>
      <c r="E604" s="4">
        <v>-32661</v>
      </c>
      <c r="F604" s="3" t="s">
        <v>157</v>
      </c>
      <c r="G604" s="3" t="s">
        <v>592</v>
      </c>
      <c r="H604" s="2" t="s">
        <v>74</v>
      </c>
      <c r="I604" s="2" t="s">
        <v>1876</v>
      </c>
      <c r="J604" s="3" t="str">
        <f>HYPERLINK("https://www.boe.es/gazeta/dias/1810/07/29/pdfs/GMD-C-1810-210.pdf#page=2","Abrir facsímil")</f>
        <v>Abrir facsímil</v>
      </c>
      <c r="K604" s="3" t="s">
        <v>76</v>
      </c>
    </row>
    <row r="605" spans="1:11" ht="42" customHeight="1">
      <c r="A605" s="2" t="s">
        <v>1877</v>
      </c>
      <c r="B605" s="2" t="s">
        <v>1878</v>
      </c>
      <c r="C605" s="2" t="s">
        <v>26</v>
      </c>
      <c r="D605" s="2" t="s">
        <v>27</v>
      </c>
      <c r="E605" s="4">
        <v>-32710</v>
      </c>
      <c r="F605" s="3" t="s">
        <v>126</v>
      </c>
      <c r="G605" s="3" t="s">
        <v>20</v>
      </c>
      <c r="H605" s="2" t="s">
        <v>74</v>
      </c>
      <c r="I605" s="2" t="s">
        <v>1879</v>
      </c>
      <c r="J605" s="3" t="str">
        <f>HYPERLINK("https://www.boe.es/gazeta/dias/1810/06/10/pdfs/GMD-1810-161.pdf#page=4","Abrir facsímil")</f>
        <v>Abrir facsímil</v>
      </c>
      <c r="K605" s="3" t="s">
        <v>76</v>
      </c>
    </row>
    <row r="606" spans="1:11" ht="42" customHeight="1">
      <c r="A606" s="2" t="s">
        <v>1880</v>
      </c>
      <c r="B606" s="2" t="s">
        <v>1881</v>
      </c>
      <c r="C606" s="2" t="s">
        <v>17</v>
      </c>
      <c r="D606" s="2" t="s">
        <v>27</v>
      </c>
      <c r="E606" s="4">
        <v>-32707</v>
      </c>
      <c r="F606" s="3" t="s">
        <v>1753</v>
      </c>
      <c r="G606" s="3" t="s">
        <v>227</v>
      </c>
      <c r="H606" s="2" t="s">
        <v>74</v>
      </c>
      <c r="I606" s="2" t="s">
        <v>1882</v>
      </c>
      <c r="J606" s="3" t="str">
        <f>HYPERLINK("https://www.boe.es/gazeta/dias/1810/06/13/pdfs/GMD-1810-164.pdf#page=4","Abrir facsímil")</f>
        <v>Abrir facsímil</v>
      </c>
      <c r="K606" s="3" t="s">
        <v>76</v>
      </c>
    </row>
    <row r="607" spans="1:11" ht="42" customHeight="1">
      <c r="A607" s="2" t="s">
        <v>1883</v>
      </c>
      <c r="B607" s="2" t="s">
        <v>1884</v>
      </c>
      <c r="C607" s="2" t="s">
        <v>111</v>
      </c>
      <c r="D607" s="2" t="s">
        <v>27</v>
      </c>
      <c r="E607" s="4">
        <v>-32594</v>
      </c>
      <c r="F607" s="3" t="s">
        <v>1885</v>
      </c>
      <c r="G607" s="3" t="s">
        <v>227</v>
      </c>
      <c r="H607" s="2" t="s">
        <v>74</v>
      </c>
      <c r="I607" s="2" t="s">
        <v>1886</v>
      </c>
      <c r="J607" s="3" t="str">
        <f>HYPERLINK("https://www.boe.es/gazeta/dias/1810/10/04/pdfs/GMD-1810-277.pdf#page=4","Abrir facsímil")</f>
        <v>Abrir facsímil</v>
      </c>
      <c r="K607" s="3" t="s">
        <v>76</v>
      </c>
    </row>
    <row r="608" spans="1:11" ht="42" customHeight="1">
      <c r="A608" s="2" t="s">
        <v>1887</v>
      </c>
      <c r="B608" s="2" t="s">
        <v>1887</v>
      </c>
      <c r="C608" s="2" t="s">
        <v>33</v>
      </c>
      <c r="D608" s="2" t="s">
        <v>27</v>
      </c>
      <c r="E608" s="4">
        <v>-32711</v>
      </c>
      <c r="F608" s="3" t="s">
        <v>1888</v>
      </c>
      <c r="G608" s="3" t="s">
        <v>517</v>
      </c>
      <c r="H608" s="2" t="s">
        <v>74</v>
      </c>
      <c r="I608" s="2" t="s">
        <v>1889</v>
      </c>
      <c r="J608" s="3" t="str">
        <f>HYPERLINK("https://www.boe.es/gazeta/dias/1810/06/09/pdfs/GMD-1810-160.pdf#page=1","Abrir facsímil")</f>
        <v>Abrir facsímil</v>
      </c>
      <c r="K608" s="3" t="s">
        <v>76</v>
      </c>
    </row>
    <row r="609" spans="1:11" ht="42" customHeight="1">
      <c r="A609" s="2" t="s">
        <v>1890</v>
      </c>
      <c r="B609" s="2" t="s">
        <v>1891</v>
      </c>
      <c r="C609" s="2" t="s">
        <v>33</v>
      </c>
      <c r="D609" s="2" t="s">
        <v>27</v>
      </c>
      <c r="E609" s="4">
        <v>-32710</v>
      </c>
      <c r="F609" s="3" t="s">
        <v>126</v>
      </c>
      <c r="G609" s="3" t="s">
        <v>184</v>
      </c>
      <c r="H609" s="2" t="s">
        <v>74</v>
      </c>
      <c r="I609" s="2" t="s">
        <v>1892</v>
      </c>
      <c r="J609" s="3" t="str">
        <f>HYPERLINK("https://www.boe.es/gazeta/dias/1810/06/10/pdfs/GMD-1810-161.pdf#page=3","Abrir facsímil")</f>
        <v>Abrir facsímil</v>
      </c>
      <c r="K609" s="3" t="s">
        <v>76</v>
      </c>
    </row>
    <row r="610" spans="1:11" ht="42" customHeight="1">
      <c r="A610" s="2" t="s">
        <v>1893</v>
      </c>
      <c r="B610" s="2" t="s">
        <v>1893</v>
      </c>
      <c r="C610" s="2" t="s">
        <v>88</v>
      </c>
      <c r="D610" s="2" t="s">
        <v>27</v>
      </c>
      <c r="E610" s="4">
        <v>-32533</v>
      </c>
      <c r="F610" s="3" t="s">
        <v>1357</v>
      </c>
      <c r="G610" s="3" t="s">
        <v>1894</v>
      </c>
      <c r="H610" s="2" t="s">
        <v>74</v>
      </c>
      <c r="I610" s="2" t="s">
        <v>1895</v>
      </c>
      <c r="J610" s="3" t="str">
        <f>HYPERLINK("https://www.boe.es/gazeta/dias/1810/12/04/pdfs/GEI-1810-103.pdf#page=7","Abrir facsímil")</f>
        <v>Abrir facsímil</v>
      </c>
      <c r="K610" s="3" t="s">
        <v>76</v>
      </c>
    </row>
    <row r="611" spans="1:11" ht="42" customHeight="1">
      <c r="A611" s="2" t="s">
        <v>1896</v>
      </c>
      <c r="B611" s="2" t="s">
        <v>1896</v>
      </c>
      <c r="C611" s="2" t="s">
        <v>88</v>
      </c>
      <c r="D611" s="2" t="s">
        <v>117</v>
      </c>
      <c r="E611" s="4">
        <v>-32621</v>
      </c>
      <c r="F611" s="3" t="s">
        <v>1897</v>
      </c>
      <c r="G611" s="3" t="s">
        <v>213</v>
      </c>
      <c r="H611" s="2" t="s">
        <v>74</v>
      </c>
      <c r="I611" s="2" t="s">
        <v>1898</v>
      </c>
      <c r="J611" s="3" t="str">
        <f>HYPERLINK("https://www.boe.es/gazeta/dias/1810/09/07/pdfs/GMD-1810-250.pdf#page=1","Abrir facsímil")</f>
        <v>Abrir facsímil</v>
      </c>
      <c r="K611" s="3" t="s">
        <v>76</v>
      </c>
    </row>
    <row r="612" spans="1:11" ht="42" customHeight="1">
      <c r="A612" s="2" t="s">
        <v>1899</v>
      </c>
      <c r="B612" s="2" t="s">
        <v>1900</v>
      </c>
      <c r="C612" s="2" t="s">
        <v>33</v>
      </c>
      <c r="D612" s="2" t="s">
        <v>27</v>
      </c>
      <c r="E612" s="4">
        <v>-32757</v>
      </c>
      <c r="F612" s="3" t="s">
        <v>1136</v>
      </c>
      <c r="G612" s="3" t="s">
        <v>1901</v>
      </c>
      <c r="H612" s="2" t="s">
        <v>74</v>
      </c>
      <c r="I612" s="2" t="s">
        <v>1902</v>
      </c>
      <c r="J612" s="3" t="str">
        <f>HYPERLINK("https://www.boe.es/gazeta/dias/1810/04/24/pdfs/GEI-1810-17.pdf#page=8","Abrir facsímil")</f>
        <v>Abrir facsímil</v>
      </c>
      <c r="K612" s="3" t="s">
        <v>76</v>
      </c>
    </row>
    <row r="613" spans="1:11" ht="42" customHeight="1">
      <c r="A613" s="2" t="s">
        <v>1903</v>
      </c>
      <c r="B613" s="2" t="s">
        <v>1903</v>
      </c>
      <c r="C613" s="2" t="s">
        <v>88</v>
      </c>
      <c r="D613" s="2" t="s">
        <v>27</v>
      </c>
      <c r="E613" s="4">
        <v>-32663</v>
      </c>
      <c r="F613" s="3" t="s">
        <v>1615</v>
      </c>
      <c r="G613" s="3" t="s">
        <v>1616</v>
      </c>
      <c r="H613" s="2" t="s">
        <v>74</v>
      </c>
      <c r="I613" s="2" t="s">
        <v>1904</v>
      </c>
      <c r="J613" s="3" t="str">
        <f>HYPERLINK("https://www.boe.es/gazeta/dias/1810/07/27/pdfs/GMD-1810-208.pdf#page=1","Abrir facsímil")</f>
        <v>Abrir facsímil</v>
      </c>
      <c r="K613" s="3" t="s">
        <v>76</v>
      </c>
    </row>
    <row r="614" spans="1:11" ht="42" customHeight="1">
      <c r="A614" s="2" t="s">
        <v>1905</v>
      </c>
      <c r="B614" s="2" t="s">
        <v>1905</v>
      </c>
      <c r="C614" s="2" t="s">
        <v>88</v>
      </c>
      <c r="D614" s="2" t="s">
        <v>27</v>
      </c>
      <c r="E614" s="4">
        <v>-32658</v>
      </c>
      <c r="F614" s="3" t="s">
        <v>1224</v>
      </c>
      <c r="G614" s="3" t="s">
        <v>119</v>
      </c>
      <c r="H614" s="2" t="s">
        <v>74</v>
      </c>
      <c r="I614" s="2" t="s">
        <v>1906</v>
      </c>
      <c r="J614" s="3" t="str">
        <f>HYPERLINK("https://www.boe.es/gazeta/dias/1810/08/01/pdfs/GMD-1810-213.pdf#page=2","Abrir facsímil")</f>
        <v>Abrir facsímil</v>
      </c>
      <c r="K614" s="3" t="s">
        <v>76</v>
      </c>
    </row>
    <row r="615" spans="1:11" ht="42" customHeight="1">
      <c r="A615" s="2" t="s">
        <v>1907</v>
      </c>
      <c r="B615" s="2" t="s">
        <v>1908</v>
      </c>
      <c r="C615" s="2" t="s">
        <v>88</v>
      </c>
      <c r="D615" s="2" t="s">
        <v>27</v>
      </c>
      <c r="E615" s="4">
        <v>-32656</v>
      </c>
      <c r="F615" s="3" t="s">
        <v>1909</v>
      </c>
      <c r="G615" s="3" t="s">
        <v>151</v>
      </c>
      <c r="H615" s="2" t="s">
        <v>74</v>
      </c>
      <c r="I615" s="2" t="s">
        <v>1910</v>
      </c>
      <c r="J615" s="3" t="str">
        <f>HYPERLINK("https://www.boe.es/gazeta/dias/1810/08/03/pdfs/GEI-1810-50.pdf#page=5","Abrir facsímil")</f>
        <v>Abrir facsímil</v>
      </c>
      <c r="K615" s="3" t="s">
        <v>76</v>
      </c>
    </row>
    <row r="616" spans="1:11" ht="42" customHeight="1">
      <c r="A616" s="2" t="s">
        <v>1911</v>
      </c>
      <c r="B616" s="2" t="s">
        <v>1912</v>
      </c>
      <c r="C616" s="2" t="s">
        <v>26</v>
      </c>
      <c r="D616" s="2" t="s">
        <v>27</v>
      </c>
      <c r="E616" s="4">
        <v>-32666</v>
      </c>
      <c r="F616" s="3" t="s">
        <v>1913</v>
      </c>
      <c r="G616" s="3" t="s">
        <v>1914</v>
      </c>
      <c r="H616" s="2" t="s">
        <v>74</v>
      </c>
      <c r="I616" s="2" t="s">
        <v>1915</v>
      </c>
      <c r="J616" s="3" t="str">
        <f>HYPERLINK("https://www.boe.es/gazeta/dias/1810/07/24/pdfs/GMD-1810-205.pdf#page=4","Abrir facsímil")</f>
        <v>Abrir facsímil</v>
      </c>
      <c r="K616" s="3" t="s">
        <v>76</v>
      </c>
    </row>
    <row r="617" spans="1:11" ht="42" customHeight="1">
      <c r="A617" s="2" t="s">
        <v>1916</v>
      </c>
      <c r="B617" s="2" t="s">
        <v>1917</v>
      </c>
      <c r="C617" s="2" t="s">
        <v>26</v>
      </c>
      <c r="D617" s="2" t="s">
        <v>27</v>
      </c>
      <c r="E617" s="4">
        <v>-32761</v>
      </c>
      <c r="F617" s="3" t="s">
        <v>811</v>
      </c>
      <c r="G617" s="3" t="s">
        <v>140</v>
      </c>
      <c r="H617" s="2" t="s">
        <v>74</v>
      </c>
      <c r="I617" s="2" t="s">
        <v>1918</v>
      </c>
      <c r="J617" s="3" t="str">
        <f>HYPERLINK("https://www.boe.es/gazeta/dias/1810/04/20/pdfs/GEI-1810-16.pdf#page=8","Abrir facsímil")</f>
        <v>Abrir facsímil</v>
      </c>
      <c r="K617" s="3" t="s">
        <v>76</v>
      </c>
    </row>
    <row r="618" spans="1:11" ht="42" customHeight="1">
      <c r="A618" s="2" t="s">
        <v>1919</v>
      </c>
      <c r="B618" s="2" t="s">
        <v>1919</v>
      </c>
      <c r="C618" s="2" t="s">
        <v>88</v>
      </c>
      <c r="D618" s="2" t="s">
        <v>27</v>
      </c>
      <c r="E618" s="4">
        <v>-32512</v>
      </c>
      <c r="F618" s="3" t="s">
        <v>1920</v>
      </c>
      <c r="G618" s="3" t="s">
        <v>90</v>
      </c>
      <c r="H618" s="2" t="s">
        <v>74</v>
      </c>
      <c r="I618" s="2" t="s">
        <v>1921</v>
      </c>
      <c r="J618" s="3" t="str">
        <f>HYPERLINK("https://www.boe.es/gazeta/dias/1810/12/25/pdfs/GEI-1810-112.pdf#page=8","Abrir facsímil")</f>
        <v>Abrir facsímil</v>
      </c>
      <c r="K618" s="3" t="s">
        <v>76</v>
      </c>
    </row>
    <row r="619" spans="1:11" ht="42" customHeight="1">
      <c r="A619" s="2" t="s">
        <v>1922</v>
      </c>
      <c r="B619" s="2" t="s">
        <v>1922</v>
      </c>
      <c r="C619" s="2" t="s">
        <v>88</v>
      </c>
      <c r="D619" s="2" t="s">
        <v>27</v>
      </c>
      <c r="E619" s="4">
        <v>-32715</v>
      </c>
      <c r="F619" s="3" t="s">
        <v>1029</v>
      </c>
      <c r="G619" s="3" t="s">
        <v>1923</v>
      </c>
      <c r="H619" s="2" t="s">
        <v>74</v>
      </c>
      <c r="I619" s="2" t="s">
        <v>1924</v>
      </c>
      <c r="J619" s="3" t="str">
        <f>HYPERLINK("https://www.boe.es/gazeta/dias/1810/06/05/pdfs/GEI-1810-33.pdf#page=7","Abrir facsímil")</f>
        <v>Abrir facsímil</v>
      </c>
      <c r="K619" s="3" t="s">
        <v>76</v>
      </c>
    </row>
    <row r="620" spans="1:11" ht="42" customHeight="1">
      <c r="A620" s="2" t="s">
        <v>1922</v>
      </c>
      <c r="B620" s="2" t="s">
        <v>1922</v>
      </c>
      <c r="C620" s="2" t="s">
        <v>88</v>
      </c>
      <c r="D620" s="2" t="s">
        <v>117</v>
      </c>
      <c r="E620" s="4">
        <v>-32515</v>
      </c>
      <c r="F620" s="3" t="s">
        <v>351</v>
      </c>
      <c r="G620" s="3" t="s">
        <v>1408</v>
      </c>
      <c r="H620" s="2" t="s">
        <v>74</v>
      </c>
      <c r="I620" s="2" t="s">
        <v>1925</v>
      </c>
      <c r="J620" s="3" t="str">
        <f>HYPERLINK("https://www.boe.es/gazeta/dias/1810/12/22/pdfs/GEI-1810-111.pdf#page=6","Abrir facsímil")</f>
        <v>Abrir facsímil</v>
      </c>
      <c r="K620" s="3" t="s">
        <v>76</v>
      </c>
    </row>
    <row r="621" spans="1:11" ht="42" customHeight="1">
      <c r="A621" s="2" t="s">
        <v>1926</v>
      </c>
      <c r="B621" s="2" t="s">
        <v>1926</v>
      </c>
      <c r="C621" s="2" t="s">
        <v>88</v>
      </c>
      <c r="D621" s="2" t="s">
        <v>18</v>
      </c>
      <c r="E621" s="4">
        <v>-32785</v>
      </c>
      <c r="F621" s="3" t="s">
        <v>1927</v>
      </c>
      <c r="G621" s="3" t="s">
        <v>1928</v>
      </c>
      <c r="H621" s="2" t="s">
        <v>74</v>
      </c>
      <c r="I621" s="2" t="s">
        <v>1929</v>
      </c>
      <c r="J621" s="3" t="str">
        <f>HYPERLINK("https://www.boe.es/gazeta/dias/1810/03/27/pdfs/GEI-1810-8E.pdf#page=4","Abrir facsímil")</f>
        <v>Abrir facsímil</v>
      </c>
      <c r="K621" s="3" t="s">
        <v>76</v>
      </c>
    </row>
    <row r="622" spans="1:11" ht="42" customHeight="1">
      <c r="A622" s="2" t="s">
        <v>1926</v>
      </c>
      <c r="B622" s="2" t="s">
        <v>1926</v>
      </c>
      <c r="C622" s="2" t="s">
        <v>88</v>
      </c>
      <c r="D622" s="2" t="s">
        <v>27</v>
      </c>
      <c r="E622" s="4">
        <v>-32768</v>
      </c>
      <c r="F622" s="3" t="s">
        <v>1930</v>
      </c>
      <c r="G622" s="3" t="s">
        <v>1931</v>
      </c>
      <c r="H622" s="2" t="s">
        <v>74</v>
      </c>
      <c r="I622" s="2" t="s">
        <v>1932</v>
      </c>
      <c r="J622" s="3" t="str">
        <f>HYPERLINK("https://www.boe.es/gazeta/dias/1810/04/13/pdfs/GEI-1810-14.pdf#page=11","Abrir facsímil")</f>
        <v>Abrir facsímil</v>
      </c>
      <c r="K622" s="3" t="s">
        <v>76</v>
      </c>
    </row>
    <row r="623" spans="1:11" ht="42" customHeight="1">
      <c r="A623" s="2" t="s">
        <v>1926</v>
      </c>
      <c r="B623" s="2" t="s">
        <v>1926</v>
      </c>
      <c r="C623" s="2" t="s">
        <v>88</v>
      </c>
      <c r="D623" s="2" t="s">
        <v>117</v>
      </c>
      <c r="E623" s="4">
        <v>-32736</v>
      </c>
      <c r="F623" s="3" t="s">
        <v>1933</v>
      </c>
      <c r="G623" s="3" t="s">
        <v>213</v>
      </c>
      <c r="H623" s="2" t="s">
        <v>74</v>
      </c>
      <c r="I623" s="2" t="s">
        <v>1934</v>
      </c>
      <c r="J623" s="3" t="str">
        <f>HYPERLINK("https://www.boe.es/gazeta/dias/1810/05/15/pdfs/GEI-1810-25.pdf#page=4","Abrir facsímil")</f>
        <v>Abrir facsímil</v>
      </c>
      <c r="K623" s="3" t="s">
        <v>76</v>
      </c>
    </row>
    <row r="624" spans="1:11" ht="42" customHeight="1">
      <c r="A624" s="2" t="s">
        <v>1926</v>
      </c>
      <c r="B624" s="2" t="s">
        <v>1926</v>
      </c>
      <c r="C624" s="2" t="s">
        <v>88</v>
      </c>
      <c r="D624" s="2" t="s">
        <v>117</v>
      </c>
      <c r="E624" s="4">
        <v>-32715</v>
      </c>
      <c r="F624" s="3" t="s">
        <v>1029</v>
      </c>
      <c r="G624" s="3" t="s">
        <v>1923</v>
      </c>
      <c r="H624" s="2" t="s">
        <v>74</v>
      </c>
      <c r="I624" s="2" t="s">
        <v>1935</v>
      </c>
      <c r="J624" s="3" t="str">
        <f>HYPERLINK("https://www.boe.es/gazeta/dias/1810/06/05/pdfs/GEI-1810-33.pdf#page=7","Abrir facsímil")</f>
        <v>Abrir facsímil</v>
      </c>
      <c r="K624" s="3" t="s">
        <v>76</v>
      </c>
    </row>
    <row r="625" spans="1:11" ht="42" customHeight="1">
      <c r="A625" s="2" t="s">
        <v>1926</v>
      </c>
      <c r="B625" s="2" t="s">
        <v>1926</v>
      </c>
      <c r="C625" s="2" t="s">
        <v>88</v>
      </c>
      <c r="D625" s="2" t="s">
        <v>27</v>
      </c>
      <c r="E625" s="4">
        <v>-32715</v>
      </c>
      <c r="F625" s="3" t="s">
        <v>1029</v>
      </c>
      <c r="G625" s="3" t="s">
        <v>1936</v>
      </c>
      <c r="H625" s="2" t="s">
        <v>74</v>
      </c>
      <c r="I625" s="2" t="s">
        <v>1937</v>
      </c>
      <c r="J625" s="3" t="str">
        <f>HYPERLINK("https://www.boe.es/gazeta/dias/1810/06/05/pdfs/GEI-1810-33.pdf#page=8","Abrir facsímil")</f>
        <v>Abrir facsímil</v>
      </c>
      <c r="K625" s="3" t="s">
        <v>76</v>
      </c>
    </row>
    <row r="626" spans="1:11" ht="42" customHeight="1">
      <c r="A626" s="2" t="s">
        <v>1926</v>
      </c>
      <c r="B626" s="2" t="s">
        <v>1926</v>
      </c>
      <c r="C626" s="2" t="s">
        <v>88</v>
      </c>
      <c r="D626" s="2" t="s">
        <v>18</v>
      </c>
      <c r="E626" s="4">
        <v>-32701</v>
      </c>
      <c r="F626" s="3" t="s">
        <v>671</v>
      </c>
      <c r="G626" s="3" t="s">
        <v>1938</v>
      </c>
      <c r="H626" s="2" t="s">
        <v>74</v>
      </c>
      <c r="I626" s="2" t="s">
        <v>1939</v>
      </c>
      <c r="J626" s="3" t="str">
        <f>HYPERLINK("https://www.boe.es/gazeta/dias/1810/06/19/pdfs/GEI-1810-37.pdf#page=7","Abrir facsímil")</f>
        <v>Abrir facsímil</v>
      </c>
      <c r="K626" s="3" t="s">
        <v>76</v>
      </c>
    </row>
    <row r="627" spans="1:11" ht="42" customHeight="1">
      <c r="A627" s="2" t="s">
        <v>1926</v>
      </c>
      <c r="B627" s="2" t="s">
        <v>1926</v>
      </c>
      <c r="C627" s="2" t="s">
        <v>88</v>
      </c>
      <c r="D627" s="2" t="s">
        <v>18</v>
      </c>
      <c r="E627" s="4">
        <v>-32677</v>
      </c>
      <c r="F627" s="3" t="s">
        <v>1940</v>
      </c>
      <c r="G627" s="3" t="s">
        <v>213</v>
      </c>
      <c r="H627" s="2" t="s">
        <v>74</v>
      </c>
      <c r="I627" s="2" t="s">
        <v>1941</v>
      </c>
      <c r="J627" s="3" t="str">
        <f>HYPERLINK("https://www.boe.es/gazeta/dias/1810/07/13/pdfs/GEI-1810-44.pdf#page=7","Abrir facsímil")</f>
        <v>Abrir facsímil</v>
      </c>
      <c r="K627" s="3" t="s">
        <v>76</v>
      </c>
    </row>
    <row r="628" spans="1:11" ht="42" customHeight="1">
      <c r="A628" s="2" t="s">
        <v>1926</v>
      </c>
      <c r="B628" s="2" t="s">
        <v>1926</v>
      </c>
      <c r="C628" s="2" t="s">
        <v>88</v>
      </c>
      <c r="D628" s="2" t="s">
        <v>27</v>
      </c>
      <c r="E628" s="4">
        <v>-32670</v>
      </c>
      <c r="F628" s="3" t="s">
        <v>1942</v>
      </c>
      <c r="G628" s="3" t="s">
        <v>1943</v>
      </c>
      <c r="H628" s="2" t="s">
        <v>74</v>
      </c>
      <c r="I628" s="2" t="s">
        <v>1944</v>
      </c>
      <c r="J628" s="3" t="str">
        <f>HYPERLINK("https://www.boe.es/gazeta/dias/1810/07/20/pdfs/GEI-1810-46.pdf#page=5","Abrir facsímil")</f>
        <v>Abrir facsímil</v>
      </c>
      <c r="K628" s="3" t="s">
        <v>76</v>
      </c>
    </row>
    <row r="629" spans="1:11" ht="42" customHeight="1">
      <c r="A629" s="2" t="s">
        <v>1926</v>
      </c>
      <c r="B629" s="2" t="s">
        <v>1926</v>
      </c>
      <c r="C629" s="2" t="s">
        <v>88</v>
      </c>
      <c r="D629" s="2" t="s">
        <v>117</v>
      </c>
      <c r="E629" s="4">
        <v>-32663</v>
      </c>
      <c r="F629" s="3" t="s">
        <v>1945</v>
      </c>
      <c r="G629" s="3" t="s">
        <v>1946</v>
      </c>
      <c r="H629" s="2" t="s">
        <v>74</v>
      </c>
      <c r="I629" s="2" t="s">
        <v>1947</v>
      </c>
      <c r="J629" s="3" t="str">
        <f>HYPERLINK("https://www.boe.es/gazeta/dias/1810/07/27/pdfs/GEI-1810-48.pdf#page=7","Abrir facsímil")</f>
        <v>Abrir facsímil</v>
      </c>
      <c r="K629" s="3" t="s">
        <v>76</v>
      </c>
    </row>
    <row r="630" spans="1:11" ht="42" customHeight="1">
      <c r="A630" s="2" t="s">
        <v>1926</v>
      </c>
      <c r="B630" s="2" t="s">
        <v>1926</v>
      </c>
      <c r="C630" s="2" t="s">
        <v>88</v>
      </c>
      <c r="D630" s="2" t="s">
        <v>27</v>
      </c>
      <c r="E630" s="4">
        <v>-32614</v>
      </c>
      <c r="F630" s="3" t="s">
        <v>1083</v>
      </c>
      <c r="G630" s="3" t="s">
        <v>119</v>
      </c>
      <c r="H630" s="2" t="s">
        <v>74</v>
      </c>
      <c r="I630" s="2" t="s">
        <v>1948</v>
      </c>
      <c r="J630" s="3" t="str">
        <f>HYPERLINK("https://www.boe.es/gazeta/dias/1810/09/14/pdfs/GEI-1810-67.pdf#page=5","Abrir facsímil")</f>
        <v>Abrir facsímil</v>
      </c>
      <c r="K630" s="3" t="s">
        <v>76</v>
      </c>
    </row>
    <row r="631" spans="1:11" ht="42" customHeight="1">
      <c r="A631" s="2" t="s">
        <v>1926</v>
      </c>
      <c r="B631" s="2" t="s">
        <v>1926</v>
      </c>
      <c r="C631" s="2" t="s">
        <v>88</v>
      </c>
      <c r="D631" s="2" t="s">
        <v>27</v>
      </c>
      <c r="E631" s="4">
        <v>-32538</v>
      </c>
      <c r="F631" s="3" t="s">
        <v>1949</v>
      </c>
      <c r="G631" s="3" t="s">
        <v>1950</v>
      </c>
      <c r="H631" s="2" t="s">
        <v>74</v>
      </c>
      <c r="I631" s="2" t="s">
        <v>1951</v>
      </c>
      <c r="J631" s="3" t="str">
        <f>HYPERLINK("https://www.boe.es/gazeta/dias/1810/11/29/pdfs/GEI-1810-101.pdf#page=5","Abrir facsímil")</f>
        <v>Abrir facsímil</v>
      </c>
      <c r="K631" s="3" t="s">
        <v>76</v>
      </c>
    </row>
    <row r="632" spans="1:11" ht="42" customHeight="1">
      <c r="A632" s="2" t="s">
        <v>1926</v>
      </c>
      <c r="B632" s="2" t="s">
        <v>1926</v>
      </c>
      <c r="C632" s="2" t="s">
        <v>88</v>
      </c>
      <c r="D632" s="2" t="s">
        <v>117</v>
      </c>
      <c r="E632" s="4">
        <v>-32526</v>
      </c>
      <c r="F632" s="3" t="s">
        <v>530</v>
      </c>
      <c r="G632" s="3" t="s">
        <v>636</v>
      </c>
      <c r="H632" s="2" t="s">
        <v>74</v>
      </c>
      <c r="I632" s="2" t="s">
        <v>1952</v>
      </c>
      <c r="J632" s="3" t="str">
        <f>HYPERLINK("https://www.boe.es/gazeta/dias/1810/12/11/pdfs/GEI-1810-106.pdf#page=8","Abrir facsímil")</f>
        <v>Abrir facsímil</v>
      </c>
      <c r="K632" s="3" t="s">
        <v>76</v>
      </c>
    </row>
    <row r="633" spans="1:11" ht="42" customHeight="1">
      <c r="A633" s="2" t="s">
        <v>1926</v>
      </c>
      <c r="B633" s="2" t="s">
        <v>1926</v>
      </c>
      <c r="C633" s="2" t="s">
        <v>88</v>
      </c>
      <c r="D633" s="2" t="s">
        <v>27</v>
      </c>
      <c r="E633" s="4">
        <v>-32524</v>
      </c>
      <c r="F633" s="3" t="s">
        <v>281</v>
      </c>
      <c r="G633" s="3" t="s">
        <v>119</v>
      </c>
      <c r="H633" s="2" t="s">
        <v>74</v>
      </c>
      <c r="I633" s="2" t="s">
        <v>1953</v>
      </c>
      <c r="J633" s="3" t="str">
        <f>HYPERLINK("https://www.boe.es/gazeta/dias/1810/12/13/pdfs/GEI-1810-107.pdf#page=7","Abrir facsímil")</f>
        <v>Abrir facsímil</v>
      </c>
      <c r="K633" s="3" t="s">
        <v>76</v>
      </c>
    </row>
    <row r="634" spans="1:11" ht="42" customHeight="1">
      <c r="A634" s="2" t="s">
        <v>1926</v>
      </c>
      <c r="B634" s="2" t="s">
        <v>1926</v>
      </c>
      <c r="C634" s="2" t="s">
        <v>88</v>
      </c>
      <c r="D634" s="2" t="s">
        <v>27</v>
      </c>
      <c r="E634" s="4">
        <v>-32512</v>
      </c>
      <c r="F634" s="3" t="s">
        <v>1920</v>
      </c>
      <c r="G634" s="3" t="s">
        <v>90</v>
      </c>
      <c r="H634" s="2" t="s">
        <v>74</v>
      </c>
      <c r="I634" s="2" t="s">
        <v>1954</v>
      </c>
      <c r="J634" s="3" t="str">
        <f>HYPERLINK("https://www.boe.es/gazeta/dias/1810/12/25/pdfs/GEI-1810-112.pdf#page=8","Abrir facsímil")</f>
        <v>Abrir facsímil</v>
      </c>
      <c r="K634" s="3" t="s">
        <v>76</v>
      </c>
    </row>
    <row r="635" spans="1:11" ht="42" customHeight="1">
      <c r="A635" s="2" t="s">
        <v>1926</v>
      </c>
      <c r="B635" s="2" t="s">
        <v>1926</v>
      </c>
      <c r="C635" s="2" t="s">
        <v>88</v>
      </c>
      <c r="D635" s="2" t="s">
        <v>27</v>
      </c>
      <c r="E635" s="4">
        <v>-32510</v>
      </c>
      <c r="F635" s="3" t="s">
        <v>1955</v>
      </c>
      <c r="G635" s="3" t="s">
        <v>1956</v>
      </c>
      <c r="H635" s="2" t="s">
        <v>74</v>
      </c>
      <c r="I635" s="2" t="s">
        <v>1957</v>
      </c>
      <c r="J635" s="3" t="str">
        <f>HYPERLINK("https://www.boe.es/gazeta/dias/1810/12/27/pdfs/GEI-1810-113.pdf#page=6","Abrir facsímil")</f>
        <v>Abrir facsímil</v>
      </c>
      <c r="K635" s="3" t="s">
        <v>76</v>
      </c>
    </row>
    <row r="636" spans="1:11" ht="42" customHeight="1">
      <c r="A636" s="2" t="s">
        <v>1926</v>
      </c>
      <c r="B636" s="2" t="s">
        <v>1926</v>
      </c>
      <c r="C636" s="2" t="s">
        <v>88</v>
      </c>
      <c r="D636" s="2" t="s">
        <v>220</v>
      </c>
      <c r="E636" s="4">
        <v>-32510</v>
      </c>
      <c r="F636" s="3" t="s">
        <v>1955</v>
      </c>
      <c r="G636" s="3" t="s">
        <v>1958</v>
      </c>
      <c r="H636" s="2" t="s">
        <v>74</v>
      </c>
      <c r="I636" s="2" t="s">
        <v>1959</v>
      </c>
      <c r="J636" s="3" t="str">
        <f>HYPERLINK("https://www.boe.es/gazeta/dias/1810/12/27/pdfs/GEI-1810-113.pdf#page=7","Abrir facsímil")</f>
        <v>Abrir facsímil</v>
      </c>
      <c r="K636" s="3" t="s">
        <v>76</v>
      </c>
    </row>
    <row r="637" spans="1:11" ht="42" customHeight="1">
      <c r="A637" s="2" t="s">
        <v>1960</v>
      </c>
      <c r="B637" s="2" t="s">
        <v>1960</v>
      </c>
      <c r="C637" s="2" t="s">
        <v>88</v>
      </c>
      <c r="D637" s="2" t="s">
        <v>220</v>
      </c>
      <c r="E637" s="4">
        <v>-32800</v>
      </c>
      <c r="F637" s="3" t="s">
        <v>388</v>
      </c>
      <c r="G637" s="3" t="s">
        <v>90</v>
      </c>
      <c r="H637" s="2" t="s">
        <v>74</v>
      </c>
      <c r="I637" s="2" t="s">
        <v>1961</v>
      </c>
      <c r="J637" s="3" t="str">
        <f>HYPERLINK("https://www.boe.es/gazeta/dias/1810/03/12/pdfs/GMD-1810-71.pdf#page=2","Abrir facsímil")</f>
        <v>Abrir facsímil</v>
      </c>
      <c r="K637" s="3" t="s">
        <v>76</v>
      </c>
    </row>
    <row r="638" spans="1:11" ht="42" customHeight="1">
      <c r="A638" s="2" t="s">
        <v>1962</v>
      </c>
      <c r="B638" s="2" t="s">
        <v>1962</v>
      </c>
      <c r="C638" s="2" t="s">
        <v>88</v>
      </c>
      <c r="D638" s="2" t="s">
        <v>117</v>
      </c>
      <c r="E638" s="4">
        <v>-32564</v>
      </c>
      <c r="F638" s="3" t="s">
        <v>1604</v>
      </c>
      <c r="G638" s="3" t="s">
        <v>1605</v>
      </c>
      <c r="H638" s="2" t="s">
        <v>74</v>
      </c>
      <c r="I638" s="2" t="s">
        <v>1963</v>
      </c>
      <c r="J638" s="3" t="str">
        <f>HYPERLINK("https://www.boe.es/gazeta/dias/1810/11/03/pdfs/GMD-1810-307.pdf#page=2","Abrir facsímil")</f>
        <v>Abrir facsímil</v>
      </c>
      <c r="K638" s="3" t="s">
        <v>76</v>
      </c>
    </row>
    <row r="639" spans="1:11" ht="42" customHeight="1">
      <c r="A639" s="2" t="s">
        <v>1964</v>
      </c>
      <c r="B639" s="2" t="s">
        <v>1964</v>
      </c>
      <c r="C639" s="2" t="s">
        <v>88</v>
      </c>
      <c r="D639" s="2" t="s">
        <v>27</v>
      </c>
      <c r="E639" s="4">
        <v>-32629</v>
      </c>
      <c r="F639" s="3" t="s">
        <v>1494</v>
      </c>
      <c r="G639" s="3" t="s">
        <v>90</v>
      </c>
      <c r="H639" s="2" t="s">
        <v>74</v>
      </c>
      <c r="I639" s="2" t="s">
        <v>1965</v>
      </c>
      <c r="J639" s="3" t="str">
        <f>HYPERLINK("https://www.boe.es/gazeta/dias/1810/08/30/pdfs/GMD-1810-242.pdf#page=3","Abrir facsímil")</f>
        <v>Abrir facsímil</v>
      </c>
      <c r="K639" s="3" t="s">
        <v>76</v>
      </c>
    </row>
    <row r="640" spans="1:11" ht="42" customHeight="1">
      <c r="A640" s="2" t="s">
        <v>1966</v>
      </c>
      <c r="B640" s="2" t="s">
        <v>1966</v>
      </c>
      <c r="C640" s="2" t="s">
        <v>26</v>
      </c>
      <c r="D640" s="2" t="s">
        <v>27</v>
      </c>
      <c r="E640" s="4">
        <v>-32734</v>
      </c>
      <c r="F640" s="3" t="s">
        <v>19</v>
      </c>
      <c r="G640" s="3" t="s">
        <v>99</v>
      </c>
      <c r="H640" s="2" t="s">
        <v>74</v>
      </c>
      <c r="I640" s="2" t="s">
        <v>1967</v>
      </c>
      <c r="J640" s="3" t="str">
        <f>HYPERLINK("https://www.boe.es/gazeta/dias/1810/05/17/pdfs/GMD-1810-137.pdf#page=3","Abrir facsímil")</f>
        <v>Abrir facsímil</v>
      </c>
      <c r="K640" s="3" t="s">
        <v>76</v>
      </c>
    </row>
    <row r="641" spans="1:11" ht="42" customHeight="1">
      <c r="A641" s="2" t="s">
        <v>1968</v>
      </c>
      <c r="B641" s="2" t="s">
        <v>1969</v>
      </c>
      <c r="C641" s="2" t="s">
        <v>26</v>
      </c>
      <c r="D641" s="2" t="s">
        <v>27</v>
      </c>
      <c r="E641" s="4">
        <v>-32837</v>
      </c>
      <c r="F641" s="3" t="s">
        <v>196</v>
      </c>
      <c r="G641" s="3" t="s">
        <v>140</v>
      </c>
      <c r="H641" s="2" t="s">
        <v>74</v>
      </c>
      <c r="I641" s="2" t="s">
        <v>1970</v>
      </c>
      <c r="J641" s="3" t="str">
        <f>HYPERLINK("https://www.boe.es/gazeta/dias/1810/02/03/pdfs/GMD-1810-34.pdf#page=4","Abrir facsímil")</f>
        <v>Abrir facsímil</v>
      </c>
      <c r="K641" s="3" t="s">
        <v>76</v>
      </c>
    </row>
    <row r="642" spans="1:11" ht="42" customHeight="1">
      <c r="A642" s="2" t="s">
        <v>1971</v>
      </c>
      <c r="B642" s="2" t="s">
        <v>1972</v>
      </c>
      <c r="C642" s="2" t="s">
        <v>26</v>
      </c>
      <c r="D642" s="2" t="s">
        <v>27</v>
      </c>
      <c r="E642" s="4">
        <v>-32544</v>
      </c>
      <c r="F642" s="3" t="s">
        <v>1239</v>
      </c>
      <c r="G642" s="3" t="s">
        <v>99</v>
      </c>
      <c r="H642" s="2" t="s">
        <v>74</v>
      </c>
      <c r="I642" s="2" t="s">
        <v>1973</v>
      </c>
      <c r="J642" s="3" t="str">
        <f>HYPERLINK("https://www.boe.es/gazeta/dias/1810/11/23/pdfs/GMD-1810-327.pdf#page=3","Abrir facsímil")</f>
        <v>Abrir facsímil</v>
      </c>
      <c r="K642" s="3" t="s">
        <v>76</v>
      </c>
    </row>
    <row r="643" spans="1:11" ht="42" customHeight="1">
      <c r="A643" s="2" t="s">
        <v>1974</v>
      </c>
      <c r="B643" s="2" t="s">
        <v>1974</v>
      </c>
      <c r="C643" s="2" t="s">
        <v>88</v>
      </c>
      <c r="D643" s="2" t="s">
        <v>220</v>
      </c>
      <c r="E643" s="4">
        <v>-32653</v>
      </c>
      <c r="F643" s="3" t="s">
        <v>1043</v>
      </c>
      <c r="G643" s="3" t="s">
        <v>1044</v>
      </c>
      <c r="H643" s="2" t="s">
        <v>74</v>
      </c>
      <c r="I643" s="2" t="s">
        <v>1975</v>
      </c>
      <c r="J643" s="3" t="str">
        <f>HYPERLINK("https://www.boe.es/gazeta/dias/1810/08/06/pdfs/GMD-1810-218.pdf#page=1","Abrir facsímil")</f>
        <v>Abrir facsímil</v>
      </c>
      <c r="K643" s="3" t="s">
        <v>76</v>
      </c>
    </row>
    <row r="644" spans="1:11" ht="42" customHeight="1">
      <c r="A644" s="2" t="s">
        <v>1976</v>
      </c>
      <c r="B644" s="2" t="s">
        <v>1976</v>
      </c>
      <c r="C644" s="2" t="s">
        <v>88</v>
      </c>
      <c r="D644" s="2" t="s">
        <v>27</v>
      </c>
      <c r="E644" s="4">
        <v>-32732</v>
      </c>
      <c r="F644" s="3" t="s">
        <v>545</v>
      </c>
      <c r="G644" s="3" t="s">
        <v>29</v>
      </c>
      <c r="H644" s="2" t="s">
        <v>74</v>
      </c>
      <c r="I644" s="2" t="s">
        <v>1977</v>
      </c>
      <c r="J644" s="3" t="str">
        <f>HYPERLINK("https://www.boe.es/gazeta/dias/1810/05/19/pdfs/GMD-1810-139.pdf#page=2","Abrir facsímil")</f>
        <v>Abrir facsímil</v>
      </c>
      <c r="K644" s="3" t="s">
        <v>76</v>
      </c>
    </row>
    <row r="645" spans="1:11" ht="42" customHeight="1">
      <c r="A645" s="2" t="s">
        <v>1978</v>
      </c>
      <c r="B645" s="2" t="s">
        <v>1979</v>
      </c>
      <c r="C645" s="2" t="s">
        <v>26</v>
      </c>
      <c r="D645" s="2" t="s">
        <v>39</v>
      </c>
      <c r="E645" s="4">
        <v>-32701</v>
      </c>
      <c r="F645" s="3" t="s">
        <v>40</v>
      </c>
      <c r="G645" s="3" t="s">
        <v>315</v>
      </c>
      <c r="H645" s="2" t="s">
        <v>74</v>
      </c>
      <c r="I645" s="2" t="s">
        <v>1980</v>
      </c>
      <c r="J645" s="3" t="str">
        <f>HYPERLINK("https://www.boe.es/gazeta/dias/1810/06/19/pdfs/GMD-C-1810-170.pdf#page=2","Abrir facsímil")</f>
        <v>Abrir facsímil</v>
      </c>
      <c r="K645" s="3" t="s">
        <v>76</v>
      </c>
    </row>
    <row r="646" spans="1:11" ht="42" customHeight="1">
      <c r="A646" s="2" t="s">
        <v>1981</v>
      </c>
      <c r="B646" s="2" t="s">
        <v>1982</v>
      </c>
      <c r="C646" s="2" t="s">
        <v>26</v>
      </c>
      <c r="D646" s="2" t="s">
        <v>27</v>
      </c>
      <c r="E646" s="4">
        <v>-32526</v>
      </c>
      <c r="F646" s="3" t="s">
        <v>530</v>
      </c>
      <c r="G646" s="3" t="s">
        <v>531</v>
      </c>
      <c r="H646" s="2" t="s">
        <v>74</v>
      </c>
      <c r="I646" s="2" t="s">
        <v>1983</v>
      </c>
      <c r="J646" s="3" t="str">
        <f>HYPERLINK("https://www.boe.es/gazeta/dias/1810/12/11/pdfs/GEI-1810-106.pdf#page=2","Abrir facsímil")</f>
        <v>Abrir facsímil</v>
      </c>
      <c r="K646" s="3" t="s">
        <v>76</v>
      </c>
    </row>
    <row r="647" spans="1:11" ht="42" customHeight="1">
      <c r="A647" s="2" t="s">
        <v>1984</v>
      </c>
      <c r="B647" s="2" t="s">
        <v>1984</v>
      </c>
      <c r="C647" s="2" t="s">
        <v>88</v>
      </c>
      <c r="D647" s="2" t="s">
        <v>27</v>
      </c>
      <c r="E647" s="4">
        <v>-32664</v>
      </c>
      <c r="F647" s="3" t="s">
        <v>618</v>
      </c>
      <c r="G647" s="3" t="s">
        <v>1985</v>
      </c>
      <c r="H647" s="2" t="s">
        <v>74</v>
      </c>
      <c r="I647" s="2" t="s">
        <v>1986</v>
      </c>
      <c r="J647" s="3" t="str">
        <f>HYPERLINK("https://www.boe.es/gazeta/dias/1810/07/26/pdfs/GMD-1810-207.pdf#page=4","Abrir facsímil")</f>
        <v>Abrir facsímil</v>
      </c>
      <c r="K647" s="3" t="s">
        <v>76</v>
      </c>
    </row>
    <row r="648" spans="1:11" ht="42" customHeight="1">
      <c r="A648" s="2" t="s">
        <v>1987</v>
      </c>
      <c r="B648" s="2" t="s">
        <v>1987</v>
      </c>
      <c r="C648" s="2" t="s">
        <v>88</v>
      </c>
      <c r="D648" s="2" t="s">
        <v>18</v>
      </c>
      <c r="E648" s="4">
        <v>-32649</v>
      </c>
      <c r="F648" s="3" t="s">
        <v>1988</v>
      </c>
      <c r="G648" s="3" t="s">
        <v>227</v>
      </c>
      <c r="H648" s="2" t="s">
        <v>74</v>
      </c>
      <c r="I648" s="2" t="s">
        <v>1989</v>
      </c>
      <c r="J648" s="3" t="str">
        <f>HYPERLINK("https://www.boe.es/gazeta/dias/1810/08/10/pdfs/GMD-1810-222.pdf#page=4","Abrir facsímil")</f>
        <v>Abrir facsímil</v>
      </c>
      <c r="K648" s="3" t="s">
        <v>76</v>
      </c>
    </row>
    <row r="649" spans="1:11" ht="42" customHeight="1">
      <c r="A649" s="2" t="s">
        <v>1990</v>
      </c>
      <c r="B649" s="2" t="s">
        <v>1991</v>
      </c>
      <c r="C649" s="2" t="s">
        <v>26</v>
      </c>
      <c r="D649" s="2" t="s">
        <v>27</v>
      </c>
      <c r="E649" s="4">
        <v>-32684</v>
      </c>
      <c r="F649" s="3" t="s">
        <v>1373</v>
      </c>
      <c r="G649" s="3" t="s">
        <v>1374</v>
      </c>
      <c r="H649" s="2" t="s">
        <v>74</v>
      </c>
      <c r="I649" s="2" t="s">
        <v>1992</v>
      </c>
      <c r="J649" s="3" t="str">
        <f>HYPERLINK("https://www.boe.es/gazeta/dias/1810/07/06/pdfs/GEI-1810-42.pdf#page=8","Abrir facsímil")</f>
        <v>Abrir facsímil</v>
      </c>
      <c r="K649" s="3" t="s">
        <v>76</v>
      </c>
    </row>
    <row r="650" spans="1:11" ht="42" customHeight="1">
      <c r="A650" s="2" t="s">
        <v>1990</v>
      </c>
      <c r="B650" s="2" t="s">
        <v>1991</v>
      </c>
      <c r="C650" s="2" t="s">
        <v>26</v>
      </c>
      <c r="D650" s="2" t="s">
        <v>27</v>
      </c>
      <c r="E650" s="4">
        <v>-32659</v>
      </c>
      <c r="F650" s="3" t="s">
        <v>328</v>
      </c>
      <c r="G650" s="3" t="s">
        <v>119</v>
      </c>
      <c r="H650" s="2" t="s">
        <v>74</v>
      </c>
      <c r="I650" s="2" t="s">
        <v>1993</v>
      </c>
      <c r="J650" s="3" t="str">
        <f>HYPERLINK("https://www.boe.es/gazeta/dias/1810/07/31/pdfs/GEI-1810-49.pdf#page=8","Abrir facsímil")</f>
        <v>Abrir facsímil</v>
      </c>
      <c r="K650" s="3" t="s">
        <v>76</v>
      </c>
    </row>
    <row r="651" spans="1:11" ht="42" customHeight="1">
      <c r="A651" s="2" t="s">
        <v>1994</v>
      </c>
      <c r="B651" s="2" t="s">
        <v>1995</v>
      </c>
      <c r="C651" s="2" t="s">
        <v>26</v>
      </c>
      <c r="D651" s="2" t="s">
        <v>27</v>
      </c>
      <c r="E651" s="4">
        <v>-32837</v>
      </c>
      <c r="F651" s="3" t="s">
        <v>196</v>
      </c>
      <c r="G651" s="3" t="s">
        <v>213</v>
      </c>
      <c r="H651" s="2" t="s">
        <v>74</v>
      </c>
      <c r="I651" s="2" t="s">
        <v>1996</v>
      </c>
      <c r="J651" s="3" t="str">
        <f>HYPERLINK("https://www.boe.es/gazeta/dias/1810/02/03/pdfs/GMD-1810-34.pdf#page=2","Abrir facsímil")</f>
        <v>Abrir facsímil</v>
      </c>
      <c r="K651" s="3" t="s">
        <v>76</v>
      </c>
    </row>
    <row r="652" spans="1:11" ht="42" customHeight="1">
      <c r="A652" s="2" t="s">
        <v>1997</v>
      </c>
      <c r="B652" s="2" t="s">
        <v>1998</v>
      </c>
      <c r="C652" s="2" t="s">
        <v>26</v>
      </c>
      <c r="D652" s="2" t="s">
        <v>27</v>
      </c>
      <c r="E652" s="4">
        <v>-32837</v>
      </c>
      <c r="F652" s="3" t="s">
        <v>196</v>
      </c>
      <c r="G652" s="3" t="s">
        <v>140</v>
      </c>
      <c r="H652" s="2" t="s">
        <v>74</v>
      </c>
      <c r="I652" s="2" t="s">
        <v>1999</v>
      </c>
      <c r="J652" s="3" t="str">
        <f>HYPERLINK("https://www.boe.es/gazeta/dias/1810/02/03/pdfs/GMD-1810-34.pdf#page=4","Abrir facsímil")</f>
        <v>Abrir facsímil</v>
      </c>
      <c r="K652" s="3" t="s">
        <v>76</v>
      </c>
    </row>
    <row r="653" spans="1:11" ht="42" customHeight="1">
      <c r="A653" s="2" t="s">
        <v>2000</v>
      </c>
      <c r="B653" s="2" t="s">
        <v>2001</v>
      </c>
      <c r="C653" s="2" t="s">
        <v>26</v>
      </c>
      <c r="D653" s="2" t="s">
        <v>27</v>
      </c>
      <c r="E653" s="4">
        <v>-32798</v>
      </c>
      <c r="F653" s="3" t="s">
        <v>2002</v>
      </c>
      <c r="G653" s="3" t="s">
        <v>90</v>
      </c>
      <c r="H653" s="2" t="s">
        <v>74</v>
      </c>
      <c r="I653" s="2" t="s">
        <v>2003</v>
      </c>
      <c r="J653" s="3" t="str">
        <f>HYPERLINK("https://www.boe.es/gazeta/dias/1810/03/14/pdfs/GMD-1810-73.pdf#page=4","Abrir facsímil")</f>
        <v>Abrir facsímil</v>
      </c>
      <c r="K653" s="3" t="s">
        <v>76</v>
      </c>
    </row>
    <row r="654" spans="1:11" ht="42" customHeight="1">
      <c r="A654" s="2" t="s">
        <v>2004</v>
      </c>
      <c r="B654" s="2" t="s">
        <v>2004</v>
      </c>
      <c r="C654" s="2" t="s">
        <v>88</v>
      </c>
      <c r="D654" s="2" t="s">
        <v>27</v>
      </c>
      <c r="E654" s="4">
        <v>-32729</v>
      </c>
      <c r="F654" s="3" t="s">
        <v>174</v>
      </c>
      <c r="G654" s="3" t="s">
        <v>2005</v>
      </c>
      <c r="H654" s="2" t="s">
        <v>74</v>
      </c>
      <c r="I654" s="2" t="s">
        <v>2006</v>
      </c>
      <c r="J654" s="3" t="str">
        <f>HYPERLINK("https://www.boe.es/gazeta/dias/1810/05/22/pdfs/GEI-1810-28.pdf#page=3","Abrir facsímil")</f>
        <v>Abrir facsímil</v>
      </c>
      <c r="K654" s="3" t="s">
        <v>76</v>
      </c>
    </row>
    <row r="655" spans="1:11" ht="42" customHeight="1">
      <c r="A655" s="2" t="s">
        <v>2004</v>
      </c>
      <c r="B655" s="2" t="s">
        <v>2004</v>
      </c>
      <c r="C655" s="2" t="s">
        <v>88</v>
      </c>
      <c r="D655" s="2" t="s">
        <v>117</v>
      </c>
      <c r="E655" s="4">
        <v>-32596</v>
      </c>
      <c r="F655" s="3" t="s">
        <v>248</v>
      </c>
      <c r="G655" s="3" t="s">
        <v>1714</v>
      </c>
      <c r="H655" s="2" t="s">
        <v>74</v>
      </c>
      <c r="I655" s="2" t="s">
        <v>2007</v>
      </c>
      <c r="J655" s="3" t="str">
        <f>HYPERLINK("https://www.boe.es/gazeta/dias/1810/10/02/pdfs/GEI-1810-76.pdf#page=3","Abrir facsímil")</f>
        <v>Abrir facsímil</v>
      </c>
      <c r="K655" s="3" t="s">
        <v>76</v>
      </c>
    </row>
    <row r="656" spans="1:11" ht="42" customHeight="1">
      <c r="A656" s="2" t="s">
        <v>2004</v>
      </c>
      <c r="B656" s="2" t="s">
        <v>2004</v>
      </c>
      <c r="C656" s="2" t="s">
        <v>88</v>
      </c>
      <c r="D656" s="2" t="s">
        <v>27</v>
      </c>
      <c r="E656" s="4">
        <v>-32575</v>
      </c>
      <c r="F656" s="3" t="s">
        <v>135</v>
      </c>
      <c r="G656" s="3" t="s">
        <v>2008</v>
      </c>
      <c r="H656" s="2" t="s">
        <v>74</v>
      </c>
      <c r="I656" s="2" t="s">
        <v>2009</v>
      </c>
      <c r="J656" s="3" t="str">
        <f>HYPERLINK("https://www.boe.es/gazeta/dias/1810/10/23/pdfs/GEI-1810-85.pdf#page=8","Abrir facsímil")</f>
        <v>Abrir facsímil</v>
      </c>
      <c r="K656" s="3" t="s">
        <v>76</v>
      </c>
    </row>
    <row r="657" spans="1:11" ht="42" customHeight="1">
      <c r="A657" s="2" t="s">
        <v>2010</v>
      </c>
      <c r="B657" s="2" t="s">
        <v>2011</v>
      </c>
      <c r="C657" s="2" t="s">
        <v>88</v>
      </c>
      <c r="D657" s="2" t="s">
        <v>220</v>
      </c>
      <c r="E657" s="4">
        <v>-32763</v>
      </c>
      <c r="F657" s="3" t="s">
        <v>1146</v>
      </c>
      <c r="G657" s="3" t="s">
        <v>140</v>
      </c>
      <c r="H657" s="2" t="s">
        <v>74</v>
      </c>
      <c r="I657" s="2" t="s">
        <v>2012</v>
      </c>
      <c r="J657" s="3" t="str">
        <f>HYPERLINK("https://www.boe.es/gazeta/dias/1810/04/18/pdfs/GMD-1810-108.pdf#page=3","Abrir facsímil")</f>
        <v>Abrir facsímil</v>
      </c>
      <c r="K657" s="3" t="s">
        <v>76</v>
      </c>
    </row>
    <row r="658" spans="1:11" ht="42" customHeight="1">
      <c r="A658" s="2" t="s">
        <v>2013</v>
      </c>
      <c r="B658" s="2" t="s">
        <v>2014</v>
      </c>
      <c r="C658" s="2" t="s">
        <v>26</v>
      </c>
      <c r="D658" s="2" t="s">
        <v>39</v>
      </c>
      <c r="E658" s="4">
        <v>-32661</v>
      </c>
      <c r="F658" s="3" t="s">
        <v>157</v>
      </c>
      <c r="G658" s="3" t="s">
        <v>158</v>
      </c>
      <c r="H658" s="2" t="s">
        <v>74</v>
      </c>
      <c r="I658" s="2" t="s">
        <v>2015</v>
      </c>
      <c r="J658" s="3" t="str">
        <f>HYPERLINK("https://www.boe.es/gazeta/dias/1810/07/29/pdfs/GMD-C-1810-210.pdf#page=1","Abrir facsímil")</f>
        <v>Abrir facsímil</v>
      </c>
      <c r="K658" s="3" t="s">
        <v>76</v>
      </c>
    </row>
    <row r="659" spans="1:11" ht="42" customHeight="1">
      <c r="A659" s="2" t="s">
        <v>2016</v>
      </c>
      <c r="B659" s="2" t="s">
        <v>2017</v>
      </c>
      <c r="C659" s="2" t="s">
        <v>26</v>
      </c>
      <c r="D659" s="2" t="s">
        <v>39</v>
      </c>
      <c r="E659" s="4">
        <v>-32701</v>
      </c>
      <c r="F659" s="3" t="s">
        <v>40</v>
      </c>
      <c r="G659" s="3" t="s">
        <v>41</v>
      </c>
      <c r="H659" s="2" t="s">
        <v>74</v>
      </c>
      <c r="I659" s="2" t="s">
        <v>2018</v>
      </c>
      <c r="J659" s="3" t="str">
        <f>HYPERLINK("https://www.boe.es/gazeta/dias/1810/06/19/pdfs/GMD-C-1810-170.pdf#page=3","Abrir facsímil")</f>
        <v>Abrir facsímil</v>
      </c>
      <c r="K659" s="3" t="s">
        <v>76</v>
      </c>
    </row>
    <row r="660" spans="1:11" ht="42" customHeight="1">
      <c r="A660" s="2" t="s">
        <v>2019</v>
      </c>
      <c r="B660" s="2" t="s">
        <v>2020</v>
      </c>
      <c r="C660" s="2" t="s">
        <v>26</v>
      </c>
      <c r="D660" s="2" t="s">
        <v>39</v>
      </c>
      <c r="E660" s="4">
        <v>-32740</v>
      </c>
      <c r="F660" s="3" t="s">
        <v>848</v>
      </c>
      <c r="G660" s="3" t="s">
        <v>849</v>
      </c>
      <c r="H660" s="2" t="s">
        <v>21</v>
      </c>
      <c r="I660" s="2" t="s">
        <v>2021</v>
      </c>
      <c r="J660" s="3" t="str">
        <f>HYPERLINK("https://www.boe.es/gazeta/dias/1810/05/11/pdfs/GMD-C-1810-131.pdf#page=1","Abrir facsímil")</f>
        <v>Abrir facsímil</v>
      </c>
      <c r="K660" s="3" t="s">
        <v>23</v>
      </c>
    </row>
    <row r="661" spans="1:11" ht="42" customHeight="1">
      <c r="A661" s="2" t="s">
        <v>2022</v>
      </c>
      <c r="B661" s="2" t="s">
        <v>2022</v>
      </c>
      <c r="C661" s="2" t="s">
        <v>26</v>
      </c>
      <c r="D661" s="2" t="s">
        <v>220</v>
      </c>
      <c r="E661" s="4">
        <v>-32531</v>
      </c>
      <c r="F661" s="3" t="s">
        <v>2023</v>
      </c>
      <c r="G661" s="3" t="s">
        <v>70</v>
      </c>
      <c r="H661" s="2" t="s">
        <v>74</v>
      </c>
      <c r="I661" s="2" t="s">
        <v>2024</v>
      </c>
      <c r="J661" s="3" t="str">
        <f>HYPERLINK("https://www.boe.es/gazeta/dias/1810/12/06/pdfs/GMD-1810-340.pdf#page=3","Abrir facsímil")</f>
        <v>Abrir facsímil</v>
      </c>
      <c r="K661" s="3" t="s">
        <v>76</v>
      </c>
    </row>
    <row r="662" spans="1:11" ht="42" customHeight="1">
      <c r="A662" s="2" t="s">
        <v>2025</v>
      </c>
      <c r="B662" s="2" t="s">
        <v>2026</v>
      </c>
      <c r="C662" s="2" t="s">
        <v>17</v>
      </c>
      <c r="D662" s="2" t="s">
        <v>18</v>
      </c>
      <c r="E662" s="4">
        <v>-32654</v>
      </c>
      <c r="F662" s="3" t="s">
        <v>1226</v>
      </c>
      <c r="G662" s="3" t="s">
        <v>732</v>
      </c>
      <c r="H662" s="2" t="s">
        <v>74</v>
      </c>
      <c r="I662" s="2" t="s">
        <v>2027</v>
      </c>
      <c r="J662" s="3" t="str">
        <f>HYPERLINK("https://www.boe.es/gazeta/dias/1810/08/05/pdfs/GMD-1810-217.pdf#page=3","Abrir facsímil")</f>
        <v>Abrir facsímil</v>
      </c>
      <c r="K662" s="3" t="s">
        <v>76</v>
      </c>
    </row>
    <row r="663" spans="1:11" ht="42" customHeight="1">
      <c r="A663" s="2" t="s">
        <v>2028</v>
      </c>
      <c r="B663" s="2" t="s">
        <v>2029</v>
      </c>
      <c r="C663" s="2" t="s">
        <v>26</v>
      </c>
      <c r="D663" s="2" t="s">
        <v>27</v>
      </c>
      <c r="E663" s="4">
        <v>-32526</v>
      </c>
      <c r="F663" s="3" t="s">
        <v>530</v>
      </c>
      <c r="G663" s="3" t="s">
        <v>531</v>
      </c>
      <c r="H663" s="2" t="s">
        <v>74</v>
      </c>
      <c r="I663" s="2" t="s">
        <v>2030</v>
      </c>
      <c r="J663" s="3" t="str">
        <f>HYPERLINK("https://www.boe.es/gazeta/dias/1810/12/11/pdfs/GEI-1810-106.pdf#page=2","Abrir facsímil")</f>
        <v>Abrir facsímil</v>
      </c>
      <c r="K663" s="3" t="s">
        <v>76</v>
      </c>
    </row>
    <row r="664" spans="1:11" ht="42" customHeight="1">
      <c r="A664" s="2" t="s">
        <v>2031</v>
      </c>
      <c r="B664" s="2" t="s">
        <v>2031</v>
      </c>
      <c r="C664" s="2" t="s">
        <v>88</v>
      </c>
      <c r="D664" s="2" t="s">
        <v>117</v>
      </c>
      <c r="E664" s="4">
        <v>-32708</v>
      </c>
      <c r="F664" s="3" t="s">
        <v>206</v>
      </c>
      <c r="G664" s="3" t="s">
        <v>227</v>
      </c>
      <c r="H664" s="2" t="s">
        <v>74</v>
      </c>
      <c r="I664" s="2" t="s">
        <v>2032</v>
      </c>
      <c r="J664" s="3" t="str">
        <f>HYPERLINK("https://www.boe.es/gazeta/dias/1810/06/12/pdfs/GMD-1810-163.pdf#page=1","Abrir facsímil")</f>
        <v>Abrir facsímil</v>
      </c>
      <c r="K664" s="3" t="s">
        <v>76</v>
      </c>
    </row>
    <row r="665" spans="1:11" ht="42" customHeight="1">
      <c r="A665" s="2" t="s">
        <v>2033</v>
      </c>
      <c r="B665" s="2" t="s">
        <v>2033</v>
      </c>
      <c r="C665" s="2" t="s">
        <v>26</v>
      </c>
      <c r="D665" s="2" t="s">
        <v>27</v>
      </c>
      <c r="E665" s="4">
        <v>-32808</v>
      </c>
      <c r="F665" s="3" t="s">
        <v>2034</v>
      </c>
      <c r="G665" s="3" t="s">
        <v>2035</v>
      </c>
      <c r="H665" s="2" t="s">
        <v>74</v>
      </c>
      <c r="I665" s="2" t="s">
        <v>2036</v>
      </c>
      <c r="J665" s="3" t="str">
        <f>HYPERLINK("https://www.boe.es/gazeta/dias/1810/03/04/pdfs/GMD-1810-63.pdf#page=1","Abrir facsímil")</f>
        <v>Abrir facsímil</v>
      </c>
      <c r="K665" s="3" t="s">
        <v>76</v>
      </c>
    </row>
    <row r="666" spans="1:11" ht="42" customHeight="1">
      <c r="A666" s="2" t="s">
        <v>2037</v>
      </c>
      <c r="B666" s="2" t="s">
        <v>2038</v>
      </c>
      <c r="C666" s="2" t="s">
        <v>26</v>
      </c>
      <c r="D666" s="2" t="s">
        <v>39</v>
      </c>
      <c r="E666" s="4">
        <v>-32702</v>
      </c>
      <c r="F666" s="3" t="s">
        <v>179</v>
      </c>
      <c r="G666" s="3" t="s">
        <v>119</v>
      </c>
      <c r="H666" s="2" t="s">
        <v>74</v>
      </c>
      <c r="I666" s="2" t="s">
        <v>2039</v>
      </c>
      <c r="J666" s="3" t="str">
        <f>HYPERLINK("https://www.boe.es/gazeta/dias/1810/06/18/pdfs/GMD-C-1810-169.pdf#page=1","Abrir facsímil")</f>
        <v>Abrir facsímil</v>
      </c>
      <c r="K666" s="3" t="s">
        <v>76</v>
      </c>
    </row>
    <row r="667" spans="1:11" ht="42" customHeight="1">
      <c r="A667" s="2" t="s">
        <v>2040</v>
      </c>
      <c r="B667" s="2" t="s">
        <v>2041</v>
      </c>
      <c r="C667" s="2" t="s">
        <v>26</v>
      </c>
      <c r="D667" s="2" t="s">
        <v>39</v>
      </c>
      <c r="E667" s="4">
        <v>-32701</v>
      </c>
      <c r="F667" s="3" t="s">
        <v>40</v>
      </c>
      <c r="G667" s="3" t="s">
        <v>333</v>
      </c>
      <c r="H667" s="2" t="s">
        <v>74</v>
      </c>
      <c r="I667" s="2" t="s">
        <v>2042</v>
      </c>
      <c r="J667" s="3" t="str">
        <f>HYPERLINK("https://www.boe.es/gazeta/dias/1810/06/19/pdfs/GMD-C-1810-170.pdf#page=4","Abrir facsímil")</f>
        <v>Abrir facsímil</v>
      </c>
      <c r="K667" s="3" t="s">
        <v>76</v>
      </c>
    </row>
    <row r="668" spans="1:11" ht="42" customHeight="1">
      <c r="A668" s="2" t="s">
        <v>2043</v>
      </c>
      <c r="B668" s="2" t="s">
        <v>2044</v>
      </c>
      <c r="C668" s="2" t="s">
        <v>26</v>
      </c>
      <c r="D668" s="2" t="s">
        <v>27</v>
      </c>
      <c r="E668" s="4">
        <v>-32789</v>
      </c>
      <c r="F668" s="3" t="s">
        <v>1468</v>
      </c>
      <c r="G668" s="3" t="s">
        <v>2045</v>
      </c>
      <c r="H668" s="2" t="s">
        <v>74</v>
      </c>
      <c r="I668" s="2" t="s">
        <v>2046</v>
      </c>
      <c r="J668" s="3" t="str">
        <f>HYPERLINK("https://www.boe.es/gazeta/dias/1810/03/23/pdfs/GEI-1810-5.pdf#page=4","Abrir facsímil")</f>
        <v>Abrir facsímil</v>
      </c>
      <c r="K668" s="3" t="s">
        <v>76</v>
      </c>
    </row>
    <row r="669" spans="1:11" ht="42" customHeight="1">
      <c r="A669" s="2" t="s">
        <v>2047</v>
      </c>
      <c r="B669" s="2" t="s">
        <v>2048</v>
      </c>
      <c r="C669" s="2" t="s">
        <v>88</v>
      </c>
      <c r="D669" s="2" t="s">
        <v>39</v>
      </c>
      <c r="E669" s="4">
        <v>-32684</v>
      </c>
      <c r="F669" s="3" t="s">
        <v>372</v>
      </c>
      <c r="G669" s="3" t="s">
        <v>2049</v>
      </c>
      <c r="H669" s="2" t="s">
        <v>74</v>
      </c>
      <c r="I669" s="2" t="s">
        <v>2050</v>
      </c>
      <c r="J669" s="3" t="str">
        <f>HYPERLINK("https://www.boe.es/gazeta/dias/1810/07/06/pdfs/GEI-D-1810-42.pdf#page=7","Abrir facsímil")</f>
        <v>Abrir facsímil</v>
      </c>
      <c r="K669" s="3" t="s">
        <v>76</v>
      </c>
    </row>
    <row r="670" spans="1:11" ht="42" customHeight="1">
      <c r="A670" s="2" t="s">
        <v>2051</v>
      </c>
      <c r="B670" s="2" t="s">
        <v>2052</v>
      </c>
      <c r="C670" s="2" t="s">
        <v>88</v>
      </c>
      <c r="D670" s="2" t="s">
        <v>27</v>
      </c>
      <c r="E670" s="4">
        <v>-32710</v>
      </c>
      <c r="F670" s="3" t="s">
        <v>126</v>
      </c>
      <c r="G670" s="3" t="s">
        <v>35</v>
      </c>
      <c r="H670" s="2" t="s">
        <v>74</v>
      </c>
      <c r="I670" s="2" t="s">
        <v>2053</v>
      </c>
      <c r="J670" s="3" t="str">
        <f>HYPERLINK("https://www.boe.es/gazeta/dias/1810/06/10/pdfs/GMD-1810-161.pdf#page=2","Abrir facsímil")</f>
        <v>Abrir facsímil</v>
      </c>
      <c r="K670" s="3" t="s">
        <v>76</v>
      </c>
    </row>
    <row r="671" spans="1:11" ht="42" customHeight="1">
      <c r="A671" s="2" t="s">
        <v>2054</v>
      </c>
      <c r="B671" s="2" t="s">
        <v>2054</v>
      </c>
      <c r="C671" s="2" t="s">
        <v>17</v>
      </c>
      <c r="D671" s="2" t="s">
        <v>220</v>
      </c>
      <c r="E671" s="4">
        <v>-32662</v>
      </c>
      <c r="F671" s="3" t="s">
        <v>1487</v>
      </c>
      <c r="G671" s="3" t="s">
        <v>180</v>
      </c>
      <c r="H671" s="2" t="s">
        <v>74</v>
      </c>
      <c r="I671" s="2" t="s">
        <v>2055</v>
      </c>
      <c r="J671" s="3" t="str">
        <f>HYPERLINK("https://www.boe.es/gazeta/dias/1810/07/28/pdfs/GMD-1810-209.pdf#page=4","Abrir facsímil")</f>
        <v>Abrir facsímil</v>
      </c>
      <c r="K671" s="3" t="s">
        <v>76</v>
      </c>
    </row>
    <row r="672" spans="1:11" ht="42" customHeight="1">
      <c r="A672" s="2" t="s">
        <v>2056</v>
      </c>
      <c r="B672" s="2" t="s">
        <v>2057</v>
      </c>
      <c r="C672" s="2" t="s">
        <v>88</v>
      </c>
      <c r="D672" s="2" t="s">
        <v>27</v>
      </c>
      <c r="E672" s="4">
        <v>-32545</v>
      </c>
      <c r="F672" s="3" t="s">
        <v>165</v>
      </c>
      <c r="G672" s="3" t="s">
        <v>65</v>
      </c>
      <c r="H672" s="2" t="s">
        <v>74</v>
      </c>
      <c r="I672" s="2" t="s">
        <v>2058</v>
      </c>
      <c r="J672" s="3" t="str">
        <f>HYPERLINK("https://www.boe.es/gazeta/dias/1810/11/22/pdfs/GEI-1810-98.pdf#page=5","Abrir facsímil")</f>
        <v>Abrir facsímil</v>
      </c>
      <c r="K672" s="3" t="s">
        <v>76</v>
      </c>
    </row>
    <row r="673" spans="1:11" ht="42" customHeight="1">
      <c r="A673" s="2" t="s">
        <v>2059</v>
      </c>
      <c r="B673" s="2" t="s">
        <v>2060</v>
      </c>
      <c r="C673" s="2" t="s">
        <v>111</v>
      </c>
      <c r="D673" s="2" t="s">
        <v>18</v>
      </c>
      <c r="E673" s="4">
        <v>-32545</v>
      </c>
      <c r="F673" s="3" t="s">
        <v>165</v>
      </c>
      <c r="G673" s="3" t="s">
        <v>166</v>
      </c>
      <c r="H673" s="2" t="s">
        <v>74</v>
      </c>
      <c r="I673" s="2" t="s">
        <v>2061</v>
      </c>
      <c r="J673" s="3" t="str">
        <f>HYPERLINK("https://www.boe.es/gazeta/dias/1810/11/22/pdfs/GEI-1810-98.pdf#page=8","Abrir facsímil")</f>
        <v>Abrir facsímil</v>
      </c>
      <c r="K673" s="3" t="s">
        <v>76</v>
      </c>
    </row>
    <row r="674" spans="1:11" ht="42" customHeight="1">
      <c r="A674" s="2" t="s">
        <v>2062</v>
      </c>
      <c r="B674" s="2" t="s">
        <v>2063</v>
      </c>
      <c r="C674" s="2" t="s">
        <v>26</v>
      </c>
      <c r="D674" s="2" t="s">
        <v>39</v>
      </c>
      <c r="E674" s="4">
        <v>-32701</v>
      </c>
      <c r="F674" s="3" t="s">
        <v>40</v>
      </c>
      <c r="G674" s="3" t="s">
        <v>41</v>
      </c>
      <c r="H674" s="2" t="s">
        <v>74</v>
      </c>
      <c r="I674" s="2" t="s">
        <v>2064</v>
      </c>
      <c r="J674" s="3" t="str">
        <f>HYPERLINK("https://www.boe.es/gazeta/dias/1810/06/19/pdfs/GMD-C-1810-170.pdf#page=3","Abrir facsímil")</f>
        <v>Abrir facsímil</v>
      </c>
      <c r="K674" s="3" t="s">
        <v>76</v>
      </c>
    </row>
    <row r="675" spans="1:11" ht="42" customHeight="1">
      <c r="A675" s="2" t="s">
        <v>2065</v>
      </c>
      <c r="B675" s="2" t="s">
        <v>2066</v>
      </c>
      <c r="C675" s="2" t="s">
        <v>26</v>
      </c>
      <c r="D675" s="2" t="s">
        <v>27</v>
      </c>
      <c r="E675" s="4">
        <v>-32833</v>
      </c>
      <c r="F675" s="3" t="s">
        <v>1836</v>
      </c>
      <c r="G675" s="3" t="s">
        <v>29</v>
      </c>
      <c r="H675" s="2" t="s">
        <v>74</v>
      </c>
      <c r="I675" s="2" t="s">
        <v>2067</v>
      </c>
      <c r="J675" s="3" t="str">
        <f>HYPERLINK("https://www.boe.es/gazeta/dias/1810/02/07/pdfs/GMD-1810-38.pdf#page=4","Abrir facsímil")</f>
        <v>Abrir facsímil</v>
      </c>
      <c r="K675" s="3" t="s">
        <v>76</v>
      </c>
    </row>
    <row r="676" spans="1:11" ht="42" customHeight="1">
      <c r="A676" s="2" t="s">
        <v>2065</v>
      </c>
      <c r="B676" s="2" t="s">
        <v>2066</v>
      </c>
      <c r="C676" s="2" t="s">
        <v>111</v>
      </c>
      <c r="D676" s="2" t="s">
        <v>27</v>
      </c>
      <c r="E676" s="4">
        <v>-32805</v>
      </c>
      <c r="F676" s="3" t="s">
        <v>2068</v>
      </c>
      <c r="G676" s="3" t="s">
        <v>70</v>
      </c>
      <c r="H676" s="2" t="s">
        <v>74</v>
      </c>
      <c r="I676" s="2" t="s">
        <v>2069</v>
      </c>
      <c r="J676" s="3" t="str">
        <f>HYPERLINK("https://www.boe.es/gazeta/dias/1810/03/07/pdfs/GMD-1810-66.pdf#page=3","Abrir facsímil")</f>
        <v>Abrir facsímil</v>
      </c>
      <c r="K676" s="3" t="s">
        <v>76</v>
      </c>
    </row>
    <row r="677" spans="1:11" ht="42" customHeight="1">
      <c r="A677" s="2" t="s">
        <v>2065</v>
      </c>
      <c r="B677" s="2" t="s">
        <v>2066</v>
      </c>
      <c r="C677" s="2" t="s">
        <v>88</v>
      </c>
      <c r="D677" s="2" t="s">
        <v>117</v>
      </c>
      <c r="E677" s="4">
        <v>-32772</v>
      </c>
      <c r="F677" s="3" t="s">
        <v>398</v>
      </c>
      <c r="G677" s="3" t="s">
        <v>227</v>
      </c>
      <c r="H677" s="2" t="s">
        <v>74</v>
      </c>
      <c r="I677" s="2" t="s">
        <v>2070</v>
      </c>
      <c r="J677" s="3" t="str">
        <f>HYPERLINK("https://www.boe.es/gazeta/dias/1810/04/09/pdfs/GMD-1810-99.pdf#page=4","Abrir facsímil")</f>
        <v>Abrir facsímil</v>
      </c>
      <c r="K677" s="3" t="s">
        <v>76</v>
      </c>
    </row>
    <row r="678" spans="1:11" ht="42" customHeight="1">
      <c r="A678" s="2" t="s">
        <v>2071</v>
      </c>
      <c r="B678" s="2" t="s">
        <v>2072</v>
      </c>
      <c r="C678" s="2" t="s">
        <v>26</v>
      </c>
      <c r="D678" s="2" t="s">
        <v>18</v>
      </c>
      <c r="E678" s="4">
        <v>-32557</v>
      </c>
      <c r="F678" s="3" t="s">
        <v>837</v>
      </c>
      <c r="G678" s="3" t="s">
        <v>2073</v>
      </c>
      <c r="H678" s="2" t="s">
        <v>74</v>
      </c>
      <c r="I678" s="2" t="s">
        <v>2074</v>
      </c>
      <c r="J678" s="3" t="str">
        <f>HYPERLINK("https://www.boe.es/gazeta/dias/1810/11/10/pdfs/GEI-1810-93.pdf#page=7","Abrir facsímil")</f>
        <v>Abrir facsímil</v>
      </c>
      <c r="K678" s="3" t="s">
        <v>76</v>
      </c>
    </row>
    <row r="679" spans="1:11" ht="42" customHeight="1">
      <c r="A679" s="2" t="s">
        <v>2075</v>
      </c>
      <c r="B679" s="2" t="s">
        <v>2076</v>
      </c>
      <c r="C679" s="2" t="s">
        <v>26</v>
      </c>
      <c r="D679" s="2" t="s">
        <v>27</v>
      </c>
      <c r="E679" s="4">
        <v>-32722</v>
      </c>
      <c r="F679" s="3" t="s">
        <v>856</v>
      </c>
      <c r="G679" s="3" t="s">
        <v>2077</v>
      </c>
      <c r="H679" s="2" t="s">
        <v>74</v>
      </c>
      <c r="I679" s="2" t="s">
        <v>2078</v>
      </c>
      <c r="J679" s="3" t="str">
        <f>HYPERLINK("https://www.boe.es/gazeta/dias/1810/05/29/pdfs/GEI-1810-31.pdf#page=10","Abrir facsímil")</f>
        <v>Abrir facsímil</v>
      </c>
      <c r="K679" s="3" t="s">
        <v>76</v>
      </c>
    </row>
    <row r="680" spans="1:11" ht="42" customHeight="1">
      <c r="A680" s="2" t="s">
        <v>2079</v>
      </c>
      <c r="B680" s="2" t="s">
        <v>2080</v>
      </c>
      <c r="C680" s="2" t="s">
        <v>26</v>
      </c>
      <c r="D680" s="2" t="s">
        <v>27</v>
      </c>
      <c r="E680" s="4">
        <v>-32575</v>
      </c>
      <c r="F680" s="3" t="s">
        <v>135</v>
      </c>
      <c r="G680" s="3" t="s">
        <v>136</v>
      </c>
      <c r="H680" s="2" t="s">
        <v>74</v>
      </c>
      <c r="I680" s="2" t="s">
        <v>2081</v>
      </c>
      <c r="J680" s="3" t="str">
        <f>HYPERLINK("https://www.boe.es/gazeta/dias/1810/10/23/pdfs/GEI-1810-85.pdf#page=11","Abrir facsímil")</f>
        <v>Abrir facsímil</v>
      </c>
      <c r="K680" s="3" t="s">
        <v>76</v>
      </c>
    </row>
    <row r="681" spans="1:11" ht="42" customHeight="1">
      <c r="A681" s="2" t="s">
        <v>2082</v>
      </c>
      <c r="B681" s="2" t="s">
        <v>2083</v>
      </c>
      <c r="C681" s="2" t="s">
        <v>26</v>
      </c>
      <c r="D681" s="2" t="s">
        <v>39</v>
      </c>
      <c r="E681" s="4">
        <v>-32701</v>
      </c>
      <c r="F681" s="3" t="s">
        <v>40</v>
      </c>
      <c r="G681" s="3" t="s">
        <v>170</v>
      </c>
      <c r="H681" s="2" t="s">
        <v>74</v>
      </c>
      <c r="I681" s="2" t="s">
        <v>2084</v>
      </c>
      <c r="J681" s="3" t="str">
        <f>HYPERLINK("https://www.boe.es/gazeta/dias/1810/06/19/pdfs/GMD-C-1810-170.pdf#page=1","Abrir facsímil")</f>
        <v>Abrir facsímil</v>
      </c>
      <c r="K681" s="3" t="s">
        <v>76</v>
      </c>
    </row>
    <row r="682" spans="1:11" ht="42" customHeight="1">
      <c r="A682" s="2" t="s">
        <v>2085</v>
      </c>
      <c r="B682" s="2" t="s">
        <v>2086</v>
      </c>
      <c r="C682" s="2" t="s">
        <v>26</v>
      </c>
      <c r="D682" s="2" t="s">
        <v>27</v>
      </c>
      <c r="E682" s="4">
        <v>-32526</v>
      </c>
      <c r="F682" s="3" t="s">
        <v>530</v>
      </c>
      <c r="G682" s="3" t="s">
        <v>531</v>
      </c>
      <c r="H682" s="2" t="s">
        <v>74</v>
      </c>
      <c r="I682" s="2" t="s">
        <v>2087</v>
      </c>
      <c r="J682" s="3" t="str">
        <f>HYPERLINK("https://www.boe.es/gazeta/dias/1810/12/11/pdfs/GEI-1810-106.pdf#page=2","Abrir facsímil")</f>
        <v>Abrir facsímil</v>
      </c>
      <c r="K682" s="3" t="s">
        <v>76</v>
      </c>
    </row>
    <row r="683" spans="1:11" ht="42" customHeight="1">
      <c r="A683" s="2" t="s">
        <v>2088</v>
      </c>
      <c r="B683" s="2" t="s">
        <v>2089</v>
      </c>
      <c r="C683" s="2" t="s">
        <v>195</v>
      </c>
      <c r="D683" s="2" t="s">
        <v>27</v>
      </c>
      <c r="E683" s="4">
        <v>-32784</v>
      </c>
      <c r="F683" s="3" t="s">
        <v>429</v>
      </c>
      <c r="G683" s="3" t="s">
        <v>131</v>
      </c>
      <c r="H683" s="2" t="s">
        <v>74</v>
      </c>
      <c r="I683" s="2" t="s">
        <v>2090</v>
      </c>
      <c r="J683" s="3" t="str">
        <f>HYPERLINK("https://www.boe.es/gazeta/dias/1810/03/28/pdfs/GMD-1810-87.pdf#page=3","Abrir facsímil")</f>
        <v>Abrir facsímil</v>
      </c>
      <c r="K683" s="3" t="s">
        <v>76</v>
      </c>
    </row>
    <row r="684" spans="1:11" ht="42" customHeight="1">
      <c r="A684" s="2" t="s">
        <v>2091</v>
      </c>
      <c r="B684" s="2" t="s">
        <v>2092</v>
      </c>
      <c r="C684" s="2" t="s">
        <v>88</v>
      </c>
      <c r="D684" s="2" t="s">
        <v>18</v>
      </c>
      <c r="E684" s="4">
        <v>-32761</v>
      </c>
      <c r="F684" s="3" t="s">
        <v>2093</v>
      </c>
      <c r="G684" s="3" t="s">
        <v>2094</v>
      </c>
      <c r="H684" s="2" t="s">
        <v>74</v>
      </c>
      <c r="I684" s="2" t="s">
        <v>2095</v>
      </c>
      <c r="J684" s="3" t="str">
        <f>HYPERLINK("https://www.boe.es/gazeta/dias/1810/04/20/pdfs/GMD-1810-110.pdf#page=2","Abrir facsímil")</f>
        <v>Abrir facsímil</v>
      </c>
      <c r="K684" s="3" t="s">
        <v>76</v>
      </c>
    </row>
    <row r="685" spans="1:11" ht="42" customHeight="1">
      <c r="A685" s="2" t="s">
        <v>2096</v>
      </c>
      <c r="B685" s="2" t="s">
        <v>2097</v>
      </c>
      <c r="C685" s="2" t="s">
        <v>88</v>
      </c>
      <c r="D685" s="2" t="s">
        <v>27</v>
      </c>
      <c r="E685" s="4">
        <v>-32710</v>
      </c>
      <c r="F685" s="3" t="s">
        <v>126</v>
      </c>
      <c r="G685" s="3" t="s">
        <v>20</v>
      </c>
      <c r="H685" s="2" t="s">
        <v>74</v>
      </c>
      <c r="I685" s="2" t="s">
        <v>2098</v>
      </c>
      <c r="J685" s="3" t="str">
        <f>HYPERLINK("https://www.boe.es/gazeta/dias/1810/06/10/pdfs/GMD-1810-161.pdf#page=4","Abrir facsímil")</f>
        <v>Abrir facsímil</v>
      </c>
      <c r="K685" s="3" t="s">
        <v>76</v>
      </c>
    </row>
    <row r="686" spans="1:11" ht="42" customHeight="1">
      <c r="A686" s="2" t="s">
        <v>2099</v>
      </c>
      <c r="B686" s="2" t="s">
        <v>2100</v>
      </c>
      <c r="C686" s="2" t="s">
        <v>26</v>
      </c>
      <c r="D686" s="2" t="s">
        <v>27</v>
      </c>
      <c r="E686" s="4">
        <v>-32575</v>
      </c>
      <c r="F686" s="3" t="s">
        <v>135</v>
      </c>
      <c r="G686" s="3" t="s">
        <v>136</v>
      </c>
      <c r="H686" s="2" t="s">
        <v>74</v>
      </c>
      <c r="I686" s="2" t="s">
        <v>2101</v>
      </c>
      <c r="J686" s="3" t="str">
        <f>HYPERLINK("https://www.boe.es/gazeta/dias/1810/10/23/pdfs/GEI-1810-85.pdf#page=11","Abrir facsímil")</f>
        <v>Abrir facsímil</v>
      </c>
      <c r="K686" s="3" t="s">
        <v>76</v>
      </c>
    </row>
    <row r="687" spans="1:11" ht="42" customHeight="1">
      <c r="A687" s="2" t="s">
        <v>2102</v>
      </c>
      <c r="B687" s="2" t="s">
        <v>2103</v>
      </c>
      <c r="C687" s="2" t="s">
        <v>26</v>
      </c>
      <c r="D687" s="2" t="s">
        <v>39</v>
      </c>
      <c r="E687" s="4">
        <v>-32701</v>
      </c>
      <c r="F687" s="3" t="s">
        <v>40</v>
      </c>
      <c r="G687" s="3" t="s">
        <v>315</v>
      </c>
      <c r="H687" s="2" t="s">
        <v>74</v>
      </c>
      <c r="I687" s="2" t="s">
        <v>2104</v>
      </c>
      <c r="J687" s="3" t="str">
        <f>HYPERLINK("https://www.boe.es/gazeta/dias/1810/06/19/pdfs/GMD-C-1810-170.pdf#page=2","Abrir facsímil")</f>
        <v>Abrir facsímil</v>
      </c>
      <c r="K687" s="3" t="s">
        <v>76</v>
      </c>
    </row>
    <row r="688" spans="1:11" ht="42" customHeight="1">
      <c r="A688" s="2" t="s">
        <v>2105</v>
      </c>
      <c r="B688" s="2" t="s">
        <v>2106</v>
      </c>
      <c r="C688" s="2" t="s">
        <v>26</v>
      </c>
      <c r="D688" s="2" t="s">
        <v>27</v>
      </c>
      <c r="E688" s="4">
        <v>-32735</v>
      </c>
      <c r="F688" s="3" t="s">
        <v>612</v>
      </c>
      <c r="G688" s="3" t="s">
        <v>359</v>
      </c>
      <c r="H688" s="2" t="s">
        <v>74</v>
      </c>
      <c r="I688" s="2" t="s">
        <v>2107</v>
      </c>
      <c r="J688" s="3" t="str">
        <f>HYPERLINK("https://www.boe.es/gazeta/dias/1810/05/16/pdfs/GMD-1810-136.pdf#page=3","Abrir facsímil")</f>
        <v>Abrir facsímil</v>
      </c>
      <c r="K688" s="3" t="s">
        <v>76</v>
      </c>
    </row>
    <row r="689" spans="1:11" ht="42" customHeight="1">
      <c r="A689" s="2" t="s">
        <v>2108</v>
      </c>
      <c r="B689" s="2" t="s">
        <v>2108</v>
      </c>
      <c r="C689" s="2" t="s">
        <v>225</v>
      </c>
      <c r="D689" s="2" t="s">
        <v>27</v>
      </c>
      <c r="E689" s="4">
        <v>-32520</v>
      </c>
      <c r="F689" s="3" t="s">
        <v>2109</v>
      </c>
      <c r="G689" s="3" t="s">
        <v>2110</v>
      </c>
      <c r="H689" s="2" t="s">
        <v>74</v>
      </c>
      <c r="I689" s="2" t="s">
        <v>2111</v>
      </c>
      <c r="J689" s="3" t="str">
        <f>HYPERLINK("https://www.boe.es/gazeta/dias/1810/12/17/pdfs/GMD-1810-351.pdf#page=2","Abrir facsímil")</f>
        <v>Abrir facsímil</v>
      </c>
      <c r="K689" s="3" t="s">
        <v>76</v>
      </c>
    </row>
    <row r="690" spans="1:11" ht="42" customHeight="1">
      <c r="A690" s="2" t="s">
        <v>2112</v>
      </c>
      <c r="B690" s="2" t="s">
        <v>2113</v>
      </c>
      <c r="C690" s="2" t="s">
        <v>26</v>
      </c>
      <c r="D690" s="2" t="s">
        <v>27</v>
      </c>
      <c r="E690" s="4">
        <v>-32543</v>
      </c>
      <c r="F690" s="3" t="s">
        <v>69</v>
      </c>
      <c r="G690" s="3" t="s">
        <v>70</v>
      </c>
      <c r="H690" s="2" t="s">
        <v>74</v>
      </c>
      <c r="I690" s="2" t="s">
        <v>2114</v>
      </c>
      <c r="J690" s="3" t="str">
        <f>HYPERLINK("https://www.boe.es/gazeta/dias/1810/11/24/pdfs/GEI-1810-99.pdf#page=8","Abrir facsímil")</f>
        <v>Abrir facsímil</v>
      </c>
      <c r="K690" s="3" t="s">
        <v>76</v>
      </c>
    </row>
    <row r="691" spans="1:11" ht="42" customHeight="1">
      <c r="A691" s="2" t="s">
        <v>2115</v>
      </c>
      <c r="B691" s="2" t="s">
        <v>2116</v>
      </c>
      <c r="C691" s="2" t="s">
        <v>88</v>
      </c>
      <c r="D691" s="2" t="s">
        <v>27</v>
      </c>
      <c r="E691" s="4">
        <v>-32729</v>
      </c>
      <c r="F691" s="3" t="s">
        <v>174</v>
      </c>
      <c r="G691" s="3" t="s">
        <v>151</v>
      </c>
      <c r="H691" s="2" t="s">
        <v>74</v>
      </c>
      <c r="I691" s="2" t="s">
        <v>2117</v>
      </c>
      <c r="J691" s="3" t="str">
        <f>HYPERLINK("https://www.boe.es/gazeta/dias/1810/05/22/pdfs/GEI-1810-28.pdf#page=12","Abrir facsímil")</f>
        <v>Abrir facsímil</v>
      </c>
      <c r="K691" s="3" t="s">
        <v>76</v>
      </c>
    </row>
    <row r="692" spans="1:11" ht="42" customHeight="1">
      <c r="A692" s="2" t="s">
        <v>2118</v>
      </c>
      <c r="B692" s="2" t="s">
        <v>2119</v>
      </c>
      <c r="C692" s="2" t="s">
        <v>26</v>
      </c>
      <c r="D692" s="2" t="s">
        <v>27</v>
      </c>
      <c r="E692" s="4">
        <v>-32741</v>
      </c>
      <c r="F692" s="3" t="s">
        <v>98</v>
      </c>
      <c r="G692" s="3" t="s">
        <v>90</v>
      </c>
      <c r="H692" s="2" t="s">
        <v>74</v>
      </c>
      <c r="I692" s="2" t="s">
        <v>2120</v>
      </c>
      <c r="J692" s="3" t="str">
        <f>HYPERLINK("https://www.boe.es/gazeta/dias/1810/05/10/pdfs/GMD-1810-130.pdf#page=4","Abrir facsímil")</f>
        <v>Abrir facsímil</v>
      </c>
      <c r="K692" s="3" t="s">
        <v>76</v>
      </c>
    </row>
    <row r="693" spans="1:11" ht="42" customHeight="1">
      <c r="A693" s="2" t="s">
        <v>2121</v>
      </c>
      <c r="B693" s="2" t="s">
        <v>2122</v>
      </c>
      <c r="C693" s="2" t="s">
        <v>26</v>
      </c>
      <c r="D693" s="2" t="s">
        <v>39</v>
      </c>
      <c r="E693" s="4">
        <v>-32661</v>
      </c>
      <c r="F693" s="3" t="s">
        <v>157</v>
      </c>
      <c r="G693" s="3" t="s">
        <v>592</v>
      </c>
      <c r="H693" s="2" t="s">
        <v>74</v>
      </c>
      <c r="I693" s="2" t="s">
        <v>2123</v>
      </c>
      <c r="J693" s="3" t="str">
        <f>HYPERLINK("https://www.boe.es/gazeta/dias/1810/07/29/pdfs/GMD-C-1810-210.pdf#page=2","Abrir facsímil")</f>
        <v>Abrir facsímil</v>
      </c>
      <c r="K693" s="3" t="s">
        <v>76</v>
      </c>
    </row>
    <row r="694" spans="1:11" ht="42" customHeight="1">
      <c r="A694" s="2" t="s">
        <v>2124</v>
      </c>
      <c r="B694" s="2" t="s">
        <v>2125</v>
      </c>
      <c r="C694" s="2" t="s">
        <v>26</v>
      </c>
      <c r="D694" s="2" t="s">
        <v>39</v>
      </c>
      <c r="E694" s="4">
        <v>-32661</v>
      </c>
      <c r="F694" s="3" t="s">
        <v>157</v>
      </c>
      <c r="G694" s="3" t="s">
        <v>592</v>
      </c>
      <c r="H694" s="2" t="s">
        <v>74</v>
      </c>
      <c r="I694" s="2" t="s">
        <v>2126</v>
      </c>
      <c r="J694" s="3" t="str">
        <f>HYPERLINK("https://www.boe.es/gazeta/dias/1810/07/29/pdfs/GMD-C-1810-210.pdf#page=2","Abrir facsímil")</f>
        <v>Abrir facsímil</v>
      </c>
      <c r="K694" s="3" t="s">
        <v>76</v>
      </c>
    </row>
    <row r="695" spans="1:11" ht="42" customHeight="1">
      <c r="A695" s="2" t="s">
        <v>2127</v>
      </c>
      <c r="B695" s="2" t="s">
        <v>2128</v>
      </c>
      <c r="C695" s="2" t="s">
        <v>26</v>
      </c>
      <c r="D695" s="2" t="s">
        <v>39</v>
      </c>
      <c r="E695" s="4">
        <v>-32701</v>
      </c>
      <c r="F695" s="3" t="s">
        <v>40</v>
      </c>
      <c r="G695" s="3" t="s">
        <v>333</v>
      </c>
      <c r="H695" s="2" t="s">
        <v>74</v>
      </c>
      <c r="I695" s="2" t="s">
        <v>2129</v>
      </c>
      <c r="J695" s="3" t="str">
        <f>HYPERLINK("https://www.boe.es/gazeta/dias/1810/06/19/pdfs/GMD-C-1810-170.pdf#page=4","Abrir facsímil")</f>
        <v>Abrir facsímil</v>
      </c>
      <c r="K695" s="3" t="s">
        <v>76</v>
      </c>
    </row>
    <row r="696" spans="1:11" ht="42" customHeight="1">
      <c r="A696" s="2" t="s">
        <v>2130</v>
      </c>
      <c r="B696" s="2" t="s">
        <v>2131</v>
      </c>
      <c r="C696" s="2" t="s">
        <v>26</v>
      </c>
      <c r="D696" s="2" t="s">
        <v>27</v>
      </c>
      <c r="E696" s="4">
        <v>-32647</v>
      </c>
      <c r="F696" s="3" t="s">
        <v>118</v>
      </c>
      <c r="G696" s="3" t="s">
        <v>119</v>
      </c>
      <c r="H696" s="2" t="s">
        <v>74</v>
      </c>
      <c r="I696" s="2" t="s">
        <v>2132</v>
      </c>
      <c r="J696" s="3" t="str">
        <f>HYPERLINK("https://www.boe.es/gazeta/dias/1810/08/12/pdfs/GMD-1810-224.pdf#page=3","Abrir facsímil")</f>
        <v>Abrir facsímil</v>
      </c>
      <c r="K696" s="3" t="s">
        <v>76</v>
      </c>
    </row>
    <row r="697" spans="1:11" ht="42" customHeight="1">
      <c r="A697" s="2" t="s">
        <v>2133</v>
      </c>
      <c r="B697" s="2" t="s">
        <v>2133</v>
      </c>
      <c r="C697" s="2" t="s">
        <v>26</v>
      </c>
      <c r="D697" s="2" t="s">
        <v>27</v>
      </c>
      <c r="E697" s="4">
        <v>-32771</v>
      </c>
      <c r="F697" s="3" t="s">
        <v>543</v>
      </c>
      <c r="G697" s="3" t="s">
        <v>65</v>
      </c>
      <c r="H697" s="2" t="s">
        <v>74</v>
      </c>
      <c r="I697" s="2" t="s">
        <v>2134</v>
      </c>
      <c r="J697" s="3" t="str">
        <f>HYPERLINK("https://www.boe.es/gazeta/dias/1810/04/10/pdfs/GEI-1810-13.pdf#page=7","Abrir facsímil")</f>
        <v>Abrir facsímil</v>
      </c>
      <c r="K697" s="3" t="s">
        <v>76</v>
      </c>
    </row>
    <row r="698" spans="1:11" ht="42" customHeight="1">
      <c r="A698" s="2" t="s">
        <v>2135</v>
      </c>
      <c r="B698" s="2" t="s">
        <v>2136</v>
      </c>
      <c r="C698" s="2" t="s">
        <v>33</v>
      </c>
      <c r="D698" s="2" t="s">
        <v>27</v>
      </c>
      <c r="E698" s="4">
        <v>-32632</v>
      </c>
      <c r="F698" s="3" t="s">
        <v>358</v>
      </c>
      <c r="G698" s="3" t="s">
        <v>359</v>
      </c>
      <c r="H698" s="2" t="s">
        <v>74</v>
      </c>
      <c r="I698" s="2" t="s">
        <v>2137</v>
      </c>
      <c r="J698" s="3" t="str">
        <f>HYPERLINK("https://www.boe.es/gazeta/dias/1810/08/27/pdfs/GMD-1810-239.pdf#page=3","Abrir facsímil")</f>
        <v>Abrir facsímil</v>
      </c>
      <c r="K698" s="3" t="s">
        <v>76</v>
      </c>
    </row>
    <row r="699" spans="1:11" ht="42" customHeight="1">
      <c r="A699" s="2" t="s">
        <v>2138</v>
      </c>
      <c r="B699" s="2" t="s">
        <v>2138</v>
      </c>
      <c r="C699" s="2" t="s">
        <v>26</v>
      </c>
      <c r="D699" s="2" t="s">
        <v>27</v>
      </c>
      <c r="E699" s="4">
        <v>-32575</v>
      </c>
      <c r="F699" s="3" t="s">
        <v>135</v>
      </c>
      <c r="G699" s="3" t="s">
        <v>136</v>
      </c>
      <c r="H699" s="2" t="s">
        <v>74</v>
      </c>
      <c r="I699" s="2" t="s">
        <v>2139</v>
      </c>
      <c r="J699" s="3" t="str">
        <f>HYPERLINK("https://www.boe.es/gazeta/dias/1810/10/23/pdfs/GEI-1810-85.pdf#page=11","Abrir facsímil")</f>
        <v>Abrir facsímil</v>
      </c>
      <c r="K699" s="3" t="s">
        <v>76</v>
      </c>
    </row>
    <row r="700" spans="1:11" ht="42" customHeight="1">
      <c r="A700" s="2" t="s">
        <v>2140</v>
      </c>
      <c r="B700" s="2" t="s">
        <v>2140</v>
      </c>
      <c r="C700" s="2" t="s">
        <v>26</v>
      </c>
      <c r="D700" s="2" t="s">
        <v>27</v>
      </c>
      <c r="E700" s="4">
        <v>-32730</v>
      </c>
      <c r="F700" s="3" t="s">
        <v>50</v>
      </c>
      <c r="G700" s="3" t="s">
        <v>20</v>
      </c>
      <c r="H700" s="2" t="s">
        <v>74</v>
      </c>
      <c r="I700" s="2" t="s">
        <v>2141</v>
      </c>
      <c r="J700" s="3" t="str">
        <f>HYPERLINK("https://www.boe.es/gazeta/dias/1810/05/21/pdfs/GMD-1810-141.pdf#page=4","Abrir facsímil")</f>
        <v>Abrir facsímil</v>
      </c>
      <c r="K700" s="3" t="s">
        <v>76</v>
      </c>
    </row>
    <row r="701" spans="1:11" ht="42" customHeight="1">
      <c r="A701" s="2" t="s">
        <v>2140</v>
      </c>
      <c r="B701" s="2" t="s">
        <v>2140</v>
      </c>
      <c r="C701" s="2" t="s">
        <v>88</v>
      </c>
      <c r="D701" s="2" t="s">
        <v>27</v>
      </c>
      <c r="E701" s="4">
        <v>-32690</v>
      </c>
      <c r="F701" s="3" t="s">
        <v>2142</v>
      </c>
      <c r="G701" s="3" t="s">
        <v>29</v>
      </c>
      <c r="H701" s="2" t="s">
        <v>74</v>
      </c>
      <c r="I701" s="2" t="s">
        <v>2143</v>
      </c>
      <c r="J701" s="3" t="str">
        <f>HYPERLINK("https://www.boe.es/gazeta/dias/1810/06/30/pdfs/GMD-1810-181.pdf#page=4","Abrir facsímil")</f>
        <v>Abrir facsímil</v>
      </c>
      <c r="K701" s="3" t="s">
        <v>76</v>
      </c>
    </row>
    <row r="702" spans="1:11" ht="42" customHeight="1">
      <c r="A702" s="2" t="s">
        <v>2140</v>
      </c>
      <c r="B702" s="2" t="s">
        <v>2140</v>
      </c>
      <c r="C702" s="2" t="s">
        <v>88</v>
      </c>
      <c r="D702" s="2" t="s">
        <v>27</v>
      </c>
      <c r="E702" s="4">
        <v>-32653</v>
      </c>
      <c r="F702" s="3" t="s">
        <v>1043</v>
      </c>
      <c r="G702" s="3" t="s">
        <v>90</v>
      </c>
      <c r="H702" s="2" t="s">
        <v>74</v>
      </c>
      <c r="I702" s="2" t="s">
        <v>2144</v>
      </c>
      <c r="J702" s="3" t="str">
        <f>HYPERLINK("https://www.boe.es/gazeta/dias/1810/08/06/pdfs/GMD-1810-218.pdf#page=4","Abrir facsímil")</f>
        <v>Abrir facsímil</v>
      </c>
      <c r="K702" s="3" t="s">
        <v>76</v>
      </c>
    </row>
    <row r="703" spans="1:11" ht="42" customHeight="1">
      <c r="A703" s="2" t="s">
        <v>2140</v>
      </c>
      <c r="B703" s="2" t="s">
        <v>2140</v>
      </c>
      <c r="C703" s="2" t="s">
        <v>26</v>
      </c>
      <c r="D703" s="2" t="s">
        <v>18</v>
      </c>
      <c r="E703" s="4">
        <v>-32566</v>
      </c>
      <c r="F703" s="3" t="s">
        <v>405</v>
      </c>
      <c r="G703" s="3" t="s">
        <v>99</v>
      </c>
      <c r="H703" s="2" t="s">
        <v>74</v>
      </c>
      <c r="I703" s="2" t="s">
        <v>2145</v>
      </c>
      <c r="J703" s="3" t="str">
        <f>HYPERLINK("https://www.boe.es/gazeta/dias/1810/11/01/pdfs/GMD-1810-305.pdf#page=3","Abrir facsímil")</f>
        <v>Abrir facsímil</v>
      </c>
      <c r="K703" s="3" t="s">
        <v>76</v>
      </c>
    </row>
    <row r="704" spans="1:11" ht="42" customHeight="1">
      <c r="A704" s="2" t="s">
        <v>2146</v>
      </c>
      <c r="B704" s="2" t="s">
        <v>2146</v>
      </c>
      <c r="C704" s="2" t="s">
        <v>111</v>
      </c>
      <c r="D704" s="2" t="s">
        <v>27</v>
      </c>
      <c r="E704" s="4">
        <v>-32608</v>
      </c>
      <c r="F704" s="3" t="s">
        <v>781</v>
      </c>
      <c r="G704" s="3" t="s">
        <v>2147</v>
      </c>
      <c r="H704" s="2" t="s">
        <v>74</v>
      </c>
      <c r="I704" s="2" t="s">
        <v>2148</v>
      </c>
      <c r="J704" s="3" t="str">
        <f>HYPERLINK("https://www.boe.es/gazeta/dias/1810/09/20/pdfs/GEI-1810-70.pdf#page=6","Abrir facsímil")</f>
        <v>Abrir facsímil</v>
      </c>
      <c r="K704" s="3" t="s">
        <v>76</v>
      </c>
    </row>
    <row r="705" spans="1:11" ht="42" customHeight="1">
      <c r="A705" s="2" t="s">
        <v>2149</v>
      </c>
      <c r="B705" s="2" t="s">
        <v>2149</v>
      </c>
      <c r="C705" s="2" t="s">
        <v>88</v>
      </c>
      <c r="D705" s="2" t="s">
        <v>27</v>
      </c>
      <c r="E705" s="4">
        <v>-32649</v>
      </c>
      <c r="F705" s="3" t="s">
        <v>190</v>
      </c>
      <c r="G705" s="3" t="s">
        <v>2150</v>
      </c>
      <c r="H705" s="2" t="s">
        <v>74</v>
      </c>
      <c r="I705" s="2" t="s">
        <v>2151</v>
      </c>
      <c r="J705" s="3" t="str">
        <f>HYPERLINK("https://www.boe.es/gazeta/dias/1810/08/10/pdfs/GEI-1810-54.pdf#page=8","Abrir facsímil")</f>
        <v>Abrir facsímil</v>
      </c>
      <c r="K705" s="3" t="s">
        <v>76</v>
      </c>
    </row>
    <row r="706" spans="1:11" ht="42" customHeight="1">
      <c r="A706" s="2" t="s">
        <v>2152</v>
      </c>
      <c r="B706" s="2" t="s">
        <v>2153</v>
      </c>
      <c r="C706" s="2" t="s">
        <v>88</v>
      </c>
      <c r="D706" s="2" t="s">
        <v>117</v>
      </c>
      <c r="E706" s="4">
        <v>-32848</v>
      </c>
      <c r="F706" s="3" t="s">
        <v>558</v>
      </c>
      <c r="G706" s="3" t="s">
        <v>559</v>
      </c>
      <c r="H706" s="2" t="s">
        <v>74</v>
      </c>
      <c r="I706" s="2" t="s">
        <v>2154</v>
      </c>
      <c r="J706" s="3" t="str">
        <f>HYPERLINK("https://www.boe.es/gazeta/dias/1810/01/23/pdfs/GGB-1810-10.pdf#page=7","Abrir facsímil")</f>
        <v>Abrir facsímil</v>
      </c>
      <c r="K706" s="3" t="s">
        <v>76</v>
      </c>
    </row>
    <row r="707" spans="1:11" ht="42" customHeight="1">
      <c r="A707" s="2" t="s">
        <v>2155</v>
      </c>
      <c r="B707" s="2" t="s">
        <v>2156</v>
      </c>
      <c r="C707" s="2" t="s">
        <v>26</v>
      </c>
      <c r="D707" s="2" t="s">
        <v>39</v>
      </c>
      <c r="E707" s="4">
        <v>-32701</v>
      </c>
      <c r="F707" s="3" t="s">
        <v>40</v>
      </c>
      <c r="G707" s="3" t="s">
        <v>315</v>
      </c>
      <c r="H707" s="2" t="s">
        <v>74</v>
      </c>
      <c r="I707" s="2" t="s">
        <v>2157</v>
      </c>
      <c r="J707" s="3" t="str">
        <f>HYPERLINK("https://www.boe.es/gazeta/dias/1810/06/19/pdfs/GMD-C-1810-170.pdf#page=2","Abrir facsímil")</f>
        <v>Abrir facsímil</v>
      </c>
      <c r="K707" s="3" t="s">
        <v>76</v>
      </c>
    </row>
    <row r="708" spans="1:11" ht="42" customHeight="1">
      <c r="A708" s="2" t="s">
        <v>2158</v>
      </c>
      <c r="B708" s="2" t="s">
        <v>2158</v>
      </c>
      <c r="C708" s="2" t="s">
        <v>26</v>
      </c>
      <c r="D708" s="2" t="s">
        <v>39</v>
      </c>
      <c r="E708" s="4">
        <v>-32661</v>
      </c>
      <c r="F708" s="3" t="s">
        <v>157</v>
      </c>
      <c r="G708" s="3" t="s">
        <v>158</v>
      </c>
      <c r="H708" s="2" t="s">
        <v>74</v>
      </c>
      <c r="I708" s="2" t="s">
        <v>2159</v>
      </c>
      <c r="J708" s="3" t="str">
        <f>HYPERLINK("https://www.boe.es/gazeta/dias/1810/07/29/pdfs/GMD-C-1810-210.pdf#page=1","Abrir facsímil")</f>
        <v>Abrir facsímil</v>
      </c>
      <c r="K708" s="3" t="s">
        <v>76</v>
      </c>
    </row>
    <row r="709" spans="1:11" ht="42" customHeight="1">
      <c r="A709" s="2" t="s">
        <v>2160</v>
      </c>
      <c r="B709" s="2" t="s">
        <v>2160</v>
      </c>
      <c r="C709" s="2" t="s">
        <v>88</v>
      </c>
      <c r="D709" s="2" t="s">
        <v>117</v>
      </c>
      <c r="E709" s="4">
        <v>-32766</v>
      </c>
      <c r="F709" s="3" t="s">
        <v>492</v>
      </c>
      <c r="G709" s="3" t="s">
        <v>493</v>
      </c>
      <c r="H709" s="2" t="s">
        <v>74</v>
      </c>
      <c r="I709" s="2" t="s">
        <v>2161</v>
      </c>
      <c r="J709" s="3" t="str">
        <f>HYPERLINK("https://www.boe.es/gazeta/dias/1810/04/15/pdfs/GMD-1810-105.pdf#page=4","Abrir facsímil")</f>
        <v>Abrir facsímil</v>
      </c>
      <c r="K709" s="3" t="s">
        <v>76</v>
      </c>
    </row>
    <row r="710" spans="1:11" ht="42" customHeight="1">
      <c r="A710" s="2" t="s">
        <v>2162</v>
      </c>
      <c r="B710" s="2" t="s">
        <v>2162</v>
      </c>
      <c r="C710" s="2" t="s">
        <v>225</v>
      </c>
      <c r="D710" s="2" t="s">
        <v>117</v>
      </c>
      <c r="E710" s="4">
        <v>-32603</v>
      </c>
      <c r="F710" s="3" t="s">
        <v>2163</v>
      </c>
      <c r="G710" s="3" t="s">
        <v>140</v>
      </c>
      <c r="H710" s="2" t="s">
        <v>74</v>
      </c>
      <c r="I710" s="2" t="s">
        <v>2164</v>
      </c>
      <c r="J710" s="3" t="str">
        <f>HYPERLINK("https://www.boe.es/gazeta/dias/1810/09/25/pdfs/GEI-1810-72.pdf#page=1","Abrir facsímil")</f>
        <v>Abrir facsímil</v>
      </c>
      <c r="K710" s="3" t="s">
        <v>76</v>
      </c>
    </row>
    <row r="711" spans="1:11" ht="42" customHeight="1">
      <c r="A711" s="2" t="s">
        <v>2165</v>
      </c>
      <c r="B711" s="2" t="s">
        <v>2165</v>
      </c>
      <c r="C711" s="2" t="s">
        <v>88</v>
      </c>
      <c r="D711" s="2" t="s">
        <v>117</v>
      </c>
      <c r="E711" s="4">
        <v>-32694</v>
      </c>
      <c r="F711" s="3" t="s">
        <v>2166</v>
      </c>
      <c r="G711" s="3" t="s">
        <v>20</v>
      </c>
      <c r="H711" s="2" t="s">
        <v>74</v>
      </c>
      <c r="I711" s="2" t="s">
        <v>2167</v>
      </c>
      <c r="J711" s="3" t="str">
        <f>HYPERLINK("https://www.boe.es/gazeta/dias/1810/06/26/pdfs/GMD-1810-177.pdf#page=4","Abrir facsímil")</f>
        <v>Abrir facsímil</v>
      </c>
      <c r="K711" s="3" t="s">
        <v>76</v>
      </c>
    </row>
    <row r="712" spans="1:11" ht="42" customHeight="1">
      <c r="A712" s="2" t="s">
        <v>2168</v>
      </c>
      <c r="B712" s="2" t="s">
        <v>2168</v>
      </c>
      <c r="C712" s="2" t="s">
        <v>88</v>
      </c>
      <c r="D712" s="2" t="s">
        <v>27</v>
      </c>
      <c r="E712" s="4">
        <v>-32529</v>
      </c>
      <c r="F712" s="3" t="s">
        <v>112</v>
      </c>
      <c r="G712" s="3" t="s">
        <v>2169</v>
      </c>
      <c r="H712" s="2" t="s">
        <v>74</v>
      </c>
      <c r="I712" s="2" t="s">
        <v>2170</v>
      </c>
      <c r="J712" s="3" t="str">
        <f>HYPERLINK("https://www.boe.es/gazeta/dias/1810/12/08/pdfs/GEI-1810-105.pdf#page=5","Abrir facsímil")</f>
        <v>Abrir facsímil</v>
      </c>
      <c r="K712" s="3" t="s">
        <v>76</v>
      </c>
    </row>
    <row r="713" spans="1:11" ht="42" customHeight="1">
      <c r="A713" s="2" t="s">
        <v>2171</v>
      </c>
      <c r="B713" s="2" t="s">
        <v>2171</v>
      </c>
      <c r="C713" s="2" t="s">
        <v>88</v>
      </c>
      <c r="D713" s="2" t="s">
        <v>117</v>
      </c>
      <c r="E713" s="4">
        <v>-32708</v>
      </c>
      <c r="F713" s="3" t="s">
        <v>1601</v>
      </c>
      <c r="G713" s="3" t="s">
        <v>2172</v>
      </c>
      <c r="H713" s="2" t="s">
        <v>74</v>
      </c>
      <c r="I713" s="2" t="s">
        <v>2173</v>
      </c>
      <c r="J713" s="3" t="str">
        <f>HYPERLINK("https://www.boe.es/gazeta/dias/1810/06/12/pdfs/GEI-D-1810-35.pdf#page=3","Abrir facsímil")</f>
        <v>Abrir facsímil</v>
      </c>
      <c r="K713" s="3" t="s">
        <v>76</v>
      </c>
    </row>
    <row r="714" spans="1:11" ht="42" customHeight="1">
      <c r="A714" s="2" t="s">
        <v>2171</v>
      </c>
      <c r="B714" s="2" t="s">
        <v>2171</v>
      </c>
      <c r="C714" s="2" t="s">
        <v>88</v>
      </c>
      <c r="D714" s="2" t="s">
        <v>117</v>
      </c>
      <c r="E714" s="4">
        <v>-32673</v>
      </c>
      <c r="F714" s="3" t="s">
        <v>2174</v>
      </c>
      <c r="G714" s="3" t="s">
        <v>90</v>
      </c>
      <c r="H714" s="2" t="s">
        <v>74</v>
      </c>
      <c r="I714" s="2" t="s">
        <v>2175</v>
      </c>
      <c r="J714" s="3" t="str">
        <f>HYPERLINK("https://www.boe.es/gazeta/dias/1810/07/17/pdfs/GEI-1810-45.pdf#page=9","Abrir facsímil")</f>
        <v>Abrir facsímil</v>
      </c>
      <c r="K714" s="3" t="s">
        <v>76</v>
      </c>
    </row>
    <row r="715" spans="1:11" ht="42" customHeight="1">
      <c r="A715" s="2" t="s">
        <v>2171</v>
      </c>
      <c r="B715" s="2" t="s">
        <v>2171</v>
      </c>
      <c r="C715" s="2" t="s">
        <v>88</v>
      </c>
      <c r="D715" s="2" t="s">
        <v>27</v>
      </c>
      <c r="E715" s="4">
        <v>-32624</v>
      </c>
      <c r="F715" s="3" t="s">
        <v>2176</v>
      </c>
      <c r="G715" s="3" t="s">
        <v>2177</v>
      </c>
      <c r="H715" s="2" t="s">
        <v>74</v>
      </c>
      <c r="I715" s="2" t="s">
        <v>2178</v>
      </c>
      <c r="J715" s="3" t="str">
        <f>HYPERLINK("https://www.boe.es/gazeta/dias/1810/09/04/pdfs/GEI-1810-64.pdf#page=2","Abrir facsímil")</f>
        <v>Abrir facsímil</v>
      </c>
      <c r="K715" s="3" t="s">
        <v>76</v>
      </c>
    </row>
    <row r="716" spans="1:11" ht="42" customHeight="1">
      <c r="A716" s="2" t="s">
        <v>2171</v>
      </c>
      <c r="B716" s="2" t="s">
        <v>2171</v>
      </c>
      <c r="C716" s="2" t="s">
        <v>88</v>
      </c>
      <c r="D716" s="2" t="s">
        <v>27</v>
      </c>
      <c r="E716" s="4">
        <v>-32614</v>
      </c>
      <c r="F716" s="3" t="s">
        <v>1083</v>
      </c>
      <c r="G716" s="3" t="s">
        <v>2179</v>
      </c>
      <c r="H716" s="2" t="s">
        <v>74</v>
      </c>
      <c r="I716" s="2" t="s">
        <v>2180</v>
      </c>
      <c r="J716" s="3" t="str">
        <f>HYPERLINK("https://www.boe.es/gazeta/dias/1810/09/14/pdfs/GEI-1810-67.pdf#page=3","Abrir facsímil")</f>
        <v>Abrir facsímil</v>
      </c>
      <c r="K716" s="3" t="s">
        <v>76</v>
      </c>
    </row>
    <row r="717" spans="1:11" ht="42" customHeight="1">
      <c r="A717" s="2" t="s">
        <v>2171</v>
      </c>
      <c r="B717" s="2" t="s">
        <v>2171</v>
      </c>
      <c r="C717" s="2" t="s">
        <v>88</v>
      </c>
      <c r="D717" s="2" t="s">
        <v>27</v>
      </c>
      <c r="E717" s="4">
        <v>-32601</v>
      </c>
      <c r="F717" s="3" t="s">
        <v>2181</v>
      </c>
      <c r="G717" s="3" t="s">
        <v>2182</v>
      </c>
      <c r="H717" s="2" t="s">
        <v>74</v>
      </c>
      <c r="I717" s="2" t="s">
        <v>2183</v>
      </c>
      <c r="J717" s="3" t="str">
        <f>HYPERLINK("https://www.boe.es/gazeta/dias/1810/09/27/pdfs/GEI-1810-73.pdf#page=4","Abrir facsímil")</f>
        <v>Abrir facsímil</v>
      </c>
      <c r="K717" s="3" t="s">
        <v>76</v>
      </c>
    </row>
    <row r="718" spans="1:11" ht="42" customHeight="1">
      <c r="A718" s="2" t="s">
        <v>2171</v>
      </c>
      <c r="B718" s="2" t="s">
        <v>2171</v>
      </c>
      <c r="C718" s="2" t="s">
        <v>88</v>
      </c>
      <c r="D718" s="2" t="s">
        <v>27</v>
      </c>
      <c r="E718" s="4">
        <v>-32529</v>
      </c>
      <c r="F718" s="3" t="s">
        <v>112</v>
      </c>
      <c r="G718" s="3" t="s">
        <v>2184</v>
      </c>
      <c r="H718" s="2" t="s">
        <v>74</v>
      </c>
      <c r="I718" s="2" t="s">
        <v>2185</v>
      </c>
      <c r="J718" s="3" t="str">
        <f>HYPERLINK("https://www.boe.es/gazeta/dias/1810/12/08/pdfs/GEI-1810-105.pdf#page=7","Abrir facsímil")</f>
        <v>Abrir facsímil</v>
      </c>
      <c r="K718" s="3" t="s">
        <v>76</v>
      </c>
    </row>
    <row r="719" spans="1:11" ht="42" customHeight="1">
      <c r="A719" s="2" t="s">
        <v>2171</v>
      </c>
      <c r="B719" s="2" t="s">
        <v>2171</v>
      </c>
      <c r="C719" s="2" t="s">
        <v>88</v>
      </c>
      <c r="D719" s="2" t="s">
        <v>27</v>
      </c>
      <c r="E719" s="4">
        <v>-32517</v>
      </c>
      <c r="F719" s="3" t="s">
        <v>566</v>
      </c>
      <c r="G719" s="3" t="s">
        <v>2186</v>
      </c>
      <c r="H719" s="2" t="s">
        <v>74</v>
      </c>
      <c r="I719" s="2" t="s">
        <v>2187</v>
      </c>
      <c r="J719" s="3" t="str">
        <f>HYPERLINK("https://www.boe.es/gazeta/dias/1810/12/20/pdfs/GEI-1810-110.pdf#page=6","Abrir facsímil")</f>
        <v>Abrir facsímil</v>
      </c>
      <c r="K719" s="3" t="s">
        <v>76</v>
      </c>
    </row>
    <row r="720" spans="1:11" ht="42" customHeight="1">
      <c r="A720" s="2" t="s">
        <v>2188</v>
      </c>
      <c r="B720" s="2" t="s">
        <v>2188</v>
      </c>
      <c r="C720" s="2" t="s">
        <v>88</v>
      </c>
      <c r="D720" s="2" t="s">
        <v>27</v>
      </c>
      <c r="E720" s="4">
        <v>-32694</v>
      </c>
      <c r="F720" s="3" t="s">
        <v>2189</v>
      </c>
      <c r="G720" s="3" t="s">
        <v>2190</v>
      </c>
      <c r="H720" s="2" t="s">
        <v>74</v>
      </c>
      <c r="I720" s="2" t="s">
        <v>2191</v>
      </c>
      <c r="J720" s="3" t="str">
        <f>HYPERLINK("https://www.boe.es/gazeta/dias/1810/06/26/pdfs/GEI-1810-39.pdf#page=5","Abrir facsímil")</f>
        <v>Abrir facsímil</v>
      </c>
      <c r="K720" s="3" t="s">
        <v>76</v>
      </c>
    </row>
    <row r="721" spans="1:11" ht="42" customHeight="1">
      <c r="A721" s="2" t="s">
        <v>2192</v>
      </c>
      <c r="B721" s="2" t="s">
        <v>2192</v>
      </c>
      <c r="C721" s="2" t="s">
        <v>88</v>
      </c>
      <c r="D721" s="2" t="s">
        <v>220</v>
      </c>
      <c r="E721" s="4">
        <v>-32824</v>
      </c>
      <c r="F721" s="3" t="s">
        <v>2193</v>
      </c>
      <c r="G721" s="3" t="s">
        <v>70</v>
      </c>
      <c r="H721" s="2" t="s">
        <v>74</v>
      </c>
      <c r="I721" s="2" t="s">
        <v>2194</v>
      </c>
      <c r="J721" s="3" t="str">
        <f>HYPERLINK("https://www.boe.es/gazeta/dias/1810/02/16/pdfs/GMD-1810-47.pdf#page=1","Abrir facsímil")</f>
        <v>Abrir facsímil</v>
      </c>
      <c r="K721" s="3" t="s">
        <v>76</v>
      </c>
    </row>
    <row r="722" spans="1:11" ht="42" customHeight="1">
      <c r="A722" s="2" t="s">
        <v>2195</v>
      </c>
      <c r="B722" s="2" t="s">
        <v>2196</v>
      </c>
      <c r="C722" s="2" t="s">
        <v>88</v>
      </c>
      <c r="D722" s="2" t="s">
        <v>117</v>
      </c>
      <c r="E722" s="4">
        <v>-32645</v>
      </c>
      <c r="F722" s="3" t="s">
        <v>122</v>
      </c>
      <c r="G722" s="3" t="s">
        <v>147</v>
      </c>
      <c r="H722" s="2" t="s">
        <v>21</v>
      </c>
      <c r="I722" s="2" t="s">
        <v>2197</v>
      </c>
      <c r="J722" s="3" t="str">
        <f>HYPERLINK("https://www.boe.es/gazeta/dias/1810/08/14/pdfs/GEI-1810-56.pdf#page=16","Abrir facsímil")</f>
        <v>Abrir facsímil</v>
      </c>
      <c r="K722" s="3" t="s">
        <v>23</v>
      </c>
    </row>
    <row r="723" spans="1:11" ht="42" customHeight="1">
      <c r="A723" s="2" t="s">
        <v>2198</v>
      </c>
      <c r="B723" s="2" t="s">
        <v>2199</v>
      </c>
      <c r="C723" s="2" t="s">
        <v>26</v>
      </c>
      <c r="D723" s="2" t="s">
        <v>27</v>
      </c>
      <c r="E723" s="4">
        <v>-32784</v>
      </c>
      <c r="F723" s="3" t="s">
        <v>429</v>
      </c>
      <c r="G723" s="3" t="s">
        <v>1821</v>
      </c>
      <c r="H723" s="2" t="s">
        <v>74</v>
      </c>
      <c r="I723" s="2" t="s">
        <v>2200</v>
      </c>
      <c r="J723" s="3" t="str">
        <f>HYPERLINK("https://www.boe.es/gazeta/dias/1810/03/28/pdfs/GMD-1810-87.pdf#page=4","Abrir facsímil")</f>
        <v>Abrir facsímil</v>
      </c>
      <c r="K723" s="3" t="s">
        <v>76</v>
      </c>
    </row>
    <row r="724" spans="1:11" ht="42" customHeight="1">
      <c r="A724" s="2" t="s">
        <v>2201</v>
      </c>
      <c r="B724" s="2" t="s">
        <v>2202</v>
      </c>
      <c r="C724" s="2" t="s">
        <v>88</v>
      </c>
      <c r="D724" s="2" t="s">
        <v>117</v>
      </c>
      <c r="E724" s="4">
        <v>-32771</v>
      </c>
      <c r="F724" s="3" t="s">
        <v>543</v>
      </c>
      <c r="G724" s="3" t="s">
        <v>274</v>
      </c>
      <c r="H724" s="2" t="s">
        <v>74</v>
      </c>
      <c r="I724" s="2" t="s">
        <v>2203</v>
      </c>
      <c r="J724" s="3" t="str">
        <f>HYPERLINK("https://www.boe.es/gazeta/dias/1810/04/10/pdfs/GEI-1810-13.pdf#page=8","Abrir facsímil")</f>
        <v>Abrir facsímil</v>
      </c>
      <c r="K724" s="3" t="s">
        <v>76</v>
      </c>
    </row>
    <row r="725" spans="1:11" ht="42" customHeight="1">
      <c r="A725" s="2" t="s">
        <v>2204</v>
      </c>
      <c r="B725" s="2" t="s">
        <v>2205</v>
      </c>
      <c r="C725" s="2" t="s">
        <v>26</v>
      </c>
      <c r="D725" s="2" t="s">
        <v>27</v>
      </c>
      <c r="E725" s="4">
        <v>-32729</v>
      </c>
      <c r="F725" s="3" t="s">
        <v>174</v>
      </c>
      <c r="G725" s="3" t="s">
        <v>886</v>
      </c>
      <c r="H725" s="2" t="s">
        <v>74</v>
      </c>
      <c r="I725" s="2" t="s">
        <v>2206</v>
      </c>
      <c r="J725" s="3" t="str">
        <f>HYPERLINK("https://www.boe.es/gazeta/dias/1810/05/22/pdfs/GEI-1810-28.pdf#page=11","Abrir facsímil")</f>
        <v>Abrir facsímil</v>
      </c>
      <c r="K725" s="3" t="s">
        <v>76</v>
      </c>
    </row>
    <row r="726" spans="1:11" ht="42" customHeight="1">
      <c r="A726" s="2" t="s">
        <v>2207</v>
      </c>
      <c r="B726" s="2" t="s">
        <v>2208</v>
      </c>
      <c r="C726" s="2" t="s">
        <v>111</v>
      </c>
      <c r="D726" s="2" t="s">
        <v>27</v>
      </c>
      <c r="E726" s="4">
        <v>-32647</v>
      </c>
      <c r="F726" s="3" t="s">
        <v>118</v>
      </c>
      <c r="G726" s="3" t="s">
        <v>119</v>
      </c>
      <c r="H726" s="2" t="s">
        <v>74</v>
      </c>
      <c r="I726" s="2" t="s">
        <v>2209</v>
      </c>
      <c r="J726" s="3" t="str">
        <f>HYPERLINK("https://www.boe.es/gazeta/dias/1810/08/12/pdfs/GMD-1810-224.pdf#page=3","Abrir facsímil")</f>
        <v>Abrir facsímil</v>
      </c>
      <c r="K726" s="3" t="s">
        <v>76</v>
      </c>
    </row>
    <row r="727" spans="1:11" ht="42" customHeight="1">
      <c r="A727" s="2" t="s">
        <v>2210</v>
      </c>
      <c r="B727" s="2" t="s">
        <v>2211</v>
      </c>
      <c r="C727" s="2" t="s">
        <v>26</v>
      </c>
      <c r="D727" s="2" t="s">
        <v>27</v>
      </c>
      <c r="E727" s="4">
        <v>-32710</v>
      </c>
      <c r="F727" s="3" t="s">
        <v>126</v>
      </c>
      <c r="G727" s="3" t="s">
        <v>20</v>
      </c>
      <c r="H727" s="2" t="s">
        <v>74</v>
      </c>
      <c r="I727" s="2" t="s">
        <v>2212</v>
      </c>
      <c r="J727" s="3" t="str">
        <f>HYPERLINK("https://www.boe.es/gazeta/dias/1810/06/10/pdfs/GMD-1810-161.pdf#page=4","Abrir facsímil")</f>
        <v>Abrir facsímil</v>
      </c>
      <c r="K727" s="3" t="s">
        <v>76</v>
      </c>
    </row>
    <row r="728" spans="1:11" ht="42" customHeight="1">
      <c r="A728" s="2" t="s">
        <v>2213</v>
      </c>
      <c r="B728" s="2" t="s">
        <v>2214</v>
      </c>
      <c r="C728" s="2" t="s">
        <v>26</v>
      </c>
      <c r="D728" s="2" t="s">
        <v>27</v>
      </c>
      <c r="E728" s="4">
        <v>-32647</v>
      </c>
      <c r="F728" s="3" t="s">
        <v>118</v>
      </c>
      <c r="G728" s="3" t="s">
        <v>119</v>
      </c>
      <c r="H728" s="2" t="s">
        <v>74</v>
      </c>
      <c r="I728" s="2" t="s">
        <v>2215</v>
      </c>
      <c r="J728" s="3" t="str">
        <f>HYPERLINK("https://www.boe.es/gazeta/dias/1810/08/12/pdfs/GMD-1810-224.pdf#page=3","Abrir facsímil")</f>
        <v>Abrir facsímil</v>
      </c>
      <c r="K728" s="3" t="s">
        <v>76</v>
      </c>
    </row>
    <row r="729" spans="1:11" ht="42" customHeight="1">
      <c r="A729" s="2" t="s">
        <v>2216</v>
      </c>
      <c r="B729" s="2" t="s">
        <v>2217</v>
      </c>
      <c r="C729" s="2" t="s">
        <v>26</v>
      </c>
      <c r="D729" s="2" t="s">
        <v>27</v>
      </c>
      <c r="E729" s="4">
        <v>-32526</v>
      </c>
      <c r="F729" s="3" t="s">
        <v>530</v>
      </c>
      <c r="G729" s="3" t="s">
        <v>531</v>
      </c>
      <c r="H729" s="2" t="s">
        <v>74</v>
      </c>
      <c r="I729" s="2" t="s">
        <v>2218</v>
      </c>
      <c r="J729" s="3" t="str">
        <f>HYPERLINK("https://www.boe.es/gazeta/dias/1810/12/11/pdfs/GEI-1810-106.pdf#page=2","Abrir facsímil")</f>
        <v>Abrir facsímil</v>
      </c>
      <c r="K729" s="3" t="s">
        <v>76</v>
      </c>
    </row>
    <row r="730" spans="1:11" ht="42" customHeight="1">
      <c r="A730" s="2" t="s">
        <v>2219</v>
      </c>
      <c r="B730" s="2" t="s">
        <v>2219</v>
      </c>
      <c r="C730" s="2" t="s">
        <v>111</v>
      </c>
      <c r="D730" s="2" t="s">
        <v>18</v>
      </c>
      <c r="E730" s="4">
        <v>-32587</v>
      </c>
      <c r="F730" s="3" t="s">
        <v>1504</v>
      </c>
      <c r="G730" s="3" t="s">
        <v>70</v>
      </c>
      <c r="H730" s="2" t="s">
        <v>74</v>
      </c>
      <c r="I730" s="2" t="s">
        <v>2220</v>
      </c>
      <c r="J730" s="3" t="str">
        <f>HYPERLINK("https://www.boe.es/gazeta/dias/1810/10/11/pdfs/GMD-1810-284.pdf#page=2","Abrir facsímil")</f>
        <v>Abrir facsímil</v>
      </c>
      <c r="K730" s="3" t="s">
        <v>76</v>
      </c>
    </row>
    <row r="731" spans="1:11" ht="42" customHeight="1">
      <c r="A731" s="2" t="s">
        <v>2221</v>
      </c>
      <c r="B731" s="2" t="s">
        <v>2221</v>
      </c>
      <c r="C731" s="2" t="s">
        <v>88</v>
      </c>
      <c r="D731" s="2" t="s">
        <v>27</v>
      </c>
      <c r="E731" s="4">
        <v>-32546</v>
      </c>
      <c r="F731" s="3" t="s">
        <v>2222</v>
      </c>
      <c r="G731" s="3" t="s">
        <v>35</v>
      </c>
      <c r="H731" s="2" t="s">
        <v>74</v>
      </c>
      <c r="I731" s="2" t="s">
        <v>2223</v>
      </c>
      <c r="J731" s="3" t="str">
        <f>HYPERLINK("https://www.boe.es/gazeta/dias/1810/11/21/pdfs/GMD-1810-325.pdf#page=2","Abrir facsímil")</f>
        <v>Abrir facsímil</v>
      </c>
      <c r="K731" s="3" t="s">
        <v>76</v>
      </c>
    </row>
    <row r="732" spans="1:11" ht="42" customHeight="1">
      <c r="A732" s="2" t="s">
        <v>2224</v>
      </c>
      <c r="B732" s="2" t="s">
        <v>2225</v>
      </c>
      <c r="C732" s="2" t="s">
        <v>26</v>
      </c>
      <c r="D732" s="2" t="s">
        <v>27</v>
      </c>
      <c r="E732" s="4">
        <v>-32727</v>
      </c>
      <c r="F732" s="3" t="s">
        <v>1611</v>
      </c>
      <c r="G732" s="3" t="s">
        <v>227</v>
      </c>
      <c r="H732" s="2" t="s">
        <v>74</v>
      </c>
      <c r="I732" s="2" t="s">
        <v>2226</v>
      </c>
      <c r="J732" s="3" t="str">
        <f>HYPERLINK("https://www.boe.es/gazeta/dias/1810/05/24/pdfs/GMD-1810-144.pdf#page=4","Abrir facsímil")</f>
        <v>Abrir facsímil</v>
      </c>
      <c r="K732" s="3" t="s">
        <v>76</v>
      </c>
    </row>
    <row r="733" spans="1:11" ht="42" customHeight="1">
      <c r="A733" s="2" t="s">
        <v>2227</v>
      </c>
      <c r="B733" s="2" t="s">
        <v>2227</v>
      </c>
      <c r="C733" s="2" t="s">
        <v>26</v>
      </c>
      <c r="D733" s="2" t="s">
        <v>220</v>
      </c>
      <c r="E733" s="4">
        <v>-32812</v>
      </c>
      <c r="F733" s="3" t="s">
        <v>627</v>
      </c>
      <c r="G733" s="3" t="s">
        <v>505</v>
      </c>
      <c r="H733" s="2" t="s">
        <v>74</v>
      </c>
      <c r="I733" s="2" t="s">
        <v>2228</v>
      </c>
      <c r="J733" s="3" t="str">
        <f>HYPERLINK("https://www.boe.es/gazeta/dias/1810/02/28/pdfs/GMD-1810-59.pdf#page=1","Abrir facsímil")</f>
        <v>Abrir facsímil</v>
      </c>
      <c r="K733" s="3" t="s">
        <v>76</v>
      </c>
    </row>
    <row r="734" spans="1:11" ht="42" customHeight="1">
      <c r="A734" s="2" t="s">
        <v>2229</v>
      </c>
      <c r="B734" s="2" t="s">
        <v>2230</v>
      </c>
      <c r="C734" s="2" t="s">
        <v>88</v>
      </c>
      <c r="D734" s="2" t="s">
        <v>27</v>
      </c>
      <c r="E734" s="4">
        <v>-32761</v>
      </c>
      <c r="F734" s="3" t="s">
        <v>811</v>
      </c>
      <c r="G734" s="3" t="s">
        <v>140</v>
      </c>
      <c r="H734" s="2" t="s">
        <v>74</v>
      </c>
      <c r="I734" s="2" t="s">
        <v>2231</v>
      </c>
      <c r="J734" s="3" t="str">
        <f>HYPERLINK("https://www.boe.es/gazeta/dias/1810/04/20/pdfs/GEI-1810-16.pdf#page=8","Abrir facsímil")</f>
        <v>Abrir facsímil</v>
      </c>
      <c r="K734" s="3" t="s">
        <v>76</v>
      </c>
    </row>
    <row r="735" spans="1:11" ht="42" customHeight="1">
      <c r="A735" s="2" t="s">
        <v>2232</v>
      </c>
      <c r="B735" s="2" t="s">
        <v>2232</v>
      </c>
      <c r="C735" s="2" t="s">
        <v>225</v>
      </c>
      <c r="D735" s="2" t="s">
        <v>220</v>
      </c>
      <c r="E735" s="4">
        <v>-32604</v>
      </c>
      <c r="F735" s="3" t="s">
        <v>2233</v>
      </c>
      <c r="G735" s="3" t="s">
        <v>1985</v>
      </c>
      <c r="H735" s="2" t="s">
        <v>74</v>
      </c>
      <c r="I735" s="2" t="s">
        <v>2234</v>
      </c>
      <c r="J735" s="3" t="str">
        <f>HYPERLINK("https://www.boe.es/gazeta/dias/1810/09/24/pdfs/GMD-1810-267.pdf#page=2","Abrir facsímil")</f>
        <v>Abrir facsímil</v>
      </c>
      <c r="K735" s="3" t="s">
        <v>76</v>
      </c>
    </row>
    <row r="736" spans="1:11" ht="42" customHeight="1">
      <c r="A736" s="2" t="s">
        <v>2235</v>
      </c>
      <c r="B736" s="2" t="s">
        <v>2236</v>
      </c>
      <c r="C736" s="2" t="s">
        <v>88</v>
      </c>
      <c r="D736" s="2" t="s">
        <v>117</v>
      </c>
      <c r="E736" s="4">
        <v>-32767</v>
      </c>
      <c r="F736" s="3" t="s">
        <v>1265</v>
      </c>
      <c r="G736" s="3" t="s">
        <v>1266</v>
      </c>
      <c r="H736" s="2" t="s">
        <v>74</v>
      </c>
      <c r="I736" s="2" t="s">
        <v>2237</v>
      </c>
      <c r="J736" s="3" t="str">
        <f>HYPERLINK("https://www.boe.es/gazeta/dias/1810/04/14/pdfs/GMD-1810-104.pdf#page=4","Abrir facsímil")</f>
        <v>Abrir facsímil</v>
      </c>
      <c r="K736" s="3" t="s">
        <v>76</v>
      </c>
    </row>
    <row r="737" spans="1:11" ht="42" customHeight="1">
      <c r="A737" s="2" t="s">
        <v>2235</v>
      </c>
      <c r="B737" s="2" t="s">
        <v>2236</v>
      </c>
      <c r="C737" s="2" t="s">
        <v>225</v>
      </c>
      <c r="D737" s="2" t="s">
        <v>18</v>
      </c>
      <c r="E737" s="4">
        <v>-32725</v>
      </c>
      <c r="F737" s="3" t="s">
        <v>417</v>
      </c>
      <c r="G737" s="3" t="s">
        <v>140</v>
      </c>
      <c r="H737" s="2" t="s">
        <v>74</v>
      </c>
      <c r="I737" s="2" t="s">
        <v>2238</v>
      </c>
      <c r="J737" s="3" t="str">
        <f>HYPERLINK("https://www.boe.es/gazeta/dias/1810/05/26/pdfs/GMD-1810-146.pdf#page=4","Abrir facsímil")</f>
        <v>Abrir facsímil</v>
      </c>
      <c r="K737" s="3" t="s">
        <v>76</v>
      </c>
    </row>
    <row r="738" spans="1:11" ht="42" customHeight="1">
      <c r="A738" s="2" t="s">
        <v>2235</v>
      </c>
      <c r="B738" s="2" t="s">
        <v>2236</v>
      </c>
      <c r="C738" s="2" t="s">
        <v>26</v>
      </c>
      <c r="D738" s="2" t="s">
        <v>27</v>
      </c>
      <c r="E738" s="4">
        <v>-32647</v>
      </c>
      <c r="F738" s="3" t="s">
        <v>118</v>
      </c>
      <c r="G738" s="3" t="s">
        <v>119</v>
      </c>
      <c r="H738" s="2" t="s">
        <v>74</v>
      </c>
      <c r="I738" s="2" t="s">
        <v>2239</v>
      </c>
      <c r="J738" s="3" t="str">
        <f>HYPERLINK("https://www.boe.es/gazeta/dias/1810/08/12/pdfs/GMD-1810-224.pdf#page=3","Abrir facsímil")</f>
        <v>Abrir facsímil</v>
      </c>
      <c r="K738" s="3" t="s">
        <v>76</v>
      </c>
    </row>
    <row r="739" spans="1:11" ht="42" customHeight="1">
      <c r="A739" s="2" t="s">
        <v>2235</v>
      </c>
      <c r="B739" s="2" t="s">
        <v>2236</v>
      </c>
      <c r="C739" s="2" t="s">
        <v>88</v>
      </c>
      <c r="D739" s="2" t="s">
        <v>18</v>
      </c>
      <c r="E739" s="4">
        <v>-32566</v>
      </c>
      <c r="F739" s="3" t="s">
        <v>405</v>
      </c>
      <c r="G739" s="3" t="s">
        <v>99</v>
      </c>
      <c r="H739" s="2" t="s">
        <v>74</v>
      </c>
      <c r="I739" s="2" t="s">
        <v>2240</v>
      </c>
      <c r="J739" s="3" t="str">
        <f>HYPERLINK("https://www.boe.es/gazeta/dias/1810/11/01/pdfs/GMD-1810-305.pdf#page=3","Abrir facsímil")</f>
        <v>Abrir facsímil</v>
      </c>
      <c r="K739" s="3" t="s">
        <v>76</v>
      </c>
    </row>
    <row r="740" spans="1:11" ht="42" customHeight="1">
      <c r="A740" s="2" t="s">
        <v>2235</v>
      </c>
      <c r="B740" s="2" t="s">
        <v>2236</v>
      </c>
      <c r="C740" s="2" t="s">
        <v>17</v>
      </c>
      <c r="D740" s="2" t="s">
        <v>27</v>
      </c>
      <c r="E740" s="4">
        <v>-32565</v>
      </c>
      <c r="F740" s="3" t="s">
        <v>743</v>
      </c>
      <c r="G740" s="3" t="s">
        <v>458</v>
      </c>
      <c r="H740" s="2" t="s">
        <v>74</v>
      </c>
      <c r="I740" s="2" t="s">
        <v>2241</v>
      </c>
      <c r="J740" s="3" t="str">
        <f>HYPERLINK("https://www.boe.es/gazeta/dias/1810/11/02/pdfs/GMD-1810-306.pdf#page=2","Abrir facsímil")</f>
        <v>Abrir facsímil</v>
      </c>
      <c r="K740" s="3" t="s">
        <v>76</v>
      </c>
    </row>
    <row r="741" spans="1:11" ht="42" customHeight="1">
      <c r="A741" s="2" t="s">
        <v>2235</v>
      </c>
      <c r="B741" s="2" t="s">
        <v>2236</v>
      </c>
      <c r="C741" s="2" t="s">
        <v>26</v>
      </c>
      <c r="D741" s="2" t="s">
        <v>27</v>
      </c>
      <c r="E741" s="4">
        <v>-32534</v>
      </c>
      <c r="F741" s="3" t="s">
        <v>2242</v>
      </c>
      <c r="G741" s="3" t="s">
        <v>1722</v>
      </c>
      <c r="H741" s="2" t="s">
        <v>74</v>
      </c>
      <c r="I741" s="2" t="s">
        <v>2243</v>
      </c>
      <c r="J741" s="3" t="str">
        <f>HYPERLINK("https://www.boe.es/gazeta/dias/1810/12/03/pdfs/GMD-1810-337.pdf#page=4","Abrir facsímil")</f>
        <v>Abrir facsímil</v>
      </c>
      <c r="K741" s="3" t="s">
        <v>76</v>
      </c>
    </row>
    <row r="742" spans="1:11" ht="42" customHeight="1">
      <c r="A742" s="2" t="s">
        <v>2244</v>
      </c>
      <c r="B742" s="2" t="s">
        <v>2245</v>
      </c>
      <c r="C742" s="2" t="s">
        <v>88</v>
      </c>
      <c r="D742" s="2" t="s">
        <v>27</v>
      </c>
      <c r="E742" s="4">
        <v>-32566</v>
      </c>
      <c r="F742" s="3" t="s">
        <v>405</v>
      </c>
      <c r="G742" s="3" t="s">
        <v>99</v>
      </c>
      <c r="H742" s="2" t="s">
        <v>74</v>
      </c>
      <c r="I742" s="2" t="s">
        <v>2246</v>
      </c>
      <c r="J742" s="3" t="str">
        <f>HYPERLINK("https://www.boe.es/gazeta/dias/1810/11/01/pdfs/GMD-1810-305.pdf#page=3","Abrir facsímil")</f>
        <v>Abrir facsímil</v>
      </c>
      <c r="K742" s="3" t="s">
        <v>76</v>
      </c>
    </row>
    <row r="743" spans="1:11" ht="42" customHeight="1">
      <c r="A743" s="2" t="s">
        <v>2247</v>
      </c>
      <c r="B743" s="2" t="s">
        <v>2248</v>
      </c>
      <c r="C743" s="2" t="s">
        <v>88</v>
      </c>
      <c r="D743" s="2" t="s">
        <v>27</v>
      </c>
      <c r="E743" s="4">
        <v>-32566</v>
      </c>
      <c r="F743" s="3" t="s">
        <v>405</v>
      </c>
      <c r="G743" s="3" t="s">
        <v>469</v>
      </c>
      <c r="H743" s="2" t="s">
        <v>74</v>
      </c>
      <c r="I743" s="2" t="s">
        <v>2249</v>
      </c>
      <c r="J743" s="3" t="str">
        <f>HYPERLINK("https://www.boe.es/gazeta/dias/1810/11/01/pdfs/GMD-1810-305.pdf#page=2","Abrir facsímil")</f>
        <v>Abrir facsímil</v>
      </c>
      <c r="K743" s="3" t="s">
        <v>76</v>
      </c>
    </row>
    <row r="744" spans="1:11" ht="42" customHeight="1">
      <c r="A744" s="2" t="s">
        <v>2250</v>
      </c>
      <c r="B744" s="2" t="s">
        <v>2251</v>
      </c>
      <c r="C744" s="2" t="s">
        <v>26</v>
      </c>
      <c r="D744" s="2" t="s">
        <v>27</v>
      </c>
      <c r="E744" s="4">
        <v>-32799</v>
      </c>
      <c r="F744" s="3" t="s">
        <v>2252</v>
      </c>
      <c r="G744" s="3" t="s">
        <v>2253</v>
      </c>
      <c r="H744" s="2" t="s">
        <v>74</v>
      </c>
      <c r="I744" s="2" t="s">
        <v>2254</v>
      </c>
      <c r="J744" s="3" t="str">
        <f>HYPERLINK("https://www.boe.es/gazeta/dias/1810/03/13/pdfs/GMD-1810-72.pdf#page=4","Abrir facsímil")</f>
        <v>Abrir facsímil</v>
      </c>
      <c r="K744" s="3" t="s">
        <v>76</v>
      </c>
    </row>
    <row r="745" spans="1:11" ht="42" customHeight="1">
      <c r="A745" s="2" t="s">
        <v>2255</v>
      </c>
      <c r="B745" s="2" t="s">
        <v>2255</v>
      </c>
      <c r="C745" s="2" t="s">
        <v>26</v>
      </c>
      <c r="D745" s="2" t="s">
        <v>27</v>
      </c>
      <c r="E745" s="4">
        <v>-32670</v>
      </c>
      <c r="F745" s="3" t="s">
        <v>2256</v>
      </c>
      <c r="G745" s="3" t="s">
        <v>140</v>
      </c>
      <c r="H745" s="2" t="s">
        <v>21</v>
      </c>
      <c r="I745" s="2" t="s">
        <v>2257</v>
      </c>
      <c r="J745" s="3" t="str">
        <f>HYPERLINK("https://www.boe.es/gazeta/dias/1810/07/20/pdfs/GMD-1810-201.pdf#page=2","Abrir facsímil")</f>
        <v>Abrir facsímil</v>
      </c>
      <c r="K745" s="3" t="s">
        <v>23</v>
      </c>
    </row>
    <row r="746" spans="1:11" ht="42" customHeight="1">
      <c r="A746" s="2" t="s">
        <v>2258</v>
      </c>
      <c r="B746" s="2" t="s">
        <v>2259</v>
      </c>
      <c r="C746" s="2" t="s">
        <v>88</v>
      </c>
      <c r="D746" s="2" t="s">
        <v>27</v>
      </c>
      <c r="E746" s="4">
        <v>-32559</v>
      </c>
      <c r="F746" s="3" t="s">
        <v>2260</v>
      </c>
      <c r="G746" s="3" t="s">
        <v>2261</v>
      </c>
      <c r="H746" s="2" t="s">
        <v>21</v>
      </c>
      <c r="I746" s="2" t="s">
        <v>2262</v>
      </c>
      <c r="J746" s="3" t="str">
        <f>HYPERLINK("https://www.boe.es/gazeta/dias/1810/11/08/pdfs/GMD-1810-312.pdf#page=3","Abrir facsímil")</f>
        <v>Abrir facsímil</v>
      </c>
      <c r="K746" s="3" t="s">
        <v>23</v>
      </c>
    </row>
    <row r="747" spans="1:11" ht="42" customHeight="1">
      <c r="A747" s="2" t="s">
        <v>2263</v>
      </c>
      <c r="B747" s="2" t="s">
        <v>2264</v>
      </c>
      <c r="C747" s="2" t="s">
        <v>88</v>
      </c>
      <c r="D747" s="2" t="s">
        <v>27</v>
      </c>
      <c r="E747" s="4">
        <v>-32743</v>
      </c>
      <c r="F747" s="3" t="s">
        <v>2265</v>
      </c>
      <c r="G747" s="3" t="s">
        <v>2266</v>
      </c>
      <c r="H747" s="2" t="s">
        <v>74</v>
      </c>
      <c r="I747" s="2" t="s">
        <v>2267</v>
      </c>
      <c r="J747" s="3" t="str">
        <f>HYPERLINK("https://www.boe.es/gazeta/dias/1810/05/08/pdfs/GEI-1810-22.pdf#page=8","Abrir facsímil")</f>
        <v>Abrir facsímil</v>
      </c>
      <c r="K747" s="3" t="s">
        <v>76</v>
      </c>
    </row>
    <row r="748" spans="1:11" ht="42" customHeight="1">
      <c r="A748" s="2" t="s">
        <v>2268</v>
      </c>
      <c r="B748" s="2" t="s">
        <v>2269</v>
      </c>
      <c r="C748" s="2" t="s">
        <v>88</v>
      </c>
      <c r="D748" s="2" t="s">
        <v>27</v>
      </c>
      <c r="E748" s="4">
        <v>-32728</v>
      </c>
      <c r="F748" s="3" t="s">
        <v>269</v>
      </c>
      <c r="G748" s="3" t="s">
        <v>70</v>
      </c>
      <c r="H748" s="2" t="s">
        <v>74</v>
      </c>
      <c r="I748" s="2" t="s">
        <v>2270</v>
      </c>
      <c r="J748" s="3" t="str">
        <f>HYPERLINK("https://www.boe.es/gazeta/dias/1810/05/23/pdfs/GMD-1810-143.pdf#page=4","Abrir facsímil")</f>
        <v>Abrir facsímil</v>
      </c>
      <c r="K748" s="3" t="s">
        <v>76</v>
      </c>
    </row>
    <row r="749" spans="1:11" ht="42" customHeight="1">
      <c r="A749" s="2" t="s">
        <v>2271</v>
      </c>
      <c r="B749" s="2" t="s">
        <v>2272</v>
      </c>
      <c r="C749" s="2" t="s">
        <v>88</v>
      </c>
      <c r="D749" s="2" t="s">
        <v>117</v>
      </c>
      <c r="E749" s="4">
        <v>-32642</v>
      </c>
      <c r="F749" s="3" t="s">
        <v>2273</v>
      </c>
      <c r="G749" s="3" t="s">
        <v>274</v>
      </c>
      <c r="H749" s="2" t="s">
        <v>74</v>
      </c>
      <c r="I749" s="2" t="s">
        <v>2274</v>
      </c>
      <c r="J749" s="3" t="str">
        <f>HYPERLINK("https://www.boe.es/gazeta/dias/1810/08/17/pdfs/GEI-D-1810-57.pdf#page=8","Abrir facsímil")</f>
        <v>Abrir facsímil</v>
      </c>
      <c r="K749" s="3" t="s">
        <v>76</v>
      </c>
    </row>
    <row r="750" spans="1:11" ht="42" customHeight="1">
      <c r="A750" s="2" t="s">
        <v>2275</v>
      </c>
      <c r="B750" s="2" t="s">
        <v>2275</v>
      </c>
      <c r="C750" s="2" t="s">
        <v>88</v>
      </c>
      <c r="D750" s="2" t="s">
        <v>27</v>
      </c>
      <c r="E750" s="4">
        <v>-32553</v>
      </c>
      <c r="F750" s="3" t="s">
        <v>2276</v>
      </c>
      <c r="G750" s="3" t="s">
        <v>2277</v>
      </c>
      <c r="H750" s="2" t="s">
        <v>74</v>
      </c>
      <c r="I750" s="2" t="s">
        <v>2278</v>
      </c>
      <c r="J750" s="3" t="str">
        <f>HYPERLINK("https://www.boe.es/gazeta/dias/1810/11/14/pdfs/GMD-1810-318.pdf#page=3","Abrir facsímil")</f>
        <v>Abrir facsímil</v>
      </c>
      <c r="K750" s="3" t="s">
        <v>76</v>
      </c>
    </row>
    <row r="751" spans="1:11" ht="42" customHeight="1">
      <c r="A751" s="2" t="s">
        <v>2279</v>
      </c>
      <c r="B751" s="2" t="s">
        <v>2280</v>
      </c>
      <c r="C751" s="2" t="s">
        <v>26</v>
      </c>
      <c r="D751" s="2" t="s">
        <v>18</v>
      </c>
      <c r="E751" s="4">
        <v>-32667</v>
      </c>
      <c r="F751" s="3" t="s">
        <v>924</v>
      </c>
      <c r="G751" s="3" t="s">
        <v>2281</v>
      </c>
      <c r="H751" s="2" t="s">
        <v>74</v>
      </c>
      <c r="I751" s="2" t="s">
        <v>2282</v>
      </c>
      <c r="J751" s="3" t="str">
        <f>HYPERLINK("https://www.boe.es/gazeta/dias/1810/07/23/pdfs/GMD-C-1810-204.pdf#page=3","Abrir facsímil")</f>
        <v>Abrir facsímil</v>
      </c>
      <c r="K751" s="3" t="s">
        <v>76</v>
      </c>
    </row>
    <row r="752" spans="1:11" ht="42" customHeight="1">
      <c r="A752" s="2" t="s">
        <v>2283</v>
      </c>
      <c r="B752" s="2" t="s">
        <v>2284</v>
      </c>
      <c r="C752" s="2" t="s">
        <v>26</v>
      </c>
      <c r="D752" s="2" t="s">
        <v>27</v>
      </c>
      <c r="E752" s="4">
        <v>-32798</v>
      </c>
      <c r="F752" s="3" t="s">
        <v>2002</v>
      </c>
      <c r="G752" s="3" t="s">
        <v>90</v>
      </c>
      <c r="H752" s="2" t="s">
        <v>74</v>
      </c>
      <c r="I752" s="2" t="s">
        <v>2285</v>
      </c>
      <c r="J752" s="3" t="str">
        <f>HYPERLINK("https://www.boe.es/gazeta/dias/1810/03/14/pdfs/GMD-1810-73.pdf#page=4","Abrir facsímil")</f>
        <v>Abrir facsímil</v>
      </c>
      <c r="K752" s="3" t="s">
        <v>76</v>
      </c>
    </row>
    <row r="753" spans="1:11" ht="42" customHeight="1">
      <c r="A753" s="2" t="s">
        <v>2286</v>
      </c>
      <c r="B753" s="2" t="s">
        <v>2287</v>
      </c>
      <c r="C753" s="2" t="s">
        <v>26</v>
      </c>
      <c r="D753" s="2" t="s">
        <v>27</v>
      </c>
      <c r="E753" s="4">
        <v>-32569</v>
      </c>
      <c r="F753" s="3" t="s">
        <v>421</v>
      </c>
      <c r="G753" s="3" t="s">
        <v>20</v>
      </c>
      <c r="H753" s="2" t="s">
        <v>74</v>
      </c>
      <c r="I753" s="2" t="s">
        <v>2288</v>
      </c>
      <c r="J753" s="3" t="str">
        <f>HYPERLINK("https://www.boe.es/gazeta/dias/1810/10/29/pdfs/GMD-1810-302.pdf#page=4","Abrir facsímil")</f>
        <v>Abrir facsímil</v>
      </c>
      <c r="K753" s="3" t="s">
        <v>76</v>
      </c>
    </row>
    <row r="754" spans="1:11" ht="42" customHeight="1">
      <c r="A754" s="2" t="s">
        <v>2289</v>
      </c>
      <c r="B754" s="2" t="s">
        <v>2290</v>
      </c>
      <c r="C754" s="2" t="s">
        <v>26</v>
      </c>
      <c r="D754" s="2" t="s">
        <v>27</v>
      </c>
      <c r="E754" s="4">
        <v>-32647</v>
      </c>
      <c r="F754" s="3" t="s">
        <v>118</v>
      </c>
      <c r="G754" s="3" t="s">
        <v>20</v>
      </c>
      <c r="H754" s="2" t="s">
        <v>74</v>
      </c>
      <c r="I754" s="2" t="s">
        <v>2291</v>
      </c>
      <c r="J754" s="3" t="str">
        <f>HYPERLINK("https://www.boe.es/gazeta/dias/1810/08/12/pdfs/GMD-1810-224.pdf#page=4","Abrir facsímil")</f>
        <v>Abrir facsímil</v>
      </c>
      <c r="K754" s="3" t="s">
        <v>76</v>
      </c>
    </row>
    <row r="755" spans="1:11" ht="42" customHeight="1">
      <c r="A755" s="2" t="s">
        <v>2292</v>
      </c>
      <c r="B755" s="2" t="s">
        <v>2292</v>
      </c>
      <c r="C755" s="2" t="s">
        <v>33</v>
      </c>
      <c r="D755" s="2" t="s">
        <v>27</v>
      </c>
      <c r="E755" s="4">
        <v>-32708</v>
      </c>
      <c r="F755" s="3" t="s">
        <v>206</v>
      </c>
      <c r="G755" s="3" t="s">
        <v>227</v>
      </c>
      <c r="H755" s="2" t="s">
        <v>74</v>
      </c>
      <c r="I755" s="2" t="s">
        <v>2293</v>
      </c>
      <c r="J755" s="3" t="str">
        <f>HYPERLINK("https://www.boe.es/gazeta/dias/1810/06/12/pdfs/GMD-1810-163.pdf#page=1","Abrir facsímil")</f>
        <v>Abrir facsímil</v>
      </c>
      <c r="K755" s="3" t="s">
        <v>76</v>
      </c>
    </row>
    <row r="756" spans="1:11" ht="42" customHeight="1">
      <c r="A756" s="2" t="s">
        <v>2294</v>
      </c>
      <c r="B756" s="2" t="s">
        <v>2295</v>
      </c>
      <c r="C756" s="2" t="s">
        <v>17</v>
      </c>
      <c r="D756" s="2" t="s">
        <v>27</v>
      </c>
      <c r="E756" s="4">
        <v>-32562</v>
      </c>
      <c r="F756" s="3" t="s">
        <v>1186</v>
      </c>
      <c r="G756" s="3" t="s">
        <v>29</v>
      </c>
      <c r="H756" s="2" t="s">
        <v>74</v>
      </c>
      <c r="I756" s="2" t="s">
        <v>2296</v>
      </c>
      <c r="J756" s="3" t="str">
        <f>HYPERLINK("https://www.boe.es/gazeta/dias/1810/11/05/pdfs/GMD-1810-309.pdf#page=2","Abrir facsímil")</f>
        <v>Abrir facsímil</v>
      </c>
      <c r="K756" s="3" t="s">
        <v>76</v>
      </c>
    </row>
    <row r="757" spans="1:11" ht="42" customHeight="1">
      <c r="A757" s="2" t="s">
        <v>2297</v>
      </c>
      <c r="B757" s="2" t="s">
        <v>2298</v>
      </c>
      <c r="C757" s="2" t="s">
        <v>26</v>
      </c>
      <c r="D757" s="2" t="s">
        <v>27</v>
      </c>
      <c r="E757" s="4">
        <v>-32519</v>
      </c>
      <c r="F757" s="3" t="s">
        <v>2299</v>
      </c>
      <c r="G757" s="3" t="s">
        <v>2300</v>
      </c>
      <c r="H757" s="2" t="s">
        <v>74</v>
      </c>
      <c r="I757" s="2" t="s">
        <v>2301</v>
      </c>
      <c r="J757" s="3" t="str">
        <f>HYPERLINK("https://www.boe.es/gazeta/dias/1810/12/18/pdfs/GEI-1810-109.pdf#page=8","Abrir facsímil")</f>
        <v>Abrir facsímil</v>
      </c>
      <c r="K757" s="3" t="s">
        <v>76</v>
      </c>
    </row>
    <row r="758" spans="1:11" ht="42" customHeight="1">
      <c r="A758" s="2" t="s">
        <v>2302</v>
      </c>
      <c r="B758" s="2" t="s">
        <v>2303</v>
      </c>
      <c r="C758" s="2" t="s">
        <v>26</v>
      </c>
      <c r="D758" s="2" t="s">
        <v>27</v>
      </c>
      <c r="E758" s="4">
        <v>-32734</v>
      </c>
      <c r="F758" s="3" t="s">
        <v>19</v>
      </c>
      <c r="G758" s="3" t="s">
        <v>20</v>
      </c>
      <c r="H758" s="2" t="s">
        <v>74</v>
      </c>
      <c r="I758" s="2" t="s">
        <v>2304</v>
      </c>
      <c r="J758" s="3" t="str">
        <f>HYPERLINK("https://www.boe.es/gazeta/dias/1810/05/17/pdfs/GMD-1810-137.pdf#page=4","Abrir facsímil")</f>
        <v>Abrir facsímil</v>
      </c>
      <c r="K758" s="3" t="s">
        <v>76</v>
      </c>
    </row>
    <row r="759" spans="1:11" ht="42" customHeight="1">
      <c r="A759" s="2" t="s">
        <v>2305</v>
      </c>
      <c r="B759" s="2" t="s">
        <v>2305</v>
      </c>
      <c r="C759" s="2" t="s">
        <v>88</v>
      </c>
      <c r="D759" s="2" t="s">
        <v>220</v>
      </c>
      <c r="E759" s="4">
        <v>-32742</v>
      </c>
      <c r="F759" s="3" t="s">
        <v>2306</v>
      </c>
      <c r="G759" s="3" t="s">
        <v>2307</v>
      </c>
      <c r="H759" s="2" t="s">
        <v>74</v>
      </c>
      <c r="I759" s="2" t="s">
        <v>2308</v>
      </c>
      <c r="J759" s="3" t="str">
        <f>HYPERLINK("https://www.boe.es/gazeta/dias/1810/05/09/pdfs/GMD-1810-129.pdf#page=1","Abrir facsímil")</f>
        <v>Abrir facsímil</v>
      </c>
      <c r="K759" s="3" t="s">
        <v>76</v>
      </c>
    </row>
    <row r="760" spans="1:11" ht="42" customHeight="1">
      <c r="A760" s="2" t="s">
        <v>2309</v>
      </c>
      <c r="B760" s="2" t="s">
        <v>2309</v>
      </c>
      <c r="C760" s="2" t="s">
        <v>88</v>
      </c>
      <c r="D760" s="2" t="s">
        <v>27</v>
      </c>
      <c r="E760" s="4">
        <v>-32708</v>
      </c>
      <c r="F760" s="3" t="s">
        <v>206</v>
      </c>
      <c r="G760" s="3" t="s">
        <v>227</v>
      </c>
      <c r="H760" s="2" t="s">
        <v>74</v>
      </c>
      <c r="I760" s="2" t="s">
        <v>2310</v>
      </c>
      <c r="J760" s="3" t="str">
        <f>HYPERLINK("https://www.boe.es/gazeta/dias/1810/06/12/pdfs/GMD-1810-163.pdf#page=1","Abrir facsímil")</f>
        <v>Abrir facsímil</v>
      </c>
      <c r="K760" s="3" t="s">
        <v>76</v>
      </c>
    </row>
    <row r="761" spans="1:11" ht="42" customHeight="1">
      <c r="A761" s="2" t="s">
        <v>2311</v>
      </c>
      <c r="B761" s="2" t="s">
        <v>2311</v>
      </c>
      <c r="C761" s="2" t="s">
        <v>26</v>
      </c>
      <c r="D761" s="2" t="s">
        <v>27</v>
      </c>
      <c r="E761" s="4">
        <v>-32766</v>
      </c>
      <c r="F761" s="3" t="s">
        <v>492</v>
      </c>
      <c r="G761" s="3" t="s">
        <v>291</v>
      </c>
      <c r="H761" s="2" t="s">
        <v>74</v>
      </c>
      <c r="I761" s="2" t="s">
        <v>2312</v>
      </c>
      <c r="J761" s="3" t="str">
        <f>HYPERLINK("https://www.boe.es/gazeta/dias/1810/04/15/pdfs/GMD-1810-105.pdf#page=2","Abrir facsímil")</f>
        <v>Abrir facsímil</v>
      </c>
      <c r="K761" s="3" t="s">
        <v>76</v>
      </c>
    </row>
    <row r="762" spans="1:11" ht="42" customHeight="1">
      <c r="A762" s="2" t="s">
        <v>2313</v>
      </c>
      <c r="B762" s="2" t="s">
        <v>2313</v>
      </c>
      <c r="C762" s="2" t="s">
        <v>88</v>
      </c>
      <c r="D762" s="2" t="s">
        <v>27</v>
      </c>
      <c r="E762" s="4">
        <v>-32757</v>
      </c>
      <c r="F762" s="3" t="s">
        <v>414</v>
      </c>
      <c r="G762" s="3" t="s">
        <v>70</v>
      </c>
      <c r="H762" s="2" t="s">
        <v>74</v>
      </c>
      <c r="I762" s="2" t="s">
        <v>2314</v>
      </c>
      <c r="J762" s="3" t="str">
        <f>HYPERLINK("https://www.boe.es/gazeta/dias/1810/04/24/pdfs/GMD-1810-114.pdf#page=4","Abrir facsímil")</f>
        <v>Abrir facsímil</v>
      </c>
      <c r="K762" s="3" t="s">
        <v>76</v>
      </c>
    </row>
    <row r="763" spans="1:11" ht="42" customHeight="1">
      <c r="A763" s="2" t="s">
        <v>2315</v>
      </c>
      <c r="B763" s="2" t="s">
        <v>2316</v>
      </c>
      <c r="C763" s="2" t="s">
        <v>225</v>
      </c>
      <c r="D763" s="2" t="s">
        <v>27</v>
      </c>
      <c r="E763" s="4">
        <v>-32509</v>
      </c>
      <c r="F763" s="3" t="s">
        <v>212</v>
      </c>
      <c r="G763" s="3" t="s">
        <v>213</v>
      </c>
      <c r="H763" s="2" t="s">
        <v>74</v>
      </c>
      <c r="I763" s="2" t="s">
        <v>2317</v>
      </c>
      <c r="J763" s="3" t="str">
        <f>HYPERLINK("https://www.boe.es/gazeta/dias/1810/12/28/pdfs/GMD-1810-362.pdf#page=4","Abrir facsímil")</f>
        <v>Abrir facsímil</v>
      </c>
      <c r="K763" s="3" t="s">
        <v>76</v>
      </c>
    </row>
    <row r="764" spans="1:11" ht="42" customHeight="1">
      <c r="A764" s="2" t="s">
        <v>2318</v>
      </c>
      <c r="B764" s="2" t="s">
        <v>2319</v>
      </c>
      <c r="C764" s="2" t="s">
        <v>26</v>
      </c>
      <c r="D764" s="2" t="s">
        <v>58</v>
      </c>
      <c r="E764" s="4">
        <v>-32795</v>
      </c>
      <c r="F764" s="3" t="s">
        <v>2320</v>
      </c>
      <c r="G764" s="3" t="s">
        <v>886</v>
      </c>
      <c r="H764" s="2" t="s">
        <v>74</v>
      </c>
      <c r="I764" s="2" t="s">
        <v>2321</v>
      </c>
      <c r="J764" s="3" t="str">
        <f>HYPERLINK("https://www.boe.es/gazeta/dias/1810/03/17/pdfs/GEI-1810-3E.pdf#page=4","Abrir facsímil")</f>
        <v>Abrir facsímil</v>
      </c>
      <c r="K764" s="3" t="s">
        <v>76</v>
      </c>
    </row>
    <row r="765" spans="1:11" ht="42" customHeight="1">
      <c r="A765" s="2" t="s">
        <v>2318</v>
      </c>
      <c r="B765" s="2" t="s">
        <v>2319</v>
      </c>
      <c r="C765" s="2" t="s">
        <v>26</v>
      </c>
      <c r="D765" s="2" t="s">
        <v>39</v>
      </c>
      <c r="E765" s="4">
        <v>-32708</v>
      </c>
      <c r="F765" s="3" t="s">
        <v>1601</v>
      </c>
      <c r="G765" s="3" t="s">
        <v>2322</v>
      </c>
      <c r="H765" s="2" t="s">
        <v>74</v>
      </c>
      <c r="I765" s="2" t="s">
        <v>2323</v>
      </c>
      <c r="J765" s="3" t="str">
        <f>HYPERLINK("https://www.boe.es/gazeta/dias/1810/06/12/pdfs/GEI-D-1810-35.pdf#page=7","Abrir facsímil")</f>
        <v>Abrir facsímil</v>
      </c>
      <c r="K765" s="3" t="s">
        <v>76</v>
      </c>
    </row>
    <row r="766" spans="1:11" ht="42" customHeight="1">
      <c r="A766" s="2" t="s">
        <v>2318</v>
      </c>
      <c r="B766" s="2" t="s">
        <v>2319</v>
      </c>
      <c r="C766" s="2" t="s">
        <v>17</v>
      </c>
      <c r="D766" s="2" t="s">
        <v>39</v>
      </c>
      <c r="E766" s="4">
        <v>-32708</v>
      </c>
      <c r="F766" s="3" t="s">
        <v>1601</v>
      </c>
      <c r="G766" s="3" t="s">
        <v>180</v>
      </c>
      <c r="H766" s="2" t="s">
        <v>74</v>
      </c>
      <c r="I766" s="2" t="s">
        <v>2324</v>
      </c>
      <c r="J766" s="3" t="str">
        <f>HYPERLINK("https://www.boe.es/gazeta/dias/1810/06/12/pdfs/GEI-D-1810-35.pdf#page=8","Abrir facsímil")</f>
        <v>Abrir facsímil</v>
      </c>
      <c r="K766" s="3" t="s">
        <v>76</v>
      </c>
    </row>
    <row r="767" spans="1:11" ht="42" customHeight="1">
      <c r="A767" s="2" t="s">
        <v>2325</v>
      </c>
      <c r="B767" s="2" t="s">
        <v>2326</v>
      </c>
      <c r="C767" s="2" t="s">
        <v>88</v>
      </c>
      <c r="D767" s="2" t="s">
        <v>58</v>
      </c>
      <c r="E767" s="4">
        <v>-32651</v>
      </c>
      <c r="F767" s="3" t="s">
        <v>59</v>
      </c>
      <c r="G767" s="3" t="s">
        <v>2327</v>
      </c>
      <c r="H767" s="2" t="s">
        <v>74</v>
      </c>
      <c r="I767" s="2" t="s">
        <v>2328</v>
      </c>
      <c r="J767" s="3" t="str">
        <f>HYPERLINK("https://www.boe.es/gazeta/dias/1810/08/08/pdfs/GEI-1810-53E.pdf#page=11","Abrir facsímil")</f>
        <v>Abrir facsímil</v>
      </c>
      <c r="K767" s="3" t="s">
        <v>76</v>
      </c>
    </row>
    <row r="768" spans="1:11" ht="42" customHeight="1">
      <c r="A768" s="2" t="s">
        <v>2329</v>
      </c>
      <c r="B768" s="2" t="s">
        <v>2330</v>
      </c>
      <c r="C768" s="2" t="s">
        <v>17</v>
      </c>
      <c r="D768" s="2" t="s">
        <v>18</v>
      </c>
      <c r="E768" s="4">
        <v>-32741</v>
      </c>
      <c r="F768" s="3" t="s">
        <v>98</v>
      </c>
      <c r="G768" s="3" t="s">
        <v>99</v>
      </c>
      <c r="H768" s="2" t="s">
        <v>74</v>
      </c>
      <c r="I768" s="2" t="s">
        <v>2331</v>
      </c>
      <c r="J768" s="3" t="str">
        <f>HYPERLINK("https://www.boe.es/gazeta/dias/1810/05/10/pdfs/GMD-1810-130.pdf#page=3","Abrir facsímil")</f>
        <v>Abrir facsímil</v>
      </c>
      <c r="K768" s="3" t="s">
        <v>76</v>
      </c>
    </row>
    <row r="769" spans="1:11" ht="42" customHeight="1">
      <c r="A769" s="2" t="s">
        <v>2332</v>
      </c>
      <c r="B769" s="2" t="s">
        <v>2332</v>
      </c>
      <c r="C769" s="2" t="s">
        <v>88</v>
      </c>
      <c r="D769" s="2" t="s">
        <v>117</v>
      </c>
      <c r="E769" s="4">
        <v>-32578</v>
      </c>
      <c r="F769" s="3" t="s">
        <v>2333</v>
      </c>
      <c r="G769" s="3" t="s">
        <v>2334</v>
      </c>
      <c r="H769" s="2" t="s">
        <v>74</v>
      </c>
      <c r="I769" s="2" t="s">
        <v>2335</v>
      </c>
      <c r="J769" s="3" t="str">
        <f>HYPERLINK("https://www.boe.es/gazeta/dias/1810/10/20/pdfs/GEI-1810-84.pdf#page=4","Abrir facsímil")</f>
        <v>Abrir facsímil</v>
      </c>
      <c r="K769" s="3" t="s">
        <v>76</v>
      </c>
    </row>
    <row r="770" spans="1:11" ht="42" customHeight="1">
      <c r="A770" s="2" t="s">
        <v>2336</v>
      </c>
      <c r="B770" s="2" t="s">
        <v>2336</v>
      </c>
      <c r="C770" s="2" t="s">
        <v>88</v>
      </c>
      <c r="D770" s="2" t="s">
        <v>117</v>
      </c>
      <c r="E770" s="4">
        <v>-32747</v>
      </c>
      <c r="F770" s="3" t="s">
        <v>2337</v>
      </c>
      <c r="G770" s="3" t="s">
        <v>1044</v>
      </c>
      <c r="H770" s="2" t="s">
        <v>74</v>
      </c>
      <c r="I770" s="2" t="s">
        <v>2338</v>
      </c>
      <c r="J770" s="3" t="str">
        <f>HYPERLINK("https://www.boe.es/gazeta/dias/1810/05/04/pdfs/GEI-1810-21.pdf#page=1","Abrir facsímil")</f>
        <v>Abrir facsímil</v>
      </c>
      <c r="K770" s="3" t="s">
        <v>76</v>
      </c>
    </row>
    <row r="771" spans="1:11" ht="42" customHeight="1">
      <c r="A771" s="2" t="s">
        <v>2339</v>
      </c>
      <c r="B771" s="2" t="s">
        <v>2340</v>
      </c>
      <c r="C771" s="2" t="s">
        <v>26</v>
      </c>
      <c r="D771" s="2" t="s">
        <v>27</v>
      </c>
      <c r="E771" s="4">
        <v>-32839</v>
      </c>
      <c r="F771" s="3" t="s">
        <v>28</v>
      </c>
      <c r="G771" s="3" t="s">
        <v>29</v>
      </c>
      <c r="H771" s="2" t="s">
        <v>74</v>
      </c>
      <c r="I771" s="2" t="s">
        <v>2341</v>
      </c>
      <c r="J771" s="3" t="str">
        <f>HYPERLINK("https://www.boe.es/gazeta/dias/1810/02/01/pdfs/GMD-1810-32.pdf#page=3","Abrir facsímil")</f>
        <v>Abrir facsímil</v>
      </c>
      <c r="K771" s="3" t="s">
        <v>76</v>
      </c>
    </row>
    <row r="772" spans="1:11" ht="42" customHeight="1">
      <c r="A772" s="2" t="s">
        <v>2342</v>
      </c>
      <c r="B772" s="2" t="s">
        <v>2343</v>
      </c>
      <c r="C772" s="2" t="s">
        <v>88</v>
      </c>
      <c r="D772" s="2" t="s">
        <v>27</v>
      </c>
      <c r="E772" s="4">
        <v>-32700</v>
      </c>
      <c r="F772" s="3" t="s">
        <v>89</v>
      </c>
      <c r="G772" s="3" t="s">
        <v>90</v>
      </c>
      <c r="H772" s="2" t="s">
        <v>74</v>
      </c>
      <c r="I772" s="2" t="s">
        <v>2344</v>
      </c>
      <c r="J772" s="3" t="str">
        <f>HYPERLINK("https://www.boe.es/gazeta/dias/1810/06/20/pdfs/GMD-1810-171.pdf#page=2","Abrir facsímil")</f>
        <v>Abrir facsímil</v>
      </c>
      <c r="K772" s="3" t="s">
        <v>76</v>
      </c>
    </row>
    <row r="773" spans="1:11" ht="42" customHeight="1">
      <c r="A773" s="2" t="s">
        <v>2345</v>
      </c>
      <c r="B773" s="2" t="s">
        <v>2345</v>
      </c>
      <c r="C773" s="2" t="s">
        <v>26</v>
      </c>
      <c r="D773" s="2" t="s">
        <v>27</v>
      </c>
      <c r="E773" s="4">
        <v>-32700</v>
      </c>
      <c r="F773" s="3" t="s">
        <v>89</v>
      </c>
      <c r="G773" s="3" t="s">
        <v>29</v>
      </c>
      <c r="H773" s="2" t="s">
        <v>74</v>
      </c>
      <c r="I773" s="2" t="s">
        <v>2346</v>
      </c>
      <c r="J773" s="3" t="str">
        <f>HYPERLINK("https://www.boe.es/gazeta/dias/1810/06/20/pdfs/GMD-1810-171.pdf#page=3","Abrir facsímil")</f>
        <v>Abrir facsímil</v>
      </c>
      <c r="K773" s="3" t="s">
        <v>76</v>
      </c>
    </row>
    <row r="774" spans="1:11" ht="42" customHeight="1">
      <c r="A774" s="2" t="s">
        <v>2347</v>
      </c>
      <c r="B774" s="2" t="s">
        <v>2348</v>
      </c>
      <c r="C774" s="2" t="s">
        <v>111</v>
      </c>
      <c r="D774" s="2" t="s">
        <v>27</v>
      </c>
      <c r="E774" s="4">
        <v>-32684</v>
      </c>
      <c r="F774" s="3" t="s">
        <v>1373</v>
      </c>
      <c r="G774" s="3" t="s">
        <v>1374</v>
      </c>
      <c r="H774" s="2" t="s">
        <v>74</v>
      </c>
      <c r="I774" s="2" t="s">
        <v>2349</v>
      </c>
      <c r="J774" s="3" t="str">
        <f>HYPERLINK("https://www.boe.es/gazeta/dias/1810/07/06/pdfs/GEI-1810-42.pdf#page=8","Abrir facsímil")</f>
        <v>Abrir facsímil</v>
      </c>
      <c r="K774" s="3" t="s">
        <v>76</v>
      </c>
    </row>
    <row r="775" spans="1:11" ht="42" customHeight="1">
      <c r="A775" s="2" t="s">
        <v>2350</v>
      </c>
      <c r="B775" s="2" t="s">
        <v>2351</v>
      </c>
      <c r="C775" s="2" t="s">
        <v>88</v>
      </c>
      <c r="D775" s="2" t="s">
        <v>117</v>
      </c>
      <c r="E775" s="4">
        <v>-32848</v>
      </c>
      <c r="F775" s="3" t="s">
        <v>558</v>
      </c>
      <c r="G775" s="3" t="s">
        <v>227</v>
      </c>
      <c r="H775" s="2" t="s">
        <v>74</v>
      </c>
      <c r="I775" s="2" t="s">
        <v>2352</v>
      </c>
      <c r="J775" s="3" t="str">
        <f>HYPERLINK("https://www.boe.es/gazeta/dias/1810/01/23/pdfs/GGB-1810-10.pdf#page=6","Abrir facsímil")</f>
        <v>Abrir facsímil</v>
      </c>
      <c r="K775" s="3" t="s">
        <v>76</v>
      </c>
    </row>
    <row r="776" spans="1:11" ht="42" customHeight="1">
      <c r="A776" s="2" t="s">
        <v>2353</v>
      </c>
      <c r="B776" s="2" t="s">
        <v>2353</v>
      </c>
      <c r="C776" s="2" t="s">
        <v>88</v>
      </c>
      <c r="D776" s="2" t="s">
        <v>117</v>
      </c>
      <c r="E776" s="4">
        <v>-32512</v>
      </c>
      <c r="F776" s="3" t="s">
        <v>1920</v>
      </c>
      <c r="G776" s="3" t="s">
        <v>1659</v>
      </c>
      <c r="H776" s="2" t="s">
        <v>74</v>
      </c>
      <c r="I776" s="2" t="s">
        <v>2354</v>
      </c>
      <c r="J776" s="3" t="str">
        <f>HYPERLINK("https://www.boe.es/gazeta/dias/1810/12/25/pdfs/GEI-1810-112.pdf#page=5","Abrir facsímil")</f>
        <v>Abrir facsímil</v>
      </c>
      <c r="K776" s="3" t="s">
        <v>76</v>
      </c>
    </row>
    <row r="777" spans="1:11" ht="42" customHeight="1">
      <c r="A777" s="2" t="s">
        <v>2355</v>
      </c>
      <c r="B777" s="2" t="s">
        <v>2355</v>
      </c>
      <c r="C777" s="2" t="s">
        <v>26</v>
      </c>
      <c r="D777" s="2" t="s">
        <v>27</v>
      </c>
      <c r="E777" s="4">
        <v>-32589</v>
      </c>
      <c r="F777" s="3" t="s">
        <v>2356</v>
      </c>
      <c r="G777" s="3" t="s">
        <v>35</v>
      </c>
      <c r="H777" s="2" t="s">
        <v>74</v>
      </c>
      <c r="I777" s="2" t="s">
        <v>2357</v>
      </c>
      <c r="J777" s="3" t="str">
        <f>HYPERLINK("https://www.boe.es/gazeta/dias/1810/10/09/pdfs/GMD-1810-282.pdf#page=2","Abrir facsímil")</f>
        <v>Abrir facsímil</v>
      </c>
      <c r="K777" s="3" t="s">
        <v>76</v>
      </c>
    </row>
    <row r="778" spans="1:11" ht="42" customHeight="1">
      <c r="A778" s="2" t="s">
        <v>2358</v>
      </c>
      <c r="B778" s="2" t="s">
        <v>2358</v>
      </c>
      <c r="C778" s="2" t="s">
        <v>88</v>
      </c>
      <c r="D778" s="2" t="s">
        <v>117</v>
      </c>
      <c r="E778" s="4">
        <v>-32764</v>
      </c>
      <c r="F778" s="3" t="s">
        <v>1546</v>
      </c>
      <c r="G778" s="3" t="s">
        <v>473</v>
      </c>
      <c r="H778" s="2" t="s">
        <v>74</v>
      </c>
      <c r="I778" s="2" t="s">
        <v>2359</v>
      </c>
      <c r="J778" s="3" t="str">
        <f>HYPERLINK("https://www.boe.es/gazeta/dias/1810/04/17/pdfs/GEI-D-1810-15.pdf#page=1","Abrir facsímil")</f>
        <v>Abrir facsímil</v>
      </c>
      <c r="K778" s="3" t="s">
        <v>76</v>
      </c>
    </row>
    <row r="779" spans="1:11" ht="42" customHeight="1">
      <c r="A779" s="2" t="s">
        <v>2360</v>
      </c>
      <c r="B779" s="2" t="s">
        <v>2361</v>
      </c>
      <c r="C779" s="2" t="s">
        <v>26</v>
      </c>
      <c r="D779" s="2" t="s">
        <v>27</v>
      </c>
      <c r="E779" s="4">
        <v>-32686</v>
      </c>
      <c r="F779" s="3" t="s">
        <v>2362</v>
      </c>
      <c r="G779" s="3" t="s">
        <v>20</v>
      </c>
      <c r="H779" s="2" t="s">
        <v>74</v>
      </c>
      <c r="I779" s="2" t="s">
        <v>2363</v>
      </c>
      <c r="J779" s="3" t="str">
        <f>HYPERLINK("https://www.boe.es/gazeta/dias/1810/07/04/pdfs/GMD-1810-185.pdf#page=4","Abrir facsímil")</f>
        <v>Abrir facsímil</v>
      </c>
      <c r="K779" s="3" t="s">
        <v>76</v>
      </c>
    </row>
    <row r="780" spans="1:11" ht="42" customHeight="1">
      <c r="A780" s="2" t="s">
        <v>2364</v>
      </c>
      <c r="B780" s="2" t="s">
        <v>2364</v>
      </c>
      <c r="C780" s="2" t="s">
        <v>88</v>
      </c>
      <c r="D780" s="2" t="s">
        <v>117</v>
      </c>
      <c r="E780" s="4">
        <v>-32862</v>
      </c>
      <c r="F780" s="3" t="s">
        <v>694</v>
      </c>
      <c r="G780" s="3" t="s">
        <v>90</v>
      </c>
      <c r="H780" s="2" t="s">
        <v>74</v>
      </c>
      <c r="I780" s="2" t="s">
        <v>2365</v>
      </c>
      <c r="J780" s="3" t="str">
        <f>HYPERLINK("https://www.boe.es/gazeta/dias/1810/01/09/pdfs/GGB-1810-4.pdf#page=8","Abrir facsímil")</f>
        <v>Abrir facsímil</v>
      </c>
      <c r="K780" s="3" t="s">
        <v>76</v>
      </c>
    </row>
    <row r="781" spans="1:11" ht="42" customHeight="1">
      <c r="A781" s="2" t="s">
        <v>2366</v>
      </c>
      <c r="B781" s="2" t="s">
        <v>2366</v>
      </c>
      <c r="C781" s="2" t="s">
        <v>88</v>
      </c>
      <c r="D781" s="2" t="s">
        <v>27</v>
      </c>
      <c r="E781" s="4">
        <v>-32783</v>
      </c>
      <c r="F781" s="3" t="s">
        <v>896</v>
      </c>
      <c r="G781" s="3" t="s">
        <v>99</v>
      </c>
      <c r="H781" s="2" t="s">
        <v>74</v>
      </c>
      <c r="I781" s="2" t="s">
        <v>2367</v>
      </c>
      <c r="J781" s="3" t="str">
        <f>HYPERLINK("https://www.boe.es/gazeta/dias/1810/03/29/pdfs/GMD-1810-88.pdf#page=3","Abrir facsímil")</f>
        <v>Abrir facsímil</v>
      </c>
      <c r="K781" s="3" t="s">
        <v>76</v>
      </c>
    </row>
    <row r="782" spans="1:11" ht="42" customHeight="1">
      <c r="A782" s="2" t="s">
        <v>2366</v>
      </c>
      <c r="B782" s="2" t="s">
        <v>2366</v>
      </c>
      <c r="C782" s="2" t="s">
        <v>88</v>
      </c>
      <c r="D782" s="2" t="s">
        <v>27</v>
      </c>
      <c r="E782" s="4">
        <v>-32731</v>
      </c>
      <c r="F782" s="3" t="s">
        <v>251</v>
      </c>
      <c r="G782" s="3" t="s">
        <v>252</v>
      </c>
      <c r="H782" s="2" t="s">
        <v>74</v>
      </c>
      <c r="I782" s="2" t="s">
        <v>2368</v>
      </c>
      <c r="J782" s="3" t="str">
        <f>HYPERLINK("https://www.boe.es/gazeta/dias/1810/05/20/pdfs/GMD-1810-140.pdf#page=4","Abrir facsímil")</f>
        <v>Abrir facsímil</v>
      </c>
      <c r="K782" s="3" t="s">
        <v>76</v>
      </c>
    </row>
    <row r="783" spans="1:11" ht="42" customHeight="1">
      <c r="A783" s="2" t="s">
        <v>2369</v>
      </c>
      <c r="B783" s="2" t="s">
        <v>2369</v>
      </c>
      <c r="C783" s="2" t="s">
        <v>111</v>
      </c>
      <c r="D783" s="2" t="s">
        <v>27</v>
      </c>
      <c r="E783" s="4">
        <v>-32677</v>
      </c>
      <c r="F783" s="3" t="s">
        <v>209</v>
      </c>
      <c r="G783" s="3" t="s">
        <v>35</v>
      </c>
      <c r="H783" s="2" t="s">
        <v>74</v>
      </c>
      <c r="I783" s="2" t="s">
        <v>2370</v>
      </c>
      <c r="J783" s="3" t="str">
        <f>HYPERLINK("https://www.boe.es/gazeta/dias/1810/07/13/pdfs/GMD-1810-194.pdf#page=2","Abrir facsímil")</f>
        <v>Abrir facsímil</v>
      </c>
      <c r="K783" s="3" t="s">
        <v>76</v>
      </c>
    </row>
    <row r="784" spans="1:11" ht="42" customHeight="1">
      <c r="A784" s="2" t="s">
        <v>2371</v>
      </c>
      <c r="B784" s="2" t="s">
        <v>2372</v>
      </c>
      <c r="C784" s="2" t="s">
        <v>26</v>
      </c>
      <c r="D784" s="2" t="s">
        <v>27</v>
      </c>
      <c r="E784" s="4">
        <v>-32842</v>
      </c>
      <c r="F784" s="3" t="s">
        <v>1291</v>
      </c>
      <c r="G784" s="3" t="s">
        <v>1292</v>
      </c>
      <c r="H784" s="2" t="s">
        <v>74</v>
      </c>
      <c r="I784" s="2" t="s">
        <v>2373</v>
      </c>
      <c r="J784" s="3" t="str">
        <f>HYPERLINK("https://www.boe.es/gazeta/dias/1810/01/29/pdfs/GMD-1810-29.pdf#page=3","Abrir facsímil")</f>
        <v>Abrir facsímil</v>
      </c>
      <c r="K784" s="3" t="s">
        <v>76</v>
      </c>
    </row>
    <row r="785" spans="1:11" ht="42" customHeight="1">
      <c r="A785" s="2" t="s">
        <v>2374</v>
      </c>
      <c r="B785" s="2" t="s">
        <v>2375</v>
      </c>
      <c r="C785" s="2" t="s">
        <v>26</v>
      </c>
      <c r="D785" s="2" t="s">
        <v>39</v>
      </c>
      <c r="E785" s="4">
        <v>-32710</v>
      </c>
      <c r="F785" s="3" t="s">
        <v>1735</v>
      </c>
      <c r="G785" s="3" t="s">
        <v>1736</v>
      </c>
      <c r="H785" s="2" t="s">
        <v>74</v>
      </c>
      <c r="I785" s="2" t="s">
        <v>2376</v>
      </c>
      <c r="J785" s="3" t="str">
        <f>HYPERLINK("https://www.boe.es/gazeta/dias/1810/06/10/pdfs/GMD-C-1810-161.pdf#page=2","Abrir facsímil")</f>
        <v>Abrir facsímil</v>
      </c>
      <c r="K785" s="3" t="s">
        <v>76</v>
      </c>
    </row>
    <row r="786" spans="1:11" ht="42" customHeight="1">
      <c r="A786" s="2" t="s">
        <v>2377</v>
      </c>
      <c r="B786" s="2" t="s">
        <v>2377</v>
      </c>
      <c r="C786" s="2" t="s">
        <v>88</v>
      </c>
      <c r="D786" s="2" t="s">
        <v>27</v>
      </c>
      <c r="E786" s="4">
        <v>-32587</v>
      </c>
      <c r="F786" s="3" t="s">
        <v>103</v>
      </c>
      <c r="G786" s="3" t="s">
        <v>106</v>
      </c>
      <c r="H786" s="2" t="s">
        <v>74</v>
      </c>
      <c r="I786" s="2" t="s">
        <v>2378</v>
      </c>
      <c r="J786" s="3" t="str">
        <f>HYPERLINK("https://www.boe.es/gazeta/dias/1810/10/11/pdfs/GEI-1810-80.pdf#page=5","Abrir facsímil")</f>
        <v>Abrir facsímil</v>
      </c>
      <c r="K786" s="3" t="s">
        <v>76</v>
      </c>
    </row>
    <row r="787" spans="1:11" ht="42" customHeight="1">
      <c r="A787" s="2" t="s">
        <v>2379</v>
      </c>
      <c r="B787" s="2" t="s">
        <v>2380</v>
      </c>
      <c r="C787" s="2" t="s">
        <v>225</v>
      </c>
      <c r="D787" s="2" t="s">
        <v>27</v>
      </c>
      <c r="E787" s="4">
        <v>-32809</v>
      </c>
      <c r="F787" s="3" t="s">
        <v>1873</v>
      </c>
      <c r="G787" s="3" t="s">
        <v>735</v>
      </c>
      <c r="H787" s="2" t="s">
        <v>74</v>
      </c>
      <c r="I787" s="2" t="s">
        <v>2381</v>
      </c>
      <c r="J787" s="3" t="str">
        <f>HYPERLINK("https://www.boe.es/gazeta/dias/1810/03/03/pdfs/GMD-1810-62.pdf#page=4","Abrir facsímil")</f>
        <v>Abrir facsímil</v>
      </c>
      <c r="K787" s="3" t="s">
        <v>76</v>
      </c>
    </row>
    <row r="788" spans="1:11" ht="42" customHeight="1">
      <c r="A788" s="2" t="s">
        <v>2382</v>
      </c>
      <c r="B788" s="2" t="s">
        <v>2383</v>
      </c>
      <c r="C788" s="2" t="s">
        <v>225</v>
      </c>
      <c r="D788" s="2" t="s">
        <v>27</v>
      </c>
      <c r="E788" s="4">
        <v>-32531</v>
      </c>
      <c r="F788" s="3" t="s">
        <v>2023</v>
      </c>
      <c r="G788" s="3" t="s">
        <v>29</v>
      </c>
      <c r="H788" s="2" t="s">
        <v>74</v>
      </c>
      <c r="I788" s="2" t="s">
        <v>2384</v>
      </c>
      <c r="J788" s="3" t="str">
        <f>HYPERLINK("https://www.boe.es/gazeta/dias/1810/12/06/pdfs/GMD-1810-340.pdf#page=4","Abrir facsímil")</f>
        <v>Abrir facsímil</v>
      </c>
      <c r="K788" s="3" t="s">
        <v>76</v>
      </c>
    </row>
    <row r="789" spans="1:11" ht="42" customHeight="1">
      <c r="A789" s="2" t="s">
        <v>2385</v>
      </c>
      <c r="B789" s="2" t="s">
        <v>2386</v>
      </c>
      <c r="C789" s="2" t="s">
        <v>88</v>
      </c>
      <c r="D789" s="2" t="s">
        <v>27</v>
      </c>
      <c r="E789" s="4">
        <v>-32792</v>
      </c>
      <c r="F789" s="3" t="s">
        <v>2387</v>
      </c>
      <c r="G789" s="3" t="s">
        <v>1347</v>
      </c>
      <c r="H789" s="2" t="s">
        <v>74</v>
      </c>
      <c r="I789" s="2" t="s">
        <v>2388</v>
      </c>
      <c r="J789" s="3" t="str">
        <f>HYPERLINK("https://www.boe.es/gazeta/dias/1810/03/20/pdfs/GEI-1810-4.pdf#page=7","Abrir facsímil")</f>
        <v>Abrir facsímil</v>
      </c>
      <c r="K789" s="3" t="s">
        <v>76</v>
      </c>
    </row>
    <row r="790" spans="1:11" ht="42" customHeight="1">
      <c r="A790" s="2" t="s">
        <v>2389</v>
      </c>
      <c r="B790" s="2" t="s">
        <v>2390</v>
      </c>
      <c r="C790" s="2" t="s">
        <v>26</v>
      </c>
      <c r="D790" s="2" t="s">
        <v>27</v>
      </c>
      <c r="E790" s="4">
        <v>-32863</v>
      </c>
      <c r="F790" s="3" t="s">
        <v>2391</v>
      </c>
      <c r="G790" s="3" t="s">
        <v>180</v>
      </c>
      <c r="H790" s="2" t="s">
        <v>74</v>
      </c>
      <c r="I790" s="2" t="s">
        <v>2392</v>
      </c>
      <c r="J790" s="3" t="str">
        <f>HYPERLINK("https://www.boe.es/gazeta/dias/1810/01/08/pdfs/GMD-1810-8.pdf#page=3","Abrir facsímil")</f>
        <v>Abrir facsímil</v>
      </c>
      <c r="K790" s="3" t="s">
        <v>76</v>
      </c>
    </row>
    <row r="791" spans="1:11" ht="42" customHeight="1">
      <c r="A791" s="2" t="s">
        <v>2393</v>
      </c>
      <c r="B791" s="2" t="s">
        <v>2394</v>
      </c>
      <c r="C791" s="2" t="s">
        <v>88</v>
      </c>
      <c r="D791" s="2" t="s">
        <v>27</v>
      </c>
      <c r="E791" s="4">
        <v>-32741</v>
      </c>
      <c r="F791" s="3" t="s">
        <v>98</v>
      </c>
      <c r="G791" s="3" t="s">
        <v>90</v>
      </c>
      <c r="H791" s="2" t="s">
        <v>74</v>
      </c>
      <c r="I791" s="2" t="s">
        <v>2395</v>
      </c>
      <c r="J791" s="3" t="str">
        <f>HYPERLINK("https://www.boe.es/gazeta/dias/1810/05/10/pdfs/GMD-1810-130.pdf#page=4","Abrir facsímil")</f>
        <v>Abrir facsímil</v>
      </c>
      <c r="K791" s="3" t="s">
        <v>76</v>
      </c>
    </row>
    <row r="792" spans="1:11" ht="42" customHeight="1">
      <c r="A792" s="2" t="s">
        <v>2396</v>
      </c>
      <c r="B792" s="2" t="s">
        <v>2396</v>
      </c>
      <c r="C792" s="2" t="s">
        <v>33</v>
      </c>
      <c r="D792" s="2" t="s">
        <v>39</v>
      </c>
      <c r="E792" s="4">
        <v>-32708</v>
      </c>
      <c r="F792" s="3" t="s">
        <v>1601</v>
      </c>
      <c r="G792" s="3" t="s">
        <v>2172</v>
      </c>
      <c r="H792" s="2" t="s">
        <v>74</v>
      </c>
      <c r="I792" s="2" t="s">
        <v>2397</v>
      </c>
      <c r="J792" s="3" t="str">
        <f>HYPERLINK("https://www.boe.es/gazeta/dias/1810/06/12/pdfs/GEI-D-1810-35.pdf#page=3","Abrir facsímil")</f>
        <v>Abrir facsímil</v>
      </c>
      <c r="K792" s="3" t="s">
        <v>76</v>
      </c>
    </row>
    <row r="793" spans="1:11" ht="42" customHeight="1">
      <c r="A793" s="2" t="s">
        <v>2396</v>
      </c>
      <c r="B793" s="2" t="s">
        <v>2396</v>
      </c>
      <c r="C793" s="2" t="s">
        <v>17</v>
      </c>
      <c r="D793" s="2" t="s">
        <v>18</v>
      </c>
      <c r="E793" s="4">
        <v>-32656</v>
      </c>
      <c r="F793" s="3" t="s">
        <v>1909</v>
      </c>
      <c r="G793" s="3" t="s">
        <v>2094</v>
      </c>
      <c r="H793" s="2" t="s">
        <v>74</v>
      </c>
      <c r="I793" s="2" t="s">
        <v>2398</v>
      </c>
      <c r="J793" s="3" t="str">
        <f>HYPERLINK("https://www.boe.es/gazeta/dias/1810/08/03/pdfs/GEI-1810-50.pdf#page=6","Abrir facsímil")</f>
        <v>Abrir facsímil</v>
      </c>
      <c r="K793" s="3" t="s">
        <v>76</v>
      </c>
    </row>
    <row r="794" spans="1:11" ht="42" customHeight="1">
      <c r="A794" s="2" t="s">
        <v>2396</v>
      </c>
      <c r="B794" s="2" t="s">
        <v>2396</v>
      </c>
      <c r="C794" s="2" t="s">
        <v>88</v>
      </c>
      <c r="D794" s="2" t="s">
        <v>18</v>
      </c>
      <c r="E794" s="4">
        <v>-32618</v>
      </c>
      <c r="F794" s="3" t="s">
        <v>1501</v>
      </c>
      <c r="G794" s="3" t="s">
        <v>136</v>
      </c>
      <c r="H794" s="2" t="s">
        <v>74</v>
      </c>
      <c r="I794" s="2" t="s">
        <v>2399</v>
      </c>
      <c r="J794" s="3" t="str">
        <f>HYPERLINK("https://www.boe.es/gazeta/dias/1810/09/10/pdfs/GMD-1810-253.pdf#page=3","Abrir facsímil")</f>
        <v>Abrir facsímil</v>
      </c>
      <c r="K794" s="3" t="s">
        <v>76</v>
      </c>
    </row>
    <row r="795" spans="1:11" ht="42" customHeight="1">
      <c r="A795" s="2" t="s">
        <v>2396</v>
      </c>
      <c r="B795" s="2" t="s">
        <v>2396</v>
      </c>
      <c r="C795" s="2" t="s">
        <v>88</v>
      </c>
      <c r="D795" s="2" t="s">
        <v>27</v>
      </c>
      <c r="E795" s="4">
        <v>-32564</v>
      </c>
      <c r="F795" s="3" t="s">
        <v>108</v>
      </c>
      <c r="G795" s="3" t="s">
        <v>191</v>
      </c>
      <c r="H795" s="2" t="s">
        <v>74</v>
      </c>
      <c r="I795" s="2" t="s">
        <v>2400</v>
      </c>
      <c r="J795" s="3" t="str">
        <f>HYPERLINK("https://www.boe.es/gazeta/dias/1810/11/03/pdfs/GEI-1810-90.pdf#page=4","Abrir facsímil")</f>
        <v>Abrir facsímil</v>
      </c>
      <c r="K795" s="3" t="s">
        <v>76</v>
      </c>
    </row>
    <row r="796" spans="1:11" ht="42" customHeight="1">
      <c r="A796" s="2" t="s">
        <v>2401</v>
      </c>
      <c r="B796" s="2" t="s">
        <v>2402</v>
      </c>
      <c r="C796" s="2" t="s">
        <v>26</v>
      </c>
      <c r="D796" s="2" t="s">
        <v>27</v>
      </c>
      <c r="E796" s="4">
        <v>-32647</v>
      </c>
      <c r="F796" s="3" t="s">
        <v>118</v>
      </c>
      <c r="G796" s="3" t="s">
        <v>119</v>
      </c>
      <c r="H796" s="2" t="s">
        <v>74</v>
      </c>
      <c r="I796" s="2" t="s">
        <v>2403</v>
      </c>
      <c r="J796" s="3" t="str">
        <f>HYPERLINK("https://www.boe.es/gazeta/dias/1810/08/12/pdfs/GMD-1810-224.pdf#page=3","Abrir facsímil")</f>
        <v>Abrir facsímil</v>
      </c>
      <c r="K796" s="3" t="s">
        <v>76</v>
      </c>
    </row>
    <row r="797" spans="1:11" ht="42" customHeight="1">
      <c r="A797" s="2" t="s">
        <v>2404</v>
      </c>
      <c r="B797" s="2" t="s">
        <v>2405</v>
      </c>
      <c r="C797" s="2" t="s">
        <v>88</v>
      </c>
      <c r="D797" s="2" t="s">
        <v>27</v>
      </c>
      <c r="E797" s="4">
        <v>-32820</v>
      </c>
      <c r="F797" s="3" t="s">
        <v>226</v>
      </c>
      <c r="G797" s="3" t="s">
        <v>227</v>
      </c>
      <c r="H797" s="2" t="s">
        <v>74</v>
      </c>
      <c r="I797" s="2" t="s">
        <v>2406</v>
      </c>
      <c r="J797" s="3" t="str">
        <f>HYPERLINK("https://www.boe.es/gazeta/dias/1810/02/20/pdfs/GMD-1810-51.pdf#page=4","Abrir facsímil")</f>
        <v>Abrir facsímil</v>
      </c>
      <c r="K797" s="3" t="s">
        <v>76</v>
      </c>
    </row>
    <row r="798" spans="1:11" ht="42" customHeight="1">
      <c r="A798" s="2" t="s">
        <v>2407</v>
      </c>
      <c r="B798" s="2" t="s">
        <v>2407</v>
      </c>
      <c r="C798" s="2" t="s">
        <v>26</v>
      </c>
      <c r="D798" s="2" t="s">
        <v>27</v>
      </c>
      <c r="E798" s="4">
        <v>-32553</v>
      </c>
      <c r="F798" s="3" t="s">
        <v>2276</v>
      </c>
      <c r="G798" s="3" t="s">
        <v>1656</v>
      </c>
      <c r="H798" s="2" t="s">
        <v>74</v>
      </c>
      <c r="I798" s="2" t="s">
        <v>2408</v>
      </c>
      <c r="J798" s="3" t="str">
        <f>HYPERLINK("https://www.boe.es/gazeta/dias/1810/11/14/pdfs/GMD-1810-318.pdf#page=4","Abrir facsímil")</f>
        <v>Abrir facsímil</v>
      </c>
      <c r="K798" s="3" t="s">
        <v>76</v>
      </c>
    </row>
    <row r="799" spans="1:11" ht="42" customHeight="1">
      <c r="A799" s="2" t="s">
        <v>2409</v>
      </c>
      <c r="B799" s="2" t="s">
        <v>2409</v>
      </c>
      <c r="C799" s="2" t="s">
        <v>88</v>
      </c>
      <c r="D799" s="2" t="s">
        <v>220</v>
      </c>
      <c r="E799" s="4">
        <v>-32814</v>
      </c>
      <c r="F799" s="3" t="s">
        <v>2410</v>
      </c>
      <c r="G799" s="3" t="s">
        <v>210</v>
      </c>
      <c r="H799" s="2" t="s">
        <v>74</v>
      </c>
      <c r="I799" s="2" t="s">
        <v>2411</v>
      </c>
      <c r="J799" s="3" t="str">
        <f>HYPERLINK("https://www.boe.es/gazeta/dias/1810/02/26/pdfs/GMD-1810-57.pdf#page=1","Abrir facsímil")</f>
        <v>Abrir facsímil</v>
      </c>
      <c r="K799" s="3" t="s">
        <v>76</v>
      </c>
    </row>
    <row r="800" spans="1:11" ht="42" customHeight="1">
      <c r="A800" s="2" t="s">
        <v>2412</v>
      </c>
      <c r="B800" s="2" t="s">
        <v>2413</v>
      </c>
      <c r="C800" s="2" t="s">
        <v>26</v>
      </c>
      <c r="D800" s="2" t="s">
        <v>39</v>
      </c>
      <c r="E800" s="4">
        <v>-32599</v>
      </c>
      <c r="F800" s="3" t="s">
        <v>662</v>
      </c>
      <c r="G800" s="3" t="s">
        <v>663</v>
      </c>
      <c r="H800" s="2" t="s">
        <v>74</v>
      </c>
      <c r="I800" s="2" t="s">
        <v>2414</v>
      </c>
      <c r="J800" s="3" t="str">
        <f>HYPERLINK("https://www.boe.es/gazeta/dias/1810/09/29/pdfs/GMD-C-1810-272.pdf#page=11","Abrir facsímil")</f>
        <v>Abrir facsímil</v>
      </c>
      <c r="K800" s="3" t="s">
        <v>76</v>
      </c>
    </row>
    <row r="801" spans="1:11" ht="42" customHeight="1">
      <c r="A801" s="2" t="s">
        <v>2415</v>
      </c>
      <c r="B801" s="2" t="s">
        <v>2416</v>
      </c>
      <c r="C801" s="2" t="s">
        <v>26</v>
      </c>
      <c r="D801" s="2" t="s">
        <v>27</v>
      </c>
      <c r="E801" s="4">
        <v>-32761</v>
      </c>
      <c r="F801" s="3" t="s">
        <v>2093</v>
      </c>
      <c r="G801" s="3" t="s">
        <v>2094</v>
      </c>
      <c r="H801" s="2" t="s">
        <v>74</v>
      </c>
      <c r="I801" s="2" t="s">
        <v>2417</v>
      </c>
      <c r="J801" s="3" t="str">
        <f>HYPERLINK("https://www.boe.es/gazeta/dias/1810/04/20/pdfs/GMD-1810-110.pdf#page=2","Abrir facsímil")</f>
        <v>Abrir facsímil</v>
      </c>
      <c r="K801" s="3" t="s">
        <v>76</v>
      </c>
    </row>
    <row r="802" spans="1:11" ht="42" customHeight="1">
      <c r="A802" s="2" t="s">
        <v>2418</v>
      </c>
      <c r="B802" s="2" t="s">
        <v>2419</v>
      </c>
      <c r="C802" s="2" t="s">
        <v>195</v>
      </c>
      <c r="D802" s="2" t="s">
        <v>27</v>
      </c>
      <c r="E802" s="4">
        <v>-32755</v>
      </c>
      <c r="F802" s="3" t="s">
        <v>1641</v>
      </c>
      <c r="G802" s="3" t="s">
        <v>2420</v>
      </c>
      <c r="H802" s="2" t="s">
        <v>74</v>
      </c>
      <c r="I802" s="2" t="s">
        <v>2421</v>
      </c>
      <c r="J802" s="3" t="str">
        <f>HYPERLINK("https://www.boe.es/gazeta/dias/1810/04/26/pdfs/GMD-1810-116.pdf#page=4","Abrir facsímil")</f>
        <v>Abrir facsímil</v>
      </c>
      <c r="K802" s="3" t="s">
        <v>76</v>
      </c>
    </row>
    <row r="803" spans="1:11" ht="42" customHeight="1">
      <c r="A803" s="2" t="s">
        <v>2422</v>
      </c>
      <c r="B803" s="2" t="s">
        <v>2423</v>
      </c>
      <c r="C803" s="2" t="s">
        <v>26</v>
      </c>
      <c r="D803" s="2" t="s">
        <v>27</v>
      </c>
      <c r="E803" s="4">
        <v>-32771</v>
      </c>
      <c r="F803" s="3" t="s">
        <v>543</v>
      </c>
      <c r="G803" s="3" t="s">
        <v>65</v>
      </c>
      <c r="H803" s="2" t="s">
        <v>74</v>
      </c>
      <c r="I803" s="2" t="s">
        <v>2424</v>
      </c>
      <c r="J803" s="3" t="str">
        <f>HYPERLINK("https://www.boe.es/gazeta/dias/1810/04/10/pdfs/GEI-1810-13.pdf#page=7","Abrir facsímil")</f>
        <v>Abrir facsímil</v>
      </c>
      <c r="K803" s="3" t="s">
        <v>76</v>
      </c>
    </row>
    <row r="804" spans="1:11" ht="42" customHeight="1">
      <c r="A804" s="2" t="s">
        <v>2425</v>
      </c>
      <c r="B804" s="2" t="s">
        <v>2426</v>
      </c>
      <c r="C804" s="2" t="s">
        <v>26</v>
      </c>
      <c r="D804" s="2" t="s">
        <v>58</v>
      </c>
      <c r="E804" s="4">
        <v>-32729</v>
      </c>
      <c r="F804" s="3" t="s">
        <v>2427</v>
      </c>
      <c r="G804" s="3" t="s">
        <v>1266</v>
      </c>
      <c r="H804" s="2" t="s">
        <v>74</v>
      </c>
      <c r="I804" s="2" t="s">
        <v>2428</v>
      </c>
      <c r="J804" s="3" t="str">
        <f>HYPERLINK("https://www.boe.es/gazeta/dias/1810/05/22/pdfs/GEI-1810-29E.pdf#page=3","Abrir facsímil")</f>
        <v>Abrir facsímil</v>
      </c>
      <c r="K804" s="3" t="s">
        <v>76</v>
      </c>
    </row>
    <row r="805" spans="1:11" ht="42" customHeight="1">
      <c r="A805" s="2" t="s">
        <v>2425</v>
      </c>
      <c r="B805" s="2" t="s">
        <v>2426</v>
      </c>
      <c r="C805" s="2" t="s">
        <v>88</v>
      </c>
      <c r="D805" s="2" t="s">
        <v>27</v>
      </c>
      <c r="E805" s="4">
        <v>-32670</v>
      </c>
      <c r="F805" s="3" t="s">
        <v>1942</v>
      </c>
      <c r="G805" s="3" t="s">
        <v>1943</v>
      </c>
      <c r="H805" s="2" t="s">
        <v>74</v>
      </c>
      <c r="I805" s="2" t="s">
        <v>2429</v>
      </c>
      <c r="J805" s="3" t="str">
        <f>HYPERLINK("https://www.boe.es/gazeta/dias/1810/07/20/pdfs/GEI-1810-46.pdf#page=5","Abrir facsímil")</f>
        <v>Abrir facsímil</v>
      </c>
      <c r="K805" s="3" t="s">
        <v>76</v>
      </c>
    </row>
    <row r="806" spans="1:11" ht="42" customHeight="1">
      <c r="A806" s="2" t="s">
        <v>2430</v>
      </c>
      <c r="B806" s="2" t="s">
        <v>2431</v>
      </c>
      <c r="C806" s="2" t="s">
        <v>17</v>
      </c>
      <c r="D806" s="2" t="s">
        <v>27</v>
      </c>
      <c r="E806" s="4">
        <v>-32703</v>
      </c>
      <c r="F806" s="3" t="s">
        <v>1213</v>
      </c>
      <c r="G806" s="3" t="s">
        <v>1214</v>
      </c>
      <c r="H806" s="2" t="s">
        <v>74</v>
      </c>
      <c r="I806" s="2" t="s">
        <v>2432</v>
      </c>
      <c r="J806" s="3" t="str">
        <f>HYPERLINK("https://www.boe.es/gazeta/dias/1810/06/17/pdfs/GMD-1810-168.pdf#page=4","Abrir facsímil")</f>
        <v>Abrir facsímil</v>
      </c>
      <c r="K806" s="3" t="s">
        <v>76</v>
      </c>
    </row>
    <row r="807" spans="1:11" ht="42" customHeight="1">
      <c r="A807" s="2" t="s">
        <v>2433</v>
      </c>
      <c r="B807" s="2" t="s">
        <v>2434</v>
      </c>
      <c r="C807" s="2" t="s">
        <v>26</v>
      </c>
      <c r="D807" s="2" t="s">
        <v>27</v>
      </c>
      <c r="E807" s="4">
        <v>-32549</v>
      </c>
      <c r="F807" s="3" t="s">
        <v>1237</v>
      </c>
      <c r="G807" s="3" t="s">
        <v>493</v>
      </c>
      <c r="H807" s="2" t="s">
        <v>74</v>
      </c>
      <c r="I807" s="2" t="s">
        <v>2435</v>
      </c>
      <c r="J807" s="3" t="str">
        <f>HYPERLINK("https://www.boe.es/gazeta/dias/1810/11/18/pdfs/GMD-1810-322.pdf#page=2","Abrir facsímil")</f>
        <v>Abrir facsímil</v>
      </c>
      <c r="K807" s="3" t="s">
        <v>76</v>
      </c>
    </row>
    <row r="808" spans="1:11" ht="42" customHeight="1">
      <c r="A808" s="2" t="s">
        <v>2436</v>
      </c>
      <c r="B808" s="2" t="s">
        <v>2437</v>
      </c>
      <c r="C808" s="2" t="s">
        <v>33</v>
      </c>
      <c r="D808" s="2" t="s">
        <v>27</v>
      </c>
      <c r="E808" s="4">
        <v>-32757</v>
      </c>
      <c r="F808" s="3" t="s">
        <v>1136</v>
      </c>
      <c r="G808" s="3" t="s">
        <v>1901</v>
      </c>
      <c r="H808" s="2" t="s">
        <v>74</v>
      </c>
      <c r="I808" s="2" t="s">
        <v>2438</v>
      </c>
      <c r="J808" s="3" t="str">
        <f>HYPERLINK("https://www.boe.es/gazeta/dias/1810/04/24/pdfs/GEI-1810-17.pdf#page=8","Abrir facsímil")</f>
        <v>Abrir facsímil</v>
      </c>
      <c r="K808" s="3" t="s">
        <v>76</v>
      </c>
    </row>
    <row r="809" spans="1:11" ht="42" customHeight="1">
      <c r="A809" s="2" t="s">
        <v>2439</v>
      </c>
      <c r="B809" s="2" t="s">
        <v>2439</v>
      </c>
      <c r="C809" s="2" t="s">
        <v>225</v>
      </c>
      <c r="D809" s="2" t="s">
        <v>27</v>
      </c>
      <c r="E809" s="4">
        <v>-32762</v>
      </c>
      <c r="F809" s="3" t="s">
        <v>231</v>
      </c>
      <c r="G809" s="3" t="s">
        <v>29</v>
      </c>
      <c r="H809" s="2" t="s">
        <v>74</v>
      </c>
      <c r="I809" s="2" t="s">
        <v>2440</v>
      </c>
      <c r="J809" s="3" t="str">
        <f>HYPERLINK("https://www.boe.es/gazeta/dias/1810/04/19/pdfs/GMD-1810-109.pdf#page=2","Abrir facsímil")</f>
        <v>Abrir facsímil</v>
      </c>
      <c r="K809" s="3" t="s">
        <v>76</v>
      </c>
    </row>
    <row r="810" spans="1:11" ht="42" customHeight="1">
      <c r="A810" s="2" t="s">
        <v>2439</v>
      </c>
      <c r="B810" s="2" t="s">
        <v>2439</v>
      </c>
      <c r="C810" s="2" t="s">
        <v>26</v>
      </c>
      <c r="D810" s="2" t="s">
        <v>27</v>
      </c>
      <c r="E810" s="4">
        <v>-32740</v>
      </c>
      <c r="F810" s="3" t="s">
        <v>721</v>
      </c>
      <c r="G810" s="3" t="s">
        <v>2441</v>
      </c>
      <c r="H810" s="2" t="s">
        <v>74</v>
      </c>
      <c r="I810" s="2" t="s">
        <v>2442</v>
      </c>
      <c r="J810" s="3" t="str">
        <f>HYPERLINK("https://www.boe.es/gazeta/dias/1810/05/11/pdfs/GEI-1810-24.pdf#page=5","Abrir facsímil")</f>
        <v>Abrir facsímil</v>
      </c>
      <c r="K810" s="3" t="s">
        <v>76</v>
      </c>
    </row>
    <row r="811" spans="1:11" ht="42" customHeight="1">
      <c r="A811" s="2" t="s">
        <v>2439</v>
      </c>
      <c r="B811" s="2" t="s">
        <v>2439</v>
      </c>
      <c r="C811" s="2" t="s">
        <v>26</v>
      </c>
      <c r="D811" s="2" t="s">
        <v>39</v>
      </c>
      <c r="E811" s="4">
        <v>-32661</v>
      </c>
      <c r="F811" s="3" t="s">
        <v>157</v>
      </c>
      <c r="G811" s="3" t="s">
        <v>592</v>
      </c>
      <c r="H811" s="2" t="s">
        <v>74</v>
      </c>
      <c r="I811" s="2" t="s">
        <v>2443</v>
      </c>
      <c r="J811" s="3" t="str">
        <f>HYPERLINK("https://www.boe.es/gazeta/dias/1810/07/29/pdfs/GMD-C-1810-210.pdf#page=2","Abrir facsímil")</f>
        <v>Abrir facsímil</v>
      </c>
      <c r="K811" s="3" t="s">
        <v>76</v>
      </c>
    </row>
    <row r="812" spans="1:11" ht="42" customHeight="1">
      <c r="A812" s="2" t="s">
        <v>2439</v>
      </c>
      <c r="B812" s="2" t="s">
        <v>2439</v>
      </c>
      <c r="C812" s="2" t="s">
        <v>26</v>
      </c>
      <c r="D812" s="2" t="s">
        <v>27</v>
      </c>
      <c r="E812" s="4">
        <v>-32566</v>
      </c>
      <c r="F812" s="3" t="s">
        <v>405</v>
      </c>
      <c r="G812" s="3" t="s">
        <v>99</v>
      </c>
      <c r="H812" s="2" t="s">
        <v>74</v>
      </c>
      <c r="I812" s="2" t="s">
        <v>2444</v>
      </c>
      <c r="J812" s="3" t="str">
        <f>HYPERLINK("https://www.boe.es/gazeta/dias/1810/11/01/pdfs/GMD-1810-305.pdf#page=3","Abrir facsímil")</f>
        <v>Abrir facsímil</v>
      </c>
      <c r="K812" s="3" t="s">
        <v>76</v>
      </c>
    </row>
    <row r="813" spans="1:11" ht="42" customHeight="1">
      <c r="A813" s="2" t="s">
        <v>2445</v>
      </c>
      <c r="B813" s="2" t="s">
        <v>2446</v>
      </c>
      <c r="C813" s="2" t="s">
        <v>26</v>
      </c>
      <c r="D813" s="2" t="s">
        <v>39</v>
      </c>
      <c r="E813" s="4">
        <v>-32701</v>
      </c>
      <c r="F813" s="3" t="s">
        <v>40</v>
      </c>
      <c r="G813" s="3" t="s">
        <v>170</v>
      </c>
      <c r="H813" s="2" t="s">
        <v>74</v>
      </c>
      <c r="I813" s="2" t="s">
        <v>2447</v>
      </c>
      <c r="J813" s="3" t="str">
        <f>HYPERLINK("https://www.boe.es/gazeta/dias/1810/06/19/pdfs/GMD-C-1810-170.pdf#page=1","Abrir facsímil")</f>
        <v>Abrir facsímil</v>
      </c>
      <c r="K813" s="3" t="s">
        <v>76</v>
      </c>
    </row>
    <row r="814" spans="1:11" ht="42" customHeight="1">
      <c r="A814" s="2" t="s">
        <v>2445</v>
      </c>
      <c r="B814" s="2" t="s">
        <v>2446</v>
      </c>
      <c r="C814" s="2" t="s">
        <v>26</v>
      </c>
      <c r="D814" s="2" t="s">
        <v>39</v>
      </c>
      <c r="E814" s="4">
        <v>-32661</v>
      </c>
      <c r="F814" s="3" t="s">
        <v>157</v>
      </c>
      <c r="G814" s="3" t="s">
        <v>158</v>
      </c>
      <c r="H814" s="2" t="s">
        <v>74</v>
      </c>
      <c r="I814" s="2" t="s">
        <v>2448</v>
      </c>
      <c r="J814" s="3" t="str">
        <f>HYPERLINK("https://www.boe.es/gazeta/dias/1810/07/29/pdfs/GMD-C-1810-210.pdf#page=1","Abrir facsímil")</f>
        <v>Abrir facsímil</v>
      </c>
      <c r="K814" s="3" t="s">
        <v>76</v>
      </c>
    </row>
    <row r="815" spans="1:11" ht="42" customHeight="1">
      <c r="A815" s="2" t="s">
        <v>2449</v>
      </c>
      <c r="B815" s="2" t="s">
        <v>2450</v>
      </c>
      <c r="C815" s="2" t="s">
        <v>33</v>
      </c>
      <c r="D815" s="2" t="s">
        <v>58</v>
      </c>
      <c r="E815" s="4">
        <v>-32749</v>
      </c>
      <c r="F815" s="3" t="s">
        <v>2451</v>
      </c>
      <c r="G815" s="3" t="s">
        <v>113</v>
      </c>
      <c r="H815" s="2" t="s">
        <v>74</v>
      </c>
      <c r="I815" s="2" t="s">
        <v>2452</v>
      </c>
      <c r="J815" s="3" t="str">
        <f>HYPERLINK("https://www.boe.es/gazeta/dias/1810/05/02/pdfs/GEI-1810-20E.pdf#page=5","Abrir facsímil")</f>
        <v>Abrir facsímil</v>
      </c>
      <c r="K815" s="3" t="s">
        <v>76</v>
      </c>
    </row>
    <row r="816" spans="1:11" ht="42" customHeight="1">
      <c r="A816" s="2" t="s">
        <v>2449</v>
      </c>
      <c r="B816" s="2" t="s">
        <v>2450</v>
      </c>
      <c r="C816" s="2" t="s">
        <v>26</v>
      </c>
      <c r="D816" s="2" t="s">
        <v>39</v>
      </c>
      <c r="E816" s="4">
        <v>-32701</v>
      </c>
      <c r="F816" s="3" t="s">
        <v>40</v>
      </c>
      <c r="G816" s="3" t="s">
        <v>315</v>
      </c>
      <c r="H816" s="2" t="s">
        <v>74</v>
      </c>
      <c r="I816" s="2" t="s">
        <v>2453</v>
      </c>
      <c r="J816" s="3" t="str">
        <f>HYPERLINK("https://www.boe.es/gazeta/dias/1810/06/19/pdfs/GMD-C-1810-170.pdf#page=2","Abrir facsímil")</f>
        <v>Abrir facsímil</v>
      </c>
      <c r="K816" s="3" t="s">
        <v>76</v>
      </c>
    </row>
    <row r="817" spans="1:11" ht="42" customHeight="1">
      <c r="A817" s="2" t="s">
        <v>2449</v>
      </c>
      <c r="B817" s="2" t="s">
        <v>2450</v>
      </c>
      <c r="C817" s="2" t="s">
        <v>26</v>
      </c>
      <c r="D817" s="2" t="s">
        <v>27</v>
      </c>
      <c r="E817" s="4">
        <v>-32686</v>
      </c>
      <c r="F817" s="3" t="s">
        <v>2362</v>
      </c>
      <c r="G817" s="3" t="s">
        <v>20</v>
      </c>
      <c r="H817" s="2" t="s">
        <v>74</v>
      </c>
      <c r="I817" s="2" t="s">
        <v>2454</v>
      </c>
      <c r="J817" s="3" t="str">
        <f>HYPERLINK("https://www.boe.es/gazeta/dias/1810/07/04/pdfs/GMD-1810-185.pdf#page=4","Abrir facsímil")</f>
        <v>Abrir facsímil</v>
      </c>
      <c r="K817" s="3" t="s">
        <v>76</v>
      </c>
    </row>
    <row r="818" spans="1:11" ht="42" customHeight="1">
      <c r="A818" s="2" t="s">
        <v>2455</v>
      </c>
      <c r="B818" s="2" t="s">
        <v>2456</v>
      </c>
      <c r="C818" s="2" t="s">
        <v>26</v>
      </c>
      <c r="D818" s="2" t="s">
        <v>39</v>
      </c>
      <c r="E818" s="4">
        <v>-32670</v>
      </c>
      <c r="F818" s="3" t="s">
        <v>2457</v>
      </c>
      <c r="G818" s="3" t="s">
        <v>1464</v>
      </c>
      <c r="H818" s="2" t="s">
        <v>74</v>
      </c>
      <c r="I818" s="2" t="s">
        <v>2458</v>
      </c>
      <c r="J818" s="3" t="str">
        <f>HYPERLINK("https://www.boe.es/gazeta/dias/1810/07/20/pdfs/GMD-C-1810-201.pdf#page=3","Abrir facsímil")</f>
        <v>Abrir facsímil</v>
      </c>
      <c r="K818" s="3" t="s">
        <v>76</v>
      </c>
    </row>
    <row r="819" spans="1:11" ht="42" customHeight="1">
      <c r="A819" s="2" t="s">
        <v>2459</v>
      </c>
      <c r="B819" s="2" t="s">
        <v>2460</v>
      </c>
      <c r="C819" s="2" t="s">
        <v>26</v>
      </c>
      <c r="D819" s="2" t="s">
        <v>39</v>
      </c>
      <c r="E819" s="4">
        <v>-32701</v>
      </c>
      <c r="F819" s="3" t="s">
        <v>40</v>
      </c>
      <c r="G819" s="3" t="s">
        <v>333</v>
      </c>
      <c r="H819" s="2" t="s">
        <v>74</v>
      </c>
      <c r="I819" s="2" t="s">
        <v>2461</v>
      </c>
      <c r="J819" s="3" t="str">
        <f>HYPERLINK("https://www.boe.es/gazeta/dias/1810/06/19/pdfs/GMD-C-1810-170.pdf#page=4","Abrir facsímil")</f>
        <v>Abrir facsímil</v>
      </c>
      <c r="K819" s="3" t="s">
        <v>76</v>
      </c>
    </row>
    <row r="820" spans="1:11" ht="42" customHeight="1">
      <c r="A820" s="2" t="s">
        <v>2462</v>
      </c>
      <c r="B820" s="2" t="s">
        <v>2462</v>
      </c>
      <c r="C820" s="2" t="s">
        <v>26</v>
      </c>
      <c r="D820" s="2" t="s">
        <v>39</v>
      </c>
      <c r="E820" s="4">
        <v>-32702</v>
      </c>
      <c r="F820" s="3" t="s">
        <v>179</v>
      </c>
      <c r="G820" s="3" t="s">
        <v>213</v>
      </c>
      <c r="H820" s="2" t="s">
        <v>74</v>
      </c>
      <c r="I820" s="2" t="s">
        <v>2463</v>
      </c>
      <c r="J820" s="3" t="str">
        <f>HYPERLINK("https://www.boe.es/gazeta/dias/1810/06/18/pdfs/GMD-C-1810-169.pdf#page=4","Abrir facsímil")</f>
        <v>Abrir facsímil</v>
      </c>
      <c r="K820" s="3" t="s">
        <v>76</v>
      </c>
    </row>
    <row r="821" spans="1:11" ht="42" customHeight="1">
      <c r="A821" s="2" t="s">
        <v>2464</v>
      </c>
      <c r="B821" s="2" t="s">
        <v>2465</v>
      </c>
      <c r="C821" s="2" t="s">
        <v>26</v>
      </c>
      <c r="D821" s="2" t="s">
        <v>39</v>
      </c>
      <c r="E821" s="4">
        <v>-32661</v>
      </c>
      <c r="F821" s="3" t="s">
        <v>157</v>
      </c>
      <c r="G821" s="3" t="s">
        <v>592</v>
      </c>
      <c r="H821" s="2" t="s">
        <v>74</v>
      </c>
      <c r="I821" s="2" t="s">
        <v>2466</v>
      </c>
      <c r="J821" s="3" t="str">
        <f>HYPERLINK("https://www.boe.es/gazeta/dias/1810/07/29/pdfs/GMD-C-1810-210.pdf#page=2","Abrir facsímil")</f>
        <v>Abrir facsímil</v>
      </c>
      <c r="K821" s="3" t="s">
        <v>76</v>
      </c>
    </row>
    <row r="822" spans="1:11" ht="42" customHeight="1">
      <c r="A822" s="2" t="s">
        <v>2467</v>
      </c>
      <c r="B822" s="2" t="s">
        <v>2467</v>
      </c>
      <c r="C822" s="2" t="s">
        <v>26</v>
      </c>
      <c r="D822" s="2" t="s">
        <v>220</v>
      </c>
      <c r="E822" s="4">
        <v>-32839</v>
      </c>
      <c r="F822" s="3" t="s">
        <v>28</v>
      </c>
      <c r="G822" s="3" t="s">
        <v>29</v>
      </c>
      <c r="H822" s="2" t="s">
        <v>74</v>
      </c>
      <c r="I822" s="2" t="s">
        <v>2468</v>
      </c>
      <c r="J822" s="3" t="str">
        <f>HYPERLINK("https://www.boe.es/gazeta/dias/1810/02/01/pdfs/GMD-1810-32.pdf#page=3","Abrir facsímil")</f>
        <v>Abrir facsímil</v>
      </c>
      <c r="K822" s="3" t="s">
        <v>76</v>
      </c>
    </row>
    <row r="823" spans="1:11" ht="42" customHeight="1">
      <c r="A823" s="2" t="s">
        <v>2467</v>
      </c>
      <c r="B823" s="2" t="s">
        <v>2467</v>
      </c>
      <c r="C823" s="2" t="s">
        <v>26</v>
      </c>
      <c r="D823" s="2" t="s">
        <v>27</v>
      </c>
      <c r="E823" s="4">
        <v>-32545</v>
      </c>
      <c r="F823" s="3" t="s">
        <v>165</v>
      </c>
      <c r="G823" s="3" t="s">
        <v>166</v>
      </c>
      <c r="H823" s="2" t="s">
        <v>74</v>
      </c>
      <c r="I823" s="2" t="s">
        <v>2469</v>
      </c>
      <c r="J823" s="3" t="str">
        <f>HYPERLINK("https://www.boe.es/gazeta/dias/1810/11/22/pdfs/GEI-1810-98.pdf#page=8","Abrir facsímil")</f>
        <v>Abrir facsímil</v>
      </c>
      <c r="K823" s="3" t="s">
        <v>76</v>
      </c>
    </row>
    <row r="824" spans="1:11" ht="42" customHeight="1">
      <c r="A824" s="2" t="s">
        <v>2467</v>
      </c>
      <c r="B824" s="2" t="s">
        <v>2467</v>
      </c>
      <c r="C824" s="2" t="s">
        <v>88</v>
      </c>
      <c r="D824" s="2" t="s">
        <v>27</v>
      </c>
      <c r="E824" s="4">
        <v>-32544</v>
      </c>
      <c r="F824" s="3" t="s">
        <v>1239</v>
      </c>
      <c r="G824" s="3" t="s">
        <v>99</v>
      </c>
      <c r="H824" s="2" t="s">
        <v>74</v>
      </c>
      <c r="I824" s="2" t="s">
        <v>2470</v>
      </c>
      <c r="J824" s="3" t="str">
        <f>HYPERLINK("https://www.boe.es/gazeta/dias/1810/11/23/pdfs/GMD-1810-327.pdf#page=3","Abrir facsímil")</f>
        <v>Abrir facsímil</v>
      </c>
      <c r="K824" s="3" t="s">
        <v>76</v>
      </c>
    </row>
    <row r="825" spans="1:11" ht="42" customHeight="1">
      <c r="A825" s="2" t="s">
        <v>2471</v>
      </c>
      <c r="B825" s="2" t="s">
        <v>2472</v>
      </c>
      <c r="C825" s="2" t="s">
        <v>88</v>
      </c>
      <c r="D825" s="2" t="s">
        <v>27</v>
      </c>
      <c r="E825" s="4">
        <v>-32853</v>
      </c>
      <c r="F825" s="3" t="s">
        <v>516</v>
      </c>
      <c r="G825" s="3" t="s">
        <v>517</v>
      </c>
      <c r="H825" s="2" t="s">
        <v>74</v>
      </c>
      <c r="I825" s="2" t="s">
        <v>2473</v>
      </c>
      <c r="J825" s="3" t="str">
        <f>HYPERLINK("https://www.boe.es/gazeta/dias/1810/01/18/pdfs/GGB-1810-8.pdf#page=7","Abrir facsímil")</f>
        <v>Abrir facsímil</v>
      </c>
      <c r="K825" s="3" t="s">
        <v>76</v>
      </c>
    </row>
    <row r="826" spans="1:11" ht="42" customHeight="1">
      <c r="A826" s="2" t="s">
        <v>2471</v>
      </c>
      <c r="B826" s="2" t="s">
        <v>2472</v>
      </c>
      <c r="C826" s="2" t="s">
        <v>26</v>
      </c>
      <c r="D826" s="2" t="s">
        <v>27</v>
      </c>
      <c r="E826" s="4">
        <v>-32591</v>
      </c>
      <c r="F826" s="3" t="s">
        <v>377</v>
      </c>
      <c r="G826" s="3" t="s">
        <v>136</v>
      </c>
      <c r="H826" s="2" t="s">
        <v>74</v>
      </c>
      <c r="I826" s="2" t="s">
        <v>2474</v>
      </c>
      <c r="J826" s="3" t="str">
        <f>HYPERLINK("https://www.boe.es/gazeta/dias/1810/10/07/pdfs/GMD-1810-280.pdf#page=3","Abrir facsímil")</f>
        <v>Abrir facsímil</v>
      </c>
      <c r="K826" s="3" t="s">
        <v>76</v>
      </c>
    </row>
    <row r="827" spans="1:11" ht="42" customHeight="1">
      <c r="A827" s="2" t="s">
        <v>2475</v>
      </c>
      <c r="B827" s="2" t="s">
        <v>2476</v>
      </c>
      <c r="C827" s="2" t="s">
        <v>26</v>
      </c>
      <c r="D827" s="2" t="s">
        <v>27</v>
      </c>
      <c r="E827" s="4">
        <v>-32666</v>
      </c>
      <c r="F827" s="3" t="s">
        <v>346</v>
      </c>
      <c r="G827" s="3" t="s">
        <v>2477</v>
      </c>
      <c r="H827" s="2" t="s">
        <v>74</v>
      </c>
      <c r="I827" s="2" t="s">
        <v>2478</v>
      </c>
      <c r="J827" s="3" t="str">
        <f>HYPERLINK("https://www.boe.es/gazeta/dias/1810/07/24/pdfs/GEI-1810-47.pdf#page=5","Abrir facsímil")</f>
        <v>Abrir facsímil</v>
      </c>
      <c r="K827" s="3" t="s">
        <v>76</v>
      </c>
    </row>
    <row r="828" spans="1:11" ht="42" customHeight="1">
      <c r="A828" s="2" t="s">
        <v>2479</v>
      </c>
      <c r="B828" s="2" t="s">
        <v>2480</v>
      </c>
      <c r="C828" s="2" t="s">
        <v>26</v>
      </c>
      <c r="D828" s="2" t="s">
        <v>27</v>
      </c>
      <c r="E828" s="4">
        <v>-32568</v>
      </c>
      <c r="F828" s="3" t="s">
        <v>1233</v>
      </c>
      <c r="G828" s="3" t="s">
        <v>140</v>
      </c>
      <c r="H828" s="2" t="s">
        <v>74</v>
      </c>
      <c r="I828" s="2" t="s">
        <v>2481</v>
      </c>
      <c r="J828" s="3" t="str">
        <f>HYPERLINK("https://www.boe.es/gazeta/dias/1810/10/30/pdfs/GMD-1810-303.pdf#page=4","Abrir facsímil")</f>
        <v>Abrir facsímil</v>
      </c>
      <c r="K828" s="3" t="s">
        <v>76</v>
      </c>
    </row>
    <row r="829" spans="1:11" ht="42" customHeight="1">
      <c r="A829" s="2" t="s">
        <v>2482</v>
      </c>
      <c r="B829" s="2" t="s">
        <v>2482</v>
      </c>
      <c r="C829" s="2" t="s">
        <v>88</v>
      </c>
      <c r="D829" s="2" t="s">
        <v>220</v>
      </c>
      <c r="E829" s="4">
        <v>-32531</v>
      </c>
      <c r="F829" s="3" t="s">
        <v>2483</v>
      </c>
      <c r="G829" s="3" t="s">
        <v>227</v>
      </c>
      <c r="H829" s="2" t="s">
        <v>74</v>
      </c>
      <c r="I829" s="2" t="s">
        <v>2484</v>
      </c>
      <c r="J829" s="3" t="str">
        <f>HYPERLINK("https://www.boe.es/gazeta/dias/1810/12/06/pdfs/GEI-1810-104.pdf#page=2","Abrir facsímil")</f>
        <v>Abrir facsímil</v>
      </c>
      <c r="K829" s="3" t="s">
        <v>76</v>
      </c>
    </row>
    <row r="830" spans="1:11" ht="42" customHeight="1">
      <c r="A830" s="2" t="s">
        <v>2485</v>
      </c>
      <c r="B830" s="2" t="s">
        <v>2485</v>
      </c>
      <c r="C830" s="2" t="s">
        <v>88</v>
      </c>
      <c r="D830" s="2" t="s">
        <v>117</v>
      </c>
      <c r="E830" s="4">
        <v>-32559</v>
      </c>
      <c r="F830" s="3" t="s">
        <v>2260</v>
      </c>
      <c r="G830" s="3" t="s">
        <v>140</v>
      </c>
      <c r="H830" s="2" t="s">
        <v>74</v>
      </c>
      <c r="I830" s="2" t="s">
        <v>2486</v>
      </c>
      <c r="J830" s="3" t="str">
        <f>HYPERLINK("https://www.boe.es/gazeta/dias/1810/11/08/pdfs/GMD-1810-312.pdf#page=2","Abrir facsímil")</f>
        <v>Abrir facsímil</v>
      </c>
      <c r="K830" s="3" t="s">
        <v>76</v>
      </c>
    </row>
    <row r="831" spans="1:11" ht="42" customHeight="1">
      <c r="A831" s="2" t="s">
        <v>2487</v>
      </c>
      <c r="B831" s="2" t="s">
        <v>2488</v>
      </c>
      <c r="C831" s="2" t="s">
        <v>88</v>
      </c>
      <c r="D831" s="2" t="s">
        <v>27</v>
      </c>
      <c r="E831" s="4">
        <v>-32710</v>
      </c>
      <c r="F831" s="3" t="s">
        <v>126</v>
      </c>
      <c r="G831" s="3" t="s">
        <v>20</v>
      </c>
      <c r="H831" s="2" t="s">
        <v>74</v>
      </c>
      <c r="I831" s="2" t="s">
        <v>2489</v>
      </c>
      <c r="J831" s="3" t="str">
        <f>HYPERLINK("https://www.boe.es/gazeta/dias/1810/06/10/pdfs/GMD-1810-161.pdf#page=4","Abrir facsímil")</f>
        <v>Abrir facsímil</v>
      </c>
      <c r="K831" s="3" t="s">
        <v>76</v>
      </c>
    </row>
    <row r="832" spans="1:11" ht="42" customHeight="1">
      <c r="A832" s="2" t="s">
        <v>2490</v>
      </c>
      <c r="B832" s="2" t="s">
        <v>2491</v>
      </c>
      <c r="C832" s="2" t="s">
        <v>88</v>
      </c>
      <c r="D832" s="2" t="s">
        <v>39</v>
      </c>
      <c r="E832" s="4">
        <v>-32645</v>
      </c>
      <c r="F832" s="3" t="s">
        <v>2492</v>
      </c>
      <c r="G832" s="3" t="s">
        <v>2493</v>
      </c>
      <c r="H832" s="2" t="s">
        <v>74</v>
      </c>
      <c r="I832" s="2" t="s">
        <v>2494</v>
      </c>
      <c r="J832" s="3" t="str">
        <f>HYPERLINK("https://www.boe.es/gazeta/dias/1810/08/14/pdfs/GEI-D-1810-56.pdf#page=2","Abrir facsímil")</f>
        <v>Abrir facsímil</v>
      </c>
      <c r="K832" s="3" t="s">
        <v>76</v>
      </c>
    </row>
    <row r="833" spans="1:11" ht="42" customHeight="1">
      <c r="A833" s="2" t="s">
        <v>2495</v>
      </c>
      <c r="B833" s="2" t="s">
        <v>2495</v>
      </c>
      <c r="C833" s="2" t="s">
        <v>88</v>
      </c>
      <c r="D833" s="2" t="s">
        <v>117</v>
      </c>
      <c r="E833" s="4">
        <v>-32558</v>
      </c>
      <c r="F833" s="3" t="s">
        <v>241</v>
      </c>
      <c r="G833" s="3" t="s">
        <v>29</v>
      </c>
      <c r="H833" s="2" t="s">
        <v>74</v>
      </c>
      <c r="I833" s="2" t="s">
        <v>2496</v>
      </c>
      <c r="J833" s="3" t="str">
        <f>HYPERLINK("https://www.boe.es/gazeta/dias/1810/11/09/pdfs/GMD-1810-313.pdf#page=2","Abrir facsímil")</f>
        <v>Abrir facsímil</v>
      </c>
      <c r="K833" s="3" t="s">
        <v>76</v>
      </c>
    </row>
    <row r="834" spans="1:11" ht="42" customHeight="1">
      <c r="A834" s="2" t="s">
        <v>2497</v>
      </c>
      <c r="B834" s="2" t="s">
        <v>2497</v>
      </c>
      <c r="C834" s="2" t="s">
        <v>88</v>
      </c>
      <c r="D834" s="2" t="s">
        <v>27</v>
      </c>
      <c r="E834" s="4">
        <v>-32638</v>
      </c>
      <c r="F834" s="3" t="s">
        <v>2498</v>
      </c>
      <c r="G834" s="3" t="s">
        <v>119</v>
      </c>
      <c r="H834" s="2" t="s">
        <v>74</v>
      </c>
      <c r="I834" s="2" t="s">
        <v>2499</v>
      </c>
      <c r="J834" s="3" t="str">
        <f>HYPERLINK("https://www.boe.es/gazeta/dias/1810/08/21/pdfs/GEI-1810-58.pdf#page=2","Abrir facsímil")</f>
        <v>Abrir facsímil</v>
      </c>
      <c r="K834" s="3" t="s">
        <v>76</v>
      </c>
    </row>
    <row r="835" spans="1:11" ht="42" customHeight="1">
      <c r="A835" s="2" t="s">
        <v>2497</v>
      </c>
      <c r="B835" s="2" t="s">
        <v>2497</v>
      </c>
      <c r="C835" s="2" t="s">
        <v>88</v>
      </c>
      <c r="D835" s="2" t="s">
        <v>117</v>
      </c>
      <c r="E835" s="4">
        <v>-32631</v>
      </c>
      <c r="F835" s="3" t="s">
        <v>130</v>
      </c>
      <c r="G835" s="3" t="s">
        <v>2500</v>
      </c>
      <c r="H835" s="2" t="s">
        <v>74</v>
      </c>
      <c r="I835" s="2" t="s">
        <v>2501</v>
      </c>
      <c r="J835" s="3" t="str">
        <f>HYPERLINK("https://www.boe.es/gazeta/dias/1810/08/28/pdfs/GEI-1810-60.pdf#page=3","Abrir facsímil")</f>
        <v>Abrir facsímil</v>
      </c>
      <c r="K835" s="3" t="s">
        <v>76</v>
      </c>
    </row>
    <row r="836" spans="1:11" ht="42" customHeight="1">
      <c r="A836" s="2" t="s">
        <v>2497</v>
      </c>
      <c r="B836" s="2" t="s">
        <v>2497</v>
      </c>
      <c r="C836" s="2" t="s">
        <v>88</v>
      </c>
      <c r="D836" s="2" t="s">
        <v>220</v>
      </c>
      <c r="E836" s="4">
        <v>-32614</v>
      </c>
      <c r="F836" s="3" t="s">
        <v>1083</v>
      </c>
      <c r="G836" s="3" t="s">
        <v>2502</v>
      </c>
      <c r="H836" s="2" t="s">
        <v>74</v>
      </c>
      <c r="I836" s="2" t="s">
        <v>2503</v>
      </c>
      <c r="J836" s="3" t="str">
        <f>HYPERLINK("https://www.boe.es/gazeta/dias/1810/09/14/pdfs/GEI-1810-67.pdf#page=1","Abrir facsímil")</f>
        <v>Abrir facsímil</v>
      </c>
      <c r="K836" s="3" t="s">
        <v>76</v>
      </c>
    </row>
    <row r="837" spans="1:11" ht="42" customHeight="1">
      <c r="A837" s="2" t="s">
        <v>2497</v>
      </c>
      <c r="B837" s="2" t="s">
        <v>2497</v>
      </c>
      <c r="C837" s="2" t="s">
        <v>88</v>
      </c>
      <c r="D837" s="2" t="s">
        <v>27</v>
      </c>
      <c r="E837" s="4">
        <v>-32608</v>
      </c>
      <c r="F837" s="3" t="s">
        <v>781</v>
      </c>
      <c r="G837" s="3" t="s">
        <v>2504</v>
      </c>
      <c r="H837" s="2" t="s">
        <v>74</v>
      </c>
      <c r="I837" s="2" t="s">
        <v>2505</v>
      </c>
      <c r="J837" s="3" t="str">
        <f>HYPERLINK("https://www.boe.es/gazeta/dias/1810/09/20/pdfs/GEI-1810-70.pdf#page=1","Abrir facsímil")</f>
        <v>Abrir facsímil</v>
      </c>
      <c r="K837" s="3" t="s">
        <v>76</v>
      </c>
    </row>
    <row r="838" spans="1:11" ht="42" customHeight="1">
      <c r="A838" s="2" t="s">
        <v>2497</v>
      </c>
      <c r="B838" s="2" t="s">
        <v>2497</v>
      </c>
      <c r="C838" s="2" t="s">
        <v>88</v>
      </c>
      <c r="D838" s="2" t="s">
        <v>117</v>
      </c>
      <c r="E838" s="4">
        <v>-32597</v>
      </c>
      <c r="F838" s="3" t="s">
        <v>2506</v>
      </c>
      <c r="G838" s="3" t="s">
        <v>35</v>
      </c>
      <c r="H838" s="2" t="s">
        <v>74</v>
      </c>
      <c r="I838" s="2" t="s">
        <v>2507</v>
      </c>
      <c r="J838" s="3" t="str">
        <f>HYPERLINK("https://www.boe.es/gazeta/dias/1810/10/01/pdfs/GMD-1810-274.pdf#page=2","Abrir facsímil")</f>
        <v>Abrir facsímil</v>
      </c>
      <c r="K838" s="3" t="s">
        <v>76</v>
      </c>
    </row>
    <row r="839" spans="1:11" ht="42" customHeight="1">
      <c r="A839" s="2" t="s">
        <v>2497</v>
      </c>
      <c r="B839" s="2" t="s">
        <v>2497</v>
      </c>
      <c r="C839" s="2" t="s">
        <v>88</v>
      </c>
      <c r="D839" s="2" t="s">
        <v>27</v>
      </c>
      <c r="E839" s="4">
        <v>-32580</v>
      </c>
      <c r="F839" s="3" t="s">
        <v>2508</v>
      </c>
      <c r="G839" s="3" t="s">
        <v>227</v>
      </c>
      <c r="H839" s="2" t="s">
        <v>74</v>
      </c>
      <c r="I839" s="2" t="s">
        <v>2509</v>
      </c>
      <c r="J839" s="3" t="str">
        <f>HYPERLINK("https://www.boe.es/gazeta/dias/1810/10/18/pdfs/GEI-1810-83.pdf#page=5","Abrir facsímil")</f>
        <v>Abrir facsímil</v>
      </c>
      <c r="K839" s="3" t="s">
        <v>76</v>
      </c>
    </row>
    <row r="840" spans="1:11" ht="42" customHeight="1">
      <c r="A840" s="2" t="s">
        <v>2497</v>
      </c>
      <c r="B840" s="2" t="s">
        <v>2497</v>
      </c>
      <c r="C840" s="2" t="s">
        <v>88</v>
      </c>
      <c r="D840" s="2" t="s">
        <v>27</v>
      </c>
      <c r="E840" s="4">
        <v>-32566</v>
      </c>
      <c r="F840" s="3" t="s">
        <v>649</v>
      </c>
      <c r="G840" s="3" t="s">
        <v>1814</v>
      </c>
      <c r="H840" s="2" t="s">
        <v>74</v>
      </c>
      <c r="I840" s="2" t="s">
        <v>2510</v>
      </c>
      <c r="J840" s="3" t="str">
        <f>HYPERLINK("https://www.boe.es/gazeta/dias/1810/11/01/pdfs/GEI-1810-89.pdf#page=2","Abrir facsímil")</f>
        <v>Abrir facsímil</v>
      </c>
      <c r="K840" s="3" t="s">
        <v>76</v>
      </c>
    </row>
    <row r="841" spans="1:11" ht="42" customHeight="1">
      <c r="A841" s="2" t="s">
        <v>2497</v>
      </c>
      <c r="B841" s="2" t="s">
        <v>2497</v>
      </c>
      <c r="C841" s="2" t="s">
        <v>88</v>
      </c>
      <c r="D841" s="2" t="s">
        <v>27</v>
      </c>
      <c r="E841" s="4">
        <v>-32566</v>
      </c>
      <c r="F841" s="3" t="s">
        <v>649</v>
      </c>
      <c r="G841" s="3" t="s">
        <v>180</v>
      </c>
      <c r="H841" s="2" t="s">
        <v>74</v>
      </c>
      <c r="I841" s="2" t="s">
        <v>2511</v>
      </c>
      <c r="J841" s="3" t="str">
        <f>HYPERLINK("https://www.boe.es/gazeta/dias/1810/11/01/pdfs/GEI-1810-89.pdf#page=3","Abrir facsímil")</f>
        <v>Abrir facsímil</v>
      </c>
      <c r="K841" s="3" t="s">
        <v>76</v>
      </c>
    </row>
    <row r="842" spans="1:11" ht="42" customHeight="1">
      <c r="A842" s="2" t="s">
        <v>2497</v>
      </c>
      <c r="B842" s="2" t="s">
        <v>2497</v>
      </c>
      <c r="C842" s="2" t="s">
        <v>26</v>
      </c>
      <c r="D842" s="2" t="s">
        <v>18</v>
      </c>
      <c r="E842" s="4">
        <v>-32538</v>
      </c>
      <c r="F842" s="3" t="s">
        <v>1949</v>
      </c>
      <c r="G842" s="3" t="s">
        <v>35</v>
      </c>
      <c r="H842" s="2" t="s">
        <v>74</v>
      </c>
      <c r="I842" s="2" t="s">
        <v>2512</v>
      </c>
      <c r="J842" s="3" t="str">
        <f>HYPERLINK("https://www.boe.es/gazeta/dias/1810/11/29/pdfs/GEI-1810-101.pdf#page=2","Abrir facsímil")</f>
        <v>Abrir facsímil</v>
      </c>
      <c r="K842" s="3" t="s">
        <v>76</v>
      </c>
    </row>
    <row r="843" spans="1:11" ht="42" customHeight="1">
      <c r="A843" s="2" t="s">
        <v>2513</v>
      </c>
      <c r="B843" s="2" t="s">
        <v>2513</v>
      </c>
      <c r="C843" s="2" t="s">
        <v>88</v>
      </c>
      <c r="D843" s="2" t="s">
        <v>27</v>
      </c>
      <c r="E843" s="4">
        <v>-32775</v>
      </c>
      <c r="F843" s="3" t="s">
        <v>553</v>
      </c>
      <c r="G843" s="3" t="s">
        <v>2514</v>
      </c>
      <c r="H843" s="2" t="s">
        <v>74</v>
      </c>
      <c r="I843" s="2" t="s">
        <v>2515</v>
      </c>
      <c r="J843" s="3" t="str">
        <f>HYPERLINK("https://www.boe.es/gazeta/dias/1810/04/06/pdfs/GEI-1810-12.pdf#page=4","Abrir facsímil")</f>
        <v>Abrir facsímil</v>
      </c>
      <c r="K843" s="3" t="s">
        <v>76</v>
      </c>
    </row>
    <row r="844" spans="1:11" ht="42" customHeight="1">
      <c r="A844" s="2" t="s">
        <v>2516</v>
      </c>
      <c r="B844" s="2" t="s">
        <v>2517</v>
      </c>
      <c r="C844" s="2" t="s">
        <v>88</v>
      </c>
      <c r="D844" s="2" t="s">
        <v>27</v>
      </c>
      <c r="E844" s="4">
        <v>-32710</v>
      </c>
      <c r="F844" s="3" t="s">
        <v>126</v>
      </c>
      <c r="G844" s="3" t="s">
        <v>184</v>
      </c>
      <c r="H844" s="2" t="s">
        <v>74</v>
      </c>
      <c r="I844" s="2" t="s">
        <v>2518</v>
      </c>
      <c r="J844" s="3" t="str">
        <f>HYPERLINK("https://www.boe.es/gazeta/dias/1810/06/10/pdfs/GMD-1810-161.pdf#page=3","Abrir facsímil")</f>
        <v>Abrir facsímil</v>
      </c>
      <c r="K844" s="3" t="s">
        <v>76</v>
      </c>
    </row>
    <row r="845" spans="1:11" ht="42" customHeight="1">
      <c r="A845" s="2" t="s">
        <v>2519</v>
      </c>
      <c r="B845" s="2" t="s">
        <v>2520</v>
      </c>
      <c r="C845" s="2" t="s">
        <v>88</v>
      </c>
      <c r="D845" s="2" t="s">
        <v>27</v>
      </c>
      <c r="E845" s="4">
        <v>-32820</v>
      </c>
      <c r="F845" s="3" t="s">
        <v>226</v>
      </c>
      <c r="G845" s="3" t="s">
        <v>227</v>
      </c>
      <c r="H845" s="2" t="s">
        <v>74</v>
      </c>
      <c r="I845" s="2" t="s">
        <v>2521</v>
      </c>
      <c r="J845" s="3" t="str">
        <f>HYPERLINK("https://www.boe.es/gazeta/dias/1810/02/20/pdfs/GMD-1810-51.pdf#page=4","Abrir facsímil")</f>
        <v>Abrir facsímil</v>
      </c>
      <c r="K845" s="3" t="s">
        <v>76</v>
      </c>
    </row>
    <row r="846" spans="1:11" ht="42" customHeight="1">
      <c r="A846" s="2" t="s">
        <v>2522</v>
      </c>
      <c r="B846" s="2" t="s">
        <v>2523</v>
      </c>
      <c r="C846" s="2" t="s">
        <v>33</v>
      </c>
      <c r="D846" s="2" t="s">
        <v>27</v>
      </c>
      <c r="E846" s="4">
        <v>-32689</v>
      </c>
      <c r="F846" s="3" t="s">
        <v>571</v>
      </c>
      <c r="G846" s="3" t="s">
        <v>140</v>
      </c>
      <c r="H846" s="2" t="s">
        <v>74</v>
      </c>
      <c r="I846" s="2" t="s">
        <v>2524</v>
      </c>
      <c r="J846" s="3" t="str">
        <f>HYPERLINK("https://www.boe.es/gazeta/dias/1810/07/01/pdfs/GMD-1810-182.pdf#page=4","Abrir facsímil")</f>
        <v>Abrir facsímil</v>
      </c>
      <c r="K846" s="3" t="s">
        <v>76</v>
      </c>
    </row>
    <row r="847" spans="1:11" ht="42" customHeight="1">
      <c r="A847" s="2" t="s">
        <v>2525</v>
      </c>
      <c r="B847" s="2" t="s">
        <v>2526</v>
      </c>
      <c r="C847" s="2" t="s">
        <v>33</v>
      </c>
      <c r="D847" s="2" t="s">
        <v>27</v>
      </c>
      <c r="E847" s="4">
        <v>-32603</v>
      </c>
      <c r="F847" s="3" t="s">
        <v>2163</v>
      </c>
      <c r="G847" s="3" t="s">
        <v>29</v>
      </c>
      <c r="H847" s="2" t="s">
        <v>74</v>
      </c>
      <c r="I847" s="2" t="s">
        <v>2527</v>
      </c>
      <c r="J847" s="3" t="str">
        <f>HYPERLINK("https://www.boe.es/gazeta/dias/1810/09/25/pdfs/GEI-1810-72.pdf#page=8","Abrir facsímil")</f>
        <v>Abrir facsímil</v>
      </c>
      <c r="K847" s="3" t="s">
        <v>76</v>
      </c>
    </row>
    <row r="848" spans="1:11" ht="42" customHeight="1">
      <c r="A848" s="2" t="s">
        <v>2528</v>
      </c>
      <c r="B848" s="2" t="s">
        <v>2528</v>
      </c>
      <c r="C848" s="2" t="s">
        <v>88</v>
      </c>
      <c r="D848" s="2" t="s">
        <v>27</v>
      </c>
      <c r="E848" s="4">
        <v>-32700</v>
      </c>
      <c r="F848" s="3" t="s">
        <v>89</v>
      </c>
      <c r="G848" s="3" t="s">
        <v>29</v>
      </c>
      <c r="H848" s="2" t="s">
        <v>74</v>
      </c>
      <c r="I848" s="2" t="s">
        <v>2529</v>
      </c>
      <c r="J848" s="3" t="str">
        <f>HYPERLINK("https://www.boe.es/gazeta/dias/1810/06/20/pdfs/GMD-1810-171.pdf#page=3","Abrir facsímil")</f>
        <v>Abrir facsímil</v>
      </c>
      <c r="K848" s="3" t="s">
        <v>76</v>
      </c>
    </row>
    <row r="849" spans="1:11" ht="42" customHeight="1">
      <c r="A849" s="2" t="s">
        <v>2530</v>
      </c>
      <c r="B849" s="2" t="s">
        <v>2530</v>
      </c>
      <c r="C849" s="2" t="s">
        <v>88</v>
      </c>
      <c r="D849" s="2" t="s">
        <v>58</v>
      </c>
      <c r="E849" s="4">
        <v>-32789</v>
      </c>
      <c r="F849" s="3" t="s">
        <v>2531</v>
      </c>
      <c r="G849" s="3" t="s">
        <v>35</v>
      </c>
      <c r="H849" s="2" t="s">
        <v>74</v>
      </c>
      <c r="I849" s="2" t="s">
        <v>2532</v>
      </c>
      <c r="J849" s="3" t="str">
        <f>HYPERLINK("https://www.boe.es/gazeta/dias/1810/03/23/pdfs/GEI-1810-6E.pdf#page=2","Abrir facsímil")</f>
        <v>Abrir facsímil</v>
      </c>
      <c r="K849" s="3" t="s">
        <v>76</v>
      </c>
    </row>
    <row r="850" spans="1:11" ht="42" customHeight="1">
      <c r="A850" s="2" t="s">
        <v>2533</v>
      </c>
      <c r="B850" s="2" t="s">
        <v>2534</v>
      </c>
      <c r="C850" s="2" t="s">
        <v>26</v>
      </c>
      <c r="D850" s="2" t="s">
        <v>27</v>
      </c>
      <c r="E850" s="4">
        <v>-32710</v>
      </c>
      <c r="F850" s="3" t="s">
        <v>126</v>
      </c>
      <c r="G850" s="3" t="s">
        <v>180</v>
      </c>
      <c r="H850" s="2" t="s">
        <v>74</v>
      </c>
      <c r="I850" s="2" t="s">
        <v>2535</v>
      </c>
      <c r="J850" s="3" t="str">
        <f>HYPERLINK("https://www.boe.es/gazeta/dias/1810/06/10/pdfs/GMD-1810-161.pdf#page=1","Abrir facsímil")</f>
        <v>Abrir facsímil</v>
      </c>
      <c r="K850" s="3" t="s">
        <v>76</v>
      </c>
    </row>
    <row r="851" spans="1:11" ht="42" customHeight="1">
      <c r="A851" s="2" t="s">
        <v>2536</v>
      </c>
      <c r="B851" s="2" t="s">
        <v>2536</v>
      </c>
      <c r="C851" s="2" t="s">
        <v>225</v>
      </c>
      <c r="D851" s="2" t="s">
        <v>117</v>
      </c>
      <c r="E851" s="4">
        <v>-32524</v>
      </c>
      <c r="F851" s="3" t="s">
        <v>281</v>
      </c>
      <c r="G851" s="3" t="s">
        <v>645</v>
      </c>
      <c r="H851" s="2" t="s">
        <v>74</v>
      </c>
      <c r="I851" s="2" t="s">
        <v>2537</v>
      </c>
      <c r="J851" s="3" t="str">
        <f>HYPERLINK("https://www.boe.es/gazeta/dias/1810/12/13/pdfs/GEI-1810-107.pdf#page=1","Abrir facsímil")</f>
        <v>Abrir facsímil</v>
      </c>
      <c r="K851" s="3" t="s">
        <v>76</v>
      </c>
    </row>
    <row r="852" spans="1:11" ht="42" customHeight="1">
      <c r="A852" s="2" t="s">
        <v>2538</v>
      </c>
      <c r="B852" s="2" t="s">
        <v>2538</v>
      </c>
      <c r="C852" s="2" t="s">
        <v>317</v>
      </c>
      <c r="D852" s="2" t="s">
        <v>220</v>
      </c>
      <c r="E852" s="4">
        <v>-32564</v>
      </c>
      <c r="F852" s="3" t="s">
        <v>108</v>
      </c>
      <c r="G852" s="3" t="s">
        <v>2539</v>
      </c>
      <c r="H852" s="2" t="s">
        <v>74</v>
      </c>
      <c r="I852" s="2" t="s">
        <v>2540</v>
      </c>
      <c r="J852" s="3" t="str">
        <f>HYPERLINK("https://www.boe.es/gazeta/dias/1810/11/03/pdfs/GEI-1810-90.pdf#page=1","Abrir facsímil")</f>
        <v>Abrir facsímil</v>
      </c>
      <c r="K852" s="3" t="s">
        <v>76</v>
      </c>
    </row>
    <row r="853" spans="1:11" ht="42" customHeight="1">
      <c r="A853" s="2" t="s">
        <v>2541</v>
      </c>
      <c r="B853" s="2" t="s">
        <v>2542</v>
      </c>
      <c r="C853" s="2" t="s">
        <v>26</v>
      </c>
      <c r="D853" s="2" t="s">
        <v>27</v>
      </c>
      <c r="E853" s="4">
        <v>-32515</v>
      </c>
      <c r="F853" s="3" t="s">
        <v>351</v>
      </c>
      <c r="G853" s="3" t="s">
        <v>352</v>
      </c>
      <c r="H853" s="2" t="s">
        <v>74</v>
      </c>
      <c r="I853" s="2" t="s">
        <v>2543</v>
      </c>
      <c r="J853" s="3" t="str">
        <f>HYPERLINK("https://www.boe.es/gazeta/dias/1810/12/22/pdfs/GEI-1810-111.pdf#page=8","Abrir facsímil")</f>
        <v>Abrir facsímil</v>
      </c>
      <c r="K853" s="3" t="s">
        <v>76</v>
      </c>
    </row>
    <row r="854" spans="1:11" ht="42" customHeight="1">
      <c r="A854" s="2" t="s">
        <v>2544</v>
      </c>
      <c r="B854" s="2" t="s">
        <v>2544</v>
      </c>
      <c r="C854" s="2" t="s">
        <v>26</v>
      </c>
      <c r="D854" s="2" t="s">
        <v>39</v>
      </c>
      <c r="E854" s="4">
        <v>-32702</v>
      </c>
      <c r="F854" s="3" t="s">
        <v>179</v>
      </c>
      <c r="G854" s="3" t="s">
        <v>119</v>
      </c>
      <c r="H854" s="2" t="s">
        <v>74</v>
      </c>
      <c r="I854" s="2" t="s">
        <v>2545</v>
      </c>
      <c r="J854" s="3" t="str">
        <f>HYPERLINK("https://www.boe.es/gazeta/dias/1810/06/18/pdfs/GMD-C-1810-169.pdf#page=1","Abrir facsímil")</f>
        <v>Abrir facsímil</v>
      </c>
      <c r="K854" s="3" t="s">
        <v>76</v>
      </c>
    </row>
    <row r="855" spans="1:11" ht="42" customHeight="1">
      <c r="A855" s="2" t="s">
        <v>2546</v>
      </c>
      <c r="B855" s="2" t="s">
        <v>2546</v>
      </c>
      <c r="C855" s="2" t="s">
        <v>26</v>
      </c>
      <c r="D855" s="2" t="s">
        <v>27</v>
      </c>
      <c r="E855" s="4">
        <v>-32710</v>
      </c>
      <c r="F855" s="3" t="s">
        <v>126</v>
      </c>
      <c r="G855" s="3" t="s">
        <v>35</v>
      </c>
      <c r="H855" s="2" t="s">
        <v>74</v>
      </c>
      <c r="I855" s="2" t="s">
        <v>2547</v>
      </c>
      <c r="J855" s="3" t="str">
        <f>HYPERLINK("https://www.boe.es/gazeta/dias/1810/06/10/pdfs/GMD-1810-161.pdf#page=2","Abrir facsímil")</f>
        <v>Abrir facsímil</v>
      </c>
      <c r="K855" s="3" t="s">
        <v>76</v>
      </c>
    </row>
    <row r="856" spans="1:11" ht="42" customHeight="1">
      <c r="A856" s="2" t="s">
        <v>2546</v>
      </c>
      <c r="B856" s="2" t="s">
        <v>2546</v>
      </c>
      <c r="C856" s="2" t="s">
        <v>17</v>
      </c>
      <c r="D856" s="2" t="s">
        <v>18</v>
      </c>
      <c r="E856" s="4">
        <v>-32704</v>
      </c>
      <c r="F856" s="3" t="s">
        <v>94</v>
      </c>
      <c r="G856" s="3" t="s">
        <v>20</v>
      </c>
      <c r="H856" s="2" t="s">
        <v>74</v>
      </c>
      <c r="I856" s="2" t="s">
        <v>2548</v>
      </c>
      <c r="J856" s="3" t="str">
        <f>HYPERLINK("https://www.boe.es/gazeta/dias/1810/06/16/pdfs/GMD-1810-167.pdf#page=4","Abrir facsímil")</f>
        <v>Abrir facsímil</v>
      </c>
      <c r="K856" s="3" t="s">
        <v>76</v>
      </c>
    </row>
    <row r="857" spans="1:11" ht="42" customHeight="1">
      <c r="A857" s="2" t="s">
        <v>2546</v>
      </c>
      <c r="B857" s="2" t="s">
        <v>2546</v>
      </c>
      <c r="C857" s="2" t="s">
        <v>88</v>
      </c>
      <c r="D857" s="2" t="s">
        <v>18</v>
      </c>
      <c r="E857" s="4">
        <v>-32566</v>
      </c>
      <c r="F857" s="3" t="s">
        <v>405</v>
      </c>
      <c r="G857" s="3" t="s">
        <v>99</v>
      </c>
      <c r="H857" s="2" t="s">
        <v>74</v>
      </c>
      <c r="I857" s="2" t="s">
        <v>2549</v>
      </c>
      <c r="J857" s="3" t="str">
        <f>HYPERLINK("https://www.boe.es/gazeta/dias/1810/11/01/pdfs/GMD-1810-305.pdf#page=3","Abrir facsímil")</f>
        <v>Abrir facsímil</v>
      </c>
      <c r="K857" s="3" t="s">
        <v>76</v>
      </c>
    </row>
    <row r="858" spans="1:11" ht="42" customHeight="1">
      <c r="A858" s="2" t="s">
        <v>2550</v>
      </c>
      <c r="B858" s="2" t="s">
        <v>2551</v>
      </c>
      <c r="C858" s="2" t="s">
        <v>26</v>
      </c>
      <c r="D858" s="2" t="s">
        <v>27</v>
      </c>
      <c r="E858" s="4">
        <v>-32776</v>
      </c>
      <c r="F858" s="3" t="s">
        <v>752</v>
      </c>
      <c r="G858" s="3" t="s">
        <v>213</v>
      </c>
      <c r="H858" s="2" t="s">
        <v>74</v>
      </c>
      <c r="I858" s="2" t="s">
        <v>2552</v>
      </c>
      <c r="J858" s="3" t="str">
        <f>HYPERLINK("https://www.boe.es/gazeta/dias/1810/04/05/pdfs/GMD-1810-95.pdf#page=3","Abrir facsímil")</f>
        <v>Abrir facsímil</v>
      </c>
      <c r="K858" s="3" t="s">
        <v>76</v>
      </c>
    </row>
    <row r="859" spans="1:11" ht="42" customHeight="1">
      <c r="A859" s="2" t="s">
        <v>2553</v>
      </c>
      <c r="B859" s="2" t="s">
        <v>2554</v>
      </c>
      <c r="C859" s="2" t="s">
        <v>88</v>
      </c>
      <c r="D859" s="2" t="s">
        <v>117</v>
      </c>
      <c r="E859" s="4">
        <v>-32783</v>
      </c>
      <c r="F859" s="3" t="s">
        <v>896</v>
      </c>
      <c r="G859" s="3" t="s">
        <v>20</v>
      </c>
      <c r="H859" s="2" t="s">
        <v>74</v>
      </c>
      <c r="I859" s="2" t="s">
        <v>2555</v>
      </c>
      <c r="J859" s="3" t="str">
        <f>HYPERLINK("https://www.boe.es/gazeta/dias/1810/03/29/pdfs/GMD-1810-88.pdf#page=4","Abrir facsímil")</f>
        <v>Abrir facsímil</v>
      </c>
      <c r="K859" s="3" t="s">
        <v>76</v>
      </c>
    </row>
    <row r="860" spans="1:11" ht="42" customHeight="1">
      <c r="A860" s="2" t="s">
        <v>2556</v>
      </c>
      <c r="B860" s="2" t="s">
        <v>2557</v>
      </c>
      <c r="C860" s="2" t="s">
        <v>26</v>
      </c>
      <c r="D860" s="2" t="s">
        <v>27</v>
      </c>
      <c r="E860" s="4">
        <v>-32691</v>
      </c>
      <c r="F860" s="3" t="s">
        <v>727</v>
      </c>
      <c r="G860" s="3" t="s">
        <v>807</v>
      </c>
      <c r="H860" s="2" t="s">
        <v>74</v>
      </c>
      <c r="I860" s="2" t="s">
        <v>2558</v>
      </c>
      <c r="J860" s="3" t="str">
        <f>HYPERLINK("https://www.boe.es/gazeta/dias/1810/06/29/pdfs/GMD-1810-180.pdf#page=3","Abrir facsímil")</f>
        <v>Abrir facsímil</v>
      </c>
      <c r="K860" s="3" t="s">
        <v>76</v>
      </c>
    </row>
    <row r="861" spans="1:11" ht="42" customHeight="1">
      <c r="A861" s="2" t="s">
        <v>2559</v>
      </c>
      <c r="B861" s="2" t="s">
        <v>2559</v>
      </c>
      <c r="C861" s="2" t="s">
        <v>88</v>
      </c>
      <c r="D861" s="2" t="s">
        <v>27</v>
      </c>
      <c r="E861" s="4">
        <v>-32701</v>
      </c>
      <c r="F861" s="3" t="s">
        <v>671</v>
      </c>
      <c r="G861" s="3" t="s">
        <v>2560</v>
      </c>
      <c r="H861" s="2" t="s">
        <v>74</v>
      </c>
      <c r="I861" s="2" t="s">
        <v>2561</v>
      </c>
      <c r="J861" s="3" t="str">
        <f>HYPERLINK("https://www.boe.es/gazeta/dias/1810/06/19/pdfs/GEI-1810-37.pdf#page=1","Abrir facsímil")</f>
        <v>Abrir facsímil</v>
      </c>
      <c r="K861" s="3" t="s">
        <v>76</v>
      </c>
    </row>
    <row r="862" spans="1:11" ht="42" customHeight="1">
      <c r="A862" s="2" t="s">
        <v>2562</v>
      </c>
      <c r="B862" s="2" t="s">
        <v>2562</v>
      </c>
      <c r="C862" s="2" t="s">
        <v>26</v>
      </c>
      <c r="D862" s="2" t="s">
        <v>27</v>
      </c>
      <c r="E862" s="4">
        <v>-32687</v>
      </c>
      <c r="F862" s="3" t="s">
        <v>263</v>
      </c>
      <c r="G862" s="3" t="s">
        <v>35</v>
      </c>
      <c r="H862" s="2" t="s">
        <v>74</v>
      </c>
      <c r="I862" s="2" t="s">
        <v>2563</v>
      </c>
      <c r="J862" s="3" t="str">
        <f>HYPERLINK("https://www.boe.es/gazeta/dias/1810/07/03/pdfs/GEI-1810-41.pdf#page=2","Abrir facsímil")</f>
        <v>Abrir facsímil</v>
      </c>
      <c r="K862" s="3" t="s">
        <v>76</v>
      </c>
    </row>
    <row r="863" spans="1:11" ht="42" customHeight="1">
      <c r="A863" s="2" t="s">
        <v>2564</v>
      </c>
      <c r="B863" s="2" t="s">
        <v>2565</v>
      </c>
      <c r="C863" s="2" t="s">
        <v>88</v>
      </c>
      <c r="D863" s="2" t="s">
        <v>27</v>
      </c>
      <c r="E863" s="4">
        <v>-32718</v>
      </c>
      <c r="F863" s="3" t="s">
        <v>2566</v>
      </c>
      <c r="G863" s="3" t="s">
        <v>213</v>
      </c>
      <c r="H863" s="2" t="s">
        <v>74</v>
      </c>
      <c r="I863" s="2" t="s">
        <v>2567</v>
      </c>
      <c r="J863" s="3" t="str">
        <f>HYPERLINK("https://www.boe.es/gazeta/dias/1810/06/02/pdfs/GMD-1810-153.pdf#page=1","Abrir facsímil")</f>
        <v>Abrir facsímil</v>
      </c>
      <c r="K863" s="3" t="s">
        <v>76</v>
      </c>
    </row>
    <row r="864" spans="1:11" ht="42" customHeight="1">
      <c r="A864" s="2" t="s">
        <v>2568</v>
      </c>
      <c r="B864" s="2" t="s">
        <v>2568</v>
      </c>
      <c r="C864" s="2" t="s">
        <v>88</v>
      </c>
      <c r="D864" s="2" t="s">
        <v>117</v>
      </c>
      <c r="E864" s="4">
        <v>-32708</v>
      </c>
      <c r="F864" s="3" t="s">
        <v>206</v>
      </c>
      <c r="G864" s="3" t="s">
        <v>227</v>
      </c>
      <c r="H864" s="2" t="s">
        <v>74</v>
      </c>
      <c r="I864" s="2" t="s">
        <v>2569</v>
      </c>
      <c r="J864" s="3" t="str">
        <f>HYPERLINK("https://www.boe.es/gazeta/dias/1810/06/12/pdfs/GMD-1810-163.pdf#page=1","Abrir facsímil")</f>
        <v>Abrir facsímil</v>
      </c>
      <c r="K864" s="3" t="s">
        <v>76</v>
      </c>
    </row>
    <row r="865" spans="1:11" ht="42" customHeight="1">
      <c r="A865" s="2" t="s">
        <v>2570</v>
      </c>
      <c r="B865" s="2" t="s">
        <v>2570</v>
      </c>
      <c r="C865" s="2" t="s">
        <v>88</v>
      </c>
      <c r="D865" s="2" t="s">
        <v>27</v>
      </c>
      <c r="E865" s="4">
        <v>-32812</v>
      </c>
      <c r="F865" s="3" t="s">
        <v>627</v>
      </c>
      <c r="G865" s="3" t="s">
        <v>29</v>
      </c>
      <c r="H865" s="2" t="s">
        <v>74</v>
      </c>
      <c r="I865" s="2" t="s">
        <v>2571</v>
      </c>
      <c r="J865" s="3" t="str">
        <f>HYPERLINK("https://www.boe.es/gazeta/dias/1810/02/28/pdfs/GMD-1810-59.pdf#page=2","Abrir facsímil")</f>
        <v>Abrir facsímil</v>
      </c>
      <c r="K865" s="3" t="s">
        <v>76</v>
      </c>
    </row>
    <row r="866" spans="1:11" ht="42" customHeight="1">
      <c r="A866" s="2" t="s">
        <v>2572</v>
      </c>
      <c r="B866" s="2" t="s">
        <v>2573</v>
      </c>
      <c r="C866" s="2" t="s">
        <v>26</v>
      </c>
      <c r="D866" s="2" t="s">
        <v>39</v>
      </c>
      <c r="E866" s="4">
        <v>-32701</v>
      </c>
      <c r="F866" s="3" t="s">
        <v>40</v>
      </c>
      <c r="G866" s="3" t="s">
        <v>315</v>
      </c>
      <c r="H866" s="2" t="s">
        <v>74</v>
      </c>
      <c r="I866" s="2" t="s">
        <v>2574</v>
      </c>
      <c r="J866" s="3" t="str">
        <f>HYPERLINK("https://www.boe.es/gazeta/dias/1810/06/19/pdfs/GMD-C-1810-170.pdf#page=2","Abrir facsímil")</f>
        <v>Abrir facsímil</v>
      </c>
      <c r="K866" s="3" t="s">
        <v>76</v>
      </c>
    </row>
    <row r="867" spans="1:11" ht="42" customHeight="1">
      <c r="A867" s="2" t="s">
        <v>2575</v>
      </c>
      <c r="B867" s="2" t="s">
        <v>2575</v>
      </c>
      <c r="C867" s="2" t="s">
        <v>225</v>
      </c>
      <c r="D867" s="2" t="s">
        <v>27</v>
      </c>
      <c r="E867" s="4">
        <v>-32577</v>
      </c>
      <c r="F867" s="3" t="s">
        <v>2576</v>
      </c>
      <c r="G867" s="3" t="s">
        <v>2577</v>
      </c>
      <c r="H867" s="2" t="s">
        <v>74</v>
      </c>
      <c r="I867" s="2" t="s">
        <v>2578</v>
      </c>
      <c r="J867" s="3" t="str">
        <f>HYPERLINK("https://www.boe.es/gazeta/dias/1810/10/21/pdfs/GMD-1810-294.pdf#page=1","Abrir facsímil")</f>
        <v>Abrir facsímil</v>
      </c>
      <c r="K867" s="3" t="s">
        <v>76</v>
      </c>
    </row>
    <row r="868" spans="1:11" ht="42" customHeight="1">
      <c r="A868" s="2" t="s">
        <v>2579</v>
      </c>
      <c r="B868" s="2" t="s">
        <v>2580</v>
      </c>
      <c r="C868" s="2" t="s">
        <v>88</v>
      </c>
      <c r="D868" s="2" t="s">
        <v>18</v>
      </c>
      <c r="E868" s="4">
        <v>-32728</v>
      </c>
      <c r="F868" s="3" t="s">
        <v>269</v>
      </c>
      <c r="G868" s="3" t="s">
        <v>119</v>
      </c>
      <c r="H868" s="2" t="s">
        <v>74</v>
      </c>
      <c r="I868" s="2" t="s">
        <v>2581</v>
      </c>
      <c r="J868" s="3" t="str">
        <f>HYPERLINK("https://www.boe.es/gazeta/dias/1810/05/23/pdfs/GMD-1810-143.pdf#page=3","Abrir facsímil")</f>
        <v>Abrir facsímil</v>
      </c>
      <c r="K868" s="3" t="s">
        <v>76</v>
      </c>
    </row>
    <row r="869" spans="1:11" ht="42" customHeight="1">
      <c r="A869" s="2" t="s">
        <v>2582</v>
      </c>
      <c r="B869" s="2" t="s">
        <v>2583</v>
      </c>
      <c r="C869" s="2" t="s">
        <v>26</v>
      </c>
      <c r="D869" s="2" t="s">
        <v>27</v>
      </c>
      <c r="E869" s="4">
        <v>-32647</v>
      </c>
      <c r="F869" s="3" t="s">
        <v>118</v>
      </c>
      <c r="G869" s="3" t="s">
        <v>119</v>
      </c>
      <c r="H869" s="2" t="s">
        <v>74</v>
      </c>
      <c r="I869" s="2" t="s">
        <v>2584</v>
      </c>
      <c r="J869" s="3" t="str">
        <f>HYPERLINK("https://www.boe.es/gazeta/dias/1810/08/12/pdfs/GMD-1810-224.pdf#page=3","Abrir facsímil")</f>
        <v>Abrir facsímil</v>
      </c>
      <c r="K869" s="3" t="s">
        <v>76</v>
      </c>
    </row>
    <row r="870" spans="1:11" ht="42" customHeight="1">
      <c r="A870" s="2" t="s">
        <v>2585</v>
      </c>
      <c r="B870" s="2" t="s">
        <v>2586</v>
      </c>
      <c r="C870" s="2" t="s">
        <v>26</v>
      </c>
      <c r="D870" s="2" t="s">
        <v>27</v>
      </c>
      <c r="E870" s="4">
        <v>-32575</v>
      </c>
      <c r="F870" s="3" t="s">
        <v>135</v>
      </c>
      <c r="G870" s="3" t="s">
        <v>136</v>
      </c>
      <c r="H870" s="2" t="s">
        <v>74</v>
      </c>
      <c r="I870" s="2" t="s">
        <v>2587</v>
      </c>
      <c r="J870" s="3" t="str">
        <f>HYPERLINK("https://www.boe.es/gazeta/dias/1810/10/23/pdfs/GEI-1810-85.pdf#page=11","Abrir facsímil")</f>
        <v>Abrir facsímil</v>
      </c>
      <c r="K870" s="3" t="s">
        <v>76</v>
      </c>
    </row>
    <row r="871" spans="1:11" ht="42" customHeight="1">
      <c r="A871" s="2" t="s">
        <v>2588</v>
      </c>
      <c r="B871" s="2" t="s">
        <v>2589</v>
      </c>
      <c r="C871" s="2" t="s">
        <v>88</v>
      </c>
      <c r="D871" s="2" t="s">
        <v>117</v>
      </c>
      <c r="E871" s="4">
        <v>-32524</v>
      </c>
      <c r="F871" s="3" t="s">
        <v>281</v>
      </c>
      <c r="G871" s="3" t="s">
        <v>29</v>
      </c>
      <c r="H871" s="2" t="s">
        <v>74</v>
      </c>
      <c r="I871" s="2" t="s">
        <v>2590</v>
      </c>
      <c r="J871" s="3" t="str">
        <f>HYPERLINK("https://www.boe.es/gazeta/dias/1810/12/13/pdfs/GEI-1810-107.pdf#page=3","Abrir facsímil")</f>
        <v>Abrir facsímil</v>
      </c>
      <c r="K871" s="3" t="s">
        <v>76</v>
      </c>
    </row>
    <row r="872" spans="1:11" ht="42" customHeight="1">
      <c r="A872" s="2" t="s">
        <v>2591</v>
      </c>
      <c r="B872" s="2" t="s">
        <v>2592</v>
      </c>
      <c r="C872" s="2" t="s">
        <v>26</v>
      </c>
      <c r="D872" s="2" t="s">
        <v>27</v>
      </c>
      <c r="E872" s="4">
        <v>-32839</v>
      </c>
      <c r="F872" s="3" t="s">
        <v>28</v>
      </c>
      <c r="G872" s="3" t="s">
        <v>29</v>
      </c>
      <c r="H872" s="2" t="s">
        <v>74</v>
      </c>
      <c r="I872" s="2" t="s">
        <v>2593</v>
      </c>
      <c r="J872" s="3" t="str">
        <f>HYPERLINK("https://www.boe.es/gazeta/dias/1810/02/01/pdfs/GMD-1810-32.pdf#page=3","Abrir facsímil")</f>
        <v>Abrir facsímil</v>
      </c>
      <c r="K872" s="3" t="s">
        <v>76</v>
      </c>
    </row>
    <row r="873" spans="1:11" ht="42" customHeight="1">
      <c r="A873" s="2" t="s">
        <v>2594</v>
      </c>
      <c r="B873" s="2" t="s">
        <v>2594</v>
      </c>
      <c r="C873" s="2" t="s">
        <v>33</v>
      </c>
      <c r="D873" s="2" t="s">
        <v>27</v>
      </c>
      <c r="E873" s="4">
        <v>-32522</v>
      </c>
      <c r="F873" s="3" t="s">
        <v>1168</v>
      </c>
      <c r="G873" s="3" t="s">
        <v>2595</v>
      </c>
      <c r="H873" s="2" t="s">
        <v>74</v>
      </c>
      <c r="I873" s="2" t="s">
        <v>2596</v>
      </c>
      <c r="J873" s="3" t="str">
        <f>HYPERLINK("https://www.boe.es/gazeta/dias/1810/12/15/pdfs/GMD-1810-349.pdf#page=1","Abrir facsímil")</f>
        <v>Abrir facsímil</v>
      </c>
      <c r="K873" s="3" t="s">
        <v>76</v>
      </c>
    </row>
    <row r="874" spans="1:11" ht="42" customHeight="1">
      <c r="A874" s="2" t="s">
        <v>2597</v>
      </c>
      <c r="B874" s="2" t="s">
        <v>2598</v>
      </c>
      <c r="C874" s="2" t="s">
        <v>26</v>
      </c>
      <c r="D874" s="2" t="s">
        <v>27</v>
      </c>
      <c r="E874" s="4">
        <v>-32820</v>
      </c>
      <c r="F874" s="3" t="s">
        <v>226</v>
      </c>
      <c r="G874" s="3" t="s">
        <v>227</v>
      </c>
      <c r="H874" s="2" t="s">
        <v>74</v>
      </c>
      <c r="I874" s="2" t="s">
        <v>2599</v>
      </c>
      <c r="J874" s="3" t="str">
        <f>HYPERLINK("https://www.boe.es/gazeta/dias/1810/02/20/pdfs/GMD-1810-51.pdf#page=4","Abrir facsímil")</f>
        <v>Abrir facsímil</v>
      </c>
      <c r="K874" s="3" t="s">
        <v>76</v>
      </c>
    </row>
    <row r="875" spans="1:11" ht="42" customHeight="1">
      <c r="A875" s="2" t="s">
        <v>2600</v>
      </c>
      <c r="B875" s="2" t="s">
        <v>2601</v>
      </c>
      <c r="C875" s="2" t="s">
        <v>26</v>
      </c>
      <c r="D875" s="2" t="s">
        <v>18</v>
      </c>
      <c r="E875" s="4">
        <v>-32661</v>
      </c>
      <c r="F875" s="3" t="s">
        <v>157</v>
      </c>
      <c r="G875" s="3" t="s">
        <v>592</v>
      </c>
      <c r="H875" s="2" t="s">
        <v>74</v>
      </c>
      <c r="I875" s="2" t="s">
        <v>2602</v>
      </c>
      <c r="J875" s="3" t="str">
        <f>HYPERLINK("https://www.boe.es/gazeta/dias/1810/07/29/pdfs/GMD-C-1810-210.pdf#page=2","Abrir facsímil")</f>
        <v>Abrir facsímil</v>
      </c>
      <c r="K875" s="3" t="s">
        <v>76</v>
      </c>
    </row>
    <row r="876" spans="1:11" ht="42" customHeight="1">
      <c r="A876" s="2" t="s">
        <v>2603</v>
      </c>
      <c r="B876" s="2" t="s">
        <v>2604</v>
      </c>
      <c r="C876" s="2" t="s">
        <v>26</v>
      </c>
      <c r="D876" s="2" t="s">
        <v>39</v>
      </c>
      <c r="E876" s="4">
        <v>-32701</v>
      </c>
      <c r="F876" s="3" t="s">
        <v>40</v>
      </c>
      <c r="G876" s="3" t="s">
        <v>170</v>
      </c>
      <c r="H876" s="2" t="s">
        <v>74</v>
      </c>
      <c r="I876" s="2" t="s">
        <v>2605</v>
      </c>
      <c r="J876" s="3" t="str">
        <f>HYPERLINK("https://www.boe.es/gazeta/dias/1810/06/19/pdfs/GMD-C-1810-170.pdf#page=1","Abrir facsímil")</f>
        <v>Abrir facsímil</v>
      </c>
      <c r="K876" s="3" t="s">
        <v>76</v>
      </c>
    </row>
    <row r="877" spans="1:11" ht="42" customHeight="1">
      <c r="A877" s="2" t="s">
        <v>2606</v>
      </c>
      <c r="B877" s="2" t="s">
        <v>2606</v>
      </c>
      <c r="C877" s="2" t="s">
        <v>26</v>
      </c>
      <c r="D877" s="2" t="s">
        <v>27</v>
      </c>
      <c r="E877" s="4">
        <v>-32642</v>
      </c>
      <c r="F877" s="3" t="s">
        <v>2607</v>
      </c>
      <c r="G877" s="3" t="s">
        <v>99</v>
      </c>
      <c r="H877" s="2" t="s">
        <v>74</v>
      </c>
      <c r="I877" s="2" t="s">
        <v>2608</v>
      </c>
      <c r="J877" s="3" t="str">
        <f>HYPERLINK("https://www.boe.es/gazeta/dias/1810/08/17/pdfs/GMD-1810-229.pdf#page=3","Abrir facsímil")</f>
        <v>Abrir facsímil</v>
      </c>
      <c r="K877" s="3" t="s">
        <v>76</v>
      </c>
    </row>
    <row r="878" spans="1:11" ht="42" customHeight="1">
      <c r="A878" s="2" t="s">
        <v>2606</v>
      </c>
      <c r="B878" s="2" t="s">
        <v>2606</v>
      </c>
      <c r="C878" s="2" t="s">
        <v>111</v>
      </c>
      <c r="D878" s="2" t="s">
        <v>27</v>
      </c>
      <c r="E878" s="4">
        <v>-32508</v>
      </c>
      <c r="F878" s="3" t="s">
        <v>2609</v>
      </c>
      <c r="G878" s="3" t="s">
        <v>2610</v>
      </c>
      <c r="H878" s="2" t="s">
        <v>74</v>
      </c>
      <c r="I878" s="2" t="s">
        <v>2611</v>
      </c>
      <c r="J878" s="3" t="str">
        <f>HYPERLINK("https://www.boe.es/gazeta/dias/1810/12/29/pdfs/GMD-1810-363.pdf#page=3","Abrir facsímil")</f>
        <v>Abrir facsímil</v>
      </c>
      <c r="K878" s="3" t="s">
        <v>76</v>
      </c>
    </row>
    <row r="879" spans="1:11" ht="42" customHeight="1">
      <c r="A879" s="2" t="s">
        <v>2612</v>
      </c>
      <c r="B879" s="2" t="s">
        <v>2613</v>
      </c>
      <c r="C879" s="2" t="s">
        <v>26</v>
      </c>
      <c r="D879" s="2" t="s">
        <v>27</v>
      </c>
      <c r="E879" s="4">
        <v>-32771</v>
      </c>
      <c r="F879" s="3" t="s">
        <v>543</v>
      </c>
      <c r="G879" s="3" t="s">
        <v>65</v>
      </c>
      <c r="H879" s="2" t="s">
        <v>74</v>
      </c>
      <c r="I879" s="2" t="s">
        <v>2614</v>
      </c>
      <c r="J879" s="3" t="str">
        <f>HYPERLINK("https://www.boe.es/gazeta/dias/1810/04/10/pdfs/GEI-1810-13.pdf#page=7","Abrir facsímil")</f>
        <v>Abrir facsímil</v>
      </c>
      <c r="K879" s="3" t="s">
        <v>76</v>
      </c>
    </row>
    <row r="880" spans="1:11" ht="42" customHeight="1">
      <c r="A880" s="2" t="s">
        <v>2615</v>
      </c>
      <c r="B880" s="2" t="s">
        <v>2615</v>
      </c>
      <c r="C880" s="2" t="s">
        <v>26</v>
      </c>
      <c r="D880" s="2" t="s">
        <v>39</v>
      </c>
      <c r="E880" s="4">
        <v>-32684</v>
      </c>
      <c r="F880" s="3" t="s">
        <v>372</v>
      </c>
      <c r="G880" s="3" t="s">
        <v>35</v>
      </c>
      <c r="H880" s="2" t="s">
        <v>74</v>
      </c>
      <c r="I880" s="2" t="s">
        <v>2616</v>
      </c>
      <c r="J880" s="3" t="str">
        <f>HYPERLINK("https://www.boe.es/gazeta/dias/1810/07/06/pdfs/GEI-D-1810-42.pdf#page=2","Abrir facsímil")</f>
        <v>Abrir facsímil</v>
      </c>
      <c r="K880" s="3" t="s">
        <v>76</v>
      </c>
    </row>
    <row r="881" spans="1:11" ht="42" customHeight="1">
      <c r="A881" s="2" t="s">
        <v>2617</v>
      </c>
      <c r="B881" s="2" t="s">
        <v>2617</v>
      </c>
      <c r="C881" s="2" t="s">
        <v>88</v>
      </c>
      <c r="D881" s="2" t="s">
        <v>117</v>
      </c>
      <c r="E881" s="4">
        <v>-32728</v>
      </c>
      <c r="F881" s="3" t="s">
        <v>269</v>
      </c>
      <c r="G881" s="3" t="s">
        <v>227</v>
      </c>
      <c r="H881" s="2" t="s">
        <v>74</v>
      </c>
      <c r="I881" s="2" t="s">
        <v>2618</v>
      </c>
      <c r="J881" s="3" t="str">
        <f>HYPERLINK("https://www.boe.es/gazeta/dias/1810/05/23/pdfs/GMD-1810-143.pdf#page=2","Abrir facsímil")</f>
        <v>Abrir facsímil</v>
      </c>
      <c r="K881" s="3" t="s">
        <v>76</v>
      </c>
    </row>
    <row r="882" spans="1:11" ht="42" customHeight="1">
      <c r="A882" s="2" t="s">
        <v>2617</v>
      </c>
      <c r="B882" s="2" t="s">
        <v>2617</v>
      </c>
      <c r="C882" s="2" t="s">
        <v>26</v>
      </c>
      <c r="D882" s="2" t="s">
        <v>27</v>
      </c>
      <c r="E882" s="4">
        <v>-32722</v>
      </c>
      <c r="F882" s="3" t="s">
        <v>2619</v>
      </c>
      <c r="G882" s="3" t="s">
        <v>465</v>
      </c>
      <c r="H882" s="2" t="s">
        <v>74</v>
      </c>
      <c r="I882" s="2" t="s">
        <v>2620</v>
      </c>
      <c r="J882" s="3" t="str">
        <f>HYPERLINK("https://www.boe.es/gazeta/dias/1810/05/29/pdfs/GMD-1810-149.pdf#page=3","Abrir facsímil")</f>
        <v>Abrir facsímil</v>
      </c>
      <c r="K882" s="3" t="s">
        <v>76</v>
      </c>
    </row>
    <row r="883" spans="1:11" ht="42" customHeight="1">
      <c r="A883" s="2" t="s">
        <v>2621</v>
      </c>
      <c r="B883" s="2" t="s">
        <v>2622</v>
      </c>
      <c r="C883" s="2" t="s">
        <v>26</v>
      </c>
      <c r="D883" s="2" t="s">
        <v>39</v>
      </c>
      <c r="E883" s="4">
        <v>-32702</v>
      </c>
      <c r="F883" s="3" t="s">
        <v>179</v>
      </c>
      <c r="G883" s="3" t="s">
        <v>180</v>
      </c>
      <c r="H883" s="2" t="s">
        <v>74</v>
      </c>
      <c r="I883" s="2" t="s">
        <v>2623</v>
      </c>
      <c r="J883" s="3" t="str">
        <f>HYPERLINK("https://www.boe.es/gazeta/dias/1810/06/18/pdfs/GMD-C-1810-169.pdf#page=2","Abrir facsímil")</f>
        <v>Abrir facsímil</v>
      </c>
      <c r="K883" s="3" t="s">
        <v>76</v>
      </c>
    </row>
    <row r="884" spans="1:11" ht="42" customHeight="1">
      <c r="A884" s="2" t="s">
        <v>2624</v>
      </c>
      <c r="B884" s="2" t="s">
        <v>2625</v>
      </c>
      <c r="C884" s="2" t="s">
        <v>26</v>
      </c>
      <c r="D884" s="2" t="s">
        <v>27</v>
      </c>
      <c r="E884" s="4">
        <v>-32647</v>
      </c>
      <c r="F884" s="3" t="s">
        <v>118</v>
      </c>
      <c r="G884" s="3" t="s">
        <v>119</v>
      </c>
      <c r="H884" s="2" t="s">
        <v>74</v>
      </c>
      <c r="I884" s="2" t="s">
        <v>2626</v>
      </c>
      <c r="J884" s="3" t="str">
        <f>HYPERLINK("https://www.boe.es/gazeta/dias/1810/08/12/pdfs/GMD-1810-224.pdf#page=3","Abrir facsímil")</f>
        <v>Abrir facsímil</v>
      </c>
      <c r="K884" s="3" t="s">
        <v>76</v>
      </c>
    </row>
    <row r="885" spans="1:11" ht="42" customHeight="1">
      <c r="A885" s="2" t="s">
        <v>2627</v>
      </c>
      <c r="B885" s="2" t="s">
        <v>2627</v>
      </c>
      <c r="C885" s="2" t="s">
        <v>26</v>
      </c>
      <c r="D885" s="2" t="s">
        <v>27</v>
      </c>
      <c r="E885" s="4">
        <v>-32516</v>
      </c>
      <c r="F885" s="3" t="s">
        <v>425</v>
      </c>
      <c r="G885" s="3" t="s">
        <v>140</v>
      </c>
      <c r="H885" s="2" t="s">
        <v>74</v>
      </c>
      <c r="I885" s="2" t="s">
        <v>2628</v>
      </c>
      <c r="J885" s="3" t="str">
        <f>HYPERLINK("https://www.boe.es/gazeta/dias/1810/12/21/pdfs/GMD-1810-355.pdf#page=4","Abrir facsímil")</f>
        <v>Abrir facsímil</v>
      </c>
      <c r="K885" s="3" t="s">
        <v>76</v>
      </c>
    </row>
    <row r="886" spans="1:11" ht="42" customHeight="1">
      <c r="A886" s="2" t="s">
        <v>2629</v>
      </c>
      <c r="B886" s="2" t="s">
        <v>2629</v>
      </c>
      <c r="C886" s="2" t="s">
        <v>88</v>
      </c>
      <c r="D886" s="2" t="s">
        <v>117</v>
      </c>
      <c r="E886" s="4">
        <v>-32836</v>
      </c>
      <c r="F886" s="3" t="s">
        <v>1094</v>
      </c>
      <c r="G886" s="3" t="s">
        <v>140</v>
      </c>
      <c r="H886" s="2" t="s">
        <v>74</v>
      </c>
      <c r="I886" s="2" t="s">
        <v>2630</v>
      </c>
      <c r="J886" s="3" t="str">
        <f>HYPERLINK("https://www.boe.es/gazeta/dias/1810/02/04/pdfs/GMD-1810-35.pdf#page=2","Abrir facsímil")</f>
        <v>Abrir facsímil</v>
      </c>
      <c r="K886" s="3" t="s">
        <v>76</v>
      </c>
    </row>
    <row r="887" spans="1:11" ht="42" customHeight="1">
      <c r="A887" s="2" t="s">
        <v>2629</v>
      </c>
      <c r="B887" s="2" t="s">
        <v>2629</v>
      </c>
      <c r="C887" s="2" t="s">
        <v>88</v>
      </c>
      <c r="D887" s="2" t="s">
        <v>27</v>
      </c>
      <c r="E887" s="4">
        <v>-32817</v>
      </c>
      <c r="F887" s="3" t="s">
        <v>450</v>
      </c>
      <c r="G887" s="3" t="s">
        <v>1638</v>
      </c>
      <c r="H887" s="2" t="s">
        <v>74</v>
      </c>
      <c r="I887" s="2" t="s">
        <v>2631</v>
      </c>
      <c r="J887" s="3" t="str">
        <f>HYPERLINK("https://www.boe.es/gazeta/dias/1810/02/23/pdfs/GMD-1810-54.pdf#page=2","Abrir facsímil")</f>
        <v>Abrir facsímil</v>
      </c>
      <c r="K887" s="3" t="s">
        <v>76</v>
      </c>
    </row>
    <row r="888" spans="1:11" ht="42" customHeight="1">
      <c r="A888" s="2" t="s">
        <v>2632</v>
      </c>
      <c r="B888" s="2" t="s">
        <v>2632</v>
      </c>
      <c r="C888" s="2" t="s">
        <v>88</v>
      </c>
      <c r="D888" s="2" t="s">
        <v>117</v>
      </c>
      <c r="E888" s="4">
        <v>-32736</v>
      </c>
      <c r="F888" s="3" t="s">
        <v>400</v>
      </c>
      <c r="G888" s="3" t="s">
        <v>2633</v>
      </c>
      <c r="H888" s="2" t="s">
        <v>74</v>
      </c>
      <c r="I888" s="2" t="s">
        <v>2634</v>
      </c>
      <c r="J888" s="3" t="str">
        <f>HYPERLINK("https://www.boe.es/gazeta/dias/1810/05/15/pdfs/GMD-1810-135.pdf#page=2","Abrir facsímil")</f>
        <v>Abrir facsímil</v>
      </c>
      <c r="K888" s="3" t="s">
        <v>76</v>
      </c>
    </row>
    <row r="889" spans="1:11" ht="42" customHeight="1">
      <c r="A889" s="2" t="s">
        <v>2635</v>
      </c>
      <c r="B889" s="2" t="s">
        <v>2636</v>
      </c>
      <c r="C889" s="2" t="s">
        <v>17</v>
      </c>
      <c r="D889" s="2" t="s">
        <v>27</v>
      </c>
      <c r="E889" s="4">
        <v>-32741</v>
      </c>
      <c r="F889" s="3" t="s">
        <v>98</v>
      </c>
      <c r="G889" s="3" t="s">
        <v>90</v>
      </c>
      <c r="H889" s="2" t="s">
        <v>74</v>
      </c>
      <c r="I889" s="2" t="s">
        <v>2637</v>
      </c>
      <c r="J889" s="3" t="str">
        <f>HYPERLINK("https://www.boe.es/gazeta/dias/1810/05/10/pdfs/GMD-1810-130.pdf#page=4","Abrir facsímil")</f>
        <v>Abrir facsímil</v>
      </c>
      <c r="K889" s="3" t="s">
        <v>76</v>
      </c>
    </row>
    <row r="890" spans="1:11" ht="42" customHeight="1">
      <c r="A890" s="2" t="s">
        <v>2638</v>
      </c>
      <c r="B890" s="2" t="s">
        <v>2638</v>
      </c>
      <c r="C890" s="2" t="s">
        <v>26</v>
      </c>
      <c r="D890" s="2" t="s">
        <v>27</v>
      </c>
      <c r="E890" s="4">
        <v>-32706</v>
      </c>
      <c r="F890" s="3" t="s">
        <v>1210</v>
      </c>
      <c r="G890" s="3" t="s">
        <v>2639</v>
      </c>
      <c r="H890" s="2" t="s">
        <v>74</v>
      </c>
      <c r="I890" s="2" t="s">
        <v>2640</v>
      </c>
      <c r="J890" s="3" t="str">
        <f>HYPERLINK("https://www.boe.es/gazeta/dias/1810/06/14/pdfs/GMD-1810-165.pdf#page=2","Abrir facsímil")</f>
        <v>Abrir facsímil</v>
      </c>
      <c r="K890" s="3" t="s">
        <v>76</v>
      </c>
    </row>
    <row r="891" spans="1:11" ht="42" customHeight="1">
      <c r="A891" s="2" t="s">
        <v>2641</v>
      </c>
      <c r="B891" s="2" t="s">
        <v>2642</v>
      </c>
      <c r="C891" s="2" t="s">
        <v>26</v>
      </c>
      <c r="D891" s="2" t="s">
        <v>27</v>
      </c>
      <c r="E891" s="4">
        <v>-32710</v>
      </c>
      <c r="F891" s="3" t="s">
        <v>126</v>
      </c>
      <c r="G891" s="3" t="s">
        <v>35</v>
      </c>
      <c r="H891" s="2" t="s">
        <v>74</v>
      </c>
      <c r="I891" s="2" t="s">
        <v>2643</v>
      </c>
      <c r="J891" s="3" t="str">
        <f>HYPERLINK("https://www.boe.es/gazeta/dias/1810/06/10/pdfs/GMD-1810-161.pdf#page=2","Abrir facsímil")</f>
        <v>Abrir facsímil</v>
      </c>
      <c r="K891" s="3" t="s">
        <v>76</v>
      </c>
    </row>
    <row r="892" spans="1:11" ht="42" customHeight="1">
      <c r="A892" s="2" t="s">
        <v>2644</v>
      </c>
      <c r="B892" s="2" t="s">
        <v>2645</v>
      </c>
      <c r="C892" s="2" t="s">
        <v>26</v>
      </c>
      <c r="D892" s="2" t="s">
        <v>27</v>
      </c>
      <c r="E892" s="4">
        <v>-32837</v>
      </c>
      <c r="F892" s="3" t="s">
        <v>196</v>
      </c>
      <c r="G892" s="3" t="s">
        <v>140</v>
      </c>
      <c r="H892" s="2" t="s">
        <v>74</v>
      </c>
      <c r="I892" s="2" t="s">
        <v>2646</v>
      </c>
      <c r="J892" s="3" t="str">
        <f>HYPERLINK("https://www.boe.es/gazeta/dias/1810/02/03/pdfs/GMD-1810-34.pdf#page=4","Abrir facsímil")</f>
        <v>Abrir facsímil</v>
      </c>
      <c r="K892" s="3" t="s">
        <v>76</v>
      </c>
    </row>
    <row r="893" spans="1:11" ht="42" customHeight="1">
      <c r="A893" s="2" t="s">
        <v>2647</v>
      </c>
      <c r="B893" s="2" t="s">
        <v>2648</v>
      </c>
      <c r="C893" s="2" t="s">
        <v>88</v>
      </c>
      <c r="D893" s="2" t="s">
        <v>117</v>
      </c>
      <c r="E893" s="4">
        <v>-32867</v>
      </c>
      <c r="F893" s="3" t="s">
        <v>712</v>
      </c>
      <c r="G893" s="3" t="s">
        <v>668</v>
      </c>
      <c r="H893" s="2" t="s">
        <v>74</v>
      </c>
      <c r="I893" s="2" t="s">
        <v>2649</v>
      </c>
      <c r="J893" s="3" t="str">
        <f>HYPERLINK("https://www.boe.es/gazeta/dias/1810/01/04/pdfs/GGB-1810-2.pdf#page=4","Abrir facsímil")</f>
        <v>Abrir facsímil</v>
      </c>
      <c r="K893" s="3" t="s">
        <v>76</v>
      </c>
    </row>
    <row r="894" spans="1:11" ht="42" customHeight="1">
      <c r="A894" s="2" t="s">
        <v>2650</v>
      </c>
      <c r="B894" s="2" t="s">
        <v>2651</v>
      </c>
      <c r="C894" s="2" t="s">
        <v>88</v>
      </c>
      <c r="D894" s="2" t="s">
        <v>27</v>
      </c>
      <c r="E894" s="4">
        <v>-32645</v>
      </c>
      <c r="F894" s="3" t="s">
        <v>122</v>
      </c>
      <c r="G894" s="3" t="s">
        <v>588</v>
      </c>
      <c r="H894" s="2" t="s">
        <v>74</v>
      </c>
      <c r="I894" s="2" t="s">
        <v>2652</v>
      </c>
      <c r="J894" s="3" t="str">
        <f>HYPERLINK("https://www.boe.es/gazeta/dias/1810/08/14/pdfs/GEI-1810-56.pdf#page=15","Abrir facsímil")</f>
        <v>Abrir facsímil</v>
      </c>
      <c r="K894" s="3" t="s">
        <v>76</v>
      </c>
    </row>
    <row r="895" spans="1:11" ht="42" customHeight="1">
      <c r="A895" s="2" t="s">
        <v>2653</v>
      </c>
      <c r="B895" s="2" t="s">
        <v>2653</v>
      </c>
      <c r="C895" s="2" t="s">
        <v>88</v>
      </c>
      <c r="D895" s="2" t="s">
        <v>27</v>
      </c>
      <c r="E895" s="4">
        <v>-32743</v>
      </c>
      <c r="F895" s="3" t="s">
        <v>2265</v>
      </c>
      <c r="G895" s="3" t="s">
        <v>2654</v>
      </c>
      <c r="H895" s="2" t="s">
        <v>74</v>
      </c>
      <c r="I895" s="2" t="s">
        <v>2655</v>
      </c>
      <c r="J895" s="3" t="str">
        <f>HYPERLINK("https://www.boe.es/gazeta/dias/1810/05/08/pdfs/GEI-1810-22.pdf#page=1","Abrir facsímil")</f>
        <v>Abrir facsímil</v>
      </c>
      <c r="K895" s="3" t="s">
        <v>76</v>
      </c>
    </row>
    <row r="896" spans="1:11" ht="42" customHeight="1">
      <c r="A896" s="2" t="s">
        <v>2656</v>
      </c>
      <c r="B896" s="2" t="s">
        <v>2656</v>
      </c>
      <c r="C896" s="2" t="s">
        <v>88</v>
      </c>
      <c r="D896" s="2" t="s">
        <v>39</v>
      </c>
      <c r="E896" s="4">
        <v>-32698</v>
      </c>
      <c r="F896" s="3" t="s">
        <v>2657</v>
      </c>
      <c r="G896" s="3" t="s">
        <v>2658</v>
      </c>
      <c r="H896" s="2" t="s">
        <v>74</v>
      </c>
      <c r="I896" s="2" t="s">
        <v>2659</v>
      </c>
      <c r="J896" s="3" t="str">
        <f>HYPERLINK("https://www.boe.es/gazeta/dias/1810/06/22/pdfs/GEI-D-1810-38.pdf#page=4","Abrir facsímil")</f>
        <v>Abrir facsímil</v>
      </c>
      <c r="K896" s="3" t="s">
        <v>76</v>
      </c>
    </row>
    <row r="897" spans="1:11" ht="42" customHeight="1">
      <c r="A897" s="2" t="s">
        <v>2660</v>
      </c>
      <c r="B897" s="2" t="s">
        <v>2661</v>
      </c>
      <c r="C897" s="2" t="s">
        <v>33</v>
      </c>
      <c r="D897" s="2" t="s">
        <v>27</v>
      </c>
      <c r="E897" s="4">
        <v>-32710</v>
      </c>
      <c r="F897" s="3" t="s">
        <v>126</v>
      </c>
      <c r="G897" s="3" t="s">
        <v>20</v>
      </c>
      <c r="H897" s="2" t="s">
        <v>74</v>
      </c>
      <c r="I897" s="2" t="s">
        <v>2662</v>
      </c>
      <c r="J897" s="3" t="str">
        <f>HYPERLINK("https://www.boe.es/gazeta/dias/1810/06/10/pdfs/GMD-1810-161.pdf#page=4","Abrir facsímil")</f>
        <v>Abrir facsímil</v>
      </c>
      <c r="K897" s="3" t="s">
        <v>76</v>
      </c>
    </row>
    <row r="898" spans="1:11" ht="42" customHeight="1">
      <c r="A898" s="2" t="s">
        <v>2660</v>
      </c>
      <c r="B898" s="2" t="s">
        <v>2661</v>
      </c>
      <c r="C898" s="2" t="s">
        <v>26</v>
      </c>
      <c r="D898" s="2" t="s">
        <v>27</v>
      </c>
      <c r="E898" s="4">
        <v>-32591</v>
      </c>
      <c r="F898" s="3" t="s">
        <v>377</v>
      </c>
      <c r="G898" s="3" t="s">
        <v>140</v>
      </c>
      <c r="H898" s="2" t="s">
        <v>74</v>
      </c>
      <c r="I898" s="2" t="s">
        <v>2663</v>
      </c>
      <c r="J898" s="3" t="str">
        <f>HYPERLINK("https://www.boe.es/gazeta/dias/1810/10/07/pdfs/GMD-1810-280.pdf#page=4","Abrir facsímil")</f>
        <v>Abrir facsímil</v>
      </c>
      <c r="K898" s="3" t="s">
        <v>76</v>
      </c>
    </row>
    <row r="899" spans="1:11" ht="42" customHeight="1">
      <c r="A899" s="2" t="s">
        <v>2664</v>
      </c>
      <c r="B899" s="2" t="s">
        <v>2665</v>
      </c>
      <c r="C899" s="2" t="s">
        <v>26</v>
      </c>
      <c r="D899" s="2" t="s">
        <v>27</v>
      </c>
      <c r="E899" s="4">
        <v>-32576</v>
      </c>
      <c r="F899" s="3" t="s">
        <v>447</v>
      </c>
      <c r="G899" s="3" t="s">
        <v>695</v>
      </c>
      <c r="H899" s="2" t="s">
        <v>74</v>
      </c>
      <c r="I899" s="2" t="s">
        <v>2666</v>
      </c>
      <c r="J899" s="3" t="str">
        <f>HYPERLINK("https://www.boe.es/gazeta/dias/1810/10/22/pdfs/GMD-1810-295.pdf#page=1","Abrir facsímil")</f>
        <v>Abrir facsímil</v>
      </c>
      <c r="K899" s="3" t="s">
        <v>76</v>
      </c>
    </row>
    <row r="900" spans="1:11" ht="42" customHeight="1">
      <c r="A900" s="2" t="s">
        <v>2667</v>
      </c>
      <c r="B900" s="2" t="s">
        <v>2668</v>
      </c>
      <c r="C900" s="2" t="s">
        <v>26</v>
      </c>
      <c r="D900" s="2" t="s">
        <v>27</v>
      </c>
      <c r="E900" s="4">
        <v>-32543</v>
      </c>
      <c r="F900" s="3" t="s">
        <v>69</v>
      </c>
      <c r="G900" s="3" t="s">
        <v>70</v>
      </c>
      <c r="H900" s="2" t="s">
        <v>74</v>
      </c>
      <c r="I900" s="2" t="s">
        <v>2669</v>
      </c>
      <c r="J900" s="3" t="str">
        <f>HYPERLINK("https://www.boe.es/gazeta/dias/1810/11/24/pdfs/GEI-1810-99.pdf#page=8","Abrir facsímil")</f>
        <v>Abrir facsímil</v>
      </c>
      <c r="K900" s="3" t="s">
        <v>76</v>
      </c>
    </row>
    <row r="901" spans="1:11" ht="42" customHeight="1">
      <c r="A901" s="2" t="s">
        <v>2670</v>
      </c>
      <c r="B901" s="2" t="s">
        <v>2670</v>
      </c>
      <c r="C901" s="2" t="s">
        <v>88</v>
      </c>
      <c r="D901" s="2" t="s">
        <v>27</v>
      </c>
      <c r="E901" s="4">
        <v>-32729</v>
      </c>
      <c r="F901" s="3" t="s">
        <v>174</v>
      </c>
      <c r="G901" s="3" t="s">
        <v>2671</v>
      </c>
      <c r="H901" s="2" t="s">
        <v>74</v>
      </c>
      <c r="I901" s="2" t="s">
        <v>2672</v>
      </c>
      <c r="J901" s="3" t="str">
        <f>HYPERLINK("https://www.boe.es/gazeta/dias/1810/05/22/pdfs/GEI-1810-28.pdf#page=6","Abrir facsímil")</f>
        <v>Abrir facsímil</v>
      </c>
      <c r="K901" s="3" t="s">
        <v>76</v>
      </c>
    </row>
    <row r="902" spans="1:11" ht="42" customHeight="1">
      <c r="A902" s="2" t="s">
        <v>2673</v>
      </c>
      <c r="B902" s="2" t="s">
        <v>2673</v>
      </c>
      <c r="C902" s="2" t="s">
        <v>88</v>
      </c>
      <c r="D902" s="2" t="s">
        <v>117</v>
      </c>
      <c r="E902" s="4">
        <v>-32635</v>
      </c>
      <c r="F902" s="3" t="s">
        <v>2674</v>
      </c>
      <c r="G902" s="3" t="s">
        <v>291</v>
      </c>
      <c r="H902" s="2" t="s">
        <v>74</v>
      </c>
      <c r="I902" s="2" t="s">
        <v>2675</v>
      </c>
      <c r="J902" s="3" t="str">
        <f>HYPERLINK("https://www.boe.es/gazeta/dias/1810/08/24/pdfs/GEI-D-1810-59.pdf#page=8","Abrir facsímil")</f>
        <v>Abrir facsímil</v>
      </c>
      <c r="K902" s="3" t="s">
        <v>76</v>
      </c>
    </row>
    <row r="903" spans="1:11" ht="42" customHeight="1">
      <c r="A903" s="2" t="s">
        <v>2676</v>
      </c>
      <c r="B903" s="2" t="s">
        <v>2677</v>
      </c>
      <c r="C903" s="2" t="s">
        <v>88</v>
      </c>
      <c r="D903" s="2" t="s">
        <v>27</v>
      </c>
      <c r="E903" s="4">
        <v>-32580</v>
      </c>
      <c r="F903" s="3" t="s">
        <v>833</v>
      </c>
      <c r="G903" s="3" t="s">
        <v>1488</v>
      </c>
      <c r="H903" s="2" t="s">
        <v>74</v>
      </c>
      <c r="I903" s="2" t="s">
        <v>2678</v>
      </c>
      <c r="J903" s="3" t="str">
        <f>HYPERLINK("https://www.boe.es/gazeta/dias/1810/10/18/pdfs/GMD-1810-291.pdf#page=4","Abrir facsímil")</f>
        <v>Abrir facsímil</v>
      </c>
      <c r="K903" s="3" t="s">
        <v>76</v>
      </c>
    </row>
    <row r="904" spans="1:11" ht="42" customHeight="1">
      <c r="A904" s="2" t="s">
        <v>2679</v>
      </c>
      <c r="B904" s="2" t="s">
        <v>2679</v>
      </c>
      <c r="C904" s="2" t="s">
        <v>225</v>
      </c>
      <c r="D904" s="2" t="s">
        <v>117</v>
      </c>
      <c r="E904" s="4">
        <v>-32621</v>
      </c>
      <c r="F904" s="3" t="s">
        <v>674</v>
      </c>
      <c r="G904" s="3" t="s">
        <v>20</v>
      </c>
      <c r="H904" s="2" t="s">
        <v>74</v>
      </c>
      <c r="I904" s="2" t="s">
        <v>2680</v>
      </c>
      <c r="J904" s="3" t="str">
        <f>HYPERLINK("https://www.boe.es/gazeta/dias/1810/09/07/pdfs/GEI-1810-65.pdf#page=4","Abrir facsímil")</f>
        <v>Abrir facsímil</v>
      </c>
      <c r="K904" s="3" t="s">
        <v>76</v>
      </c>
    </row>
    <row r="905" spans="1:11" ht="42" customHeight="1">
      <c r="A905" s="2" t="s">
        <v>2679</v>
      </c>
      <c r="B905" s="2" t="s">
        <v>2679</v>
      </c>
      <c r="C905" s="2" t="s">
        <v>88</v>
      </c>
      <c r="D905" s="2" t="s">
        <v>27</v>
      </c>
      <c r="E905" s="4">
        <v>-32614</v>
      </c>
      <c r="F905" s="3" t="s">
        <v>1083</v>
      </c>
      <c r="G905" s="3" t="s">
        <v>227</v>
      </c>
      <c r="H905" s="2" t="s">
        <v>74</v>
      </c>
      <c r="I905" s="2" t="s">
        <v>2681</v>
      </c>
      <c r="J905" s="3" t="str">
        <f>HYPERLINK("https://www.boe.es/gazeta/dias/1810/09/14/pdfs/GEI-1810-67.pdf#page=12","Abrir facsímil")</f>
        <v>Abrir facsímil</v>
      </c>
      <c r="K905" s="3" t="s">
        <v>76</v>
      </c>
    </row>
    <row r="906" spans="1:11" ht="42" customHeight="1">
      <c r="A906" s="2" t="s">
        <v>2679</v>
      </c>
      <c r="B906" s="2" t="s">
        <v>2679</v>
      </c>
      <c r="C906" s="2" t="s">
        <v>88</v>
      </c>
      <c r="D906" s="2" t="s">
        <v>117</v>
      </c>
      <c r="E906" s="4">
        <v>-32596</v>
      </c>
      <c r="F906" s="3" t="s">
        <v>248</v>
      </c>
      <c r="G906" s="3" t="s">
        <v>2682</v>
      </c>
      <c r="H906" s="2" t="s">
        <v>74</v>
      </c>
      <c r="I906" s="2" t="s">
        <v>2683</v>
      </c>
      <c r="J906" s="3" t="str">
        <f>HYPERLINK("https://www.boe.es/gazeta/dias/1810/10/02/pdfs/GEI-1810-76.pdf#page=6","Abrir facsímil")</f>
        <v>Abrir facsímil</v>
      </c>
      <c r="K906" s="3" t="s">
        <v>76</v>
      </c>
    </row>
    <row r="907" spans="1:11" ht="42" customHeight="1">
      <c r="A907" s="2" t="s">
        <v>2679</v>
      </c>
      <c r="B907" s="2" t="s">
        <v>2679</v>
      </c>
      <c r="C907" s="2" t="s">
        <v>88</v>
      </c>
      <c r="D907" s="2" t="s">
        <v>117</v>
      </c>
      <c r="E907" s="4">
        <v>-32594</v>
      </c>
      <c r="F907" s="3" t="s">
        <v>885</v>
      </c>
      <c r="G907" s="3" t="s">
        <v>886</v>
      </c>
      <c r="H907" s="2" t="s">
        <v>74</v>
      </c>
      <c r="I907" s="2" t="s">
        <v>2684</v>
      </c>
      <c r="J907" s="3" t="str">
        <f>HYPERLINK("https://www.boe.es/gazeta/dias/1810/10/04/pdfs/GEI-1810-77.pdf#page=6","Abrir facsímil")</f>
        <v>Abrir facsímil</v>
      </c>
      <c r="K907" s="3" t="s">
        <v>76</v>
      </c>
    </row>
    <row r="908" spans="1:11" ht="42" customHeight="1">
      <c r="A908" s="2" t="s">
        <v>2679</v>
      </c>
      <c r="B908" s="2" t="s">
        <v>2679</v>
      </c>
      <c r="C908" s="2" t="s">
        <v>88</v>
      </c>
      <c r="D908" s="2" t="s">
        <v>220</v>
      </c>
      <c r="E908" s="4">
        <v>-32561</v>
      </c>
      <c r="F908" s="3" t="s">
        <v>273</v>
      </c>
      <c r="G908" s="3" t="s">
        <v>782</v>
      </c>
      <c r="H908" s="2" t="s">
        <v>74</v>
      </c>
      <c r="I908" s="2" t="s">
        <v>2685</v>
      </c>
      <c r="J908" s="3" t="str">
        <f>HYPERLINK("https://www.boe.es/gazeta/dias/1810/11/06/pdfs/GEI-1810-91.pdf#page=5","Abrir facsímil")</f>
        <v>Abrir facsímil</v>
      </c>
      <c r="K908" s="3" t="s">
        <v>76</v>
      </c>
    </row>
    <row r="909" spans="1:11" ht="42" customHeight="1">
      <c r="A909" s="2" t="s">
        <v>2679</v>
      </c>
      <c r="B909" s="2" t="s">
        <v>2679</v>
      </c>
      <c r="C909" s="2" t="s">
        <v>88</v>
      </c>
      <c r="D909" s="2" t="s">
        <v>220</v>
      </c>
      <c r="E909" s="4">
        <v>-32531</v>
      </c>
      <c r="F909" s="3" t="s">
        <v>2483</v>
      </c>
      <c r="G909" s="3" t="s">
        <v>2686</v>
      </c>
      <c r="H909" s="2" t="s">
        <v>74</v>
      </c>
      <c r="I909" s="2" t="s">
        <v>2687</v>
      </c>
      <c r="J909" s="3" t="str">
        <f>HYPERLINK("https://www.boe.es/gazeta/dias/1810/12/06/pdfs/GEI-1810-104.pdf#page=8","Abrir facsímil")</f>
        <v>Abrir facsímil</v>
      </c>
      <c r="K909" s="3" t="s">
        <v>76</v>
      </c>
    </row>
    <row r="910" spans="1:11" ht="42" customHeight="1">
      <c r="A910" s="2" t="s">
        <v>2679</v>
      </c>
      <c r="B910" s="2" t="s">
        <v>2679</v>
      </c>
      <c r="C910" s="2" t="s">
        <v>88</v>
      </c>
      <c r="D910" s="2" t="s">
        <v>117</v>
      </c>
      <c r="E910" s="4">
        <v>-32526</v>
      </c>
      <c r="F910" s="3" t="s">
        <v>530</v>
      </c>
      <c r="G910" s="3" t="s">
        <v>2688</v>
      </c>
      <c r="H910" s="2" t="s">
        <v>74</v>
      </c>
      <c r="I910" s="2" t="s">
        <v>2689</v>
      </c>
      <c r="J910" s="3" t="str">
        <f>HYPERLINK("https://www.boe.es/gazeta/dias/1810/12/11/pdfs/GEI-1810-106.pdf#page=7","Abrir facsímil")</f>
        <v>Abrir facsímil</v>
      </c>
      <c r="K910" s="3" t="s">
        <v>76</v>
      </c>
    </row>
    <row r="911" spans="1:11" ht="42" customHeight="1">
      <c r="A911" s="2" t="s">
        <v>2690</v>
      </c>
      <c r="B911" s="2" t="s">
        <v>2691</v>
      </c>
      <c r="C911" s="2" t="s">
        <v>26</v>
      </c>
      <c r="D911" s="2" t="s">
        <v>18</v>
      </c>
      <c r="E911" s="4">
        <v>-32734</v>
      </c>
      <c r="F911" s="3" t="s">
        <v>19</v>
      </c>
      <c r="G911" s="3" t="s">
        <v>20</v>
      </c>
      <c r="H911" s="2" t="s">
        <v>74</v>
      </c>
      <c r="I911" s="2" t="s">
        <v>2692</v>
      </c>
      <c r="J911" s="3" t="str">
        <f>HYPERLINK("https://www.boe.es/gazeta/dias/1810/05/17/pdfs/GMD-1810-137.pdf#page=4","Abrir facsímil")</f>
        <v>Abrir facsímil</v>
      </c>
      <c r="K911" s="3" t="s">
        <v>76</v>
      </c>
    </row>
    <row r="912" spans="1:11" ht="42" customHeight="1">
      <c r="A912" s="2" t="s">
        <v>2693</v>
      </c>
      <c r="B912" s="2" t="s">
        <v>2694</v>
      </c>
      <c r="C912" s="2" t="s">
        <v>26</v>
      </c>
      <c r="D912" s="2" t="s">
        <v>27</v>
      </c>
      <c r="E912" s="4">
        <v>-32596</v>
      </c>
      <c r="F912" s="3" t="s">
        <v>1311</v>
      </c>
      <c r="G912" s="3" t="s">
        <v>29</v>
      </c>
      <c r="H912" s="2" t="s">
        <v>74</v>
      </c>
      <c r="I912" s="2" t="s">
        <v>2695</v>
      </c>
      <c r="J912" s="3" t="str">
        <f>HYPERLINK("https://www.boe.es/gazeta/dias/1810/10/02/pdfs/GMD-1810-275.pdf#page=4","Abrir facsímil")</f>
        <v>Abrir facsímil</v>
      </c>
      <c r="K912" s="3" t="s">
        <v>76</v>
      </c>
    </row>
    <row r="913" spans="1:11" ht="42" customHeight="1">
      <c r="A913" s="2" t="s">
        <v>2696</v>
      </c>
      <c r="B913" s="2" t="s">
        <v>2696</v>
      </c>
      <c r="C913" s="2" t="s">
        <v>26</v>
      </c>
      <c r="D913" s="2" t="s">
        <v>27</v>
      </c>
      <c r="E913" s="4">
        <v>-32716</v>
      </c>
      <c r="F913" s="3" t="s">
        <v>624</v>
      </c>
      <c r="G913" s="3" t="s">
        <v>90</v>
      </c>
      <c r="H913" s="2" t="s">
        <v>74</v>
      </c>
      <c r="I913" s="2" t="s">
        <v>2697</v>
      </c>
      <c r="J913" s="3" t="str">
        <f>HYPERLINK("https://www.boe.es/gazeta/dias/1810/06/04/pdfs/GMD-1810-155.pdf#page=3","Abrir facsímil")</f>
        <v>Abrir facsímil</v>
      </c>
      <c r="K913" s="3" t="s">
        <v>76</v>
      </c>
    </row>
    <row r="914" spans="1:11" ht="42" customHeight="1">
      <c r="A914" s="2" t="s">
        <v>2698</v>
      </c>
      <c r="B914" s="2" t="s">
        <v>2699</v>
      </c>
      <c r="C914" s="2" t="s">
        <v>26</v>
      </c>
      <c r="D914" s="2" t="s">
        <v>39</v>
      </c>
      <c r="E914" s="4">
        <v>-32661</v>
      </c>
      <c r="F914" s="3" t="s">
        <v>157</v>
      </c>
      <c r="G914" s="3" t="s">
        <v>158</v>
      </c>
      <c r="H914" s="2" t="s">
        <v>74</v>
      </c>
      <c r="I914" s="2" t="s">
        <v>2700</v>
      </c>
      <c r="J914" s="3" t="str">
        <f>HYPERLINK("https://www.boe.es/gazeta/dias/1810/07/29/pdfs/GMD-C-1810-210.pdf#page=1","Abrir facsímil")</f>
        <v>Abrir facsímil</v>
      </c>
      <c r="K914" s="3" t="s">
        <v>76</v>
      </c>
    </row>
    <row r="915" spans="1:11" ht="42" customHeight="1">
      <c r="A915" s="2" t="s">
        <v>2701</v>
      </c>
      <c r="B915" s="2" t="s">
        <v>2701</v>
      </c>
      <c r="C915" s="2" t="s">
        <v>88</v>
      </c>
      <c r="D915" s="2" t="s">
        <v>117</v>
      </c>
      <c r="E915" s="4">
        <v>-32664</v>
      </c>
      <c r="F915" s="3" t="s">
        <v>618</v>
      </c>
      <c r="G915" s="3" t="s">
        <v>1985</v>
      </c>
      <c r="H915" s="2" t="s">
        <v>74</v>
      </c>
      <c r="I915" s="2" t="s">
        <v>2702</v>
      </c>
      <c r="J915" s="3" t="str">
        <f>HYPERLINK("https://www.boe.es/gazeta/dias/1810/07/26/pdfs/GMD-1810-207.pdf#page=4","Abrir facsímil")</f>
        <v>Abrir facsímil</v>
      </c>
      <c r="K915" s="3" t="s">
        <v>76</v>
      </c>
    </row>
    <row r="916" spans="1:11" ht="42" customHeight="1">
      <c r="A916" s="2" t="s">
        <v>2703</v>
      </c>
      <c r="B916" s="2" t="s">
        <v>2704</v>
      </c>
      <c r="C916" s="2" t="s">
        <v>225</v>
      </c>
      <c r="D916" s="2" t="s">
        <v>27</v>
      </c>
      <c r="E916" s="4">
        <v>-32698</v>
      </c>
      <c r="F916" s="3" t="s">
        <v>2705</v>
      </c>
      <c r="G916" s="3" t="s">
        <v>2706</v>
      </c>
      <c r="H916" s="2" t="s">
        <v>74</v>
      </c>
      <c r="I916" s="2" t="s">
        <v>2707</v>
      </c>
      <c r="J916" s="3" t="str">
        <f>HYPERLINK("https://www.boe.es/gazeta/dias/1810/06/22/pdfs/GEI-1810-38.pdf#page=8","Abrir facsímil")</f>
        <v>Abrir facsímil</v>
      </c>
      <c r="K916" s="3" t="s">
        <v>76</v>
      </c>
    </row>
    <row r="917" spans="1:11" ht="42" customHeight="1">
      <c r="A917" s="2" t="s">
        <v>2708</v>
      </c>
      <c r="B917" s="2" t="s">
        <v>2709</v>
      </c>
      <c r="C917" s="2" t="s">
        <v>26</v>
      </c>
      <c r="D917" s="2" t="s">
        <v>27</v>
      </c>
      <c r="E917" s="4">
        <v>-32735</v>
      </c>
      <c r="F917" s="3" t="s">
        <v>612</v>
      </c>
      <c r="G917" s="3" t="s">
        <v>701</v>
      </c>
      <c r="H917" s="2" t="s">
        <v>74</v>
      </c>
      <c r="I917" s="2" t="s">
        <v>2710</v>
      </c>
      <c r="J917" s="3" t="str">
        <f>HYPERLINK("https://www.boe.es/gazeta/dias/1810/05/16/pdfs/GMD-1810-136.pdf#page=4","Abrir facsímil")</f>
        <v>Abrir facsímil</v>
      </c>
      <c r="K917" s="3" t="s">
        <v>76</v>
      </c>
    </row>
    <row r="918" spans="1:11" ht="42" customHeight="1">
      <c r="A918" s="2" t="s">
        <v>2711</v>
      </c>
      <c r="B918" s="2" t="s">
        <v>2712</v>
      </c>
      <c r="C918" s="2" t="s">
        <v>17</v>
      </c>
      <c r="D918" s="2" t="s">
        <v>27</v>
      </c>
      <c r="E918" s="4">
        <v>-32711</v>
      </c>
      <c r="F918" s="3" t="s">
        <v>1888</v>
      </c>
      <c r="G918" s="3" t="s">
        <v>29</v>
      </c>
      <c r="H918" s="2" t="s">
        <v>74</v>
      </c>
      <c r="I918" s="2" t="s">
        <v>2713</v>
      </c>
      <c r="J918" s="3" t="str">
        <f>HYPERLINK("https://www.boe.es/gazeta/dias/1810/06/09/pdfs/GMD-1810-160.pdf#page=4","Abrir facsímil")</f>
        <v>Abrir facsímil</v>
      </c>
      <c r="K918" s="3" t="s">
        <v>76</v>
      </c>
    </row>
    <row r="919" spans="1:11" ht="42" customHeight="1">
      <c r="A919" s="2" t="s">
        <v>2714</v>
      </c>
      <c r="B919" s="2" t="s">
        <v>2715</v>
      </c>
      <c r="C919" s="2" t="s">
        <v>26</v>
      </c>
      <c r="D919" s="2" t="s">
        <v>27</v>
      </c>
      <c r="E919" s="4">
        <v>-32771</v>
      </c>
      <c r="F919" s="3" t="s">
        <v>543</v>
      </c>
      <c r="G919" s="3" t="s">
        <v>65</v>
      </c>
      <c r="H919" s="2" t="s">
        <v>74</v>
      </c>
      <c r="I919" s="2" t="s">
        <v>2716</v>
      </c>
      <c r="J919" s="3" t="str">
        <f>HYPERLINK("https://www.boe.es/gazeta/dias/1810/04/10/pdfs/GEI-1810-13.pdf#page=7","Abrir facsímil")</f>
        <v>Abrir facsímil</v>
      </c>
      <c r="K919" s="3" t="s">
        <v>76</v>
      </c>
    </row>
    <row r="920" spans="1:11" ht="42" customHeight="1">
      <c r="A920" s="2" t="s">
        <v>2717</v>
      </c>
      <c r="B920" s="2" t="s">
        <v>2718</v>
      </c>
      <c r="C920" s="2" t="s">
        <v>88</v>
      </c>
      <c r="D920" s="2" t="s">
        <v>27</v>
      </c>
      <c r="E920" s="4">
        <v>-32550</v>
      </c>
      <c r="F920" s="3" t="s">
        <v>1472</v>
      </c>
      <c r="G920" s="3" t="s">
        <v>1473</v>
      </c>
      <c r="H920" s="2" t="s">
        <v>74</v>
      </c>
      <c r="I920" s="2" t="s">
        <v>2719</v>
      </c>
      <c r="J920" s="3" t="str">
        <f>HYPERLINK("https://www.boe.es/gazeta/dias/1810/11/17/pdfs/GEI-1810-96.pdf#page=8","Abrir facsímil")</f>
        <v>Abrir facsímil</v>
      </c>
      <c r="K920" s="3" t="s">
        <v>76</v>
      </c>
    </row>
    <row r="921" spans="1:11" ht="42" customHeight="1">
      <c r="A921" s="2" t="s">
        <v>2720</v>
      </c>
      <c r="B921" s="2" t="s">
        <v>2721</v>
      </c>
      <c r="C921" s="2" t="s">
        <v>33</v>
      </c>
      <c r="D921" s="2" t="s">
        <v>27</v>
      </c>
      <c r="E921" s="4">
        <v>-32733</v>
      </c>
      <c r="F921" s="3" t="s">
        <v>955</v>
      </c>
      <c r="G921" s="3" t="s">
        <v>20</v>
      </c>
      <c r="H921" s="2" t="s">
        <v>74</v>
      </c>
      <c r="I921" s="2" t="s">
        <v>2722</v>
      </c>
      <c r="J921" s="3" t="str">
        <f>HYPERLINK("https://www.boe.es/gazeta/dias/1810/05/18/pdfs/GEI-1810-27.pdf#page=4","Abrir facsímil")</f>
        <v>Abrir facsímil</v>
      </c>
      <c r="K921" s="3" t="s">
        <v>76</v>
      </c>
    </row>
    <row r="922" spans="1:11" ht="42" customHeight="1">
      <c r="A922" s="2" t="s">
        <v>2720</v>
      </c>
      <c r="B922" s="2" t="s">
        <v>2721</v>
      </c>
      <c r="C922" s="2" t="s">
        <v>26</v>
      </c>
      <c r="D922" s="2" t="s">
        <v>58</v>
      </c>
      <c r="E922" s="4">
        <v>-32651</v>
      </c>
      <c r="F922" s="3" t="s">
        <v>59</v>
      </c>
      <c r="G922" s="3" t="s">
        <v>60</v>
      </c>
      <c r="H922" s="2" t="s">
        <v>74</v>
      </c>
      <c r="I922" s="2" t="s">
        <v>2723</v>
      </c>
      <c r="J922" s="3" t="str">
        <f>HYPERLINK("https://www.boe.es/gazeta/dias/1810/08/08/pdfs/GEI-1810-53E.pdf#page=3","Abrir facsímil")</f>
        <v>Abrir facsímil</v>
      </c>
      <c r="K922" s="3" t="s">
        <v>76</v>
      </c>
    </row>
    <row r="923" spans="1:11" ht="42" customHeight="1">
      <c r="A923" s="2" t="s">
        <v>2724</v>
      </c>
      <c r="B923" s="2" t="s">
        <v>2725</v>
      </c>
      <c r="C923" s="2" t="s">
        <v>88</v>
      </c>
      <c r="D923" s="2" t="s">
        <v>117</v>
      </c>
      <c r="E923" s="4">
        <v>-32631</v>
      </c>
      <c r="F923" s="3" t="s">
        <v>497</v>
      </c>
      <c r="G923" s="3" t="s">
        <v>498</v>
      </c>
      <c r="H923" s="2" t="s">
        <v>74</v>
      </c>
      <c r="I923" s="2" t="s">
        <v>2726</v>
      </c>
      <c r="J923" s="3" t="str">
        <f>HYPERLINK("https://www.boe.es/gazeta/dias/1810/08/28/pdfs/GMD-1810-240.pdf#page=2","Abrir facsímil")</f>
        <v>Abrir facsímil</v>
      </c>
      <c r="K923" s="3" t="s">
        <v>76</v>
      </c>
    </row>
    <row r="924" spans="1:11" ht="42" customHeight="1">
      <c r="A924" s="2" t="s">
        <v>2727</v>
      </c>
      <c r="B924" s="2" t="s">
        <v>2728</v>
      </c>
      <c r="C924" s="2" t="s">
        <v>88</v>
      </c>
      <c r="D924" s="2" t="s">
        <v>27</v>
      </c>
      <c r="E924" s="4">
        <v>-32698</v>
      </c>
      <c r="F924" s="3" t="s">
        <v>2705</v>
      </c>
      <c r="G924" s="3" t="s">
        <v>2706</v>
      </c>
      <c r="H924" s="2" t="s">
        <v>74</v>
      </c>
      <c r="I924" s="2" t="s">
        <v>2729</v>
      </c>
      <c r="J924" s="3" t="str">
        <f>HYPERLINK("https://www.boe.es/gazeta/dias/1810/06/22/pdfs/GEI-1810-38.pdf#page=8","Abrir facsímil")</f>
        <v>Abrir facsímil</v>
      </c>
      <c r="K924" s="3" t="s">
        <v>76</v>
      </c>
    </row>
    <row r="925" spans="1:11" ht="42" customHeight="1">
      <c r="A925" s="2" t="s">
        <v>2730</v>
      </c>
      <c r="B925" s="2" t="s">
        <v>2730</v>
      </c>
      <c r="C925" s="2" t="s">
        <v>88</v>
      </c>
      <c r="D925" s="2" t="s">
        <v>117</v>
      </c>
      <c r="E925" s="4">
        <v>-32512</v>
      </c>
      <c r="F925" s="3" t="s">
        <v>2731</v>
      </c>
      <c r="G925" s="3" t="s">
        <v>2732</v>
      </c>
      <c r="H925" s="2" t="s">
        <v>74</v>
      </c>
      <c r="I925" s="2" t="s">
        <v>2733</v>
      </c>
      <c r="J925" s="3" t="str">
        <f>HYPERLINK("https://www.boe.es/gazeta/dias/1810/12/25/pdfs/GMD-1810-359.pdf#page=1","Abrir facsímil")</f>
        <v>Abrir facsímil</v>
      </c>
      <c r="K925" s="3" t="s">
        <v>76</v>
      </c>
    </row>
    <row r="926" spans="1:11" ht="42" customHeight="1">
      <c r="A926" s="2" t="s">
        <v>2734</v>
      </c>
      <c r="B926" s="2" t="s">
        <v>2735</v>
      </c>
      <c r="C926" s="2" t="s">
        <v>26</v>
      </c>
      <c r="D926" s="2" t="s">
        <v>39</v>
      </c>
      <c r="E926" s="4">
        <v>-32669</v>
      </c>
      <c r="F926" s="3" t="s">
        <v>1110</v>
      </c>
      <c r="G926" s="3" t="s">
        <v>29</v>
      </c>
      <c r="H926" s="2" t="s">
        <v>74</v>
      </c>
      <c r="I926" s="2" t="s">
        <v>2736</v>
      </c>
      <c r="J926" s="3" t="str">
        <f>HYPERLINK("https://www.boe.es/gazeta/dias/1810/07/21/pdfs/GMD-C-1810-202.pdf#page=4","Abrir facsímil")</f>
        <v>Abrir facsímil</v>
      </c>
      <c r="K926" s="3" t="s">
        <v>76</v>
      </c>
    </row>
    <row r="927" spans="1:11" ht="42" customHeight="1">
      <c r="A927" s="2" t="s">
        <v>2737</v>
      </c>
      <c r="B927" s="2" t="s">
        <v>2738</v>
      </c>
      <c r="C927" s="2" t="s">
        <v>88</v>
      </c>
      <c r="D927" s="2" t="s">
        <v>117</v>
      </c>
      <c r="E927" s="4">
        <v>-32519</v>
      </c>
      <c r="F927" s="3" t="s">
        <v>2299</v>
      </c>
      <c r="G927" s="3" t="s">
        <v>2739</v>
      </c>
      <c r="H927" s="2" t="s">
        <v>74</v>
      </c>
      <c r="I927" s="2" t="s">
        <v>2740</v>
      </c>
      <c r="J927" s="3" t="str">
        <f>HYPERLINK("https://www.boe.es/gazeta/dias/1810/12/18/pdfs/GEI-1810-109.pdf#page=6","Abrir facsímil")</f>
        <v>Abrir facsímil</v>
      </c>
      <c r="K927" s="3" t="s">
        <v>76</v>
      </c>
    </row>
    <row r="928" spans="1:11" ht="42" customHeight="1">
      <c r="A928" s="2" t="s">
        <v>2741</v>
      </c>
      <c r="B928" s="2" t="s">
        <v>2741</v>
      </c>
      <c r="C928" s="2" t="s">
        <v>88</v>
      </c>
      <c r="D928" s="2" t="s">
        <v>117</v>
      </c>
      <c r="E928" s="4">
        <v>-32744</v>
      </c>
      <c r="F928" s="3" t="s">
        <v>1570</v>
      </c>
      <c r="G928" s="3" t="s">
        <v>29</v>
      </c>
      <c r="H928" s="2" t="s">
        <v>74</v>
      </c>
      <c r="I928" s="2" t="s">
        <v>2742</v>
      </c>
      <c r="J928" s="3" t="str">
        <f>HYPERLINK("https://www.boe.es/gazeta/dias/1810/05/07/pdfs/GMD-1810-127.pdf#page=3","Abrir facsímil")</f>
        <v>Abrir facsímil</v>
      </c>
      <c r="K928" s="3" t="s">
        <v>76</v>
      </c>
    </row>
    <row r="929" spans="1:11" ht="42" customHeight="1">
      <c r="A929" s="2" t="s">
        <v>2743</v>
      </c>
      <c r="B929" s="2" t="s">
        <v>2743</v>
      </c>
      <c r="C929" s="2" t="s">
        <v>88</v>
      </c>
      <c r="D929" s="2" t="s">
        <v>117</v>
      </c>
      <c r="E929" s="4">
        <v>-32764</v>
      </c>
      <c r="F929" s="3" t="s">
        <v>718</v>
      </c>
      <c r="G929" s="3" t="s">
        <v>213</v>
      </c>
      <c r="H929" s="2" t="s">
        <v>74</v>
      </c>
      <c r="I929" s="2" t="s">
        <v>2744</v>
      </c>
      <c r="J929" s="3" t="str">
        <f>HYPERLINK("https://www.boe.es/gazeta/dias/1810/04/17/pdfs/GMD-1810-107.pdf#page=1","Abrir facsímil")</f>
        <v>Abrir facsímil</v>
      </c>
      <c r="K929" s="3" t="s">
        <v>76</v>
      </c>
    </row>
    <row r="930" spans="1:11" ht="42" customHeight="1">
      <c r="A930" s="2" t="s">
        <v>2745</v>
      </c>
      <c r="B930" s="2" t="s">
        <v>2745</v>
      </c>
      <c r="C930" s="2" t="s">
        <v>88</v>
      </c>
      <c r="D930" s="2" t="s">
        <v>220</v>
      </c>
      <c r="E930" s="4">
        <v>-32834</v>
      </c>
      <c r="F930" s="3" t="s">
        <v>2746</v>
      </c>
      <c r="G930" s="3" t="s">
        <v>849</v>
      </c>
      <c r="H930" s="2" t="s">
        <v>74</v>
      </c>
      <c r="I930" s="2" t="s">
        <v>2747</v>
      </c>
      <c r="J930" s="3" t="str">
        <f>HYPERLINK("https://www.boe.es/gazeta/dias/1810/02/06/pdfs/GMD-1810-37.pdf#page=1","Abrir facsímil")</f>
        <v>Abrir facsímil</v>
      </c>
      <c r="K930" s="3" t="s">
        <v>76</v>
      </c>
    </row>
    <row r="931" spans="1:11" ht="42" customHeight="1">
      <c r="A931" s="2" t="s">
        <v>2745</v>
      </c>
      <c r="B931" s="2" t="s">
        <v>2745</v>
      </c>
      <c r="C931" s="2" t="s">
        <v>88</v>
      </c>
      <c r="D931" s="2" t="s">
        <v>220</v>
      </c>
      <c r="E931" s="4">
        <v>-32812</v>
      </c>
      <c r="F931" s="3" t="s">
        <v>627</v>
      </c>
      <c r="G931" s="3" t="s">
        <v>505</v>
      </c>
      <c r="H931" s="2" t="s">
        <v>74</v>
      </c>
      <c r="I931" s="2" t="s">
        <v>2748</v>
      </c>
      <c r="J931" s="3" t="str">
        <f>HYPERLINK("https://www.boe.es/gazeta/dias/1810/02/28/pdfs/GMD-1810-59.pdf#page=1","Abrir facsímil")</f>
        <v>Abrir facsímil</v>
      </c>
      <c r="K931" s="3" t="s">
        <v>76</v>
      </c>
    </row>
    <row r="932" spans="1:11" ht="42" customHeight="1">
      <c r="A932" s="2" t="s">
        <v>2749</v>
      </c>
      <c r="B932" s="2" t="s">
        <v>2750</v>
      </c>
      <c r="C932" s="2" t="s">
        <v>26</v>
      </c>
      <c r="D932" s="2" t="s">
        <v>39</v>
      </c>
      <c r="E932" s="4">
        <v>-32708</v>
      </c>
      <c r="F932" s="3" t="s">
        <v>1601</v>
      </c>
      <c r="G932" s="3" t="s">
        <v>2172</v>
      </c>
      <c r="H932" s="2" t="s">
        <v>74</v>
      </c>
      <c r="I932" s="2" t="s">
        <v>2751</v>
      </c>
      <c r="J932" s="3" t="str">
        <f>HYPERLINK("https://www.boe.es/gazeta/dias/1810/06/12/pdfs/GEI-D-1810-35.pdf#page=3","Abrir facsímil")</f>
        <v>Abrir facsímil</v>
      </c>
      <c r="K932" s="3" t="s">
        <v>76</v>
      </c>
    </row>
    <row r="933" spans="1:11" ht="42" customHeight="1">
      <c r="A933" s="2" t="s">
        <v>2752</v>
      </c>
      <c r="B933" s="2" t="s">
        <v>2753</v>
      </c>
      <c r="C933" s="2" t="s">
        <v>88</v>
      </c>
      <c r="D933" s="2" t="s">
        <v>117</v>
      </c>
      <c r="E933" s="4">
        <v>-32652</v>
      </c>
      <c r="F933" s="3" t="s">
        <v>731</v>
      </c>
      <c r="G933" s="3" t="s">
        <v>735</v>
      </c>
      <c r="H933" s="2" t="s">
        <v>74</v>
      </c>
      <c r="I933" s="2" t="s">
        <v>2754</v>
      </c>
      <c r="J933" s="3" t="str">
        <f>HYPERLINK("https://www.boe.es/gazeta/dias/1810/08/07/pdfs/GMD-1810-219.pdf#page=4","Abrir facsímil")</f>
        <v>Abrir facsímil</v>
      </c>
      <c r="K933" s="3" t="s">
        <v>76</v>
      </c>
    </row>
    <row r="934" spans="1:11" ht="42" customHeight="1">
      <c r="A934" s="2" t="s">
        <v>2755</v>
      </c>
      <c r="B934" s="2" t="s">
        <v>2755</v>
      </c>
      <c r="C934" s="2" t="s">
        <v>88</v>
      </c>
      <c r="D934" s="2" t="s">
        <v>27</v>
      </c>
      <c r="E934" s="4">
        <v>-32696</v>
      </c>
      <c r="F934" s="3" t="s">
        <v>1863</v>
      </c>
      <c r="G934" s="3" t="s">
        <v>70</v>
      </c>
      <c r="H934" s="2" t="s">
        <v>74</v>
      </c>
      <c r="I934" s="2" t="s">
        <v>2756</v>
      </c>
      <c r="J934" s="3" t="str">
        <f>HYPERLINK("https://www.boe.es/gazeta/dias/1810/06/24/pdfs/GMD-1810-175.pdf#page=3","Abrir facsímil")</f>
        <v>Abrir facsímil</v>
      </c>
      <c r="K934" s="3" t="s">
        <v>76</v>
      </c>
    </row>
    <row r="935" spans="1:11" ht="42" customHeight="1">
      <c r="A935" s="2" t="s">
        <v>2757</v>
      </c>
      <c r="B935" s="2" t="s">
        <v>2758</v>
      </c>
      <c r="C935" s="2" t="s">
        <v>88</v>
      </c>
      <c r="D935" s="2" t="s">
        <v>27</v>
      </c>
      <c r="E935" s="4">
        <v>-32763</v>
      </c>
      <c r="F935" s="3" t="s">
        <v>1146</v>
      </c>
      <c r="G935" s="3" t="s">
        <v>20</v>
      </c>
      <c r="H935" s="2" t="s">
        <v>74</v>
      </c>
      <c r="I935" s="2" t="s">
        <v>2759</v>
      </c>
      <c r="J935" s="3" t="str">
        <f>HYPERLINK("https://www.boe.es/gazeta/dias/1810/04/18/pdfs/GMD-1810-108.pdf#page=4","Abrir facsímil")</f>
        <v>Abrir facsímil</v>
      </c>
      <c r="K935" s="3" t="s">
        <v>76</v>
      </c>
    </row>
    <row r="936" spans="1:11" ht="42" customHeight="1">
      <c r="A936" s="2" t="s">
        <v>2760</v>
      </c>
      <c r="B936" s="2" t="s">
        <v>2761</v>
      </c>
      <c r="C936" s="2" t="s">
        <v>111</v>
      </c>
      <c r="D936" s="2" t="s">
        <v>27</v>
      </c>
      <c r="E936" s="4">
        <v>-32647</v>
      </c>
      <c r="F936" s="3" t="s">
        <v>118</v>
      </c>
      <c r="G936" s="3" t="s">
        <v>119</v>
      </c>
      <c r="H936" s="2" t="s">
        <v>74</v>
      </c>
      <c r="I936" s="2" t="s">
        <v>2762</v>
      </c>
      <c r="J936" s="3" t="str">
        <f>HYPERLINK("https://www.boe.es/gazeta/dias/1810/08/12/pdfs/GMD-1810-224.pdf#page=3","Abrir facsímil")</f>
        <v>Abrir facsímil</v>
      </c>
      <c r="K936" s="3" t="s">
        <v>76</v>
      </c>
    </row>
    <row r="937" spans="1:11" ht="42" customHeight="1">
      <c r="A937" s="2" t="s">
        <v>2763</v>
      </c>
      <c r="B937" s="2" t="s">
        <v>2764</v>
      </c>
      <c r="C937" s="2" t="s">
        <v>26</v>
      </c>
      <c r="D937" s="2" t="s">
        <v>27</v>
      </c>
      <c r="E937" s="4">
        <v>-32537</v>
      </c>
      <c r="F937" s="3" t="s">
        <v>1091</v>
      </c>
      <c r="G937" s="3" t="s">
        <v>20</v>
      </c>
      <c r="H937" s="2" t="s">
        <v>74</v>
      </c>
      <c r="I937" s="2" t="s">
        <v>2765</v>
      </c>
      <c r="J937" s="3" t="str">
        <f>HYPERLINK("https://www.boe.es/gazeta/dias/1810/11/30/pdfs/GMD-1810-334.pdf#page=4","Abrir facsímil")</f>
        <v>Abrir facsímil</v>
      </c>
      <c r="K937" s="3" t="s">
        <v>76</v>
      </c>
    </row>
    <row r="938" spans="1:11" ht="42" customHeight="1">
      <c r="A938" s="2" t="s">
        <v>2766</v>
      </c>
      <c r="B938" s="2" t="s">
        <v>2767</v>
      </c>
      <c r="C938" s="2" t="s">
        <v>88</v>
      </c>
      <c r="D938" s="2" t="s">
        <v>117</v>
      </c>
      <c r="E938" s="4">
        <v>-32658</v>
      </c>
      <c r="F938" s="3" t="s">
        <v>1224</v>
      </c>
      <c r="G938" s="3" t="s">
        <v>140</v>
      </c>
      <c r="H938" s="2" t="s">
        <v>74</v>
      </c>
      <c r="I938" s="2" t="s">
        <v>2768</v>
      </c>
      <c r="J938" s="3" t="str">
        <f>HYPERLINK("https://www.boe.es/gazeta/dias/1810/08/01/pdfs/GMD-1810-213.pdf#page=4","Abrir facsímil")</f>
        <v>Abrir facsímil</v>
      </c>
      <c r="K938" s="3" t="s">
        <v>76</v>
      </c>
    </row>
    <row r="939" spans="1:11" ht="42" customHeight="1">
      <c r="A939" s="2" t="s">
        <v>2769</v>
      </c>
      <c r="B939" s="2" t="s">
        <v>2770</v>
      </c>
      <c r="C939" s="2" t="s">
        <v>111</v>
      </c>
      <c r="D939" s="2" t="s">
        <v>27</v>
      </c>
      <c r="E939" s="4">
        <v>-32617</v>
      </c>
      <c r="F939" s="3" t="s">
        <v>1459</v>
      </c>
      <c r="G939" s="3" t="s">
        <v>2771</v>
      </c>
      <c r="H939" s="2" t="s">
        <v>74</v>
      </c>
      <c r="I939" s="2" t="s">
        <v>2772</v>
      </c>
      <c r="J939" s="3" t="str">
        <f>HYPERLINK("https://www.boe.es/gazeta/dias/1810/09/11/pdfs/GEI-1810-66.pdf#page=3","Abrir facsímil")</f>
        <v>Abrir facsímil</v>
      </c>
      <c r="K939" s="3" t="s">
        <v>76</v>
      </c>
    </row>
    <row r="940" spans="1:11" ht="42" customHeight="1">
      <c r="A940" s="2" t="s">
        <v>2773</v>
      </c>
      <c r="B940" s="2" t="s">
        <v>2774</v>
      </c>
      <c r="C940" s="2" t="s">
        <v>26</v>
      </c>
      <c r="D940" s="2" t="s">
        <v>39</v>
      </c>
      <c r="E940" s="4">
        <v>-32701</v>
      </c>
      <c r="F940" s="3" t="s">
        <v>40</v>
      </c>
      <c r="G940" s="3" t="s">
        <v>315</v>
      </c>
      <c r="H940" s="2" t="s">
        <v>74</v>
      </c>
      <c r="I940" s="2" t="s">
        <v>2775</v>
      </c>
      <c r="J940" s="3" t="str">
        <f>HYPERLINK("https://www.boe.es/gazeta/dias/1810/06/19/pdfs/GMD-C-1810-170.pdf#page=2","Abrir facsímil")</f>
        <v>Abrir facsímil</v>
      </c>
      <c r="K940" s="3" t="s">
        <v>76</v>
      </c>
    </row>
    <row r="941" spans="1:11" ht="42" customHeight="1">
      <c r="A941" s="2" t="s">
        <v>2776</v>
      </c>
      <c r="B941" s="2" t="s">
        <v>2777</v>
      </c>
      <c r="C941" s="2" t="s">
        <v>88</v>
      </c>
      <c r="D941" s="2" t="s">
        <v>27</v>
      </c>
      <c r="E941" s="4">
        <v>-32788</v>
      </c>
      <c r="F941" s="3" t="s">
        <v>1254</v>
      </c>
      <c r="G941" s="3" t="s">
        <v>90</v>
      </c>
      <c r="H941" s="2" t="s">
        <v>74</v>
      </c>
      <c r="I941" s="2" t="s">
        <v>2778</v>
      </c>
      <c r="J941" s="3" t="str">
        <f>HYPERLINK("https://www.boe.es/gazeta/dias/1810/03/24/pdfs/GMD-1810-83.pdf#page=4","Abrir facsímil")</f>
        <v>Abrir facsímil</v>
      </c>
      <c r="K941" s="3" t="s">
        <v>76</v>
      </c>
    </row>
    <row r="942" spans="1:11" ht="42" customHeight="1">
      <c r="A942" s="2" t="s">
        <v>2779</v>
      </c>
      <c r="B942" s="2" t="s">
        <v>2779</v>
      </c>
      <c r="C942" s="2" t="s">
        <v>88</v>
      </c>
      <c r="D942" s="2" t="s">
        <v>117</v>
      </c>
      <c r="E942" s="4">
        <v>-32800</v>
      </c>
      <c r="F942" s="3" t="s">
        <v>388</v>
      </c>
      <c r="G942" s="3" t="s">
        <v>119</v>
      </c>
      <c r="H942" s="2" t="s">
        <v>74</v>
      </c>
      <c r="I942" s="2" t="s">
        <v>2780</v>
      </c>
      <c r="J942" s="3" t="str">
        <f>HYPERLINK("https://www.boe.es/gazeta/dias/1810/03/12/pdfs/GMD-1810-71.pdf#page=3","Abrir facsímil")</f>
        <v>Abrir facsímil</v>
      </c>
      <c r="K942" s="3" t="s">
        <v>76</v>
      </c>
    </row>
    <row r="943" spans="1:11" ht="42" customHeight="1">
      <c r="A943" s="2" t="s">
        <v>2781</v>
      </c>
      <c r="B943" s="2" t="s">
        <v>2781</v>
      </c>
      <c r="C943" s="2" t="s">
        <v>88</v>
      </c>
      <c r="D943" s="2" t="s">
        <v>27</v>
      </c>
      <c r="E943" s="4">
        <v>-32592</v>
      </c>
      <c r="F943" s="3" t="s">
        <v>2782</v>
      </c>
      <c r="G943" s="3" t="s">
        <v>2783</v>
      </c>
      <c r="H943" s="2" t="s">
        <v>74</v>
      </c>
      <c r="I943" s="2" t="s">
        <v>2784</v>
      </c>
      <c r="J943" s="3" t="str">
        <f>HYPERLINK("https://www.boe.es/gazeta/dias/1810/10/06/pdfs/GMD-1810-279.pdf#page=3","Abrir facsímil")</f>
        <v>Abrir facsímil</v>
      </c>
      <c r="K943" s="3" t="s">
        <v>76</v>
      </c>
    </row>
    <row r="944" spans="1:11" ht="42" customHeight="1">
      <c r="A944" s="2" t="s">
        <v>2785</v>
      </c>
      <c r="B944" s="2" t="s">
        <v>2786</v>
      </c>
      <c r="C944" s="2" t="s">
        <v>88</v>
      </c>
      <c r="D944" s="2" t="s">
        <v>117</v>
      </c>
      <c r="E944" s="4">
        <v>-32827</v>
      </c>
      <c r="F944" s="3" t="s">
        <v>290</v>
      </c>
      <c r="G944" s="3" t="s">
        <v>291</v>
      </c>
      <c r="H944" s="2" t="s">
        <v>74</v>
      </c>
      <c r="I944" s="2" t="s">
        <v>2787</v>
      </c>
      <c r="J944" s="3" t="str">
        <f>HYPERLINK("https://www.boe.es/gazeta/dias/1810/02/13/pdfs/GMD-1810-44.pdf#page=4","Abrir facsímil")</f>
        <v>Abrir facsímil</v>
      </c>
      <c r="K944" s="3" t="s">
        <v>76</v>
      </c>
    </row>
    <row r="945" spans="1:11" ht="42" customHeight="1">
      <c r="A945" s="2" t="s">
        <v>2788</v>
      </c>
      <c r="B945" s="2" t="s">
        <v>2788</v>
      </c>
      <c r="C945" s="2" t="s">
        <v>88</v>
      </c>
      <c r="D945" s="2" t="s">
        <v>27</v>
      </c>
      <c r="E945" s="4">
        <v>-32753</v>
      </c>
      <c r="F945" s="3" t="s">
        <v>2789</v>
      </c>
      <c r="G945" s="3" t="s">
        <v>658</v>
      </c>
      <c r="H945" s="2" t="s">
        <v>74</v>
      </c>
      <c r="I945" s="2" t="s">
        <v>2790</v>
      </c>
      <c r="J945" s="3" t="str">
        <f>HYPERLINK("https://www.boe.es/gazeta/dias/1810/04/28/pdfs/GMD-1810-118.pdf#page=4","Abrir facsímil")</f>
        <v>Abrir facsímil</v>
      </c>
      <c r="K945" s="3" t="s">
        <v>76</v>
      </c>
    </row>
    <row r="946" spans="1:11" ht="42" customHeight="1">
      <c r="A946" s="2" t="s">
        <v>2791</v>
      </c>
      <c r="B946" s="2" t="s">
        <v>2792</v>
      </c>
      <c r="C946" s="2" t="s">
        <v>111</v>
      </c>
      <c r="D946" s="2" t="s">
        <v>27</v>
      </c>
      <c r="E946" s="4">
        <v>-32552</v>
      </c>
      <c r="F946" s="3" t="s">
        <v>234</v>
      </c>
      <c r="G946" s="3" t="s">
        <v>2793</v>
      </c>
      <c r="H946" s="2" t="s">
        <v>74</v>
      </c>
      <c r="I946" s="2" t="s">
        <v>2794</v>
      </c>
      <c r="J946" s="3" t="str">
        <f>HYPERLINK("https://www.boe.es/gazeta/dias/1810/11/15/pdfs/GMD-1810-319.pdf#page=4","Abrir facsímil")</f>
        <v>Abrir facsímil</v>
      </c>
      <c r="K946" s="3" t="s">
        <v>76</v>
      </c>
    </row>
    <row r="947" spans="1:11" ht="42" customHeight="1">
      <c r="A947" s="2" t="s">
        <v>2795</v>
      </c>
      <c r="B947" s="2" t="s">
        <v>2796</v>
      </c>
      <c r="C947" s="2" t="s">
        <v>33</v>
      </c>
      <c r="D947" s="2" t="s">
        <v>58</v>
      </c>
      <c r="E947" s="4">
        <v>-32734</v>
      </c>
      <c r="F947" s="3" t="s">
        <v>2797</v>
      </c>
      <c r="G947" s="3" t="s">
        <v>99</v>
      </c>
      <c r="H947" s="2" t="s">
        <v>74</v>
      </c>
      <c r="I947" s="2" t="s">
        <v>2798</v>
      </c>
      <c r="J947" s="3" t="str">
        <f>HYPERLINK("https://www.boe.es/gazeta/dias/1810/05/17/pdfs/GEI-1810-26E.pdf#page=3","Abrir facsímil")</f>
        <v>Abrir facsímil</v>
      </c>
      <c r="K947" s="3" t="s">
        <v>76</v>
      </c>
    </row>
    <row r="948" spans="1:11" ht="42" customHeight="1">
      <c r="A948" s="2" t="s">
        <v>2799</v>
      </c>
      <c r="B948" s="2" t="s">
        <v>2800</v>
      </c>
      <c r="C948" s="2" t="s">
        <v>26</v>
      </c>
      <c r="D948" s="2" t="s">
        <v>18</v>
      </c>
      <c r="E948" s="4">
        <v>-32809</v>
      </c>
      <c r="F948" s="3" t="s">
        <v>1873</v>
      </c>
      <c r="G948" s="3" t="s">
        <v>735</v>
      </c>
      <c r="H948" s="2" t="s">
        <v>74</v>
      </c>
      <c r="I948" s="2" t="s">
        <v>2801</v>
      </c>
      <c r="J948" s="3" t="str">
        <f>HYPERLINK("https://www.boe.es/gazeta/dias/1810/03/03/pdfs/GMD-1810-62.pdf#page=4","Abrir facsímil")</f>
        <v>Abrir facsímil</v>
      </c>
      <c r="K948" s="3" t="s">
        <v>76</v>
      </c>
    </row>
    <row r="949" spans="1:11" ht="42" customHeight="1">
      <c r="A949" s="2" t="s">
        <v>2802</v>
      </c>
      <c r="B949" s="2" t="s">
        <v>2802</v>
      </c>
      <c r="C949" s="2" t="s">
        <v>88</v>
      </c>
      <c r="D949" s="2" t="s">
        <v>27</v>
      </c>
      <c r="E949" s="4">
        <v>-32849</v>
      </c>
      <c r="F949" s="3" t="s">
        <v>2803</v>
      </c>
      <c r="G949" s="3" t="s">
        <v>465</v>
      </c>
      <c r="H949" s="2" t="s">
        <v>74</v>
      </c>
      <c r="I949" s="2" t="s">
        <v>2804</v>
      </c>
      <c r="J949" s="3" t="str">
        <f>HYPERLINK("https://www.boe.es/gazeta/dias/1810/01/22/pdfs/GMD-1810-22.pdf#page=2","Abrir facsímil")</f>
        <v>Abrir facsímil</v>
      </c>
      <c r="K949" s="3" t="s">
        <v>76</v>
      </c>
    </row>
    <row r="950" spans="1:11" ht="42" customHeight="1">
      <c r="A950" s="2" t="s">
        <v>2802</v>
      </c>
      <c r="B950" s="2" t="s">
        <v>2802</v>
      </c>
      <c r="C950" s="2" t="s">
        <v>88</v>
      </c>
      <c r="D950" s="2" t="s">
        <v>117</v>
      </c>
      <c r="E950" s="4">
        <v>-32815</v>
      </c>
      <c r="F950" s="3" t="s">
        <v>1201</v>
      </c>
      <c r="G950" s="3" t="s">
        <v>70</v>
      </c>
      <c r="H950" s="2" t="s">
        <v>74</v>
      </c>
      <c r="I950" s="2" t="s">
        <v>2805</v>
      </c>
      <c r="J950" s="3" t="str">
        <f>HYPERLINK("https://www.boe.es/gazeta/dias/1810/02/25/pdfs/GMD-1810-56.pdf#page=3","Abrir facsímil")</f>
        <v>Abrir facsímil</v>
      </c>
      <c r="K950" s="3" t="s">
        <v>76</v>
      </c>
    </row>
    <row r="951" spans="1:11" ht="42" customHeight="1">
      <c r="A951" s="2" t="s">
        <v>2802</v>
      </c>
      <c r="B951" s="2" t="s">
        <v>2802</v>
      </c>
      <c r="C951" s="2" t="s">
        <v>88</v>
      </c>
      <c r="D951" s="2" t="s">
        <v>27</v>
      </c>
      <c r="E951" s="4">
        <v>-32800</v>
      </c>
      <c r="F951" s="3" t="s">
        <v>388</v>
      </c>
      <c r="G951" s="3" t="s">
        <v>119</v>
      </c>
      <c r="H951" s="2" t="s">
        <v>74</v>
      </c>
      <c r="I951" s="2" t="s">
        <v>2806</v>
      </c>
      <c r="J951" s="3" t="str">
        <f>HYPERLINK("https://www.boe.es/gazeta/dias/1810/03/12/pdfs/GMD-1810-71.pdf#page=3","Abrir facsímil")</f>
        <v>Abrir facsímil</v>
      </c>
      <c r="K951" s="3" t="s">
        <v>76</v>
      </c>
    </row>
    <row r="952" spans="1:11" ht="42" customHeight="1">
      <c r="A952" s="2" t="s">
        <v>2802</v>
      </c>
      <c r="B952" s="2" t="s">
        <v>2802</v>
      </c>
      <c r="C952" s="2" t="s">
        <v>88</v>
      </c>
      <c r="D952" s="2" t="s">
        <v>27</v>
      </c>
      <c r="E952" s="4">
        <v>-32545</v>
      </c>
      <c r="F952" s="3" t="s">
        <v>2807</v>
      </c>
      <c r="G952" s="3" t="s">
        <v>70</v>
      </c>
      <c r="H952" s="2" t="s">
        <v>74</v>
      </c>
      <c r="I952" s="2" t="s">
        <v>2808</v>
      </c>
      <c r="J952" s="3" t="str">
        <f>HYPERLINK("https://www.boe.es/gazeta/dias/1810/11/22/pdfs/GMD-1810-326.pdf#page=3","Abrir facsímil")</f>
        <v>Abrir facsímil</v>
      </c>
      <c r="K952" s="3" t="s">
        <v>76</v>
      </c>
    </row>
    <row r="953" spans="1:11" ht="42" customHeight="1">
      <c r="A953" s="2" t="s">
        <v>2809</v>
      </c>
      <c r="B953" s="2" t="s">
        <v>2809</v>
      </c>
      <c r="C953" s="2" t="s">
        <v>26</v>
      </c>
      <c r="D953" s="2" t="s">
        <v>27</v>
      </c>
      <c r="E953" s="4">
        <v>-32753</v>
      </c>
      <c r="F953" s="3" t="s">
        <v>2789</v>
      </c>
      <c r="G953" s="3" t="s">
        <v>29</v>
      </c>
      <c r="H953" s="2" t="s">
        <v>74</v>
      </c>
      <c r="I953" s="2" t="s">
        <v>2810</v>
      </c>
      <c r="J953" s="3" t="str">
        <f>HYPERLINK("https://www.boe.es/gazeta/dias/1810/04/28/pdfs/GMD-1810-118.pdf#page=3","Abrir facsímil")</f>
        <v>Abrir facsímil</v>
      </c>
      <c r="K953" s="3" t="s">
        <v>76</v>
      </c>
    </row>
    <row r="954" spans="1:11" ht="42" customHeight="1">
      <c r="A954" s="2" t="s">
        <v>2809</v>
      </c>
      <c r="B954" s="2" t="s">
        <v>2809</v>
      </c>
      <c r="C954" s="2" t="s">
        <v>88</v>
      </c>
      <c r="D954" s="2" t="s">
        <v>117</v>
      </c>
      <c r="E954" s="4">
        <v>-32753</v>
      </c>
      <c r="F954" s="3" t="s">
        <v>2789</v>
      </c>
      <c r="G954" s="3" t="s">
        <v>658</v>
      </c>
      <c r="H954" s="2" t="s">
        <v>74</v>
      </c>
      <c r="I954" s="2" t="s">
        <v>2811</v>
      </c>
      <c r="J954" s="3" t="str">
        <f>HYPERLINK("https://www.boe.es/gazeta/dias/1810/04/28/pdfs/GMD-1810-118.pdf#page=4","Abrir facsímil")</f>
        <v>Abrir facsímil</v>
      </c>
      <c r="K954" s="3" t="s">
        <v>76</v>
      </c>
    </row>
    <row r="955" spans="1:11" ht="42" customHeight="1">
      <c r="A955" s="2" t="s">
        <v>2809</v>
      </c>
      <c r="B955" s="2" t="s">
        <v>2809</v>
      </c>
      <c r="C955" s="2" t="s">
        <v>195</v>
      </c>
      <c r="D955" s="2" t="s">
        <v>27</v>
      </c>
      <c r="E955" s="4">
        <v>-32749</v>
      </c>
      <c r="F955" s="3" t="s">
        <v>2812</v>
      </c>
      <c r="G955" s="3" t="s">
        <v>20</v>
      </c>
      <c r="H955" s="2" t="s">
        <v>74</v>
      </c>
      <c r="I955" s="2" t="s">
        <v>2813</v>
      </c>
      <c r="J955" s="3" t="str">
        <f>HYPERLINK("https://www.boe.es/gazeta/dias/1810/05/02/pdfs/GMD-1810-122.pdf#page=4","Abrir facsímil")</f>
        <v>Abrir facsímil</v>
      </c>
      <c r="K955" s="3" t="s">
        <v>76</v>
      </c>
    </row>
    <row r="956" spans="1:11" ht="42" customHeight="1">
      <c r="A956" s="2" t="s">
        <v>2814</v>
      </c>
      <c r="B956" s="2" t="s">
        <v>2815</v>
      </c>
      <c r="C956" s="2" t="s">
        <v>26</v>
      </c>
      <c r="D956" s="2" t="s">
        <v>27</v>
      </c>
      <c r="E956" s="4">
        <v>-32543</v>
      </c>
      <c r="F956" s="3" t="s">
        <v>69</v>
      </c>
      <c r="G956" s="3" t="s">
        <v>70</v>
      </c>
      <c r="H956" s="2" t="s">
        <v>74</v>
      </c>
      <c r="I956" s="2" t="s">
        <v>2816</v>
      </c>
      <c r="J956" s="3" t="str">
        <f>HYPERLINK("https://www.boe.es/gazeta/dias/1810/11/24/pdfs/GEI-1810-99.pdf#page=8","Abrir facsímil")</f>
        <v>Abrir facsímil</v>
      </c>
      <c r="K956" s="3" t="s">
        <v>76</v>
      </c>
    </row>
    <row r="957" spans="1:11" ht="42" customHeight="1">
      <c r="A957" s="2" t="s">
        <v>2817</v>
      </c>
      <c r="B957" s="2" t="s">
        <v>2817</v>
      </c>
      <c r="C957" s="2" t="s">
        <v>88</v>
      </c>
      <c r="D957" s="2" t="s">
        <v>117</v>
      </c>
      <c r="E957" s="4">
        <v>-32766</v>
      </c>
      <c r="F957" s="3" t="s">
        <v>492</v>
      </c>
      <c r="G957" s="3" t="s">
        <v>493</v>
      </c>
      <c r="H957" s="2" t="s">
        <v>74</v>
      </c>
      <c r="I957" s="2" t="s">
        <v>2818</v>
      </c>
      <c r="J957" s="3" t="str">
        <f>HYPERLINK("https://www.boe.es/gazeta/dias/1810/04/15/pdfs/GMD-1810-105.pdf#page=4","Abrir facsímil")</f>
        <v>Abrir facsímil</v>
      </c>
      <c r="K957" s="3" t="s">
        <v>76</v>
      </c>
    </row>
    <row r="958" spans="1:11" ht="42" customHeight="1">
      <c r="A958" s="2" t="s">
        <v>2819</v>
      </c>
      <c r="B958" s="2" t="s">
        <v>2819</v>
      </c>
      <c r="C958" s="2" t="s">
        <v>88</v>
      </c>
      <c r="D958" s="2" t="s">
        <v>27</v>
      </c>
      <c r="E958" s="4">
        <v>-32538</v>
      </c>
      <c r="F958" s="3" t="s">
        <v>1949</v>
      </c>
      <c r="G958" s="3" t="s">
        <v>35</v>
      </c>
      <c r="H958" s="2" t="s">
        <v>74</v>
      </c>
      <c r="I958" s="2" t="s">
        <v>2820</v>
      </c>
      <c r="J958" s="3" t="str">
        <f>HYPERLINK("https://www.boe.es/gazeta/dias/1810/11/29/pdfs/GEI-1810-101.pdf#page=2","Abrir facsímil")</f>
        <v>Abrir facsímil</v>
      </c>
      <c r="K958" s="3" t="s">
        <v>76</v>
      </c>
    </row>
    <row r="959" spans="1:11" ht="42" customHeight="1">
      <c r="A959" s="2" t="s">
        <v>2821</v>
      </c>
      <c r="B959" s="2" t="s">
        <v>2821</v>
      </c>
      <c r="C959" s="2" t="s">
        <v>88</v>
      </c>
      <c r="D959" s="2" t="s">
        <v>27</v>
      </c>
      <c r="E959" s="4">
        <v>-32758</v>
      </c>
      <c r="F959" s="3" t="s">
        <v>2822</v>
      </c>
      <c r="G959" s="3" t="s">
        <v>90</v>
      </c>
      <c r="H959" s="2" t="s">
        <v>74</v>
      </c>
      <c r="I959" s="2" t="s">
        <v>2823</v>
      </c>
      <c r="J959" s="3" t="str">
        <f>HYPERLINK("https://www.boe.es/gazeta/dias/1810/04/23/pdfs/GMD-1810-113.pdf#page=1","Abrir facsímil")</f>
        <v>Abrir facsímil</v>
      </c>
      <c r="K959" s="3" t="s">
        <v>76</v>
      </c>
    </row>
    <row r="960" spans="1:11" ht="42" customHeight="1">
      <c r="A960" s="2" t="s">
        <v>2821</v>
      </c>
      <c r="B960" s="2" t="s">
        <v>2821</v>
      </c>
      <c r="C960" s="2" t="s">
        <v>88</v>
      </c>
      <c r="D960" s="2" t="s">
        <v>117</v>
      </c>
      <c r="E960" s="4">
        <v>-32729</v>
      </c>
      <c r="F960" s="3" t="s">
        <v>174</v>
      </c>
      <c r="G960" s="3" t="s">
        <v>2005</v>
      </c>
      <c r="H960" s="2" t="s">
        <v>74</v>
      </c>
      <c r="I960" s="2" t="s">
        <v>2824</v>
      </c>
      <c r="J960" s="3" t="str">
        <f>HYPERLINK("https://www.boe.es/gazeta/dias/1810/05/22/pdfs/GEI-1810-28.pdf#page=3","Abrir facsímil")</f>
        <v>Abrir facsímil</v>
      </c>
      <c r="K960" s="3" t="s">
        <v>76</v>
      </c>
    </row>
    <row r="961" spans="1:11" ht="42" customHeight="1">
      <c r="A961" s="2" t="s">
        <v>2821</v>
      </c>
      <c r="B961" s="2" t="s">
        <v>2821</v>
      </c>
      <c r="C961" s="2" t="s">
        <v>88</v>
      </c>
      <c r="D961" s="2" t="s">
        <v>27</v>
      </c>
      <c r="E961" s="4">
        <v>-32722</v>
      </c>
      <c r="F961" s="3" t="s">
        <v>856</v>
      </c>
      <c r="G961" s="3" t="s">
        <v>2825</v>
      </c>
      <c r="H961" s="2" t="s">
        <v>74</v>
      </c>
      <c r="I961" s="2" t="s">
        <v>2826</v>
      </c>
      <c r="J961" s="3" t="str">
        <f>HYPERLINK("https://www.boe.es/gazeta/dias/1810/05/29/pdfs/GEI-1810-31.pdf#page=4","Abrir facsímil")</f>
        <v>Abrir facsímil</v>
      </c>
      <c r="K961" s="3" t="s">
        <v>76</v>
      </c>
    </row>
    <row r="962" spans="1:11" ht="42" customHeight="1">
      <c r="A962" s="2" t="s">
        <v>2821</v>
      </c>
      <c r="B962" s="2" t="s">
        <v>2821</v>
      </c>
      <c r="C962" s="2" t="s">
        <v>88</v>
      </c>
      <c r="D962" s="2" t="s">
        <v>27</v>
      </c>
      <c r="E962" s="4">
        <v>-32684</v>
      </c>
      <c r="F962" s="3" t="s">
        <v>1373</v>
      </c>
      <c r="G962" s="3" t="s">
        <v>1821</v>
      </c>
      <c r="H962" s="2" t="s">
        <v>74</v>
      </c>
      <c r="I962" s="2" t="s">
        <v>2827</v>
      </c>
      <c r="J962" s="3" t="str">
        <f>HYPERLINK("https://www.boe.es/gazeta/dias/1810/07/06/pdfs/GEI-1810-42.pdf#page=3","Abrir facsímil")</f>
        <v>Abrir facsímil</v>
      </c>
      <c r="K962" s="3" t="s">
        <v>76</v>
      </c>
    </row>
    <row r="963" spans="1:11" ht="42" customHeight="1">
      <c r="A963" s="2" t="s">
        <v>2821</v>
      </c>
      <c r="B963" s="2" t="s">
        <v>2821</v>
      </c>
      <c r="C963" s="2" t="s">
        <v>88</v>
      </c>
      <c r="D963" s="2" t="s">
        <v>27</v>
      </c>
      <c r="E963" s="4">
        <v>-32677</v>
      </c>
      <c r="F963" s="3" t="s">
        <v>1940</v>
      </c>
      <c r="G963" s="3" t="s">
        <v>2828</v>
      </c>
      <c r="H963" s="2" t="s">
        <v>74</v>
      </c>
      <c r="I963" s="2" t="s">
        <v>2829</v>
      </c>
      <c r="J963" s="3" t="str">
        <f>HYPERLINK("https://www.boe.es/gazeta/dias/1810/07/13/pdfs/GEI-1810-44.pdf#page=3","Abrir facsímil")</f>
        <v>Abrir facsímil</v>
      </c>
      <c r="K963" s="3" t="s">
        <v>76</v>
      </c>
    </row>
    <row r="964" spans="1:11" ht="42" customHeight="1">
      <c r="A964" s="2" t="s">
        <v>2821</v>
      </c>
      <c r="B964" s="2" t="s">
        <v>2821</v>
      </c>
      <c r="C964" s="2" t="s">
        <v>88</v>
      </c>
      <c r="D964" s="2" t="s">
        <v>39</v>
      </c>
      <c r="E964" s="4">
        <v>-32631</v>
      </c>
      <c r="F964" s="3" t="s">
        <v>2830</v>
      </c>
      <c r="G964" s="3" t="s">
        <v>252</v>
      </c>
      <c r="H964" s="2" t="s">
        <v>74</v>
      </c>
      <c r="I964" s="2" t="s">
        <v>2831</v>
      </c>
      <c r="J964" s="3" t="str">
        <f>HYPERLINK("https://www.boe.es/gazeta/dias/1810/08/28/pdfs/GEI-D-1810-60.pdf#page=4","Abrir facsímil")</f>
        <v>Abrir facsímil</v>
      </c>
      <c r="K964" s="3" t="s">
        <v>76</v>
      </c>
    </row>
    <row r="965" spans="1:11" ht="42" customHeight="1">
      <c r="A965" s="2" t="s">
        <v>2821</v>
      </c>
      <c r="B965" s="2" t="s">
        <v>2821</v>
      </c>
      <c r="C965" s="2" t="s">
        <v>88</v>
      </c>
      <c r="D965" s="2" t="s">
        <v>117</v>
      </c>
      <c r="E965" s="4">
        <v>-32575</v>
      </c>
      <c r="F965" s="3" t="s">
        <v>135</v>
      </c>
      <c r="G965" s="3" t="s">
        <v>2008</v>
      </c>
      <c r="H965" s="2" t="s">
        <v>74</v>
      </c>
      <c r="I965" s="2" t="s">
        <v>2832</v>
      </c>
      <c r="J965" s="3" t="str">
        <f>HYPERLINK("https://www.boe.es/gazeta/dias/1810/10/23/pdfs/GEI-1810-85.pdf#page=8","Abrir facsímil")</f>
        <v>Abrir facsímil</v>
      </c>
      <c r="K965" s="3" t="s">
        <v>76</v>
      </c>
    </row>
    <row r="966" spans="1:11" ht="42" customHeight="1">
      <c r="A966" s="2" t="s">
        <v>2833</v>
      </c>
      <c r="B966" s="2" t="s">
        <v>2834</v>
      </c>
      <c r="C966" s="2" t="s">
        <v>26</v>
      </c>
      <c r="D966" s="2" t="s">
        <v>27</v>
      </c>
      <c r="E966" s="4">
        <v>-32842</v>
      </c>
      <c r="F966" s="3" t="s">
        <v>1291</v>
      </c>
      <c r="G966" s="3" t="s">
        <v>1292</v>
      </c>
      <c r="H966" s="2" t="s">
        <v>74</v>
      </c>
      <c r="I966" s="2" t="s">
        <v>2835</v>
      </c>
      <c r="J966" s="3" t="str">
        <f>HYPERLINK("https://www.boe.es/gazeta/dias/1810/01/29/pdfs/GMD-1810-29.pdf#page=3","Abrir facsímil")</f>
        <v>Abrir facsímil</v>
      </c>
      <c r="K966" s="3" t="s">
        <v>76</v>
      </c>
    </row>
    <row r="967" spans="1:11" ht="42" customHeight="1">
      <c r="A967" s="2" t="s">
        <v>2836</v>
      </c>
      <c r="B967" s="2" t="s">
        <v>2836</v>
      </c>
      <c r="C967" s="2" t="s">
        <v>26</v>
      </c>
      <c r="D967" s="2" t="s">
        <v>18</v>
      </c>
      <c r="E967" s="4">
        <v>-32691</v>
      </c>
      <c r="F967" s="3" t="s">
        <v>727</v>
      </c>
      <c r="G967" s="3" t="s">
        <v>807</v>
      </c>
      <c r="H967" s="2" t="s">
        <v>74</v>
      </c>
      <c r="I967" s="2" t="s">
        <v>2837</v>
      </c>
      <c r="J967" s="3" t="str">
        <f>HYPERLINK("https://www.boe.es/gazeta/dias/1810/06/29/pdfs/GMD-1810-180.pdf#page=3","Abrir facsímil")</f>
        <v>Abrir facsímil</v>
      </c>
      <c r="K967" s="3" t="s">
        <v>76</v>
      </c>
    </row>
    <row r="968" spans="1:11" ht="42" customHeight="1">
      <c r="A968" s="2" t="s">
        <v>2836</v>
      </c>
      <c r="B968" s="2" t="s">
        <v>2836</v>
      </c>
      <c r="C968" s="2" t="s">
        <v>88</v>
      </c>
      <c r="D968" s="2" t="s">
        <v>18</v>
      </c>
      <c r="E968" s="4">
        <v>-32624</v>
      </c>
      <c r="F968" s="3" t="s">
        <v>2838</v>
      </c>
      <c r="G968" s="3" t="s">
        <v>70</v>
      </c>
      <c r="H968" s="2" t="s">
        <v>74</v>
      </c>
      <c r="I968" s="2" t="s">
        <v>2839</v>
      </c>
      <c r="J968" s="3" t="str">
        <f>HYPERLINK("https://www.boe.es/gazeta/dias/1810/09/04/pdfs/GMD-1810-247.pdf#page=3","Abrir facsímil")</f>
        <v>Abrir facsímil</v>
      </c>
      <c r="K968" s="3" t="s">
        <v>76</v>
      </c>
    </row>
    <row r="969" spans="1:11" ht="42" customHeight="1">
      <c r="A969" s="2" t="s">
        <v>2840</v>
      </c>
      <c r="B969" s="2" t="s">
        <v>2841</v>
      </c>
      <c r="C969" s="2" t="s">
        <v>26</v>
      </c>
      <c r="D969" s="2" t="s">
        <v>27</v>
      </c>
      <c r="E969" s="4">
        <v>-32756</v>
      </c>
      <c r="F969" s="3" t="s">
        <v>203</v>
      </c>
      <c r="G969" s="3" t="s">
        <v>180</v>
      </c>
      <c r="H969" s="2" t="s">
        <v>74</v>
      </c>
      <c r="I969" s="2" t="s">
        <v>2842</v>
      </c>
      <c r="J969" s="3" t="str">
        <f>HYPERLINK("https://www.boe.es/gazeta/dias/1810/04/25/pdfs/GMD-1810-115.pdf#page=4","Abrir facsímil")</f>
        <v>Abrir facsímil</v>
      </c>
      <c r="K969" s="3" t="s">
        <v>76</v>
      </c>
    </row>
    <row r="970" spans="1:11" ht="42" customHeight="1">
      <c r="A970" s="2" t="s">
        <v>2843</v>
      </c>
      <c r="B970" s="2" t="s">
        <v>2844</v>
      </c>
      <c r="C970" s="2" t="s">
        <v>26</v>
      </c>
      <c r="D970" s="2" t="s">
        <v>27</v>
      </c>
      <c r="E970" s="4">
        <v>-32674</v>
      </c>
      <c r="F970" s="3" t="s">
        <v>1319</v>
      </c>
      <c r="G970" s="3" t="s">
        <v>235</v>
      </c>
      <c r="H970" s="2" t="s">
        <v>74</v>
      </c>
      <c r="I970" s="2" t="s">
        <v>2845</v>
      </c>
      <c r="J970" s="3" t="str">
        <f>HYPERLINK("https://www.boe.es/gazeta/dias/1810/07/16/pdfs/GMD-1810-197.pdf#page=4","Abrir facsímil")</f>
        <v>Abrir facsímil</v>
      </c>
      <c r="K970" s="3" t="s">
        <v>76</v>
      </c>
    </row>
    <row r="971" spans="1:11" ht="42" customHeight="1">
      <c r="A971" s="2" t="s">
        <v>2846</v>
      </c>
      <c r="B971" s="2" t="s">
        <v>2847</v>
      </c>
      <c r="C971" s="2" t="s">
        <v>88</v>
      </c>
      <c r="D971" s="2" t="s">
        <v>27</v>
      </c>
      <c r="E971" s="4">
        <v>-32564</v>
      </c>
      <c r="F971" s="3" t="s">
        <v>108</v>
      </c>
      <c r="G971" s="3" t="s">
        <v>109</v>
      </c>
      <c r="H971" s="2" t="s">
        <v>74</v>
      </c>
      <c r="I971" s="2" t="s">
        <v>2848</v>
      </c>
      <c r="J971" s="3" t="str">
        <f>HYPERLINK("https://www.boe.es/gazeta/dias/1810/11/03/pdfs/GEI-1810-90.pdf#page=8","Abrir facsímil")</f>
        <v>Abrir facsímil</v>
      </c>
      <c r="K971" s="3" t="s">
        <v>76</v>
      </c>
    </row>
    <row r="972" spans="1:11" ht="42" customHeight="1">
      <c r="A972" s="2" t="s">
        <v>2849</v>
      </c>
      <c r="B972" s="2" t="s">
        <v>2849</v>
      </c>
      <c r="C972" s="2" t="s">
        <v>88</v>
      </c>
      <c r="D972" s="2" t="s">
        <v>18</v>
      </c>
      <c r="E972" s="4">
        <v>-32624</v>
      </c>
      <c r="F972" s="3" t="s">
        <v>2838</v>
      </c>
      <c r="G972" s="3" t="s">
        <v>70</v>
      </c>
      <c r="H972" s="2" t="s">
        <v>74</v>
      </c>
      <c r="I972" s="2" t="s">
        <v>2850</v>
      </c>
      <c r="J972" s="3" t="str">
        <f>HYPERLINK("https://www.boe.es/gazeta/dias/1810/09/04/pdfs/GMD-1810-247.pdf#page=3","Abrir facsímil")</f>
        <v>Abrir facsímil</v>
      </c>
      <c r="K972" s="3" t="s">
        <v>76</v>
      </c>
    </row>
    <row r="973" spans="1:11" ht="42" customHeight="1">
      <c r="A973" s="2" t="s">
        <v>2851</v>
      </c>
      <c r="B973" s="2" t="s">
        <v>2852</v>
      </c>
      <c r="C973" s="2" t="s">
        <v>26</v>
      </c>
      <c r="D973" s="2" t="s">
        <v>27</v>
      </c>
      <c r="E973" s="4">
        <v>-32710</v>
      </c>
      <c r="F973" s="3" t="s">
        <v>126</v>
      </c>
      <c r="G973" s="3" t="s">
        <v>184</v>
      </c>
      <c r="H973" s="2" t="s">
        <v>74</v>
      </c>
      <c r="I973" s="2" t="s">
        <v>2853</v>
      </c>
      <c r="J973" s="3" t="str">
        <f>HYPERLINK("https://www.boe.es/gazeta/dias/1810/06/10/pdfs/GMD-1810-161.pdf#page=3","Abrir facsímil")</f>
        <v>Abrir facsímil</v>
      </c>
      <c r="K973" s="3" t="s">
        <v>76</v>
      </c>
    </row>
    <row r="974" spans="1:11" ht="42" customHeight="1">
      <c r="A974" s="2" t="s">
        <v>2854</v>
      </c>
      <c r="B974" s="2" t="s">
        <v>2854</v>
      </c>
      <c r="C974" s="2" t="s">
        <v>88</v>
      </c>
      <c r="D974" s="2" t="s">
        <v>117</v>
      </c>
      <c r="E974" s="4">
        <v>-32694</v>
      </c>
      <c r="F974" s="3" t="s">
        <v>2166</v>
      </c>
      <c r="G974" s="3" t="s">
        <v>180</v>
      </c>
      <c r="H974" s="2" t="s">
        <v>74</v>
      </c>
      <c r="I974" s="2" t="s">
        <v>2855</v>
      </c>
      <c r="J974" s="3" t="str">
        <f>HYPERLINK("https://www.boe.es/gazeta/dias/1810/06/26/pdfs/GMD-1810-177.pdf#page=3","Abrir facsímil")</f>
        <v>Abrir facsímil</v>
      </c>
      <c r="K974" s="3" t="s">
        <v>76</v>
      </c>
    </row>
    <row r="975" spans="1:11" ht="42" customHeight="1">
      <c r="A975" s="2" t="s">
        <v>2856</v>
      </c>
      <c r="B975" s="2" t="s">
        <v>2856</v>
      </c>
      <c r="C975" s="2" t="s">
        <v>33</v>
      </c>
      <c r="D975" s="2" t="s">
        <v>27</v>
      </c>
      <c r="E975" s="4">
        <v>-32755</v>
      </c>
      <c r="F975" s="3" t="s">
        <v>1641</v>
      </c>
      <c r="G975" s="3" t="s">
        <v>99</v>
      </c>
      <c r="H975" s="2" t="s">
        <v>74</v>
      </c>
      <c r="I975" s="2" t="s">
        <v>2857</v>
      </c>
      <c r="J975" s="3" t="str">
        <f>HYPERLINK("https://www.boe.es/gazeta/dias/1810/04/26/pdfs/GMD-1810-116.pdf#page=3","Abrir facsímil")</f>
        <v>Abrir facsímil</v>
      </c>
      <c r="K975" s="3" t="s">
        <v>76</v>
      </c>
    </row>
    <row r="976" spans="1:11" ht="42" customHeight="1">
      <c r="A976" s="2" t="s">
        <v>2858</v>
      </c>
      <c r="B976" s="2" t="s">
        <v>2858</v>
      </c>
      <c r="C976" s="2" t="s">
        <v>26</v>
      </c>
      <c r="D976" s="2" t="s">
        <v>27</v>
      </c>
      <c r="E976" s="4">
        <v>-32777</v>
      </c>
      <c r="F976" s="3" t="s">
        <v>2859</v>
      </c>
      <c r="G976" s="3" t="s">
        <v>35</v>
      </c>
      <c r="H976" s="2" t="s">
        <v>74</v>
      </c>
      <c r="I976" s="2" t="s">
        <v>2860</v>
      </c>
      <c r="J976" s="3" t="str">
        <f>HYPERLINK("https://www.boe.es/gazeta/dias/1810/04/04/pdfs/GMD-1810-94.pdf#page=2","Abrir facsímil")</f>
        <v>Abrir facsímil</v>
      </c>
      <c r="K976" s="3" t="s">
        <v>76</v>
      </c>
    </row>
    <row r="977" spans="1:11" ht="42" customHeight="1">
      <c r="A977" s="2" t="s">
        <v>2858</v>
      </c>
      <c r="B977" s="2" t="s">
        <v>2858</v>
      </c>
      <c r="C977" s="2" t="s">
        <v>88</v>
      </c>
      <c r="D977" s="2" t="s">
        <v>27</v>
      </c>
      <c r="E977" s="4">
        <v>-32769</v>
      </c>
      <c r="F977" s="3" t="s">
        <v>1543</v>
      </c>
      <c r="G977" s="3" t="s">
        <v>2861</v>
      </c>
      <c r="H977" s="2" t="s">
        <v>74</v>
      </c>
      <c r="I977" s="2" t="s">
        <v>2862</v>
      </c>
      <c r="J977" s="3" t="str">
        <f>HYPERLINK("https://www.boe.es/gazeta/dias/1810/04/12/pdfs/GMD-1810-102.pdf#page=3","Abrir facsímil")</f>
        <v>Abrir facsímil</v>
      </c>
      <c r="K977" s="3" t="s">
        <v>76</v>
      </c>
    </row>
    <row r="978" spans="1:11" ht="42" customHeight="1">
      <c r="A978" s="2" t="s">
        <v>2858</v>
      </c>
      <c r="B978" s="2" t="s">
        <v>2858</v>
      </c>
      <c r="C978" s="2" t="s">
        <v>33</v>
      </c>
      <c r="D978" s="2" t="s">
        <v>27</v>
      </c>
      <c r="E978" s="4">
        <v>-32676</v>
      </c>
      <c r="F978" s="3" t="s">
        <v>2863</v>
      </c>
      <c r="G978" s="3" t="s">
        <v>2864</v>
      </c>
      <c r="H978" s="2" t="s">
        <v>74</v>
      </c>
      <c r="I978" s="2" t="s">
        <v>2865</v>
      </c>
      <c r="J978" s="3" t="str">
        <f>HYPERLINK("https://www.boe.es/gazeta/dias/1810/07/14/pdfs/GMD-1810-195.pdf#page=2","Abrir facsímil")</f>
        <v>Abrir facsímil</v>
      </c>
      <c r="K978" s="3" t="s">
        <v>76</v>
      </c>
    </row>
    <row r="979" spans="1:11" ht="42" customHeight="1">
      <c r="A979" s="2" t="s">
        <v>2858</v>
      </c>
      <c r="B979" s="2" t="s">
        <v>2858</v>
      </c>
      <c r="C979" s="2" t="s">
        <v>33</v>
      </c>
      <c r="D979" s="2" t="s">
        <v>27</v>
      </c>
      <c r="E979" s="4">
        <v>-32655</v>
      </c>
      <c r="F979" s="3" t="s">
        <v>1040</v>
      </c>
      <c r="G979" s="3" t="s">
        <v>1041</v>
      </c>
      <c r="H979" s="2" t="s">
        <v>74</v>
      </c>
      <c r="I979" s="2" t="s">
        <v>2866</v>
      </c>
      <c r="J979" s="3" t="str">
        <f>HYPERLINK("https://www.boe.es/gazeta/dias/1810/08/04/pdfs/GMD-1810-216.pdf#page=4","Abrir facsímil")</f>
        <v>Abrir facsímil</v>
      </c>
      <c r="K979" s="3" t="s">
        <v>76</v>
      </c>
    </row>
    <row r="980" spans="1:11" ht="42" customHeight="1">
      <c r="A980" s="2" t="s">
        <v>2858</v>
      </c>
      <c r="B980" s="2" t="s">
        <v>2858</v>
      </c>
      <c r="C980" s="2" t="s">
        <v>26</v>
      </c>
      <c r="D980" s="2" t="s">
        <v>27</v>
      </c>
      <c r="E980" s="4">
        <v>-32575</v>
      </c>
      <c r="F980" s="3" t="s">
        <v>734</v>
      </c>
      <c r="G980" s="3" t="s">
        <v>119</v>
      </c>
      <c r="H980" s="2" t="s">
        <v>74</v>
      </c>
      <c r="I980" s="2" t="s">
        <v>2867</v>
      </c>
      <c r="J980" s="3" t="str">
        <f>HYPERLINK("https://www.boe.es/gazeta/dias/1810/10/23/pdfs/GMD-1810-296.pdf#page=4","Abrir facsímil")</f>
        <v>Abrir facsímil</v>
      </c>
      <c r="K980" s="3" t="s">
        <v>76</v>
      </c>
    </row>
    <row r="981" spans="1:11" ht="42" customHeight="1">
      <c r="A981" s="2" t="s">
        <v>2868</v>
      </c>
      <c r="B981" s="2" t="s">
        <v>2869</v>
      </c>
      <c r="C981" s="2" t="s">
        <v>111</v>
      </c>
      <c r="D981" s="2" t="s">
        <v>27</v>
      </c>
      <c r="E981" s="4">
        <v>-32862</v>
      </c>
      <c r="F981" s="3" t="s">
        <v>878</v>
      </c>
      <c r="G981" s="3" t="s">
        <v>735</v>
      </c>
      <c r="H981" s="2" t="s">
        <v>74</v>
      </c>
      <c r="I981" s="2" t="s">
        <v>2870</v>
      </c>
      <c r="J981" s="3" t="str">
        <f>HYPERLINK("https://www.boe.es/gazeta/dias/1810/01/09/pdfs/GMD-1810-9.pdf#page=1","Abrir facsímil")</f>
        <v>Abrir facsímil</v>
      </c>
      <c r="K981" s="3" t="s">
        <v>76</v>
      </c>
    </row>
    <row r="982" spans="1:11" ht="42" customHeight="1">
      <c r="A982" s="2" t="s">
        <v>2871</v>
      </c>
      <c r="B982" s="2" t="s">
        <v>2872</v>
      </c>
      <c r="C982" s="2" t="s">
        <v>111</v>
      </c>
      <c r="D982" s="2" t="s">
        <v>220</v>
      </c>
      <c r="E982" s="4">
        <v>-32672</v>
      </c>
      <c r="F982" s="3" t="s">
        <v>1663</v>
      </c>
      <c r="G982" s="3" t="s">
        <v>119</v>
      </c>
      <c r="H982" s="2" t="s">
        <v>74</v>
      </c>
      <c r="I982" s="2" t="s">
        <v>2873</v>
      </c>
      <c r="J982" s="3" t="str">
        <f>HYPERLINK("https://www.boe.es/gazeta/dias/1810/07/18/pdfs/GMD-1810-199.pdf#page=2","Abrir facsímil")</f>
        <v>Abrir facsímil</v>
      </c>
      <c r="K982" s="3" t="s">
        <v>76</v>
      </c>
    </row>
    <row r="983" spans="1:11" ht="42" customHeight="1">
      <c r="A983" s="2" t="s">
        <v>2874</v>
      </c>
      <c r="B983" s="2" t="s">
        <v>2875</v>
      </c>
      <c r="C983" s="2" t="s">
        <v>26</v>
      </c>
      <c r="D983" s="2" t="s">
        <v>27</v>
      </c>
      <c r="E983" s="4">
        <v>-32608</v>
      </c>
      <c r="F983" s="3" t="s">
        <v>781</v>
      </c>
      <c r="G983" s="3" t="s">
        <v>782</v>
      </c>
      <c r="H983" s="2" t="s">
        <v>74</v>
      </c>
      <c r="I983" s="2" t="s">
        <v>2876</v>
      </c>
      <c r="J983" s="3" t="str">
        <f>HYPERLINK("https://www.boe.es/gazeta/dias/1810/09/20/pdfs/GEI-1810-70.pdf#page=5","Abrir facsímil")</f>
        <v>Abrir facsímil</v>
      </c>
      <c r="K983" s="3" t="s">
        <v>76</v>
      </c>
    </row>
    <row r="984" spans="1:11" ht="42" customHeight="1">
      <c r="A984" s="2" t="s">
        <v>2877</v>
      </c>
      <c r="B984" s="2" t="s">
        <v>2878</v>
      </c>
      <c r="C984" s="2" t="s">
        <v>88</v>
      </c>
      <c r="D984" s="2" t="s">
        <v>27</v>
      </c>
      <c r="E984" s="4">
        <v>-32571</v>
      </c>
      <c r="F984" s="3" t="s">
        <v>737</v>
      </c>
      <c r="G984" s="3" t="s">
        <v>2879</v>
      </c>
      <c r="H984" s="2" t="s">
        <v>74</v>
      </c>
      <c r="I984" s="2" t="s">
        <v>2880</v>
      </c>
      <c r="J984" s="3" t="str">
        <f>HYPERLINK("https://www.boe.es/gazeta/dias/1810/10/27/pdfs/GEI-1810-87.pdf#page=6","Abrir facsímil")</f>
        <v>Abrir facsímil</v>
      </c>
      <c r="K984" s="3" t="s">
        <v>76</v>
      </c>
    </row>
    <row r="985" spans="1:11" ht="42" customHeight="1">
      <c r="A985" s="2" t="s">
        <v>2881</v>
      </c>
      <c r="B985" s="2" t="s">
        <v>2882</v>
      </c>
      <c r="C985" s="2" t="s">
        <v>88</v>
      </c>
      <c r="D985" s="2" t="s">
        <v>27</v>
      </c>
      <c r="E985" s="4">
        <v>-32763</v>
      </c>
      <c r="F985" s="3" t="s">
        <v>1146</v>
      </c>
      <c r="G985" s="3" t="s">
        <v>140</v>
      </c>
      <c r="H985" s="2" t="s">
        <v>74</v>
      </c>
      <c r="I985" s="2" t="s">
        <v>2883</v>
      </c>
      <c r="J985" s="3" t="str">
        <f>HYPERLINK("https://www.boe.es/gazeta/dias/1810/04/18/pdfs/GMD-1810-108.pdf#page=3","Abrir facsímil")</f>
        <v>Abrir facsímil</v>
      </c>
      <c r="K985" s="3" t="s">
        <v>76</v>
      </c>
    </row>
    <row r="986" spans="1:11" ht="42" customHeight="1">
      <c r="A986" s="2" t="s">
        <v>2884</v>
      </c>
      <c r="B986" s="2" t="s">
        <v>2885</v>
      </c>
      <c r="C986" s="2" t="s">
        <v>111</v>
      </c>
      <c r="D986" s="2" t="s">
        <v>27</v>
      </c>
      <c r="E986" s="4">
        <v>-32705</v>
      </c>
      <c r="F986" s="3" t="s">
        <v>678</v>
      </c>
      <c r="G986" s="3" t="s">
        <v>2886</v>
      </c>
      <c r="H986" s="2" t="s">
        <v>74</v>
      </c>
      <c r="I986" s="2" t="s">
        <v>2887</v>
      </c>
      <c r="J986" s="3" t="str">
        <f>HYPERLINK("https://www.boe.es/gazeta/dias/1810/06/15/pdfs/GEI-1810-36.pdf#page=7","Abrir facsímil")</f>
        <v>Abrir facsímil</v>
      </c>
      <c r="K986" s="3" t="s">
        <v>76</v>
      </c>
    </row>
    <row r="987" spans="1:11" ht="42" customHeight="1">
      <c r="A987" s="2" t="s">
        <v>2888</v>
      </c>
      <c r="B987" s="2" t="s">
        <v>2888</v>
      </c>
      <c r="C987" s="2" t="s">
        <v>88</v>
      </c>
      <c r="D987" s="2" t="s">
        <v>27</v>
      </c>
      <c r="E987" s="4">
        <v>-32666</v>
      </c>
      <c r="F987" s="3" t="s">
        <v>1913</v>
      </c>
      <c r="G987" s="3" t="s">
        <v>151</v>
      </c>
      <c r="H987" s="2" t="s">
        <v>74</v>
      </c>
      <c r="I987" s="2" t="s">
        <v>2889</v>
      </c>
      <c r="J987" s="3" t="str">
        <f>HYPERLINK("https://www.boe.es/gazeta/dias/1810/07/24/pdfs/GMD-1810-205.pdf#page=3","Abrir facsímil")</f>
        <v>Abrir facsímil</v>
      </c>
      <c r="K987" s="3" t="s">
        <v>76</v>
      </c>
    </row>
    <row r="988" spans="1:11" ht="42" customHeight="1">
      <c r="A988" s="2" t="s">
        <v>2890</v>
      </c>
      <c r="B988" s="2" t="s">
        <v>2891</v>
      </c>
      <c r="C988" s="2" t="s">
        <v>88</v>
      </c>
      <c r="D988" s="2" t="s">
        <v>117</v>
      </c>
      <c r="E988" s="4">
        <v>-32697</v>
      </c>
      <c r="F988" s="3" t="s">
        <v>1859</v>
      </c>
      <c r="G988" s="3" t="s">
        <v>70</v>
      </c>
      <c r="H988" s="2" t="s">
        <v>74</v>
      </c>
      <c r="I988" s="2" t="s">
        <v>2892</v>
      </c>
      <c r="J988" s="3" t="str">
        <f>HYPERLINK("https://www.boe.es/gazeta/dias/1810/06/23/pdfs/GMD-1810-174.pdf#page=4","Abrir facsímil")</f>
        <v>Abrir facsímil</v>
      </c>
      <c r="K988" s="3" t="s">
        <v>76</v>
      </c>
    </row>
    <row r="989" spans="1:11" ht="42" customHeight="1">
      <c r="A989" s="2" t="s">
        <v>2893</v>
      </c>
      <c r="B989" s="2" t="s">
        <v>2894</v>
      </c>
      <c r="C989" s="2" t="s">
        <v>26</v>
      </c>
      <c r="D989" s="2" t="s">
        <v>27</v>
      </c>
      <c r="E989" s="4">
        <v>-32538</v>
      </c>
      <c r="F989" s="3" t="s">
        <v>1949</v>
      </c>
      <c r="G989" s="3" t="s">
        <v>2895</v>
      </c>
      <c r="H989" s="2" t="s">
        <v>74</v>
      </c>
      <c r="I989" s="2" t="s">
        <v>2896</v>
      </c>
      <c r="J989" s="3" t="str">
        <f>HYPERLINK("https://www.boe.es/gazeta/dias/1810/11/29/pdfs/GEI-1810-101.pdf#page=4","Abrir facsímil")</f>
        <v>Abrir facsímil</v>
      </c>
      <c r="K989" s="3" t="s">
        <v>76</v>
      </c>
    </row>
    <row r="990" spans="1:11" ht="42" customHeight="1">
      <c r="A990" s="2" t="s">
        <v>2897</v>
      </c>
      <c r="B990" s="2" t="s">
        <v>2898</v>
      </c>
      <c r="C990" s="2" t="s">
        <v>26</v>
      </c>
      <c r="D990" s="2" t="s">
        <v>27</v>
      </c>
      <c r="E990" s="4">
        <v>-32557</v>
      </c>
      <c r="F990" s="3" t="s">
        <v>837</v>
      </c>
      <c r="G990" s="3" t="s">
        <v>2073</v>
      </c>
      <c r="H990" s="2" t="s">
        <v>74</v>
      </c>
      <c r="I990" s="2" t="s">
        <v>2899</v>
      </c>
      <c r="J990" s="3" t="str">
        <f>HYPERLINK("https://www.boe.es/gazeta/dias/1810/11/10/pdfs/GEI-1810-93.pdf#page=7","Abrir facsímil")</f>
        <v>Abrir facsímil</v>
      </c>
      <c r="K990" s="3" t="s">
        <v>76</v>
      </c>
    </row>
    <row r="991" spans="1:11" ht="42" customHeight="1">
      <c r="A991" s="2" t="s">
        <v>2900</v>
      </c>
      <c r="B991" s="2" t="s">
        <v>2901</v>
      </c>
      <c r="C991" s="2" t="s">
        <v>88</v>
      </c>
      <c r="D991" s="2" t="s">
        <v>117</v>
      </c>
      <c r="E991" s="4">
        <v>-32638</v>
      </c>
      <c r="F991" s="3" t="s">
        <v>2498</v>
      </c>
      <c r="G991" s="3" t="s">
        <v>2902</v>
      </c>
      <c r="H991" s="2" t="s">
        <v>74</v>
      </c>
      <c r="I991" s="2" t="s">
        <v>2903</v>
      </c>
      <c r="J991" s="3" t="str">
        <f>HYPERLINK("https://www.boe.es/gazeta/dias/1810/08/21/pdfs/GEI-1810-58.pdf#page=3","Abrir facsímil")</f>
        <v>Abrir facsímil</v>
      </c>
      <c r="K991" s="3" t="s">
        <v>76</v>
      </c>
    </row>
    <row r="992" spans="1:11" ht="42" customHeight="1">
      <c r="A992" s="2" t="s">
        <v>2904</v>
      </c>
      <c r="B992" s="2" t="s">
        <v>2905</v>
      </c>
      <c r="C992" s="2" t="s">
        <v>26</v>
      </c>
      <c r="D992" s="2" t="s">
        <v>39</v>
      </c>
      <c r="E992" s="4">
        <v>-32702</v>
      </c>
      <c r="F992" s="3" t="s">
        <v>179</v>
      </c>
      <c r="G992" s="3" t="s">
        <v>180</v>
      </c>
      <c r="H992" s="2" t="s">
        <v>74</v>
      </c>
      <c r="I992" s="2" t="s">
        <v>2906</v>
      </c>
      <c r="J992" s="3" t="str">
        <f>HYPERLINK("https://www.boe.es/gazeta/dias/1810/06/18/pdfs/GMD-C-1810-169.pdf#page=2","Abrir facsímil")</f>
        <v>Abrir facsímil</v>
      </c>
      <c r="K992" s="3" t="s">
        <v>76</v>
      </c>
    </row>
    <row r="993" spans="1:11" ht="42" customHeight="1">
      <c r="A993" s="2" t="s">
        <v>2907</v>
      </c>
      <c r="B993" s="2" t="s">
        <v>2908</v>
      </c>
      <c r="C993" s="2" t="s">
        <v>317</v>
      </c>
      <c r="D993" s="2" t="s">
        <v>117</v>
      </c>
      <c r="E993" s="4">
        <v>-32693</v>
      </c>
      <c r="F993" s="3" t="s">
        <v>54</v>
      </c>
      <c r="G993" s="3" t="s">
        <v>20</v>
      </c>
      <c r="H993" s="2" t="s">
        <v>74</v>
      </c>
      <c r="I993" s="2" t="s">
        <v>2909</v>
      </c>
      <c r="J993" s="3" t="str">
        <f>HYPERLINK("https://www.boe.es/gazeta/dias/1810/06/27/pdfs/GMD-1810-178.pdf#page=4","Abrir facsímil")</f>
        <v>Abrir facsímil</v>
      </c>
      <c r="K993" s="3" t="s">
        <v>76</v>
      </c>
    </row>
    <row r="994" spans="1:11" ht="42" customHeight="1">
      <c r="A994" s="2" t="s">
        <v>2910</v>
      </c>
      <c r="B994" s="2" t="s">
        <v>2910</v>
      </c>
      <c r="C994" s="2" t="s">
        <v>88</v>
      </c>
      <c r="D994" s="2" t="s">
        <v>27</v>
      </c>
      <c r="E994" s="4">
        <v>-32649</v>
      </c>
      <c r="F994" s="3" t="s">
        <v>190</v>
      </c>
      <c r="G994" s="3" t="s">
        <v>2150</v>
      </c>
      <c r="H994" s="2" t="s">
        <v>74</v>
      </c>
      <c r="I994" s="2" t="s">
        <v>2911</v>
      </c>
      <c r="J994" s="3" t="str">
        <f>HYPERLINK("https://www.boe.es/gazeta/dias/1810/08/10/pdfs/GEI-1810-54.pdf#page=8","Abrir facsímil")</f>
        <v>Abrir facsímil</v>
      </c>
      <c r="K994" s="3" t="s">
        <v>76</v>
      </c>
    </row>
    <row r="995" spans="1:11" ht="42" customHeight="1">
      <c r="A995" s="2" t="s">
        <v>2912</v>
      </c>
      <c r="B995" s="2" t="s">
        <v>2913</v>
      </c>
      <c r="C995" s="2" t="s">
        <v>26</v>
      </c>
      <c r="D995" s="2" t="s">
        <v>27</v>
      </c>
      <c r="E995" s="4">
        <v>-32647</v>
      </c>
      <c r="F995" s="3" t="s">
        <v>118</v>
      </c>
      <c r="G995" s="3" t="s">
        <v>119</v>
      </c>
      <c r="H995" s="2" t="s">
        <v>74</v>
      </c>
      <c r="I995" s="2" t="s">
        <v>2914</v>
      </c>
      <c r="J995" s="3" t="str">
        <f>HYPERLINK("https://www.boe.es/gazeta/dias/1810/08/12/pdfs/GMD-1810-224.pdf#page=3","Abrir facsímil")</f>
        <v>Abrir facsímil</v>
      </c>
      <c r="K995" s="3" t="s">
        <v>76</v>
      </c>
    </row>
    <row r="996" spans="1:11" ht="42" customHeight="1">
      <c r="A996" s="2" t="s">
        <v>2915</v>
      </c>
      <c r="B996" s="2" t="s">
        <v>2916</v>
      </c>
      <c r="C996" s="2" t="s">
        <v>26</v>
      </c>
      <c r="D996" s="2" t="s">
        <v>39</v>
      </c>
      <c r="E996" s="4">
        <v>-32702</v>
      </c>
      <c r="F996" s="3" t="s">
        <v>179</v>
      </c>
      <c r="G996" s="3" t="s">
        <v>180</v>
      </c>
      <c r="H996" s="2" t="s">
        <v>74</v>
      </c>
      <c r="I996" s="2" t="s">
        <v>2917</v>
      </c>
      <c r="J996" s="3" t="str">
        <f>HYPERLINK("https://www.boe.es/gazeta/dias/1810/06/18/pdfs/GMD-C-1810-169.pdf#page=2","Abrir facsímil")</f>
        <v>Abrir facsímil</v>
      </c>
      <c r="K996" s="3" t="s">
        <v>76</v>
      </c>
    </row>
    <row r="997" spans="1:11" ht="42" customHeight="1">
      <c r="A997" s="2" t="s">
        <v>2918</v>
      </c>
      <c r="B997" s="2" t="s">
        <v>2918</v>
      </c>
      <c r="C997" s="2" t="s">
        <v>33</v>
      </c>
      <c r="D997" s="2" t="s">
        <v>27</v>
      </c>
      <c r="E997" s="4">
        <v>-32515</v>
      </c>
      <c r="F997" s="3" t="s">
        <v>745</v>
      </c>
      <c r="G997" s="3" t="s">
        <v>2919</v>
      </c>
      <c r="H997" s="2" t="s">
        <v>74</v>
      </c>
      <c r="I997" s="2" t="s">
        <v>2920</v>
      </c>
      <c r="J997" s="3" t="str">
        <f>HYPERLINK("https://www.boe.es/gazeta/dias/1810/12/22/pdfs/GMD-1810-356.pdf#page=2","Abrir facsímil")</f>
        <v>Abrir facsímil</v>
      </c>
      <c r="K997" s="3" t="s">
        <v>76</v>
      </c>
    </row>
    <row r="998" spans="1:11" ht="42" customHeight="1">
      <c r="A998" s="2" t="s">
        <v>2921</v>
      </c>
      <c r="B998" s="2" t="s">
        <v>2922</v>
      </c>
      <c r="C998" s="2" t="s">
        <v>26</v>
      </c>
      <c r="D998" s="2" t="s">
        <v>27</v>
      </c>
      <c r="E998" s="4">
        <v>-32659</v>
      </c>
      <c r="F998" s="3" t="s">
        <v>328</v>
      </c>
      <c r="G998" s="3" t="s">
        <v>119</v>
      </c>
      <c r="H998" s="2" t="s">
        <v>74</v>
      </c>
      <c r="I998" s="2" t="s">
        <v>2923</v>
      </c>
      <c r="J998" s="3" t="str">
        <f>HYPERLINK("https://www.boe.es/gazeta/dias/1810/07/31/pdfs/GEI-1810-49.pdf#page=8","Abrir facsímil")</f>
        <v>Abrir facsímil</v>
      </c>
      <c r="K998" s="3" t="s">
        <v>76</v>
      </c>
    </row>
    <row r="999" spans="1:11" ht="42" customHeight="1">
      <c r="A999" s="2" t="s">
        <v>2924</v>
      </c>
      <c r="B999" s="2" t="s">
        <v>2925</v>
      </c>
      <c r="C999" s="2" t="s">
        <v>26</v>
      </c>
      <c r="D999" s="2" t="s">
        <v>27</v>
      </c>
      <c r="E999" s="4">
        <v>-32684</v>
      </c>
      <c r="F999" s="3" t="s">
        <v>1373</v>
      </c>
      <c r="G999" s="3" t="s">
        <v>1374</v>
      </c>
      <c r="H999" s="2" t="s">
        <v>74</v>
      </c>
      <c r="I999" s="2" t="s">
        <v>2926</v>
      </c>
      <c r="J999" s="3" t="str">
        <f>HYPERLINK("https://www.boe.es/gazeta/dias/1810/07/06/pdfs/GEI-1810-42.pdf#page=8","Abrir facsímil")</f>
        <v>Abrir facsímil</v>
      </c>
      <c r="K999" s="3" t="s">
        <v>76</v>
      </c>
    </row>
    <row r="1000" spans="1:11" ht="42" customHeight="1">
      <c r="A1000" s="2" t="s">
        <v>2927</v>
      </c>
      <c r="B1000" s="2" t="s">
        <v>2927</v>
      </c>
      <c r="C1000" s="2" t="s">
        <v>26</v>
      </c>
      <c r="D1000" s="2" t="s">
        <v>27</v>
      </c>
      <c r="E1000" s="4">
        <v>-32667</v>
      </c>
      <c r="F1000" s="3" t="s">
        <v>381</v>
      </c>
      <c r="G1000" s="3" t="s">
        <v>2928</v>
      </c>
      <c r="H1000" s="2" t="s">
        <v>74</v>
      </c>
      <c r="I1000" s="2" t="s">
        <v>2929</v>
      </c>
      <c r="J1000" s="3" t="str">
        <f>HYPERLINK("https://www.boe.es/gazeta/dias/1810/07/23/pdfs/GMD-1810-204.pdf#page=3","Abrir facsímil")</f>
        <v>Abrir facsímil</v>
      </c>
      <c r="K1000" s="3" t="s">
        <v>76</v>
      </c>
    </row>
    <row r="1001" spans="1:11" ht="42" customHeight="1">
      <c r="A1001" s="2" t="s">
        <v>2930</v>
      </c>
      <c r="B1001" s="2" t="s">
        <v>2930</v>
      </c>
      <c r="C1001" s="2" t="s">
        <v>317</v>
      </c>
      <c r="D1001" s="2" t="s">
        <v>117</v>
      </c>
      <c r="E1001" s="4">
        <v>-32818</v>
      </c>
      <c r="F1001" s="3" t="s">
        <v>936</v>
      </c>
      <c r="G1001" s="3" t="s">
        <v>937</v>
      </c>
      <c r="H1001" s="2" t="s">
        <v>74</v>
      </c>
      <c r="I1001" s="2" t="s">
        <v>2931</v>
      </c>
      <c r="J1001" s="3" t="str">
        <f>HYPERLINK("https://www.boe.es/gazeta/dias/1810/02/22/pdfs/GMD-1810-53.pdf#page=1","Abrir facsímil")</f>
        <v>Abrir facsímil</v>
      </c>
      <c r="K1001" s="3" t="s">
        <v>76</v>
      </c>
    </row>
    <row r="1002" spans="1:11" ht="42" customHeight="1">
      <c r="A1002" s="2" t="s">
        <v>2932</v>
      </c>
      <c r="B1002" s="2" t="s">
        <v>2933</v>
      </c>
      <c r="C1002" s="2" t="s">
        <v>26</v>
      </c>
      <c r="D1002" s="2" t="s">
        <v>39</v>
      </c>
      <c r="E1002" s="4">
        <v>-32669</v>
      </c>
      <c r="F1002" s="3" t="s">
        <v>1110</v>
      </c>
      <c r="G1002" s="3" t="s">
        <v>29</v>
      </c>
      <c r="H1002" s="2" t="s">
        <v>74</v>
      </c>
      <c r="I1002" s="2" t="s">
        <v>2934</v>
      </c>
      <c r="J1002" s="3" t="str">
        <f>HYPERLINK("https://www.boe.es/gazeta/dias/1810/07/21/pdfs/GMD-C-1810-202.pdf#page=4","Abrir facsímil")</f>
        <v>Abrir facsímil</v>
      </c>
      <c r="K1002" s="3" t="s">
        <v>76</v>
      </c>
    </row>
    <row r="1003" spans="1:11" ht="42" customHeight="1">
      <c r="A1003" s="2" t="s">
        <v>2935</v>
      </c>
      <c r="B1003" s="2" t="s">
        <v>2936</v>
      </c>
      <c r="C1003" s="2" t="s">
        <v>26</v>
      </c>
      <c r="D1003" s="2" t="s">
        <v>27</v>
      </c>
      <c r="E1003" s="4">
        <v>-32591</v>
      </c>
      <c r="F1003" s="3" t="s">
        <v>377</v>
      </c>
      <c r="G1003" s="3" t="s">
        <v>140</v>
      </c>
      <c r="H1003" s="2" t="s">
        <v>74</v>
      </c>
      <c r="I1003" s="2" t="s">
        <v>2937</v>
      </c>
      <c r="J1003" s="3" t="str">
        <f>HYPERLINK("https://www.boe.es/gazeta/dias/1810/10/07/pdfs/GMD-1810-280.pdf#page=4","Abrir facsímil")</f>
        <v>Abrir facsímil</v>
      </c>
      <c r="K1003" s="3" t="s">
        <v>76</v>
      </c>
    </row>
    <row r="1004" spans="1:11" ht="42" customHeight="1">
      <c r="A1004" s="2" t="s">
        <v>2938</v>
      </c>
      <c r="B1004" s="2" t="s">
        <v>2939</v>
      </c>
      <c r="C1004" s="2" t="s">
        <v>26</v>
      </c>
      <c r="D1004" s="2" t="s">
        <v>39</v>
      </c>
      <c r="E1004" s="4">
        <v>-32701</v>
      </c>
      <c r="F1004" s="3" t="s">
        <v>40</v>
      </c>
      <c r="G1004" s="3" t="s">
        <v>170</v>
      </c>
      <c r="H1004" s="2" t="s">
        <v>74</v>
      </c>
      <c r="I1004" s="2" t="s">
        <v>2940</v>
      </c>
      <c r="J1004" s="3" t="str">
        <f>HYPERLINK("https://www.boe.es/gazeta/dias/1810/06/19/pdfs/GMD-C-1810-170.pdf#page=1","Abrir facsímil")</f>
        <v>Abrir facsímil</v>
      </c>
      <c r="K1004" s="3" t="s">
        <v>76</v>
      </c>
    </row>
    <row r="1005" spans="1:11" ht="42" customHeight="1">
      <c r="A1005" s="2" t="s">
        <v>2941</v>
      </c>
      <c r="B1005" s="2" t="s">
        <v>2942</v>
      </c>
      <c r="C1005" s="2" t="s">
        <v>26</v>
      </c>
      <c r="D1005" s="2" t="s">
        <v>27</v>
      </c>
      <c r="E1005" s="4">
        <v>-32517</v>
      </c>
      <c r="F1005" s="3" t="s">
        <v>566</v>
      </c>
      <c r="G1005" s="3" t="s">
        <v>762</v>
      </c>
      <c r="H1005" s="2" t="s">
        <v>74</v>
      </c>
      <c r="I1005" s="2" t="s">
        <v>2943</v>
      </c>
      <c r="J1005" s="3" t="str">
        <f>HYPERLINK("https://www.boe.es/gazeta/dias/1810/12/20/pdfs/GEI-1810-110.pdf#page=8","Abrir facsímil")</f>
        <v>Abrir facsímil</v>
      </c>
      <c r="K1005" s="3" t="s">
        <v>76</v>
      </c>
    </row>
    <row r="1006" spans="1:11" ht="42" customHeight="1">
      <c r="A1006" s="2" t="s">
        <v>2944</v>
      </c>
      <c r="B1006" s="2" t="s">
        <v>2945</v>
      </c>
      <c r="C1006" s="2" t="s">
        <v>26</v>
      </c>
      <c r="D1006" s="2" t="s">
        <v>27</v>
      </c>
      <c r="E1006" s="4">
        <v>-32520</v>
      </c>
      <c r="F1006" s="3" t="s">
        <v>2109</v>
      </c>
      <c r="G1006" s="3" t="s">
        <v>2110</v>
      </c>
      <c r="H1006" s="2" t="s">
        <v>74</v>
      </c>
      <c r="I1006" s="2" t="s">
        <v>2946</v>
      </c>
      <c r="J1006" s="3" t="str">
        <f>HYPERLINK("https://www.boe.es/gazeta/dias/1810/12/17/pdfs/GMD-1810-351.pdf#page=2","Abrir facsímil")</f>
        <v>Abrir facsímil</v>
      </c>
      <c r="K1006" s="3" t="s">
        <v>76</v>
      </c>
    </row>
    <row r="1007" spans="1:11" ht="42" customHeight="1">
      <c r="A1007" s="2" t="s">
        <v>2947</v>
      </c>
      <c r="B1007" s="2" t="s">
        <v>2948</v>
      </c>
      <c r="C1007" s="2" t="s">
        <v>26</v>
      </c>
      <c r="D1007" s="2" t="s">
        <v>27</v>
      </c>
      <c r="E1007" s="4">
        <v>-32693</v>
      </c>
      <c r="F1007" s="3" t="s">
        <v>54</v>
      </c>
      <c r="G1007" s="3" t="s">
        <v>20</v>
      </c>
      <c r="H1007" s="2" t="s">
        <v>74</v>
      </c>
      <c r="I1007" s="2" t="s">
        <v>2949</v>
      </c>
      <c r="J1007" s="3" t="str">
        <f>HYPERLINK("https://www.boe.es/gazeta/dias/1810/06/27/pdfs/GMD-1810-178.pdf#page=4","Abrir facsímil")</f>
        <v>Abrir facsímil</v>
      </c>
      <c r="K1007" s="3" t="s">
        <v>76</v>
      </c>
    </row>
    <row r="1008" spans="1:11" ht="42" customHeight="1">
      <c r="A1008" s="2" t="s">
        <v>2950</v>
      </c>
      <c r="B1008" s="2" t="s">
        <v>2951</v>
      </c>
      <c r="C1008" s="2" t="s">
        <v>26</v>
      </c>
      <c r="D1008" s="2" t="s">
        <v>39</v>
      </c>
      <c r="E1008" s="4">
        <v>-32701</v>
      </c>
      <c r="F1008" s="3" t="s">
        <v>40</v>
      </c>
      <c r="G1008" s="3" t="s">
        <v>170</v>
      </c>
      <c r="H1008" s="2" t="s">
        <v>74</v>
      </c>
      <c r="I1008" s="2" t="s">
        <v>2952</v>
      </c>
      <c r="J1008" s="3" t="str">
        <f>HYPERLINK("https://www.boe.es/gazeta/dias/1810/06/19/pdfs/GMD-C-1810-170.pdf#page=1","Abrir facsímil")</f>
        <v>Abrir facsímil</v>
      </c>
      <c r="K1008" s="3" t="s">
        <v>76</v>
      </c>
    </row>
    <row r="1009" spans="1:11" ht="42" customHeight="1">
      <c r="A1009" s="2" t="s">
        <v>2953</v>
      </c>
      <c r="B1009" s="2" t="s">
        <v>2954</v>
      </c>
      <c r="C1009" s="2" t="s">
        <v>26</v>
      </c>
      <c r="D1009" s="2" t="s">
        <v>39</v>
      </c>
      <c r="E1009" s="4">
        <v>-32702</v>
      </c>
      <c r="F1009" s="3" t="s">
        <v>179</v>
      </c>
      <c r="G1009" s="3" t="s">
        <v>119</v>
      </c>
      <c r="H1009" s="2" t="s">
        <v>74</v>
      </c>
      <c r="I1009" s="2" t="s">
        <v>2955</v>
      </c>
      <c r="J1009" s="3" t="str">
        <f>HYPERLINK("https://www.boe.es/gazeta/dias/1810/06/18/pdfs/GMD-C-1810-169.pdf#page=1","Abrir facsímil")</f>
        <v>Abrir facsímil</v>
      </c>
      <c r="K1009" s="3" t="s">
        <v>76</v>
      </c>
    </row>
    <row r="1010" spans="1:11" ht="42" customHeight="1">
      <c r="A1010" s="2" t="s">
        <v>2953</v>
      </c>
      <c r="B1010" s="2" t="s">
        <v>2954</v>
      </c>
      <c r="C1010" s="2" t="s">
        <v>26</v>
      </c>
      <c r="D1010" s="2" t="s">
        <v>27</v>
      </c>
      <c r="E1010" s="4">
        <v>-32686</v>
      </c>
      <c r="F1010" s="3" t="s">
        <v>2362</v>
      </c>
      <c r="G1010" s="3" t="s">
        <v>20</v>
      </c>
      <c r="H1010" s="2" t="s">
        <v>74</v>
      </c>
      <c r="I1010" s="2" t="s">
        <v>2956</v>
      </c>
      <c r="J1010" s="3" t="str">
        <f>HYPERLINK("https://www.boe.es/gazeta/dias/1810/07/04/pdfs/GMD-1810-185.pdf#page=4","Abrir facsímil")</f>
        <v>Abrir facsímil</v>
      </c>
      <c r="K1010" s="3" t="s">
        <v>76</v>
      </c>
    </row>
    <row r="1011" spans="1:11" ht="42" customHeight="1">
      <c r="A1011" s="2" t="s">
        <v>2957</v>
      </c>
      <c r="B1011" s="2" t="s">
        <v>2958</v>
      </c>
      <c r="C1011" s="2" t="s">
        <v>930</v>
      </c>
      <c r="D1011" s="2" t="s">
        <v>18</v>
      </c>
      <c r="E1011" s="4">
        <v>-32557</v>
      </c>
      <c r="F1011" s="3" t="s">
        <v>837</v>
      </c>
      <c r="G1011" s="3" t="s">
        <v>2073</v>
      </c>
      <c r="H1011" s="2" t="s">
        <v>74</v>
      </c>
      <c r="I1011" s="2" t="s">
        <v>2959</v>
      </c>
      <c r="J1011" s="3" t="str">
        <f>HYPERLINK("https://www.boe.es/gazeta/dias/1810/11/10/pdfs/GEI-1810-93.pdf#page=7","Abrir facsímil")</f>
        <v>Abrir facsímil</v>
      </c>
      <c r="K1011" s="3" t="s">
        <v>76</v>
      </c>
    </row>
    <row r="1012" spans="1:11" ht="42" customHeight="1">
      <c r="A1012" s="2" t="s">
        <v>2960</v>
      </c>
      <c r="B1012" s="2" t="s">
        <v>2961</v>
      </c>
      <c r="C1012" s="2" t="s">
        <v>225</v>
      </c>
      <c r="D1012" s="2" t="s">
        <v>27</v>
      </c>
      <c r="E1012" s="4">
        <v>-32784</v>
      </c>
      <c r="F1012" s="3" t="s">
        <v>429</v>
      </c>
      <c r="G1012" s="3" t="s">
        <v>131</v>
      </c>
      <c r="H1012" s="2" t="s">
        <v>74</v>
      </c>
      <c r="I1012" s="2" t="s">
        <v>2962</v>
      </c>
      <c r="J1012" s="3" t="str">
        <f>HYPERLINK("https://www.boe.es/gazeta/dias/1810/03/28/pdfs/GMD-1810-87.pdf#page=3","Abrir facsímil")</f>
        <v>Abrir facsímil</v>
      </c>
      <c r="K1012" s="3" t="s">
        <v>76</v>
      </c>
    </row>
    <row r="1013" spans="1:11" ht="42" customHeight="1">
      <c r="A1013" s="2" t="s">
        <v>2963</v>
      </c>
      <c r="B1013" s="2" t="s">
        <v>2964</v>
      </c>
      <c r="C1013" s="2" t="s">
        <v>26</v>
      </c>
      <c r="D1013" s="2" t="s">
        <v>27</v>
      </c>
      <c r="E1013" s="4">
        <v>-32739</v>
      </c>
      <c r="F1013" s="3" t="s">
        <v>724</v>
      </c>
      <c r="G1013" s="3" t="s">
        <v>20</v>
      </c>
      <c r="H1013" s="2" t="s">
        <v>74</v>
      </c>
      <c r="I1013" s="2" t="s">
        <v>2965</v>
      </c>
      <c r="J1013" s="3" t="str">
        <f>HYPERLINK("https://www.boe.es/gazeta/dias/1810/05/12/pdfs/GMD-1810-132.pdf#page=4","Abrir facsímil")</f>
        <v>Abrir facsímil</v>
      </c>
      <c r="K1013" s="3" t="s">
        <v>76</v>
      </c>
    </row>
    <row r="1014" spans="1:11" ht="42" customHeight="1">
      <c r="A1014" s="2" t="s">
        <v>2966</v>
      </c>
      <c r="B1014" s="2" t="s">
        <v>2966</v>
      </c>
      <c r="C1014" s="2" t="s">
        <v>26</v>
      </c>
      <c r="D1014" s="2" t="s">
        <v>27</v>
      </c>
      <c r="E1014" s="4">
        <v>-32572</v>
      </c>
      <c r="F1014" s="3" t="s">
        <v>2967</v>
      </c>
      <c r="G1014" s="3" t="s">
        <v>2968</v>
      </c>
      <c r="H1014" s="2" t="s">
        <v>74</v>
      </c>
      <c r="I1014" s="2" t="s">
        <v>2969</v>
      </c>
      <c r="J1014" s="3" t="str">
        <f>HYPERLINK("https://www.boe.es/gazeta/dias/1810/10/26/pdfs/GMD-1810-299.pdf#page=4","Abrir facsímil")</f>
        <v>Abrir facsímil</v>
      </c>
      <c r="K1014" s="3" t="s">
        <v>76</v>
      </c>
    </row>
    <row r="1015" spans="1:11" ht="42" customHeight="1">
      <c r="A1015" s="2" t="s">
        <v>2970</v>
      </c>
      <c r="B1015" s="2" t="s">
        <v>2971</v>
      </c>
      <c r="C1015" s="2" t="s">
        <v>88</v>
      </c>
      <c r="D1015" s="2" t="s">
        <v>27</v>
      </c>
      <c r="E1015" s="4">
        <v>-32620</v>
      </c>
      <c r="F1015" s="3" t="s">
        <v>1499</v>
      </c>
      <c r="G1015" s="3" t="s">
        <v>227</v>
      </c>
      <c r="H1015" s="2" t="s">
        <v>74</v>
      </c>
      <c r="I1015" s="2" t="s">
        <v>2972</v>
      </c>
      <c r="J1015" s="3" t="str">
        <f>HYPERLINK("https://www.boe.es/gazeta/dias/1810/09/08/pdfs/GMD-1810-251.pdf#page=2","Abrir facsímil")</f>
        <v>Abrir facsímil</v>
      </c>
      <c r="K1015" s="3" t="s">
        <v>76</v>
      </c>
    </row>
    <row r="1016" spans="1:11" ht="42" customHeight="1">
      <c r="A1016" s="2" t="s">
        <v>2973</v>
      </c>
      <c r="B1016" s="2" t="s">
        <v>2974</v>
      </c>
      <c r="C1016" s="2" t="s">
        <v>26</v>
      </c>
      <c r="D1016" s="2" t="s">
        <v>27</v>
      </c>
      <c r="E1016" s="4">
        <v>-32652</v>
      </c>
      <c r="F1016" s="3" t="s">
        <v>731</v>
      </c>
      <c r="G1016" s="3" t="s">
        <v>140</v>
      </c>
      <c r="H1016" s="2" t="s">
        <v>74</v>
      </c>
      <c r="I1016" s="2" t="s">
        <v>2975</v>
      </c>
      <c r="J1016" s="3" t="str">
        <f>HYPERLINK("https://www.boe.es/gazeta/dias/1810/08/07/pdfs/GMD-1810-219.pdf#page=3","Abrir facsímil")</f>
        <v>Abrir facsímil</v>
      </c>
      <c r="K1016" s="3" t="s">
        <v>76</v>
      </c>
    </row>
    <row r="1017" spans="1:11" ht="42" customHeight="1">
      <c r="A1017" s="2" t="s">
        <v>2973</v>
      </c>
      <c r="B1017" s="2" t="s">
        <v>2974</v>
      </c>
      <c r="C1017" s="2" t="s">
        <v>225</v>
      </c>
      <c r="D1017" s="2" t="s">
        <v>27</v>
      </c>
      <c r="E1017" s="4">
        <v>-32602</v>
      </c>
      <c r="F1017" s="3" t="s">
        <v>2976</v>
      </c>
      <c r="G1017" s="3" t="s">
        <v>227</v>
      </c>
      <c r="H1017" s="2" t="s">
        <v>74</v>
      </c>
      <c r="I1017" s="2" t="s">
        <v>2977</v>
      </c>
      <c r="J1017" s="3" t="str">
        <f>HYPERLINK("https://www.boe.es/gazeta/dias/1810/09/26/pdfs/GMD-1810-269.pdf#page=3","Abrir facsímil")</f>
        <v>Abrir facsímil</v>
      </c>
      <c r="K1017" s="3" t="s">
        <v>76</v>
      </c>
    </row>
    <row r="1018" spans="1:11" ht="42" customHeight="1">
      <c r="A1018" s="2" t="s">
        <v>2978</v>
      </c>
      <c r="B1018" s="2" t="s">
        <v>2979</v>
      </c>
      <c r="C1018" s="2" t="s">
        <v>88</v>
      </c>
      <c r="D1018" s="2" t="s">
        <v>117</v>
      </c>
      <c r="E1018" s="4">
        <v>-32540</v>
      </c>
      <c r="F1018" s="3" t="s">
        <v>255</v>
      </c>
      <c r="G1018" s="3" t="s">
        <v>1659</v>
      </c>
      <c r="H1018" s="2" t="s">
        <v>74</v>
      </c>
      <c r="I1018" s="2" t="s">
        <v>2980</v>
      </c>
      <c r="J1018" s="3" t="str">
        <f>HYPERLINK("https://www.boe.es/gazeta/dias/1810/11/27/pdfs/GMD-1810-331.pdf#page=1","Abrir facsímil")</f>
        <v>Abrir facsímil</v>
      </c>
      <c r="K1018" s="3" t="s">
        <v>76</v>
      </c>
    </row>
    <row r="1019" spans="1:11" ht="42" customHeight="1">
      <c r="A1019" s="2" t="s">
        <v>2981</v>
      </c>
      <c r="B1019" s="2" t="s">
        <v>2982</v>
      </c>
      <c r="C1019" s="2" t="s">
        <v>88</v>
      </c>
      <c r="D1019" s="2" t="s">
        <v>27</v>
      </c>
      <c r="E1019" s="4">
        <v>-32863</v>
      </c>
      <c r="F1019" s="3" t="s">
        <v>2391</v>
      </c>
      <c r="G1019" s="3" t="s">
        <v>180</v>
      </c>
      <c r="H1019" s="2" t="s">
        <v>74</v>
      </c>
      <c r="I1019" s="2" t="s">
        <v>2983</v>
      </c>
      <c r="J1019" s="3" t="str">
        <f>HYPERLINK("https://www.boe.es/gazeta/dias/1810/01/08/pdfs/GMD-1810-8.pdf#page=3","Abrir facsímil")</f>
        <v>Abrir facsímil</v>
      </c>
      <c r="K1019" s="3" t="s">
        <v>76</v>
      </c>
    </row>
    <row r="1020" spans="1:11" ht="42" customHeight="1">
      <c r="A1020" s="2" t="s">
        <v>2984</v>
      </c>
      <c r="B1020" s="2" t="s">
        <v>2985</v>
      </c>
      <c r="C1020" s="2" t="s">
        <v>26</v>
      </c>
      <c r="D1020" s="2" t="s">
        <v>27</v>
      </c>
      <c r="E1020" s="4">
        <v>-32710</v>
      </c>
      <c r="F1020" s="3" t="s">
        <v>126</v>
      </c>
      <c r="G1020" s="3" t="s">
        <v>184</v>
      </c>
      <c r="H1020" s="2" t="s">
        <v>74</v>
      </c>
      <c r="I1020" s="2" t="s">
        <v>2986</v>
      </c>
      <c r="J1020" s="3" t="str">
        <f>HYPERLINK("https://www.boe.es/gazeta/dias/1810/06/10/pdfs/GMD-1810-161.pdf#page=3","Abrir facsímil")</f>
        <v>Abrir facsímil</v>
      </c>
      <c r="K1020" s="3" t="s">
        <v>76</v>
      </c>
    </row>
    <row r="1021" spans="1:11" ht="42" customHeight="1">
      <c r="A1021" s="2" t="s">
        <v>2987</v>
      </c>
      <c r="B1021" s="2" t="s">
        <v>2988</v>
      </c>
      <c r="C1021" s="2" t="s">
        <v>26</v>
      </c>
      <c r="D1021" s="2" t="s">
        <v>18</v>
      </c>
      <c r="E1021" s="4">
        <v>-32757</v>
      </c>
      <c r="F1021" s="3" t="s">
        <v>1136</v>
      </c>
      <c r="G1021" s="3" t="s">
        <v>1901</v>
      </c>
      <c r="H1021" s="2" t="s">
        <v>74</v>
      </c>
      <c r="I1021" s="2" t="s">
        <v>2989</v>
      </c>
      <c r="J1021" s="3" t="str">
        <f>HYPERLINK("https://www.boe.es/gazeta/dias/1810/04/24/pdfs/GEI-1810-17.pdf#page=8","Abrir facsímil")</f>
        <v>Abrir facsímil</v>
      </c>
      <c r="K1021" s="3" t="s">
        <v>76</v>
      </c>
    </row>
    <row r="1022" spans="1:11" ht="42" customHeight="1">
      <c r="A1022" s="2" t="s">
        <v>2990</v>
      </c>
      <c r="B1022" s="2" t="s">
        <v>2991</v>
      </c>
      <c r="C1022" s="2" t="s">
        <v>17</v>
      </c>
      <c r="D1022" s="2" t="s">
        <v>18</v>
      </c>
      <c r="E1022" s="4">
        <v>-32710</v>
      </c>
      <c r="F1022" s="3" t="s">
        <v>126</v>
      </c>
      <c r="G1022" s="3" t="s">
        <v>180</v>
      </c>
      <c r="H1022" s="2" t="s">
        <v>74</v>
      </c>
      <c r="I1022" s="2" t="s">
        <v>2992</v>
      </c>
      <c r="J1022" s="3" t="str">
        <f>HYPERLINK("https://www.boe.es/gazeta/dias/1810/06/10/pdfs/GMD-1810-161.pdf#page=1","Abrir facsímil")</f>
        <v>Abrir facsímil</v>
      </c>
      <c r="K1022" s="3" t="s">
        <v>76</v>
      </c>
    </row>
    <row r="1023" spans="1:11" ht="42" customHeight="1">
      <c r="A1023" s="2" t="s">
        <v>2990</v>
      </c>
      <c r="B1023" s="2" t="s">
        <v>2991</v>
      </c>
      <c r="C1023" s="2" t="s">
        <v>26</v>
      </c>
      <c r="D1023" s="2" t="s">
        <v>27</v>
      </c>
      <c r="E1023" s="4">
        <v>-32647</v>
      </c>
      <c r="F1023" s="3" t="s">
        <v>118</v>
      </c>
      <c r="G1023" s="3" t="s">
        <v>140</v>
      </c>
      <c r="H1023" s="2" t="s">
        <v>74</v>
      </c>
      <c r="I1023" s="2" t="s">
        <v>2993</v>
      </c>
      <c r="J1023" s="3" t="str">
        <f>HYPERLINK("https://www.boe.es/gazeta/dias/1810/08/12/pdfs/GMD-1810-224.pdf#page=2","Abrir facsímil")</f>
        <v>Abrir facsímil</v>
      </c>
      <c r="K1023" s="3" t="s">
        <v>76</v>
      </c>
    </row>
    <row r="1024" spans="1:11" ht="42" customHeight="1">
      <c r="A1024" s="2" t="s">
        <v>2994</v>
      </c>
      <c r="B1024" s="2" t="s">
        <v>2995</v>
      </c>
      <c r="C1024" s="2" t="s">
        <v>26</v>
      </c>
      <c r="D1024" s="2" t="s">
        <v>27</v>
      </c>
      <c r="E1024" s="4">
        <v>-32659</v>
      </c>
      <c r="F1024" s="3" t="s">
        <v>328</v>
      </c>
      <c r="G1024" s="3" t="s">
        <v>119</v>
      </c>
      <c r="H1024" s="2" t="s">
        <v>74</v>
      </c>
      <c r="I1024" s="2" t="s">
        <v>2996</v>
      </c>
      <c r="J1024" s="3" t="str">
        <f>HYPERLINK("https://www.boe.es/gazeta/dias/1810/07/31/pdfs/GEI-1810-49.pdf#page=8","Abrir facsímil")</f>
        <v>Abrir facsímil</v>
      </c>
      <c r="K1024" s="3" t="s">
        <v>76</v>
      </c>
    </row>
    <row r="1025" spans="1:11" ht="42" customHeight="1">
      <c r="A1025" s="2" t="s">
        <v>2997</v>
      </c>
      <c r="B1025" s="2" t="s">
        <v>2997</v>
      </c>
      <c r="C1025" s="2" t="s">
        <v>26</v>
      </c>
      <c r="D1025" s="2" t="s">
        <v>27</v>
      </c>
      <c r="E1025" s="4">
        <v>-32795</v>
      </c>
      <c r="F1025" s="3" t="s">
        <v>690</v>
      </c>
      <c r="G1025" s="3" t="s">
        <v>691</v>
      </c>
      <c r="H1025" s="2" t="s">
        <v>74</v>
      </c>
      <c r="I1025" s="2" t="s">
        <v>2998</v>
      </c>
      <c r="J1025" s="3" t="str">
        <f>HYPERLINK("https://www.boe.es/gazeta/dias/1810/03/17/pdfs/GMD-1810-76.pdf#page=3","Abrir facsímil")</f>
        <v>Abrir facsímil</v>
      </c>
      <c r="K1025" s="3" t="s">
        <v>76</v>
      </c>
    </row>
    <row r="1026" spans="1:11" ht="42" customHeight="1">
      <c r="A1026" s="2" t="s">
        <v>2999</v>
      </c>
      <c r="B1026" s="2" t="s">
        <v>3000</v>
      </c>
      <c r="C1026" s="2" t="s">
        <v>195</v>
      </c>
      <c r="D1026" s="2" t="s">
        <v>18</v>
      </c>
      <c r="E1026" s="4">
        <v>-32659</v>
      </c>
      <c r="F1026" s="3" t="s">
        <v>328</v>
      </c>
      <c r="G1026" s="3" t="s">
        <v>119</v>
      </c>
      <c r="H1026" s="2" t="s">
        <v>74</v>
      </c>
      <c r="I1026" s="2" t="s">
        <v>3001</v>
      </c>
      <c r="J1026" s="3" t="str">
        <f>HYPERLINK("https://www.boe.es/gazeta/dias/1810/07/31/pdfs/GEI-1810-49.pdf#page=8","Abrir facsímil")</f>
        <v>Abrir facsímil</v>
      </c>
      <c r="K1026" s="3" t="s">
        <v>76</v>
      </c>
    </row>
    <row r="1027" spans="1:11" ht="42" customHeight="1">
      <c r="A1027" s="2" t="s">
        <v>3002</v>
      </c>
      <c r="B1027" s="2" t="s">
        <v>3003</v>
      </c>
      <c r="C1027" s="2" t="s">
        <v>930</v>
      </c>
      <c r="D1027" s="2" t="s">
        <v>18</v>
      </c>
      <c r="E1027" s="4">
        <v>-32557</v>
      </c>
      <c r="F1027" s="3" t="s">
        <v>837</v>
      </c>
      <c r="G1027" s="3" t="s">
        <v>2073</v>
      </c>
      <c r="H1027" s="2" t="s">
        <v>74</v>
      </c>
      <c r="I1027" s="2" t="s">
        <v>3004</v>
      </c>
      <c r="J1027" s="3" t="str">
        <f>HYPERLINK("https://www.boe.es/gazeta/dias/1810/11/10/pdfs/GEI-1810-93.pdf#page=7","Abrir facsímil")</f>
        <v>Abrir facsímil</v>
      </c>
      <c r="K1027" s="3" t="s">
        <v>76</v>
      </c>
    </row>
    <row r="1028" spans="1:11" ht="42" customHeight="1">
      <c r="A1028" s="2" t="s">
        <v>3005</v>
      </c>
      <c r="B1028" s="2" t="s">
        <v>3005</v>
      </c>
      <c r="C1028" s="2" t="s">
        <v>88</v>
      </c>
      <c r="D1028" s="2" t="s">
        <v>117</v>
      </c>
      <c r="E1028" s="4">
        <v>-32833</v>
      </c>
      <c r="F1028" s="3" t="s">
        <v>1836</v>
      </c>
      <c r="G1028" s="3" t="s">
        <v>35</v>
      </c>
      <c r="H1028" s="2" t="s">
        <v>74</v>
      </c>
      <c r="I1028" s="2" t="s">
        <v>3006</v>
      </c>
      <c r="J1028" s="3" t="str">
        <f>HYPERLINK("https://www.boe.es/gazeta/dias/1810/02/07/pdfs/GMD-1810-38.pdf#page=2","Abrir facsímil")</f>
        <v>Abrir facsímil</v>
      </c>
      <c r="K1028" s="3" t="s">
        <v>76</v>
      </c>
    </row>
    <row r="1029" spans="1:11" ht="42" customHeight="1">
      <c r="A1029" s="2" t="s">
        <v>3007</v>
      </c>
      <c r="B1029" s="2" t="s">
        <v>3008</v>
      </c>
      <c r="C1029" s="2" t="s">
        <v>26</v>
      </c>
      <c r="D1029" s="2" t="s">
        <v>27</v>
      </c>
      <c r="E1029" s="4">
        <v>-32761</v>
      </c>
      <c r="F1029" s="3" t="s">
        <v>811</v>
      </c>
      <c r="G1029" s="3" t="s">
        <v>140</v>
      </c>
      <c r="H1029" s="2" t="s">
        <v>74</v>
      </c>
      <c r="I1029" s="2" t="s">
        <v>3009</v>
      </c>
      <c r="J1029" s="3" t="str">
        <f>HYPERLINK("https://www.boe.es/gazeta/dias/1810/04/20/pdfs/GEI-1810-16.pdf#page=8","Abrir facsímil")</f>
        <v>Abrir facsímil</v>
      </c>
      <c r="K1029" s="3" t="s">
        <v>76</v>
      </c>
    </row>
    <row r="1030" spans="1:11" ht="42" customHeight="1">
      <c r="A1030" s="2" t="s">
        <v>3010</v>
      </c>
      <c r="B1030" s="2" t="s">
        <v>3011</v>
      </c>
      <c r="C1030" s="2" t="s">
        <v>88</v>
      </c>
      <c r="D1030" s="2" t="s">
        <v>27</v>
      </c>
      <c r="E1030" s="4">
        <v>-32710</v>
      </c>
      <c r="F1030" s="3" t="s">
        <v>126</v>
      </c>
      <c r="G1030" s="3" t="s">
        <v>35</v>
      </c>
      <c r="H1030" s="2" t="s">
        <v>74</v>
      </c>
      <c r="I1030" s="2" t="s">
        <v>3012</v>
      </c>
      <c r="J1030" s="3" t="str">
        <f>HYPERLINK("https://www.boe.es/gazeta/dias/1810/06/10/pdfs/GMD-1810-161.pdf#page=2","Abrir facsímil")</f>
        <v>Abrir facsímil</v>
      </c>
      <c r="K1030" s="3" t="s">
        <v>76</v>
      </c>
    </row>
    <row r="1031" spans="1:11" ht="42" customHeight="1">
      <c r="A1031" s="2" t="s">
        <v>3013</v>
      </c>
      <c r="B1031" s="2" t="s">
        <v>3014</v>
      </c>
      <c r="C1031" s="2" t="s">
        <v>225</v>
      </c>
      <c r="D1031" s="2" t="s">
        <v>27</v>
      </c>
      <c r="E1031" s="4">
        <v>-32546</v>
      </c>
      <c r="F1031" s="3" t="s">
        <v>2222</v>
      </c>
      <c r="G1031" s="3" t="s">
        <v>99</v>
      </c>
      <c r="H1031" s="2" t="s">
        <v>74</v>
      </c>
      <c r="I1031" s="2" t="s">
        <v>3015</v>
      </c>
      <c r="J1031" s="3" t="str">
        <f>HYPERLINK("https://www.boe.es/gazeta/dias/1810/11/21/pdfs/GMD-1810-325.pdf#page=3","Abrir facsímil")</f>
        <v>Abrir facsímil</v>
      </c>
      <c r="K1031" s="3" t="s">
        <v>76</v>
      </c>
    </row>
    <row r="1032" spans="1:11" ht="42" customHeight="1">
      <c r="A1032" s="2" t="s">
        <v>3016</v>
      </c>
      <c r="B1032" s="2" t="s">
        <v>3017</v>
      </c>
      <c r="C1032" s="2" t="s">
        <v>17</v>
      </c>
      <c r="D1032" s="2" t="s">
        <v>27</v>
      </c>
      <c r="E1032" s="4">
        <v>-32562</v>
      </c>
      <c r="F1032" s="3" t="s">
        <v>1186</v>
      </c>
      <c r="G1032" s="3" t="s">
        <v>90</v>
      </c>
      <c r="H1032" s="2" t="s">
        <v>74</v>
      </c>
      <c r="I1032" s="2" t="s">
        <v>3018</v>
      </c>
      <c r="J1032" s="3" t="str">
        <f>HYPERLINK("https://www.boe.es/gazeta/dias/1810/11/05/pdfs/GMD-1810-309.pdf#page=3","Abrir facsímil")</f>
        <v>Abrir facsímil</v>
      </c>
      <c r="K1032" s="3" t="s">
        <v>76</v>
      </c>
    </row>
    <row r="1033" spans="1:11" ht="42" customHeight="1">
      <c r="A1033" s="2" t="s">
        <v>3019</v>
      </c>
      <c r="B1033" s="2" t="s">
        <v>3020</v>
      </c>
      <c r="C1033" s="2" t="s">
        <v>33</v>
      </c>
      <c r="D1033" s="2" t="s">
        <v>27</v>
      </c>
      <c r="E1033" s="4">
        <v>-32691</v>
      </c>
      <c r="F1033" s="3" t="s">
        <v>3021</v>
      </c>
      <c r="G1033" s="3" t="s">
        <v>3022</v>
      </c>
      <c r="H1033" s="2" t="s">
        <v>74</v>
      </c>
      <c r="I1033" s="2" t="s">
        <v>3023</v>
      </c>
      <c r="J1033" s="3" t="str">
        <f>HYPERLINK("https://www.boe.es/gazeta/dias/1810/06/29/pdfs/GEI-1810-40.pdf#page=7","Abrir facsímil")</f>
        <v>Abrir facsímil</v>
      </c>
      <c r="K1033" s="3" t="s">
        <v>76</v>
      </c>
    </row>
    <row r="1034" spans="1:11" ht="42" customHeight="1">
      <c r="A1034" s="2" t="s">
        <v>3024</v>
      </c>
      <c r="B1034" s="2" t="s">
        <v>3025</v>
      </c>
      <c r="C1034" s="2" t="s">
        <v>17</v>
      </c>
      <c r="D1034" s="2" t="s">
        <v>27</v>
      </c>
      <c r="E1034" s="4">
        <v>-32589</v>
      </c>
      <c r="F1034" s="3" t="s">
        <v>3026</v>
      </c>
      <c r="G1034" s="3" t="s">
        <v>3027</v>
      </c>
      <c r="H1034" s="2" t="s">
        <v>74</v>
      </c>
      <c r="I1034" s="2" t="s">
        <v>3028</v>
      </c>
      <c r="J1034" s="3" t="str">
        <f>HYPERLINK("https://www.boe.es/gazeta/dias/1810/10/09/pdfs/GEI-1810-79.pdf#page=4","Abrir facsímil")</f>
        <v>Abrir facsímil</v>
      </c>
      <c r="K1034" s="3" t="s">
        <v>76</v>
      </c>
    </row>
    <row r="1035" spans="1:11" ht="42" customHeight="1">
      <c r="A1035" s="2" t="s">
        <v>3029</v>
      </c>
      <c r="B1035" s="2" t="s">
        <v>3030</v>
      </c>
      <c r="C1035" s="2" t="s">
        <v>26</v>
      </c>
      <c r="D1035" s="2" t="s">
        <v>27</v>
      </c>
      <c r="E1035" s="4">
        <v>-32742</v>
      </c>
      <c r="F1035" s="3" t="s">
        <v>2306</v>
      </c>
      <c r="G1035" s="3" t="s">
        <v>2307</v>
      </c>
      <c r="H1035" s="2" t="s">
        <v>74</v>
      </c>
      <c r="I1035" s="2" t="s">
        <v>3031</v>
      </c>
      <c r="J1035" s="3" t="str">
        <f>HYPERLINK("https://www.boe.es/gazeta/dias/1810/05/09/pdfs/GMD-1810-129.pdf#page=1","Abrir facsímil")</f>
        <v>Abrir facsímil</v>
      </c>
      <c r="K1035" s="3" t="s">
        <v>76</v>
      </c>
    </row>
    <row r="1036" spans="1:11" ht="42" customHeight="1">
      <c r="A1036" s="2" t="s">
        <v>3032</v>
      </c>
      <c r="B1036" s="2" t="s">
        <v>3033</v>
      </c>
      <c r="C1036" s="2" t="s">
        <v>26</v>
      </c>
      <c r="D1036" s="2" t="s">
        <v>39</v>
      </c>
      <c r="E1036" s="4">
        <v>-32661</v>
      </c>
      <c r="F1036" s="3" t="s">
        <v>157</v>
      </c>
      <c r="G1036" s="3" t="s">
        <v>592</v>
      </c>
      <c r="H1036" s="2" t="s">
        <v>74</v>
      </c>
      <c r="I1036" s="2" t="s">
        <v>3034</v>
      </c>
      <c r="J1036" s="3" t="str">
        <f>HYPERLINK("https://www.boe.es/gazeta/dias/1810/07/29/pdfs/GMD-C-1810-210.pdf#page=2","Abrir facsímil")</f>
        <v>Abrir facsímil</v>
      </c>
      <c r="K1036" s="3" t="s">
        <v>76</v>
      </c>
    </row>
    <row r="1037" spans="1:11" ht="42" customHeight="1">
      <c r="A1037" s="2" t="s">
        <v>3035</v>
      </c>
      <c r="B1037" s="2" t="s">
        <v>3036</v>
      </c>
      <c r="C1037" s="2" t="s">
        <v>26</v>
      </c>
      <c r="D1037" s="2" t="s">
        <v>27</v>
      </c>
      <c r="E1037" s="4">
        <v>-32684</v>
      </c>
      <c r="F1037" s="3" t="s">
        <v>1373</v>
      </c>
      <c r="G1037" s="3" t="s">
        <v>1374</v>
      </c>
      <c r="H1037" s="2" t="s">
        <v>74</v>
      </c>
      <c r="I1037" s="2" t="s">
        <v>3037</v>
      </c>
      <c r="J1037" s="3" t="str">
        <f>HYPERLINK("https://www.boe.es/gazeta/dias/1810/07/06/pdfs/GEI-1810-42.pdf#page=8","Abrir facsímil")</f>
        <v>Abrir facsímil</v>
      </c>
      <c r="K1037" s="3" t="s">
        <v>76</v>
      </c>
    </row>
    <row r="1038" spans="1:11" ht="42" customHeight="1">
      <c r="A1038" s="2" t="s">
        <v>3038</v>
      </c>
      <c r="B1038" s="2" t="s">
        <v>3038</v>
      </c>
      <c r="C1038" s="2" t="s">
        <v>88</v>
      </c>
      <c r="D1038" s="2" t="s">
        <v>117</v>
      </c>
      <c r="E1038" s="4">
        <v>-32780</v>
      </c>
      <c r="F1038" s="3" t="s">
        <v>1295</v>
      </c>
      <c r="G1038" s="3" t="s">
        <v>1630</v>
      </c>
      <c r="H1038" s="2" t="s">
        <v>74</v>
      </c>
      <c r="I1038" s="2" t="s">
        <v>3039</v>
      </c>
      <c r="J1038" s="3" t="str">
        <f>HYPERLINK("https://www.boe.es/gazeta/dias/1810/04/01/pdfs/GMD-1810-91.pdf#page=2","Abrir facsímil")</f>
        <v>Abrir facsímil</v>
      </c>
      <c r="K1038" s="3" t="s">
        <v>76</v>
      </c>
    </row>
    <row r="1039" spans="1:11" ht="42" customHeight="1">
      <c r="A1039" s="2" t="s">
        <v>3040</v>
      </c>
      <c r="B1039" s="2" t="s">
        <v>3040</v>
      </c>
      <c r="C1039" s="2" t="s">
        <v>26</v>
      </c>
      <c r="D1039" s="2" t="s">
        <v>27</v>
      </c>
      <c r="E1039" s="4">
        <v>-32608</v>
      </c>
      <c r="F1039" s="3" t="s">
        <v>781</v>
      </c>
      <c r="G1039" s="3" t="s">
        <v>2147</v>
      </c>
      <c r="H1039" s="2" t="s">
        <v>74</v>
      </c>
      <c r="I1039" s="2" t="s">
        <v>3041</v>
      </c>
      <c r="J1039" s="3" t="str">
        <f>HYPERLINK("https://www.boe.es/gazeta/dias/1810/09/20/pdfs/GEI-1810-70.pdf#page=6","Abrir facsímil")</f>
        <v>Abrir facsímil</v>
      </c>
      <c r="K1039" s="3" t="s">
        <v>76</v>
      </c>
    </row>
    <row r="1040" spans="1:11" ht="42" customHeight="1">
      <c r="A1040" s="2" t="s">
        <v>3042</v>
      </c>
      <c r="B1040" s="2" t="s">
        <v>3043</v>
      </c>
      <c r="C1040" s="2" t="s">
        <v>26</v>
      </c>
      <c r="D1040" s="2" t="s">
        <v>27</v>
      </c>
      <c r="E1040" s="4">
        <v>-32853</v>
      </c>
      <c r="F1040" s="3" t="s">
        <v>516</v>
      </c>
      <c r="G1040" s="3" t="s">
        <v>213</v>
      </c>
      <c r="H1040" s="2" t="s">
        <v>74</v>
      </c>
      <c r="I1040" s="2" t="s">
        <v>3044</v>
      </c>
      <c r="J1040" s="3" t="str">
        <f>HYPERLINK("https://www.boe.es/gazeta/dias/1810/01/18/pdfs/GGB-1810-8.pdf#page=4","Abrir facsímil")</f>
        <v>Abrir facsímil</v>
      </c>
      <c r="K1040" s="3" t="s">
        <v>76</v>
      </c>
    </row>
    <row r="1041" spans="1:11" ht="42" customHeight="1">
      <c r="A1041" s="2" t="s">
        <v>3045</v>
      </c>
      <c r="B1041" s="2" t="s">
        <v>3046</v>
      </c>
      <c r="C1041" s="2" t="s">
        <v>26</v>
      </c>
      <c r="D1041" s="2" t="s">
        <v>27</v>
      </c>
      <c r="E1041" s="4">
        <v>-32763</v>
      </c>
      <c r="F1041" s="3" t="s">
        <v>1146</v>
      </c>
      <c r="G1041" s="3" t="s">
        <v>20</v>
      </c>
      <c r="H1041" s="2" t="s">
        <v>74</v>
      </c>
      <c r="I1041" s="2" t="s">
        <v>3047</v>
      </c>
      <c r="J1041" s="3" t="str">
        <f>HYPERLINK("https://www.boe.es/gazeta/dias/1810/04/18/pdfs/GMD-1810-108.pdf#page=4","Abrir facsímil")</f>
        <v>Abrir facsímil</v>
      </c>
      <c r="K1041" s="3" t="s">
        <v>76</v>
      </c>
    </row>
    <row r="1042" spans="1:11" ht="42" customHeight="1">
      <c r="A1042" s="2" t="s">
        <v>3048</v>
      </c>
      <c r="B1042" s="2" t="s">
        <v>3049</v>
      </c>
      <c r="C1042" s="2" t="s">
        <v>26</v>
      </c>
      <c r="D1042" s="2" t="s">
        <v>27</v>
      </c>
      <c r="E1042" s="4">
        <v>-32707</v>
      </c>
      <c r="F1042" s="3" t="s">
        <v>1753</v>
      </c>
      <c r="G1042" s="3" t="s">
        <v>227</v>
      </c>
      <c r="H1042" s="2" t="s">
        <v>74</v>
      </c>
      <c r="I1042" s="2" t="s">
        <v>3050</v>
      </c>
      <c r="J1042" s="3" t="str">
        <f>HYPERLINK("https://www.boe.es/gazeta/dias/1810/06/13/pdfs/GMD-1810-164.pdf#page=4","Abrir facsímil")</f>
        <v>Abrir facsímil</v>
      </c>
      <c r="K1042" s="3" t="s">
        <v>76</v>
      </c>
    </row>
    <row r="1043" spans="1:11" ht="42" customHeight="1">
      <c r="A1043" s="2" t="s">
        <v>3051</v>
      </c>
      <c r="B1043" s="2" t="s">
        <v>3052</v>
      </c>
      <c r="C1043" s="2" t="s">
        <v>26</v>
      </c>
      <c r="D1043" s="2" t="s">
        <v>27</v>
      </c>
      <c r="E1043" s="4">
        <v>-32515</v>
      </c>
      <c r="F1043" s="3" t="s">
        <v>351</v>
      </c>
      <c r="G1043" s="3" t="s">
        <v>352</v>
      </c>
      <c r="H1043" s="2" t="s">
        <v>74</v>
      </c>
      <c r="I1043" s="2" t="s">
        <v>3053</v>
      </c>
      <c r="J1043" s="3" t="str">
        <f>HYPERLINK("https://www.boe.es/gazeta/dias/1810/12/22/pdfs/GEI-1810-111.pdf#page=8","Abrir facsímil")</f>
        <v>Abrir facsímil</v>
      </c>
      <c r="K1043" s="3" t="s">
        <v>76</v>
      </c>
    </row>
    <row r="1044" spans="1:11" ht="42" customHeight="1">
      <c r="A1044" s="2" t="s">
        <v>3054</v>
      </c>
      <c r="B1044" s="2" t="s">
        <v>3055</v>
      </c>
      <c r="C1044" s="2" t="s">
        <v>225</v>
      </c>
      <c r="D1044" s="2" t="s">
        <v>27</v>
      </c>
      <c r="E1044" s="4">
        <v>-32711</v>
      </c>
      <c r="F1044" s="3" t="s">
        <v>1888</v>
      </c>
      <c r="G1044" s="3" t="s">
        <v>29</v>
      </c>
      <c r="H1044" s="2" t="s">
        <v>74</v>
      </c>
      <c r="I1044" s="2" t="s">
        <v>3056</v>
      </c>
      <c r="J1044" s="3" t="str">
        <f>HYPERLINK("https://www.boe.es/gazeta/dias/1810/06/09/pdfs/GMD-1810-160.pdf#page=4","Abrir facsímil")</f>
        <v>Abrir facsímil</v>
      </c>
      <c r="K1044" s="3" t="s">
        <v>76</v>
      </c>
    </row>
    <row r="1045" spans="1:11" ht="42" customHeight="1">
      <c r="A1045" s="2" t="s">
        <v>3057</v>
      </c>
      <c r="B1045" s="2" t="s">
        <v>3057</v>
      </c>
      <c r="C1045" s="2" t="s">
        <v>26</v>
      </c>
      <c r="D1045" s="2" t="s">
        <v>27</v>
      </c>
      <c r="E1045" s="4">
        <v>-32528</v>
      </c>
      <c r="F1045" s="3" t="s">
        <v>3058</v>
      </c>
      <c r="G1045" s="3" t="s">
        <v>359</v>
      </c>
      <c r="H1045" s="2" t="s">
        <v>74</v>
      </c>
      <c r="I1045" s="2" t="s">
        <v>3059</v>
      </c>
      <c r="J1045" s="3" t="str">
        <f>HYPERLINK("https://www.boe.es/gazeta/dias/1810/12/09/pdfs/GMD-1810-343.pdf#page=3","Abrir facsímil")</f>
        <v>Abrir facsímil</v>
      </c>
      <c r="K1045" s="3" t="s">
        <v>76</v>
      </c>
    </row>
    <row r="1046" spans="1:11" ht="42" customHeight="1">
      <c r="A1046" s="2" t="s">
        <v>3060</v>
      </c>
      <c r="B1046" s="2" t="s">
        <v>3061</v>
      </c>
      <c r="C1046" s="2" t="s">
        <v>88</v>
      </c>
      <c r="D1046" s="2" t="s">
        <v>27</v>
      </c>
      <c r="E1046" s="4">
        <v>-32559</v>
      </c>
      <c r="F1046" s="3" t="s">
        <v>3062</v>
      </c>
      <c r="G1046" s="3" t="s">
        <v>20</v>
      </c>
      <c r="H1046" s="2" t="s">
        <v>74</v>
      </c>
      <c r="I1046" s="2" t="s">
        <v>3063</v>
      </c>
      <c r="J1046" s="3" t="str">
        <f>HYPERLINK("https://www.boe.es/gazeta/dias/1810/11/08/pdfs/GEI-1810-92.pdf#page=4","Abrir facsímil")</f>
        <v>Abrir facsímil</v>
      </c>
      <c r="K1046" s="3" t="s">
        <v>76</v>
      </c>
    </row>
    <row r="1047" spans="1:11" ht="42" customHeight="1">
      <c r="A1047" s="2" t="s">
        <v>3064</v>
      </c>
      <c r="B1047" s="2" t="s">
        <v>3065</v>
      </c>
      <c r="C1047" s="2" t="s">
        <v>26</v>
      </c>
      <c r="D1047" s="2" t="s">
        <v>27</v>
      </c>
      <c r="E1047" s="4">
        <v>-32722</v>
      </c>
      <c r="F1047" s="3" t="s">
        <v>2619</v>
      </c>
      <c r="G1047" s="3" t="s">
        <v>3066</v>
      </c>
      <c r="H1047" s="2" t="s">
        <v>74</v>
      </c>
      <c r="I1047" s="2" t="s">
        <v>3067</v>
      </c>
      <c r="J1047" s="3" t="str">
        <f>HYPERLINK("https://www.boe.es/gazeta/dias/1810/05/29/pdfs/GMD-1810-149.pdf#page=4","Abrir facsímil")</f>
        <v>Abrir facsímil</v>
      </c>
      <c r="K1047" s="3" t="s">
        <v>76</v>
      </c>
    </row>
    <row r="1048" spans="1:11" ht="42" customHeight="1">
      <c r="A1048" s="2" t="s">
        <v>3068</v>
      </c>
      <c r="B1048" s="2" t="s">
        <v>3068</v>
      </c>
      <c r="C1048" s="2" t="s">
        <v>88</v>
      </c>
      <c r="D1048" s="2" t="s">
        <v>27</v>
      </c>
      <c r="E1048" s="4">
        <v>-32858</v>
      </c>
      <c r="F1048" s="3" t="s">
        <v>3069</v>
      </c>
      <c r="G1048" s="3" t="s">
        <v>29</v>
      </c>
      <c r="H1048" s="2" t="s">
        <v>74</v>
      </c>
      <c r="I1048" s="2" t="s">
        <v>3070</v>
      </c>
      <c r="J1048" s="3" t="str">
        <f>HYPERLINK("https://www.boe.es/gazeta/dias/1810/01/13/pdfs/GMD-1810-13.pdf#page=3","Abrir facsímil")</f>
        <v>Abrir facsímil</v>
      </c>
      <c r="K1048" s="3" t="s">
        <v>76</v>
      </c>
    </row>
    <row r="1049" spans="1:11" ht="42" customHeight="1">
      <c r="A1049" s="2" t="s">
        <v>3071</v>
      </c>
      <c r="B1049" s="2" t="s">
        <v>3071</v>
      </c>
      <c r="C1049" s="2" t="s">
        <v>88</v>
      </c>
      <c r="D1049" s="2" t="s">
        <v>27</v>
      </c>
      <c r="E1049" s="4">
        <v>-32571</v>
      </c>
      <c r="F1049" s="3" t="s">
        <v>737</v>
      </c>
      <c r="G1049" s="3" t="s">
        <v>785</v>
      </c>
      <c r="H1049" s="2" t="s">
        <v>74</v>
      </c>
      <c r="I1049" s="2" t="s">
        <v>3072</v>
      </c>
      <c r="J1049" s="3" t="str">
        <f>HYPERLINK("https://www.boe.es/gazeta/dias/1810/10/27/pdfs/GEI-1810-87.pdf#page=3","Abrir facsímil")</f>
        <v>Abrir facsímil</v>
      </c>
      <c r="K1049" s="3" t="s">
        <v>76</v>
      </c>
    </row>
    <row r="1050" spans="1:11" ht="42" customHeight="1">
      <c r="A1050" s="2" t="s">
        <v>3073</v>
      </c>
      <c r="B1050" s="2" t="s">
        <v>3073</v>
      </c>
      <c r="C1050" s="2" t="s">
        <v>88</v>
      </c>
      <c r="D1050" s="2" t="s">
        <v>220</v>
      </c>
      <c r="E1050" s="4">
        <v>-32526</v>
      </c>
      <c r="F1050" s="3" t="s">
        <v>530</v>
      </c>
      <c r="G1050" s="3" t="s">
        <v>20</v>
      </c>
      <c r="H1050" s="2" t="s">
        <v>74</v>
      </c>
      <c r="I1050" s="2" t="s">
        <v>3074</v>
      </c>
      <c r="J1050" s="3" t="str">
        <f>HYPERLINK("https://www.boe.es/gazeta/dias/1810/12/11/pdfs/GEI-1810-106.pdf#page=4","Abrir facsímil")</f>
        <v>Abrir facsímil</v>
      </c>
      <c r="K1050" s="3" t="s">
        <v>76</v>
      </c>
    </row>
    <row r="1051" spans="1:11" ht="42" customHeight="1">
      <c r="A1051" s="2" t="s">
        <v>3075</v>
      </c>
      <c r="B1051" s="2" t="s">
        <v>3075</v>
      </c>
      <c r="C1051" s="2" t="s">
        <v>88</v>
      </c>
      <c r="D1051" s="2" t="s">
        <v>117</v>
      </c>
      <c r="E1051" s="4">
        <v>-32812</v>
      </c>
      <c r="F1051" s="3" t="s">
        <v>627</v>
      </c>
      <c r="G1051" s="3" t="s">
        <v>29</v>
      </c>
      <c r="H1051" s="2" t="s">
        <v>74</v>
      </c>
      <c r="I1051" s="2" t="s">
        <v>3076</v>
      </c>
      <c r="J1051" s="3" t="str">
        <f>HYPERLINK("https://www.boe.es/gazeta/dias/1810/02/28/pdfs/GMD-1810-59.pdf#page=2","Abrir facsímil")</f>
        <v>Abrir facsímil</v>
      </c>
      <c r="K1051" s="3" t="s">
        <v>76</v>
      </c>
    </row>
    <row r="1052" spans="1:11" ht="42" customHeight="1">
      <c r="A1052" s="2" t="s">
        <v>3077</v>
      </c>
      <c r="B1052" s="2" t="s">
        <v>3078</v>
      </c>
      <c r="C1052" s="2" t="s">
        <v>26</v>
      </c>
      <c r="D1052" s="2" t="s">
        <v>27</v>
      </c>
      <c r="E1052" s="4">
        <v>-32710</v>
      </c>
      <c r="F1052" s="3" t="s">
        <v>126</v>
      </c>
      <c r="G1052" s="3" t="s">
        <v>184</v>
      </c>
      <c r="H1052" s="2" t="s">
        <v>74</v>
      </c>
      <c r="I1052" s="2" t="s">
        <v>3079</v>
      </c>
      <c r="J1052" s="3" t="str">
        <f>HYPERLINK("https://www.boe.es/gazeta/dias/1810/06/10/pdfs/GMD-1810-161.pdf#page=3","Abrir facsímil")</f>
        <v>Abrir facsímil</v>
      </c>
      <c r="K1052" s="3" t="s">
        <v>76</v>
      </c>
    </row>
    <row r="1053" spans="1:11" ht="42" customHeight="1">
      <c r="A1053" s="2" t="s">
        <v>3080</v>
      </c>
      <c r="B1053" s="2" t="s">
        <v>3081</v>
      </c>
      <c r="C1053" s="2" t="s">
        <v>26</v>
      </c>
      <c r="D1053" s="2" t="s">
        <v>18</v>
      </c>
      <c r="E1053" s="4">
        <v>-32687</v>
      </c>
      <c r="F1053" s="3" t="s">
        <v>304</v>
      </c>
      <c r="G1053" s="3" t="s">
        <v>213</v>
      </c>
      <c r="H1053" s="2" t="s">
        <v>74</v>
      </c>
      <c r="I1053" s="2" t="s">
        <v>3082</v>
      </c>
      <c r="J1053" s="3" t="str">
        <f>HYPERLINK("https://www.boe.es/gazeta/dias/1810/07/03/pdfs/GMD-C-1810-184.pdf#page=3","Abrir facsímil")</f>
        <v>Abrir facsímil</v>
      </c>
      <c r="K1053" s="3" t="s">
        <v>76</v>
      </c>
    </row>
    <row r="1054" spans="1:11" ht="42" customHeight="1">
      <c r="A1054" s="2" t="s">
        <v>3083</v>
      </c>
      <c r="B1054" s="2" t="s">
        <v>3084</v>
      </c>
      <c r="C1054" s="2" t="s">
        <v>26</v>
      </c>
      <c r="D1054" s="2" t="s">
        <v>27</v>
      </c>
      <c r="E1054" s="4">
        <v>-32738</v>
      </c>
      <c r="F1054" s="3" t="s">
        <v>321</v>
      </c>
      <c r="G1054" s="3" t="s">
        <v>140</v>
      </c>
      <c r="H1054" s="2" t="s">
        <v>74</v>
      </c>
      <c r="I1054" s="2" t="s">
        <v>3085</v>
      </c>
      <c r="J1054" s="3" t="str">
        <f>HYPERLINK("https://www.boe.es/gazeta/dias/1810/05/13/pdfs/GMD-1810-133.pdf#page=4","Abrir facsímil")</f>
        <v>Abrir facsímil</v>
      </c>
      <c r="K1054" s="3" t="s">
        <v>76</v>
      </c>
    </row>
    <row r="1055" spans="1:11" ht="42" customHeight="1">
      <c r="A1055" s="2" t="s">
        <v>3086</v>
      </c>
      <c r="B1055" s="2" t="s">
        <v>3087</v>
      </c>
      <c r="C1055" s="2" t="s">
        <v>26</v>
      </c>
      <c r="D1055" s="2" t="s">
        <v>27</v>
      </c>
      <c r="E1055" s="4">
        <v>-32666</v>
      </c>
      <c r="F1055" s="3" t="s">
        <v>1913</v>
      </c>
      <c r="G1055" s="3" t="s">
        <v>1914</v>
      </c>
      <c r="H1055" s="2" t="s">
        <v>74</v>
      </c>
      <c r="I1055" s="2" t="s">
        <v>3088</v>
      </c>
      <c r="J1055" s="3" t="str">
        <f>HYPERLINK("https://www.boe.es/gazeta/dias/1810/07/24/pdfs/GMD-1810-205.pdf#page=4","Abrir facsímil")</f>
        <v>Abrir facsímil</v>
      </c>
      <c r="K1055" s="3" t="s">
        <v>76</v>
      </c>
    </row>
    <row r="1056" spans="1:11" ht="42" customHeight="1">
      <c r="A1056" s="2" t="s">
        <v>3089</v>
      </c>
      <c r="B1056" s="2" t="s">
        <v>3090</v>
      </c>
      <c r="C1056" s="2" t="s">
        <v>26</v>
      </c>
      <c r="D1056" s="2" t="s">
        <v>27</v>
      </c>
      <c r="E1056" s="4">
        <v>-32725</v>
      </c>
      <c r="F1056" s="3" t="s">
        <v>417</v>
      </c>
      <c r="G1056" s="3" t="s">
        <v>140</v>
      </c>
      <c r="H1056" s="2" t="s">
        <v>74</v>
      </c>
      <c r="I1056" s="2" t="s">
        <v>3091</v>
      </c>
      <c r="J1056" s="3" t="str">
        <f>HYPERLINK("https://www.boe.es/gazeta/dias/1810/05/26/pdfs/GMD-1810-146.pdf#page=4","Abrir facsímil")</f>
        <v>Abrir facsímil</v>
      </c>
      <c r="K1056" s="3" t="s">
        <v>76</v>
      </c>
    </row>
    <row r="1057" spans="1:11" ht="42" customHeight="1">
      <c r="A1057" s="2" t="s">
        <v>3092</v>
      </c>
      <c r="B1057" s="2" t="s">
        <v>3093</v>
      </c>
      <c r="C1057" s="2" t="s">
        <v>317</v>
      </c>
      <c r="D1057" s="2" t="s">
        <v>27</v>
      </c>
      <c r="E1057" s="4">
        <v>-32827</v>
      </c>
      <c r="F1057" s="3" t="s">
        <v>290</v>
      </c>
      <c r="G1057" s="3" t="s">
        <v>291</v>
      </c>
      <c r="H1057" s="2" t="s">
        <v>74</v>
      </c>
      <c r="I1057" s="2" t="s">
        <v>3094</v>
      </c>
      <c r="J1057" s="3" t="str">
        <f>HYPERLINK("https://www.boe.es/gazeta/dias/1810/02/13/pdfs/GMD-1810-44.pdf#page=4","Abrir facsímil")</f>
        <v>Abrir facsímil</v>
      </c>
      <c r="K1057" s="3" t="s">
        <v>76</v>
      </c>
    </row>
    <row r="1058" spans="1:11" ht="42" customHeight="1">
      <c r="A1058" s="2" t="s">
        <v>3095</v>
      </c>
      <c r="B1058" s="2" t="s">
        <v>3096</v>
      </c>
      <c r="C1058" s="2" t="s">
        <v>26</v>
      </c>
      <c r="D1058" s="2" t="s">
        <v>39</v>
      </c>
      <c r="E1058" s="4">
        <v>-32599</v>
      </c>
      <c r="F1058" s="3" t="s">
        <v>662</v>
      </c>
      <c r="G1058" s="3" t="s">
        <v>3097</v>
      </c>
      <c r="H1058" s="2" t="s">
        <v>74</v>
      </c>
      <c r="I1058" s="2" t="s">
        <v>3098</v>
      </c>
      <c r="J1058" s="3" t="str">
        <f>HYPERLINK("https://www.boe.es/gazeta/dias/1810/09/29/pdfs/GMD-C-1810-272.pdf#page=8","Abrir facsímil")</f>
        <v>Abrir facsímil</v>
      </c>
      <c r="K1058" s="3" t="s">
        <v>76</v>
      </c>
    </row>
    <row r="1059" spans="1:11" ht="42" customHeight="1">
      <c r="A1059" s="2" t="s">
        <v>3099</v>
      </c>
      <c r="B1059" s="2" t="s">
        <v>3100</v>
      </c>
      <c r="C1059" s="2" t="s">
        <v>26</v>
      </c>
      <c r="D1059" s="2" t="s">
        <v>27</v>
      </c>
      <c r="E1059" s="4">
        <v>-32543</v>
      </c>
      <c r="F1059" s="3" t="s">
        <v>69</v>
      </c>
      <c r="G1059" s="3" t="s">
        <v>84</v>
      </c>
      <c r="H1059" s="2" t="s">
        <v>74</v>
      </c>
      <c r="I1059" s="2" t="s">
        <v>3101</v>
      </c>
      <c r="J1059" s="3" t="str">
        <f>HYPERLINK("https://www.boe.es/gazeta/dias/1810/11/24/pdfs/GEI-1810-99.pdf#page=7","Abrir facsímil")</f>
        <v>Abrir facsímil</v>
      </c>
      <c r="K1059" s="3" t="s">
        <v>76</v>
      </c>
    </row>
    <row r="1060" spans="1:11" ht="42" customHeight="1">
      <c r="A1060" s="2" t="s">
        <v>3102</v>
      </c>
      <c r="B1060" s="2" t="s">
        <v>3103</v>
      </c>
      <c r="C1060" s="2" t="s">
        <v>26</v>
      </c>
      <c r="D1060" s="2" t="s">
        <v>39</v>
      </c>
      <c r="E1060" s="4">
        <v>-32645</v>
      </c>
      <c r="F1060" s="3" t="s">
        <v>2492</v>
      </c>
      <c r="G1060" s="3" t="s">
        <v>119</v>
      </c>
      <c r="H1060" s="2" t="s">
        <v>74</v>
      </c>
      <c r="I1060" s="2" t="s">
        <v>3104</v>
      </c>
      <c r="J1060" s="3" t="str">
        <f>HYPERLINK("https://www.boe.es/gazeta/dias/1810/08/14/pdfs/GEI-D-1810-56.pdf#page=3","Abrir facsímil")</f>
        <v>Abrir facsímil</v>
      </c>
      <c r="K1060" s="3" t="s">
        <v>76</v>
      </c>
    </row>
    <row r="1061" spans="1:11" ht="42" customHeight="1">
      <c r="A1061" s="2" t="s">
        <v>3105</v>
      </c>
      <c r="B1061" s="2" t="s">
        <v>3106</v>
      </c>
      <c r="C1061" s="2" t="s">
        <v>88</v>
      </c>
      <c r="D1061" s="2" t="s">
        <v>27</v>
      </c>
      <c r="E1061" s="4">
        <v>-32533</v>
      </c>
      <c r="F1061" s="3" t="s">
        <v>1357</v>
      </c>
      <c r="G1061" s="3" t="s">
        <v>701</v>
      </c>
      <c r="H1061" s="2" t="s">
        <v>74</v>
      </c>
      <c r="I1061" s="2" t="s">
        <v>3107</v>
      </c>
      <c r="J1061" s="3" t="str">
        <f>HYPERLINK("https://www.boe.es/gazeta/dias/1810/12/04/pdfs/GEI-1810-103.pdf#page=8","Abrir facsímil")</f>
        <v>Abrir facsímil</v>
      </c>
      <c r="K1061" s="3" t="s">
        <v>76</v>
      </c>
    </row>
    <row r="1062" spans="1:11" ht="42" customHeight="1">
      <c r="A1062" s="2" t="s">
        <v>3108</v>
      </c>
      <c r="B1062" s="2" t="s">
        <v>3109</v>
      </c>
      <c r="C1062" s="2" t="s">
        <v>26</v>
      </c>
      <c r="D1062" s="2" t="s">
        <v>27</v>
      </c>
      <c r="E1062" s="4">
        <v>-32698</v>
      </c>
      <c r="F1062" s="3" t="s">
        <v>2705</v>
      </c>
      <c r="G1062" s="3" t="s">
        <v>2706</v>
      </c>
      <c r="H1062" s="2" t="s">
        <v>74</v>
      </c>
      <c r="I1062" s="2" t="s">
        <v>3110</v>
      </c>
      <c r="J1062" s="3" t="str">
        <f>HYPERLINK("https://www.boe.es/gazeta/dias/1810/06/22/pdfs/GEI-1810-38.pdf#page=8","Abrir facsímil")</f>
        <v>Abrir facsímil</v>
      </c>
      <c r="K1062" s="3" t="s">
        <v>76</v>
      </c>
    </row>
    <row r="1063" spans="1:11" ht="42" customHeight="1">
      <c r="A1063" s="2" t="s">
        <v>3111</v>
      </c>
      <c r="B1063" s="2" t="s">
        <v>3112</v>
      </c>
      <c r="C1063" s="2" t="s">
        <v>26</v>
      </c>
      <c r="D1063" s="2" t="s">
        <v>39</v>
      </c>
      <c r="E1063" s="4">
        <v>-32661</v>
      </c>
      <c r="F1063" s="3" t="s">
        <v>157</v>
      </c>
      <c r="G1063" s="3" t="s">
        <v>158</v>
      </c>
      <c r="H1063" s="2" t="s">
        <v>74</v>
      </c>
      <c r="I1063" s="2" t="s">
        <v>3113</v>
      </c>
      <c r="J1063" s="3" t="str">
        <f>HYPERLINK("https://www.boe.es/gazeta/dias/1810/07/29/pdfs/GMD-C-1810-210.pdf#page=1","Abrir facsímil")</f>
        <v>Abrir facsímil</v>
      </c>
      <c r="K1063" s="3" t="s">
        <v>76</v>
      </c>
    </row>
    <row r="1064" spans="1:11" ht="42" customHeight="1">
      <c r="A1064" s="2" t="s">
        <v>3114</v>
      </c>
      <c r="B1064" s="2" t="s">
        <v>3115</v>
      </c>
      <c r="C1064" s="2" t="s">
        <v>26</v>
      </c>
      <c r="D1064" s="2" t="s">
        <v>27</v>
      </c>
      <c r="E1064" s="4">
        <v>-32575</v>
      </c>
      <c r="F1064" s="3" t="s">
        <v>135</v>
      </c>
      <c r="G1064" s="3" t="s">
        <v>136</v>
      </c>
      <c r="H1064" s="2" t="s">
        <v>74</v>
      </c>
      <c r="I1064" s="2" t="s">
        <v>3116</v>
      </c>
      <c r="J1064" s="3" t="str">
        <f>HYPERLINK("https://www.boe.es/gazeta/dias/1810/10/23/pdfs/GEI-1810-85.pdf#page=11","Abrir facsímil")</f>
        <v>Abrir facsímil</v>
      </c>
      <c r="K1064" s="3" t="s">
        <v>76</v>
      </c>
    </row>
    <row r="1065" spans="1:11" ht="42" customHeight="1">
      <c r="A1065" s="2" t="s">
        <v>3117</v>
      </c>
      <c r="B1065" s="2" t="s">
        <v>3117</v>
      </c>
      <c r="C1065" s="2" t="s">
        <v>88</v>
      </c>
      <c r="D1065" s="2" t="s">
        <v>117</v>
      </c>
      <c r="E1065" s="4">
        <v>-32628</v>
      </c>
      <c r="F1065" s="3" t="s">
        <v>3118</v>
      </c>
      <c r="G1065" s="3" t="s">
        <v>465</v>
      </c>
      <c r="H1065" s="2" t="s">
        <v>74</v>
      </c>
      <c r="I1065" s="2" t="s">
        <v>3119</v>
      </c>
      <c r="J1065" s="3" t="str">
        <f>HYPERLINK("https://www.boe.es/gazeta/dias/1810/08/31/pdfs/GEI-1810-62.pdf#page=8","Abrir facsímil")</f>
        <v>Abrir facsímil</v>
      </c>
      <c r="K1065" s="3" t="s">
        <v>76</v>
      </c>
    </row>
    <row r="1066" spans="1:11" ht="42" customHeight="1">
      <c r="A1066" s="2" t="s">
        <v>3117</v>
      </c>
      <c r="B1066" s="2" t="s">
        <v>3117</v>
      </c>
      <c r="C1066" s="2" t="s">
        <v>88</v>
      </c>
      <c r="D1066" s="2" t="s">
        <v>117</v>
      </c>
      <c r="E1066" s="4">
        <v>-32573</v>
      </c>
      <c r="F1066" s="3" t="s">
        <v>3120</v>
      </c>
      <c r="G1066" s="3" t="s">
        <v>1656</v>
      </c>
      <c r="H1066" s="2" t="s">
        <v>74</v>
      </c>
      <c r="I1066" s="2" t="s">
        <v>3121</v>
      </c>
      <c r="J1066" s="3" t="str">
        <f>HYPERLINK("https://www.boe.es/gazeta/dias/1810/10/25/pdfs/GEI-1810-86.pdf#page=3","Abrir facsímil")</f>
        <v>Abrir facsímil</v>
      </c>
      <c r="K1066" s="3" t="s">
        <v>76</v>
      </c>
    </row>
    <row r="1067" spans="1:11" ht="42" customHeight="1">
      <c r="A1067" s="2" t="s">
        <v>3117</v>
      </c>
      <c r="B1067" s="2" t="s">
        <v>3117</v>
      </c>
      <c r="C1067" s="2" t="s">
        <v>88</v>
      </c>
      <c r="D1067" s="2" t="s">
        <v>27</v>
      </c>
      <c r="E1067" s="4">
        <v>-32538</v>
      </c>
      <c r="F1067" s="3" t="s">
        <v>1949</v>
      </c>
      <c r="G1067" s="3" t="s">
        <v>1950</v>
      </c>
      <c r="H1067" s="2" t="s">
        <v>74</v>
      </c>
      <c r="I1067" s="2" t="s">
        <v>3122</v>
      </c>
      <c r="J1067" s="3" t="str">
        <f>HYPERLINK("https://www.boe.es/gazeta/dias/1810/11/29/pdfs/GEI-1810-101.pdf#page=5","Abrir facsímil")</f>
        <v>Abrir facsímil</v>
      </c>
      <c r="K1067" s="3" t="s">
        <v>76</v>
      </c>
    </row>
    <row r="1068" spans="1:11" ht="42" customHeight="1">
      <c r="A1068" s="2" t="s">
        <v>3123</v>
      </c>
      <c r="B1068" s="2" t="s">
        <v>3124</v>
      </c>
      <c r="C1068" s="2" t="s">
        <v>88</v>
      </c>
      <c r="D1068" s="2" t="s">
        <v>27</v>
      </c>
      <c r="E1068" s="4">
        <v>-32541</v>
      </c>
      <c r="F1068" s="3" t="s">
        <v>748</v>
      </c>
      <c r="G1068" s="3" t="s">
        <v>3125</v>
      </c>
      <c r="H1068" s="2" t="s">
        <v>74</v>
      </c>
      <c r="I1068" s="2" t="s">
        <v>3126</v>
      </c>
      <c r="J1068" s="3" t="str">
        <f>HYPERLINK("https://www.boe.es/gazeta/dias/1810/11/26/pdfs/GMD-1810-330.pdf#page=3","Abrir facsímil")</f>
        <v>Abrir facsímil</v>
      </c>
      <c r="K1068" s="3" t="s">
        <v>76</v>
      </c>
    </row>
    <row r="1069" spans="1:11" ht="42" customHeight="1">
      <c r="A1069" s="2" t="s">
        <v>3127</v>
      </c>
      <c r="B1069" s="2" t="s">
        <v>3127</v>
      </c>
      <c r="C1069" s="2" t="s">
        <v>26</v>
      </c>
      <c r="D1069" s="2" t="s">
        <v>27</v>
      </c>
      <c r="E1069" s="4">
        <v>-32693</v>
      </c>
      <c r="F1069" s="3" t="s">
        <v>54</v>
      </c>
      <c r="G1069" s="3" t="s">
        <v>90</v>
      </c>
      <c r="H1069" s="2" t="s">
        <v>74</v>
      </c>
      <c r="I1069" s="2" t="s">
        <v>3128</v>
      </c>
      <c r="J1069" s="3" t="str">
        <f>HYPERLINK("https://www.boe.es/gazeta/dias/1810/06/27/pdfs/GMD-1810-178.pdf#page=2","Abrir facsímil")</f>
        <v>Abrir facsímil</v>
      </c>
      <c r="K1069" s="3" t="s">
        <v>76</v>
      </c>
    </row>
    <row r="1070" spans="1:11" ht="42" customHeight="1">
      <c r="A1070" s="2" t="s">
        <v>3129</v>
      </c>
      <c r="B1070" s="2" t="s">
        <v>3129</v>
      </c>
      <c r="C1070" s="2" t="s">
        <v>88</v>
      </c>
      <c r="D1070" s="2" t="s">
        <v>27</v>
      </c>
      <c r="E1070" s="4">
        <v>-32664</v>
      </c>
      <c r="F1070" s="3" t="s">
        <v>618</v>
      </c>
      <c r="G1070" s="3" t="s">
        <v>1985</v>
      </c>
      <c r="H1070" s="2" t="s">
        <v>74</v>
      </c>
      <c r="I1070" s="2" t="s">
        <v>3130</v>
      </c>
      <c r="J1070" s="3" t="str">
        <f>HYPERLINK("https://www.boe.es/gazeta/dias/1810/07/26/pdfs/GMD-1810-207.pdf#page=4","Abrir facsímil")</f>
        <v>Abrir facsímil</v>
      </c>
      <c r="K1070" s="3" t="s">
        <v>76</v>
      </c>
    </row>
    <row r="1071" spans="1:11" ht="42" customHeight="1">
      <c r="A1071" s="2" t="s">
        <v>3131</v>
      </c>
      <c r="B1071" s="2" t="s">
        <v>3131</v>
      </c>
      <c r="C1071" s="2" t="s">
        <v>88</v>
      </c>
      <c r="D1071" s="2" t="s">
        <v>27</v>
      </c>
      <c r="E1071" s="4">
        <v>-32635</v>
      </c>
      <c r="F1071" s="3" t="s">
        <v>3132</v>
      </c>
      <c r="G1071" s="3" t="s">
        <v>3133</v>
      </c>
      <c r="H1071" s="2" t="s">
        <v>74</v>
      </c>
      <c r="I1071" s="2" t="s">
        <v>3134</v>
      </c>
      <c r="J1071" s="3" t="str">
        <f>HYPERLINK("https://www.boe.es/gazeta/dias/1810/08/24/pdfs/GEI-1810-59.pdf#page=4","Abrir facsímil")</f>
        <v>Abrir facsímil</v>
      </c>
      <c r="K1071" s="3" t="s">
        <v>76</v>
      </c>
    </row>
    <row r="1072" spans="1:11" ht="42" customHeight="1">
      <c r="A1072" s="2" t="s">
        <v>3135</v>
      </c>
      <c r="B1072" s="2" t="s">
        <v>3136</v>
      </c>
      <c r="C1072" s="2" t="s">
        <v>26</v>
      </c>
      <c r="D1072" s="2" t="s">
        <v>27</v>
      </c>
      <c r="E1072" s="4">
        <v>-32522</v>
      </c>
      <c r="F1072" s="3" t="s">
        <v>3137</v>
      </c>
      <c r="G1072" s="3" t="s">
        <v>782</v>
      </c>
      <c r="H1072" s="2" t="s">
        <v>74</v>
      </c>
      <c r="I1072" s="2" t="s">
        <v>3138</v>
      </c>
      <c r="J1072" s="3" t="str">
        <f>HYPERLINK("https://www.boe.es/gazeta/dias/1810/12/15/pdfs/GEI-1810-108.pdf#page=5","Abrir facsímil")</f>
        <v>Abrir facsímil</v>
      </c>
      <c r="K1072" s="3" t="s">
        <v>76</v>
      </c>
    </row>
    <row r="1073" spans="1:11" ht="42" customHeight="1">
      <c r="A1073" s="2" t="s">
        <v>3139</v>
      </c>
      <c r="B1073" s="2" t="s">
        <v>3140</v>
      </c>
      <c r="C1073" s="2" t="s">
        <v>225</v>
      </c>
      <c r="D1073" s="2" t="s">
        <v>27</v>
      </c>
      <c r="E1073" s="4">
        <v>-32547</v>
      </c>
      <c r="F1073" s="3" t="s">
        <v>407</v>
      </c>
      <c r="G1073" s="3" t="s">
        <v>1347</v>
      </c>
      <c r="H1073" s="2" t="s">
        <v>21</v>
      </c>
      <c r="I1073" s="2" t="s">
        <v>3141</v>
      </c>
      <c r="J1073" s="3" t="str">
        <f>HYPERLINK("https://www.boe.es/gazeta/dias/1810/11/20/pdfs/GEI-1810-97.pdf#page=7","Abrir facsímil")</f>
        <v>Abrir facsímil</v>
      </c>
      <c r="K1073" s="3" t="s">
        <v>23</v>
      </c>
    </row>
    <row r="1074" spans="1:11" ht="42" customHeight="1">
      <c r="A1074" s="2" t="s">
        <v>3142</v>
      </c>
      <c r="B1074" s="2" t="s">
        <v>3143</v>
      </c>
      <c r="C1074" s="2" t="s">
        <v>26</v>
      </c>
      <c r="D1074" s="2" t="s">
        <v>27</v>
      </c>
      <c r="E1074" s="4">
        <v>-32839</v>
      </c>
      <c r="F1074" s="3" t="s">
        <v>28</v>
      </c>
      <c r="G1074" s="3" t="s">
        <v>29</v>
      </c>
      <c r="H1074" s="2" t="s">
        <v>21</v>
      </c>
      <c r="I1074" s="2" t="s">
        <v>3144</v>
      </c>
      <c r="J1074" s="3" t="str">
        <f>HYPERLINK("https://www.boe.es/gazeta/dias/1810/02/01/pdfs/GMD-1810-32.pdf#page=3","Abrir facsímil")</f>
        <v>Abrir facsímil</v>
      </c>
      <c r="K1074" s="3" t="s">
        <v>23</v>
      </c>
    </row>
    <row r="1075" spans="1:11" ht="42" customHeight="1">
      <c r="A1075" s="2" t="s">
        <v>3145</v>
      </c>
      <c r="B1075" s="2" t="s">
        <v>3146</v>
      </c>
      <c r="C1075" s="2" t="s">
        <v>88</v>
      </c>
      <c r="D1075" s="2" t="s">
        <v>27</v>
      </c>
      <c r="E1075" s="4">
        <v>-32764</v>
      </c>
      <c r="F1075" s="3" t="s">
        <v>640</v>
      </c>
      <c r="G1075" s="3" t="s">
        <v>641</v>
      </c>
      <c r="H1075" s="2" t="s">
        <v>21</v>
      </c>
      <c r="I1075" s="2" t="s">
        <v>3147</v>
      </c>
      <c r="J1075" s="3" t="str">
        <f>HYPERLINK("https://www.boe.es/gazeta/dias/1810/04/17/pdfs/GEI-1810-15.pdf#page=8","Abrir facsímil")</f>
        <v>Abrir facsímil</v>
      </c>
      <c r="K1075" s="3" t="s">
        <v>23</v>
      </c>
    </row>
    <row r="1076" spans="1:11" ht="42" customHeight="1">
      <c r="A1076" s="2" t="s">
        <v>3148</v>
      </c>
      <c r="B1076" s="2" t="s">
        <v>3149</v>
      </c>
      <c r="C1076" s="2" t="s">
        <v>17</v>
      </c>
      <c r="D1076" s="2" t="s">
        <v>27</v>
      </c>
      <c r="E1076" s="4">
        <v>-32642</v>
      </c>
      <c r="F1076" s="3" t="s">
        <v>2607</v>
      </c>
      <c r="G1076" s="3" t="s">
        <v>465</v>
      </c>
      <c r="H1076" s="2" t="s">
        <v>21</v>
      </c>
      <c r="I1076" s="2" t="s">
        <v>3150</v>
      </c>
      <c r="J1076" s="3" t="str">
        <f>HYPERLINK("https://www.boe.es/gazeta/dias/1810/08/17/pdfs/GMD-1810-229.pdf#page=2","Abrir facsímil")</f>
        <v>Abrir facsímil</v>
      </c>
      <c r="K1076" s="3" t="s">
        <v>23</v>
      </c>
    </row>
    <row r="1077" spans="1:11" ht="42" customHeight="1">
      <c r="A1077" s="2" t="s">
        <v>3151</v>
      </c>
      <c r="B1077" s="2" t="s">
        <v>3152</v>
      </c>
      <c r="C1077" s="2" t="s">
        <v>88</v>
      </c>
      <c r="D1077" s="2" t="s">
        <v>27</v>
      </c>
      <c r="E1077" s="4">
        <v>-32710</v>
      </c>
      <c r="F1077" s="3" t="s">
        <v>126</v>
      </c>
      <c r="G1077" s="3" t="s">
        <v>35</v>
      </c>
      <c r="H1077" s="2" t="s">
        <v>21</v>
      </c>
      <c r="I1077" s="2" t="s">
        <v>3153</v>
      </c>
      <c r="J1077" s="3" t="str">
        <f>HYPERLINK("https://www.boe.es/gazeta/dias/1810/06/10/pdfs/GMD-1810-161.pdf#page=2","Abrir facsímil")</f>
        <v>Abrir facsímil</v>
      </c>
      <c r="K1077" s="3" t="s">
        <v>23</v>
      </c>
    </row>
    <row r="1078" spans="1:11" ht="42" customHeight="1">
      <c r="A1078" s="2" t="s">
        <v>3154</v>
      </c>
      <c r="B1078" s="2" t="s">
        <v>3154</v>
      </c>
      <c r="C1078" s="2" t="s">
        <v>26</v>
      </c>
      <c r="D1078" s="2" t="s">
        <v>27</v>
      </c>
      <c r="E1078" s="4">
        <v>-32713</v>
      </c>
      <c r="F1078" s="3" t="s">
        <v>959</v>
      </c>
      <c r="G1078" s="3" t="s">
        <v>632</v>
      </c>
      <c r="H1078" s="2" t="s">
        <v>74</v>
      </c>
      <c r="I1078" s="2" t="s">
        <v>3155</v>
      </c>
      <c r="J1078" s="3" t="str">
        <f>HYPERLINK("https://www.boe.es/gazeta/dias/1810/06/07/pdfs/GMD-1810-158.pdf#page=3","Abrir facsímil")</f>
        <v>Abrir facsímil</v>
      </c>
      <c r="K1078" s="3" t="s">
        <v>76</v>
      </c>
    </row>
    <row r="1079" spans="1:11" ht="42" customHeight="1">
      <c r="A1079" s="2" t="s">
        <v>3156</v>
      </c>
      <c r="B1079" s="2" t="s">
        <v>3157</v>
      </c>
      <c r="C1079" s="2" t="s">
        <v>88</v>
      </c>
      <c r="D1079" s="2" t="s">
        <v>117</v>
      </c>
      <c r="E1079" s="4">
        <v>-32705</v>
      </c>
      <c r="F1079" s="3" t="s">
        <v>1158</v>
      </c>
      <c r="G1079" s="3" t="s">
        <v>1711</v>
      </c>
      <c r="H1079" s="2" t="s">
        <v>74</v>
      </c>
      <c r="I1079" s="2" t="s">
        <v>3158</v>
      </c>
      <c r="J1079" s="3" t="str">
        <f>HYPERLINK("https://www.boe.es/gazeta/dias/1810/06/15/pdfs/GMD-1810-166.pdf#page=4","Abrir facsímil")</f>
        <v>Abrir facsímil</v>
      </c>
      <c r="K1079" s="3" t="s">
        <v>76</v>
      </c>
    </row>
    <row r="1080" spans="1:11" ht="42" customHeight="1">
      <c r="A1080" s="2" t="s">
        <v>3159</v>
      </c>
      <c r="B1080" s="2" t="s">
        <v>3160</v>
      </c>
      <c r="C1080" s="2" t="s">
        <v>225</v>
      </c>
      <c r="D1080" s="2" t="s">
        <v>27</v>
      </c>
      <c r="E1080" s="4">
        <v>-32509</v>
      </c>
      <c r="F1080" s="3" t="s">
        <v>212</v>
      </c>
      <c r="G1080" s="3" t="s">
        <v>213</v>
      </c>
      <c r="H1080" s="2" t="s">
        <v>74</v>
      </c>
      <c r="I1080" s="2" t="s">
        <v>3161</v>
      </c>
      <c r="J1080" s="3" t="str">
        <f>HYPERLINK("https://www.boe.es/gazeta/dias/1810/12/28/pdfs/GMD-1810-362.pdf#page=4","Abrir facsímil")</f>
        <v>Abrir facsímil</v>
      </c>
      <c r="K1080" s="3" t="s">
        <v>76</v>
      </c>
    </row>
    <row r="1081" spans="1:11" ht="42" customHeight="1">
      <c r="A1081" s="2" t="s">
        <v>3162</v>
      </c>
      <c r="B1081" s="2" t="s">
        <v>3163</v>
      </c>
      <c r="C1081" s="2" t="s">
        <v>26</v>
      </c>
      <c r="D1081" s="2" t="s">
        <v>39</v>
      </c>
      <c r="E1081" s="4">
        <v>-32702</v>
      </c>
      <c r="F1081" s="3" t="s">
        <v>179</v>
      </c>
      <c r="G1081" s="3" t="s">
        <v>517</v>
      </c>
      <c r="H1081" s="2" t="s">
        <v>74</v>
      </c>
      <c r="I1081" s="2" t="s">
        <v>3164</v>
      </c>
      <c r="J1081" s="3" t="str">
        <f>HYPERLINK("https://www.boe.es/gazeta/dias/1810/06/18/pdfs/GMD-C-1810-169.pdf#page=3","Abrir facsímil")</f>
        <v>Abrir facsímil</v>
      </c>
      <c r="K1081" s="3" t="s">
        <v>76</v>
      </c>
    </row>
    <row r="1082" spans="1:11" ht="42" customHeight="1">
      <c r="A1082" s="2" t="s">
        <v>3165</v>
      </c>
      <c r="B1082" s="2" t="s">
        <v>3166</v>
      </c>
      <c r="C1082" s="2" t="s">
        <v>88</v>
      </c>
      <c r="D1082" s="2" t="s">
        <v>27</v>
      </c>
      <c r="E1082" s="4">
        <v>-32756</v>
      </c>
      <c r="F1082" s="3" t="s">
        <v>203</v>
      </c>
      <c r="G1082" s="3" t="s">
        <v>180</v>
      </c>
      <c r="H1082" s="2" t="s">
        <v>74</v>
      </c>
      <c r="I1082" s="2" t="s">
        <v>3167</v>
      </c>
      <c r="J1082" s="3" t="str">
        <f>HYPERLINK("https://www.boe.es/gazeta/dias/1810/04/25/pdfs/GMD-1810-115.pdf#page=4","Abrir facsímil")</f>
        <v>Abrir facsímil</v>
      </c>
      <c r="K1082" s="3" t="s">
        <v>76</v>
      </c>
    </row>
    <row r="1083" spans="1:11" ht="42" customHeight="1">
      <c r="A1083" s="2" t="s">
        <v>3168</v>
      </c>
      <c r="B1083" s="2" t="s">
        <v>3169</v>
      </c>
      <c r="C1083" s="2" t="s">
        <v>26</v>
      </c>
      <c r="D1083" s="2" t="s">
        <v>39</v>
      </c>
      <c r="E1083" s="4">
        <v>-32702</v>
      </c>
      <c r="F1083" s="3" t="s">
        <v>179</v>
      </c>
      <c r="G1083" s="3" t="s">
        <v>119</v>
      </c>
      <c r="H1083" s="2" t="s">
        <v>74</v>
      </c>
      <c r="I1083" s="2" t="s">
        <v>3170</v>
      </c>
      <c r="J1083" s="3" t="str">
        <f>HYPERLINK("https://www.boe.es/gazeta/dias/1810/06/18/pdfs/GMD-C-1810-169.pdf#page=1","Abrir facsímil")</f>
        <v>Abrir facsímil</v>
      </c>
      <c r="K1083" s="3" t="s">
        <v>76</v>
      </c>
    </row>
    <row r="1084" spans="1:11" ht="42" customHeight="1">
      <c r="A1084" s="2" t="s">
        <v>3171</v>
      </c>
      <c r="B1084" s="2" t="s">
        <v>3172</v>
      </c>
      <c r="C1084" s="2" t="s">
        <v>930</v>
      </c>
      <c r="D1084" s="2" t="s">
        <v>27</v>
      </c>
      <c r="E1084" s="4">
        <v>-32543</v>
      </c>
      <c r="F1084" s="3" t="s">
        <v>69</v>
      </c>
      <c r="G1084" s="3" t="s">
        <v>84</v>
      </c>
      <c r="H1084" s="2" t="s">
        <v>74</v>
      </c>
      <c r="I1084" s="2" t="s">
        <v>3173</v>
      </c>
      <c r="J1084" s="3" t="str">
        <f>HYPERLINK("https://www.boe.es/gazeta/dias/1810/11/24/pdfs/GEI-1810-99.pdf#page=7","Abrir facsímil")</f>
        <v>Abrir facsímil</v>
      </c>
      <c r="K1084" s="3" t="s">
        <v>76</v>
      </c>
    </row>
    <row r="1085" spans="1:11" ht="42" customHeight="1">
      <c r="A1085" s="2" t="s">
        <v>3174</v>
      </c>
      <c r="B1085" s="2" t="s">
        <v>3175</v>
      </c>
      <c r="C1085" s="2" t="s">
        <v>930</v>
      </c>
      <c r="D1085" s="2" t="s">
        <v>27</v>
      </c>
      <c r="E1085" s="4">
        <v>-32543</v>
      </c>
      <c r="F1085" s="3" t="s">
        <v>69</v>
      </c>
      <c r="G1085" s="3" t="s">
        <v>84</v>
      </c>
      <c r="H1085" s="2" t="s">
        <v>74</v>
      </c>
      <c r="I1085" s="2" t="s">
        <v>3176</v>
      </c>
      <c r="J1085" s="3" t="str">
        <f>HYPERLINK("https://www.boe.es/gazeta/dias/1810/11/24/pdfs/GEI-1810-99.pdf#page=7","Abrir facsímil")</f>
        <v>Abrir facsímil</v>
      </c>
      <c r="K1085" s="3" t="s">
        <v>76</v>
      </c>
    </row>
    <row r="1086" spans="1:11" ht="42" customHeight="1">
      <c r="A1086" s="2" t="s">
        <v>3177</v>
      </c>
      <c r="B1086" s="2" t="s">
        <v>3178</v>
      </c>
      <c r="C1086" s="2" t="s">
        <v>26</v>
      </c>
      <c r="D1086" s="2" t="s">
        <v>27</v>
      </c>
      <c r="E1086" s="4">
        <v>-32526</v>
      </c>
      <c r="F1086" s="3" t="s">
        <v>530</v>
      </c>
      <c r="G1086" s="3" t="s">
        <v>636</v>
      </c>
      <c r="H1086" s="2" t="s">
        <v>74</v>
      </c>
      <c r="I1086" s="2" t="s">
        <v>3179</v>
      </c>
      <c r="J1086" s="3" t="str">
        <f>HYPERLINK("https://www.boe.es/gazeta/dias/1810/12/11/pdfs/GEI-1810-106.pdf#page=3","Abrir facsímil")</f>
        <v>Abrir facsímil</v>
      </c>
      <c r="K1086" s="3" t="s">
        <v>76</v>
      </c>
    </row>
    <row r="1087" spans="1:11" ht="42" customHeight="1">
      <c r="A1087" s="2" t="s">
        <v>3180</v>
      </c>
      <c r="B1087" s="2" t="s">
        <v>3181</v>
      </c>
      <c r="C1087" s="2" t="s">
        <v>26</v>
      </c>
      <c r="D1087" s="2" t="s">
        <v>18</v>
      </c>
      <c r="E1087" s="4">
        <v>-32687</v>
      </c>
      <c r="F1087" s="3" t="s">
        <v>304</v>
      </c>
      <c r="G1087" s="3" t="s">
        <v>213</v>
      </c>
      <c r="H1087" s="2" t="s">
        <v>74</v>
      </c>
      <c r="I1087" s="2" t="s">
        <v>3182</v>
      </c>
      <c r="J1087" s="3" t="str">
        <f>HYPERLINK("https://www.boe.es/gazeta/dias/1810/07/03/pdfs/GMD-C-1810-184.pdf#page=3","Abrir facsímil")</f>
        <v>Abrir facsímil</v>
      </c>
      <c r="K1087" s="3" t="s">
        <v>76</v>
      </c>
    </row>
    <row r="1088" spans="1:11" ht="42" customHeight="1">
      <c r="A1088" s="2" t="s">
        <v>3183</v>
      </c>
      <c r="B1088" s="2" t="s">
        <v>3184</v>
      </c>
      <c r="C1088" s="2" t="s">
        <v>26</v>
      </c>
      <c r="D1088" s="2" t="s">
        <v>220</v>
      </c>
      <c r="E1088" s="4">
        <v>-32839</v>
      </c>
      <c r="F1088" s="3" t="s">
        <v>28</v>
      </c>
      <c r="G1088" s="3" t="s">
        <v>29</v>
      </c>
      <c r="H1088" s="2" t="s">
        <v>74</v>
      </c>
      <c r="I1088" s="2" t="s">
        <v>3185</v>
      </c>
      <c r="J1088" s="3" t="str">
        <f>HYPERLINK("https://www.boe.es/gazeta/dias/1810/02/01/pdfs/GMD-1810-32.pdf#page=3","Abrir facsímil")</f>
        <v>Abrir facsímil</v>
      </c>
      <c r="K1088" s="3" t="s">
        <v>76</v>
      </c>
    </row>
    <row r="1089" spans="1:11" ht="42" customHeight="1">
      <c r="A1089" s="2" t="s">
        <v>3186</v>
      </c>
      <c r="B1089" s="2" t="s">
        <v>3187</v>
      </c>
      <c r="C1089" s="2" t="s">
        <v>26</v>
      </c>
      <c r="D1089" s="2" t="s">
        <v>39</v>
      </c>
      <c r="E1089" s="4">
        <v>-32684</v>
      </c>
      <c r="F1089" s="3" t="s">
        <v>372</v>
      </c>
      <c r="G1089" s="3" t="s">
        <v>373</v>
      </c>
      <c r="H1089" s="2" t="s">
        <v>74</v>
      </c>
      <c r="I1089" s="2" t="s">
        <v>3188</v>
      </c>
      <c r="J1089" s="3" t="str">
        <f>HYPERLINK("https://www.boe.es/gazeta/dias/1810/07/06/pdfs/GEI-D-1810-42.pdf#page=8","Abrir facsímil")</f>
        <v>Abrir facsímil</v>
      </c>
      <c r="K1089" s="3" t="s">
        <v>76</v>
      </c>
    </row>
    <row r="1090" spans="1:11" ht="42" customHeight="1">
      <c r="A1090" s="2" t="s">
        <v>3189</v>
      </c>
      <c r="B1090" s="2" t="s">
        <v>3190</v>
      </c>
      <c r="C1090" s="2" t="s">
        <v>225</v>
      </c>
      <c r="D1090" s="2" t="s">
        <v>27</v>
      </c>
      <c r="E1090" s="4">
        <v>-32756</v>
      </c>
      <c r="F1090" s="3" t="s">
        <v>203</v>
      </c>
      <c r="G1090" s="3" t="s">
        <v>180</v>
      </c>
      <c r="H1090" s="2" t="s">
        <v>74</v>
      </c>
      <c r="I1090" s="2" t="s">
        <v>3191</v>
      </c>
      <c r="J1090" s="3" t="str">
        <f>HYPERLINK("https://www.boe.es/gazeta/dias/1810/04/25/pdfs/GMD-1810-115.pdf#page=4","Abrir facsímil")</f>
        <v>Abrir facsímil</v>
      </c>
      <c r="K1090" s="3" t="s">
        <v>76</v>
      </c>
    </row>
    <row r="1091" spans="1:11" ht="42" customHeight="1">
      <c r="A1091" s="2" t="s">
        <v>3192</v>
      </c>
      <c r="B1091" s="2" t="s">
        <v>3193</v>
      </c>
      <c r="C1091" s="2" t="s">
        <v>33</v>
      </c>
      <c r="D1091" s="2" t="s">
        <v>27</v>
      </c>
      <c r="E1091" s="4">
        <v>-32649</v>
      </c>
      <c r="F1091" s="3" t="s">
        <v>1988</v>
      </c>
      <c r="G1091" s="3" t="s">
        <v>227</v>
      </c>
      <c r="H1091" s="2" t="s">
        <v>74</v>
      </c>
      <c r="I1091" s="2" t="s">
        <v>3194</v>
      </c>
      <c r="J1091" s="3" t="str">
        <f>HYPERLINK("https://www.boe.es/gazeta/dias/1810/08/10/pdfs/GMD-1810-222.pdf#page=4","Abrir facsímil")</f>
        <v>Abrir facsímil</v>
      </c>
      <c r="K1091" s="3" t="s">
        <v>76</v>
      </c>
    </row>
    <row r="1092" spans="1:11" ht="42" customHeight="1">
      <c r="A1092" s="2" t="s">
        <v>3195</v>
      </c>
      <c r="B1092" s="2" t="s">
        <v>3196</v>
      </c>
      <c r="C1092" s="2" t="s">
        <v>26</v>
      </c>
      <c r="D1092" s="2" t="s">
        <v>39</v>
      </c>
      <c r="E1092" s="4">
        <v>-32650</v>
      </c>
      <c r="F1092" s="3" t="s">
        <v>765</v>
      </c>
      <c r="G1092" s="3" t="s">
        <v>3197</v>
      </c>
      <c r="H1092" s="2" t="s">
        <v>74</v>
      </c>
      <c r="I1092" s="2" t="s">
        <v>3198</v>
      </c>
      <c r="J1092" s="3" t="str">
        <f>HYPERLINK("https://www.boe.es/gazeta/dias/1810/08/09/pdfs/GMD-C-1810-221.pdf#page=2","Abrir facsímil")</f>
        <v>Abrir facsímil</v>
      </c>
      <c r="K1092" s="3" t="s">
        <v>76</v>
      </c>
    </row>
    <row r="1093" spans="1:11" ht="42" customHeight="1">
      <c r="A1093" s="2" t="s">
        <v>3199</v>
      </c>
      <c r="B1093" s="2" t="s">
        <v>3200</v>
      </c>
      <c r="C1093" s="2" t="s">
        <v>26</v>
      </c>
      <c r="D1093" s="2" t="s">
        <v>27</v>
      </c>
      <c r="E1093" s="4">
        <v>-32591</v>
      </c>
      <c r="F1093" s="3" t="s">
        <v>377</v>
      </c>
      <c r="G1093" s="3" t="s">
        <v>140</v>
      </c>
      <c r="H1093" s="2" t="s">
        <v>74</v>
      </c>
      <c r="I1093" s="2" t="s">
        <v>3201</v>
      </c>
      <c r="J1093" s="3" t="str">
        <f>HYPERLINK("https://www.boe.es/gazeta/dias/1810/10/07/pdfs/GMD-1810-280.pdf#page=4","Abrir facsímil")</f>
        <v>Abrir facsímil</v>
      </c>
      <c r="K1093" s="3" t="s">
        <v>76</v>
      </c>
    </row>
    <row r="1094" spans="1:11" ht="42" customHeight="1">
      <c r="A1094" s="2" t="s">
        <v>3202</v>
      </c>
      <c r="B1094" s="2" t="s">
        <v>3203</v>
      </c>
      <c r="C1094" s="2" t="s">
        <v>26</v>
      </c>
      <c r="D1094" s="2" t="s">
        <v>27</v>
      </c>
      <c r="E1094" s="4">
        <v>-32710</v>
      </c>
      <c r="F1094" s="3" t="s">
        <v>126</v>
      </c>
      <c r="G1094" s="3" t="s">
        <v>20</v>
      </c>
      <c r="H1094" s="2" t="s">
        <v>74</v>
      </c>
      <c r="I1094" s="2" t="s">
        <v>3204</v>
      </c>
      <c r="J1094" s="3" t="str">
        <f>HYPERLINK("https://www.boe.es/gazeta/dias/1810/06/10/pdfs/GMD-1810-161.pdf#page=4","Abrir facsímil")</f>
        <v>Abrir facsímil</v>
      </c>
      <c r="K1094" s="3" t="s">
        <v>76</v>
      </c>
    </row>
    <row r="1095" spans="1:11" ht="42" customHeight="1">
      <c r="A1095" s="2" t="s">
        <v>3205</v>
      </c>
      <c r="B1095" s="2" t="s">
        <v>3206</v>
      </c>
      <c r="C1095" s="2" t="s">
        <v>33</v>
      </c>
      <c r="D1095" s="2" t="s">
        <v>27</v>
      </c>
      <c r="E1095" s="4">
        <v>-32710</v>
      </c>
      <c r="F1095" s="3" t="s">
        <v>126</v>
      </c>
      <c r="G1095" s="3" t="s">
        <v>20</v>
      </c>
      <c r="H1095" s="2" t="s">
        <v>74</v>
      </c>
      <c r="I1095" s="2" t="s">
        <v>3207</v>
      </c>
      <c r="J1095" s="3" t="str">
        <f>HYPERLINK("https://www.boe.es/gazeta/dias/1810/06/10/pdfs/GMD-1810-161.pdf#page=4","Abrir facsímil")</f>
        <v>Abrir facsímil</v>
      </c>
      <c r="K1095" s="3" t="s">
        <v>76</v>
      </c>
    </row>
    <row r="1096" spans="1:11" ht="42" customHeight="1">
      <c r="A1096" s="2" t="s">
        <v>3208</v>
      </c>
      <c r="B1096" s="2" t="s">
        <v>3209</v>
      </c>
      <c r="C1096" s="2" t="s">
        <v>225</v>
      </c>
      <c r="D1096" s="2" t="s">
        <v>18</v>
      </c>
      <c r="E1096" s="4">
        <v>-32550</v>
      </c>
      <c r="F1096" s="3" t="s">
        <v>1472</v>
      </c>
      <c r="G1096" s="3" t="s">
        <v>3210</v>
      </c>
      <c r="H1096" s="2" t="s">
        <v>74</v>
      </c>
      <c r="I1096" s="2" t="s">
        <v>3211</v>
      </c>
      <c r="J1096" s="3" t="str">
        <f>HYPERLINK("https://www.boe.es/gazeta/dias/1810/11/17/pdfs/GEI-1810-96.pdf#page=7","Abrir facsímil")</f>
        <v>Abrir facsímil</v>
      </c>
      <c r="K1096" s="3" t="s">
        <v>76</v>
      </c>
    </row>
    <row r="1097" spans="1:11" ht="42" customHeight="1">
      <c r="A1097" s="2" t="s">
        <v>3212</v>
      </c>
      <c r="B1097" s="2" t="s">
        <v>3213</v>
      </c>
      <c r="C1097" s="2" t="s">
        <v>26</v>
      </c>
      <c r="D1097" s="2" t="s">
        <v>27</v>
      </c>
      <c r="E1097" s="4">
        <v>-32764</v>
      </c>
      <c r="F1097" s="3" t="s">
        <v>640</v>
      </c>
      <c r="G1097" s="3" t="s">
        <v>641</v>
      </c>
      <c r="H1097" s="2" t="s">
        <v>74</v>
      </c>
      <c r="I1097" s="2" t="s">
        <v>3214</v>
      </c>
      <c r="J1097" s="3" t="str">
        <f>HYPERLINK("https://www.boe.es/gazeta/dias/1810/04/17/pdfs/GEI-1810-15.pdf#page=8","Abrir facsímil")</f>
        <v>Abrir facsímil</v>
      </c>
      <c r="K1097" s="3" t="s">
        <v>76</v>
      </c>
    </row>
    <row r="1098" spans="1:11" ht="42" customHeight="1">
      <c r="A1098" s="2" t="s">
        <v>3215</v>
      </c>
      <c r="B1098" s="2" t="s">
        <v>3216</v>
      </c>
      <c r="C1098" s="2" t="s">
        <v>17</v>
      </c>
      <c r="D1098" s="2" t="s">
        <v>27</v>
      </c>
      <c r="E1098" s="4">
        <v>-32714</v>
      </c>
      <c r="F1098" s="3" t="s">
        <v>977</v>
      </c>
      <c r="G1098" s="3" t="s">
        <v>632</v>
      </c>
      <c r="H1098" s="2" t="s">
        <v>74</v>
      </c>
      <c r="I1098" s="2" t="s">
        <v>3217</v>
      </c>
      <c r="J1098" s="3" t="str">
        <f>HYPERLINK("https://www.boe.es/gazeta/dias/1810/06/06/pdfs/GMD-1810-157.pdf#page=4","Abrir facsímil")</f>
        <v>Abrir facsímil</v>
      </c>
      <c r="K1098" s="3" t="s">
        <v>76</v>
      </c>
    </row>
    <row r="1099" spans="1:11" ht="42" customHeight="1">
      <c r="A1099" s="2" t="s">
        <v>3218</v>
      </c>
      <c r="B1099" s="2" t="s">
        <v>3219</v>
      </c>
      <c r="C1099" s="2" t="s">
        <v>317</v>
      </c>
      <c r="D1099" s="2" t="s">
        <v>18</v>
      </c>
      <c r="E1099" s="4">
        <v>-32733</v>
      </c>
      <c r="F1099" s="3" t="s">
        <v>955</v>
      </c>
      <c r="G1099" s="3" t="s">
        <v>3220</v>
      </c>
      <c r="H1099" s="2" t="s">
        <v>74</v>
      </c>
      <c r="I1099" s="2" t="s">
        <v>3221</v>
      </c>
      <c r="J1099" s="3" t="str">
        <f>HYPERLINK("https://www.boe.es/gazeta/dias/1810/05/18/pdfs/GEI-1810-27.pdf#page=6","Abrir facsímil")</f>
        <v>Abrir facsímil</v>
      </c>
      <c r="K1099" s="3" t="s">
        <v>76</v>
      </c>
    </row>
    <row r="1100" spans="1:11" ht="42" customHeight="1">
      <c r="A1100" s="2" t="s">
        <v>3222</v>
      </c>
      <c r="B1100" s="2" t="s">
        <v>3223</v>
      </c>
      <c r="C1100" s="2" t="s">
        <v>17</v>
      </c>
      <c r="D1100" s="2" t="s">
        <v>18</v>
      </c>
      <c r="E1100" s="4">
        <v>-32710</v>
      </c>
      <c r="F1100" s="3" t="s">
        <v>126</v>
      </c>
      <c r="G1100" s="3" t="s">
        <v>180</v>
      </c>
      <c r="H1100" s="2" t="s">
        <v>74</v>
      </c>
      <c r="I1100" s="2" t="s">
        <v>3224</v>
      </c>
      <c r="J1100" s="3" t="str">
        <f>HYPERLINK("https://www.boe.es/gazeta/dias/1810/06/10/pdfs/GMD-1810-161.pdf#page=1","Abrir facsímil")</f>
        <v>Abrir facsímil</v>
      </c>
      <c r="K1100" s="3" t="s">
        <v>76</v>
      </c>
    </row>
    <row r="1101" spans="1:11" ht="42" customHeight="1">
      <c r="A1101" s="2" t="s">
        <v>3225</v>
      </c>
      <c r="B1101" s="2" t="s">
        <v>3226</v>
      </c>
      <c r="C1101" s="2" t="s">
        <v>88</v>
      </c>
      <c r="D1101" s="2" t="s">
        <v>117</v>
      </c>
      <c r="E1101" s="4">
        <v>-32820</v>
      </c>
      <c r="F1101" s="3" t="s">
        <v>226</v>
      </c>
      <c r="G1101" s="3" t="s">
        <v>227</v>
      </c>
      <c r="H1101" s="2" t="s">
        <v>74</v>
      </c>
      <c r="I1101" s="2" t="s">
        <v>3227</v>
      </c>
      <c r="J1101" s="3" t="str">
        <f>HYPERLINK("https://www.boe.es/gazeta/dias/1810/02/20/pdfs/GMD-1810-51.pdf#page=4","Abrir facsímil")</f>
        <v>Abrir facsímil</v>
      </c>
      <c r="K1101" s="3" t="s">
        <v>76</v>
      </c>
    </row>
    <row r="1102" spans="1:11" ht="42" customHeight="1">
      <c r="A1102" s="2" t="s">
        <v>3228</v>
      </c>
      <c r="B1102" s="2" t="s">
        <v>3229</v>
      </c>
      <c r="C1102" s="2" t="s">
        <v>26</v>
      </c>
      <c r="D1102" s="2" t="s">
        <v>39</v>
      </c>
      <c r="E1102" s="4">
        <v>-32686</v>
      </c>
      <c r="F1102" s="3" t="s">
        <v>3230</v>
      </c>
      <c r="G1102" s="3" t="s">
        <v>735</v>
      </c>
      <c r="H1102" s="2" t="s">
        <v>74</v>
      </c>
      <c r="I1102" s="2" t="s">
        <v>3231</v>
      </c>
      <c r="J1102" s="3" t="str">
        <f>HYPERLINK("https://www.boe.es/gazeta/dias/1810/07/04/pdfs/GMD-C-1810-185.pdf#page=2","Abrir facsímil")</f>
        <v>Abrir facsímil</v>
      </c>
      <c r="K1102" s="3" t="s">
        <v>76</v>
      </c>
    </row>
    <row r="1103" spans="1:11" ht="42" customHeight="1">
      <c r="A1103" s="2" t="s">
        <v>3232</v>
      </c>
      <c r="B1103" s="2" t="s">
        <v>3233</v>
      </c>
      <c r="C1103" s="2" t="s">
        <v>26</v>
      </c>
      <c r="D1103" s="2" t="s">
        <v>27</v>
      </c>
      <c r="E1103" s="4">
        <v>-32654</v>
      </c>
      <c r="F1103" s="3" t="s">
        <v>1226</v>
      </c>
      <c r="G1103" s="3" t="s">
        <v>732</v>
      </c>
      <c r="H1103" s="2" t="s">
        <v>74</v>
      </c>
      <c r="I1103" s="2" t="s">
        <v>3234</v>
      </c>
      <c r="J1103" s="3" t="str">
        <f>HYPERLINK("https://www.boe.es/gazeta/dias/1810/08/05/pdfs/GMD-1810-217.pdf#page=3","Abrir facsímil")</f>
        <v>Abrir facsímil</v>
      </c>
      <c r="K1103" s="3" t="s">
        <v>76</v>
      </c>
    </row>
    <row r="1104" spans="1:11" ht="42" customHeight="1">
      <c r="A1104" s="2" t="s">
        <v>3235</v>
      </c>
      <c r="B1104" s="2" t="s">
        <v>3236</v>
      </c>
      <c r="C1104" s="2" t="s">
        <v>317</v>
      </c>
      <c r="D1104" s="2" t="s">
        <v>18</v>
      </c>
      <c r="E1104" s="4">
        <v>-32687</v>
      </c>
      <c r="F1104" s="3" t="s">
        <v>304</v>
      </c>
      <c r="G1104" s="3" t="s">
        <v>3237</v>
      </c>
      <c r="H1104" s="2" t="s">
        <v>74</v>
      </c>
      <c r="I1104" s="2" t="s">
        <v>3238</v>
      </c>
      <c r="J1104" s="3" t="str">
        <f>HYPERLINK("https://www.boe.es/gazeta/dias/1810/07/03/pdfs/GMD-C-1810-184.pdf#page=4","Abrir facsímil")</f>
        <v>Abrir facsímil</v>
      </c>
      <c r="K1104" s="3" t="s">
        <v>76</v>
      </c>
    </row>
    <row r="1105" spans="1:11" ht="42" customHeight="1">
      <c r="A1105" s="2" t="s">
        <v>3235</v>
      </c>
      <c r="B1105" s="2" t="s">
        <v>3236</v>
      </c>
      <c r="C1105" s="2" t="s">
        <v>26</v>
      </c>
      <c r="D1105" s="2" t="s">
        <v>39</v>
      </c>
      <c r="E1105" s="4">
        <v>-32686</v>
      </c>
      <c r="F1105" s="3" t="s">
        <v>3230</v>
      </c>
      <c r="G1105" s="3" t="s">
        <v>2577</v>
      </c>
      <c r="H1105" s="2" t="s">
        <v>74</v>
      </c>
      <c r="I1105" s="2" t="s">
        <v>3239</v>
      </c>
      <c r="J1105" s="3" t="str">
        <f>HYPERLINK("https://www.boe.es/gazeta/dias/1810/07/04/pdfs/GMD-C-1810-185.pdf#page=1","Abrir facsímil")</f>
        <v>Abrir facsímil</v>
      </c>
      <c r="K1105" s="3" t="s">
        <v>76</v>
      </c>
    </row>
    <row r="1106" spans="1:11" ht="42" customHeight="1">
      <c r="A1106" s="2" t="s">
        <v>3240</v>
      </c>
      <c r="B1106" s="2" t="s">
        <v>3241</v>
      </c>
      <c r="C1106" s="2" t="s">
        <v>26</v>
      </c>
      <c r="D1106" s="2" t="s">
        <v>27</v>
      </c>
      <c r="E1106" s="4">
        <v>-32591</v>
      </c>
      <c r="F1106" s="3" t="s">
        <v>377</v>
      </c>
      <c r="G1106" s="3" t="s">
        <v>140</v>
      </c>
      <c r="H1106" s="2" t="s">
        <v>74</v>
      </c>
      <c r="I1106" s="2" t="s">
        <v>3242</v>
      </c>
      <c r="J1106" s="3" t="str">
        <f>HYPERLINK("https://www.boe.es/gazeta/dias/1810/10/07/pdfs/GMD-1810-280.pdf#page=4","Abrir facsímil")</f>
        <v>Abrir facsímil</v>
      </c>
      <c r="K1106" s="3" t="s">
        <v>76</v>
      </c>
    </row>
    <row r="1107" spans="1:11" ht="42" customHeight="1">
      <c r="A1107" s="2" t="s">
        <v>3243</v>
      </c>
      <c r="B1107" s="2" t="s">
        <v>3244</v>
      </c>
      <c r="C1107" s="2" t="s">
        <v>26</v>
      </c>
      <c r="D1107" s="2" t="s">
        <v>27</v>
      </c>
      <c r="E1107" s="4">
        <v>-32666</v>
      </c>
      <c r="F1107" s="3" t="s">
        <v>346</v>
      </c>
      <c r="G1107" s="3" t="s">
        <v>971</v>
      </c>
      <c r="H1107" s="2" t="s">
        <v>74</v>
      </c>
      <c r="I1107" s="2" t="s">
        <v>3245</v>
      </c>
      <c r="J1107" s="3" t="str">
        <f>HYPERLINK("https://www.boe.es/gazeta/dias/1810/07/24/pdfs/GEI-1810-47.pdf#page=7","Abrir facsímil")</f>
        <v>Abrir facsímil</v>
      </c>
      <c r="K1107" s="3" t="s">
        <v>76</v>
      </c>
    </row>
    <row r="1108" spans="1:11" ht="42" customHeight="1">
      <c r="A1108" s="2" t="s">
        <v>3246</v>
      </c>
      <c r="B1108" s="2" t="s">
        <v>3247</v>
      </c>
      <c r="C1108" s="2" t="s">
        <v>26</v>
      </c>
      <c r="D1108" s="2" t="s">
        <v>18</v>
      </c>
      <c r="E1108" s="4">
        <v>-32829</v>
      </c>
      <c r="F1108" s="3" t="s">
        <v>1126</v>
      </c>
      <c r="G1108" s="3" t="s">
        <v>29</v>
      </c>
      <c r="H1108" s="2" t="s">
        <v>74</v>
      </c>
      <c r="I1108" s="2" t="s">
        <v>3248</v>
      </c>
      <c r="J1108" s="3" t="str">
        <f>HYPERLINK("https://www.boe.es/gazeta/dias/1810/02/11/pdfs/GMD-1810-42.pdf#page=2","Abrir facsímil")</f>
        <v>Abrir facsímil</v>
      </c>
      <c r="K1108" s="3" t="s">
        <v>76</v>
      </c>
    </row>
    <row r="1109" spans="1:11" ht="42" customHeight="1">
      <c r="A1109" s="2" t="s">
        <v>3249</v>
      </c>
      <c r="B1109" s="2" t="s">
        <v>3250</v>
      </c>
      <c r="C1109" s="2" t="s">
        <v>17</v>
      </c>
      <c r="D1109" s="2" t="s">
        <v>27</v>
      </c>
      <c r="E1109" s="4">
        <v>-32659</v>
      </c>
      <c r="F1109" s="3" t="s">
        <v>1684</v>
      </c>
      <c r="G1109" s="3" t="s">
        <v>29</v>
      </c>
      <c r="H1109" s="2" t="s">
        <v>74</v>
      </c>
      <c r="I1109" s="2" t="s">
        <v>3251</v>
      </c>
      <c r="J1109" s="3" t="str">
        <f>HYPERLINK("https://www.boe.es/gazeta/dias/1810/07/31/pdfs/GMD-1810-212.pdf#page=4","Abrir facsímil")</f>
        <v>Abrir facsímil</v>
      </c>
      <c r="K1109" s="3" t="s">
        <v>76</v>
      </c>
    </row>
    <row r="1110" spans="1:11" ht="42" customHeight="1">
      <c r="A1110" s="2" t="s">
        <v>3252</v>
      </c>
      <c r="B1110" s="2" t="s">
        <v>3253</v>
      </c>
      <c r="C1110" s="2" t="s">
        <v>88</v>
      </c>
      <c r="D1110" s="2" t="s">
        <v>27</v>
      </c>
      <c r="E1110" s="4">
        <v>-32710</v>
      </c>
      <c r="F1110" s="3" t="s">
        <v>126</v>
      </c>
      <c r="G1110" s="3" t="s">
        <v>20</v>
      </c>
      <c r="H1110" s="2" t="s">
        <v>74</v>
      </c>
      <c r="I1110" s="2" t="s">
        <v>3254</v>
      </c>
      <c r="J1110" s="3" t="str">
        <f>HYPERLINK("https://www.boe.es/gazeta/dias/1810/06/10/pdfs/GMD-1810-161.pdf#page=4","Abrir facsímil")</f>
        <v>Abrir facsímil</v>
      </c>
      <c r="K1110" s="3" t="s">
        <v>76</v>
      </c>
    </row>
    <row r="1111" spans="1:11" ht="42" customHeight="1">
      <c r="A1111" s="2" t="s">
        <v>3252</v>
      </c>
      <c r="B1111" s="2" t="s">
        <v>3253</v>
      </c>
      <c r="C1111" s="2" t="s">
        <v>26</v>
      </c>
      <c r="D1111" s="2" t="s">
        <v>27</v>
      </c>
      <c r="E1111" s="4">
        <v>-32647</v>
      </c>
      <c r="F1111" s="3" t="s">
        <v>118</v>
      </c>
      <c r="G1111" s="3" t="s">
        <v>20</v>
      </c>
      <c r="H1111" s="2" t="s">
        <v>74</v>
      </c>
      <c r="I1111" s="2" t="s">
        <v>3255</v>
      </c>
      <c r="J1111" s="3" t="str">
        <f>HYPERLINK("https://www.boe.es/gazeta/dias/1810/08/12/pdfs/GMD-1810-224.pdf#page=4","Abrir facsímil")</f>
        <v>Abrir facsímil</v>
      </c>
      <c r="K1111" s="3" t="s">
        <v>76</v>
      </c>
    </row>
    <row r="1112" spans="1:11" ht="42" customHeight="1">
      <c r="A1112" s="2" t="s">
        <v>3256</v>
      </c>
      <c r="B1112" s="2" t="s">
        <v>3257</v>
      </c>
      <c r="C1112" s="2" t="s">
        <v>26</v>
      </c>
      <c r="D1112" s="2" t="s">
        <v>39</v>
      </c>
      <c r="E1112" s="4">
        <v>-32661</v>
      </c>
      <c r="F1112" s="3" t="s">
        <v>157</v>
      </c>
      <c r="G1112" s="3" t="s">
        <v>158</v>
      </c>
      <c r="H1112" s="2" t="s">
        <v>74</v>
      </c>
      <c r="I1112" s="2" t="s">
        <v>3258</v>
      </c>
      <c r="J1112" s="3" t="str">
        <f>HYPERLINK("https://www.boe.es/gazeta/dias/1810/07/29/pdfs/GMD-C-1810-210.pdf#page=1","Abrir facsímil")</f>
        <v>Abrir facsímil</v>
      </c>
      <c r="K1112" s="3" t="s">
        <v>76</v>
      </c>
    </row>
    <row r="1113" spans="1:11" ht="42" customHeight="1">
      <c r="A1113" s="2" t="s">
        <v>3259</v>
      </c>
      <c r="B1113" s="2" t="s">
        <v>3260</v>
      </c>
      <c r="C1113" s="2" t="s">
        <v>26</v>
      </c>
      <c r="D1113" s="2" t="s">
        <v>27</v>
      </c>
      <c r="E1113" s="4">
        <v>-32771</v>
      </c>
      <c r="F1113" s="3" t="s">
        <v>543</v>
      </c>
      <c r="G1113" s="3" t="s">
        <v>65</v>
      </c>
      <c r="H1113" s="2" t="s">
        <v>74</v>
      </c>
      <c r="I1113" s="2" t="s">
        <v>3261</v>
      </c>
      <c r="J1113" s="3" t="str">
        <f>HYPERLINK("https://www.boe.es/gazeta/dias/1810/04/10/pdfs/GEI-1810-13.pdf#page=7","Abrir facsímil")</f>
        <v>Abrir facsímil</v>
      </c>
      <c r="K1113" s="3" t="s">
        <v>76</v>
      </c>
    </row>
    <row r="1114" spans="1:11" ht="42" customHeight="1">
      <c r="A1114" s="2" t="s">
        <v>3262</v>
      </c>
      <c r="B1114" s="2" t="s">
        <v>3263</v>
      </c>
      <c r="C1114" s="2" t="s">
        <v>26</v>
      </c>
      <c r="D1114" s="2" t="s">
        <v>18</v>
      </c>
      <c r="E1114" s="4">
        <v>-32738</v>
      </c>
      <c r="F1114" s="3" t="s">
        <v>321</v>
      </c>
      <c r="G1114" s="3" t="s">
        <v>140</v>
      </c>
      <c r="H1114" s="2" t="s">
        <v>74</v>
      </c>
      <c r="I1114" s="2" t="s">
        <v>3264</v>
      </c>
      <c r="J1114" s="3" t="str">
        <f>HYPERLINK("https://www.boe.es/gazeta/dias/1810/05/13/pdfs/GMD-1810-133.pdf#page=4","Abrir facsímil")</f>
        <v>Abrir facsímil</v>
      </c>
      <c r="K1114" s="3" t="s">
        <v>76</v>
      </c>
    </row>
    <row r="1115" spans="1:11" ht="42" customHeight="1">
      <c r="A1115" s="2" t="s">
        <v>3262</v>
      </c>
      <c r="B1115" s="2" t="s">
        <v>3263</v>
      </c>
      <c r="C1115" s="2" t="s">
        <v>195</v>
      </c>
      <c r="D1115" s="2" t="s">
        <v>27</v>
      </c>
      <c r="E1115" s="4">
        <v>-32545</v>
      </c>
      <c r="F1115" s="3" t="s">
        <v>165</v>
      </c>
      <c r="G1115" s="3" t="s">
        <v>166</v>
      </c>
      <c r="H1115" s="2" t="s">
        <v>74</v>
      </c>
      <c r="I1115" s="2" t="s">
        <v>3265</v>
      </c>
      <c r="J1115" s="3" t="str">
        <f>HYPERLINK("https://www.boe.es/gazeta/dias/1810/11/22/pdfs/GEI-1810-98.pdf#page=8","Abrir facsímil")</f>
        <v>Abrir facsímil</v>
      </c>
      <c r="K1115" s="3" t="s">
        <v>76</v>
      </c>
    </row>
    <row r="1116" spans="1:11" ht="42" customHeight="1">
      <c r="A1116" s="2" t="s">
        <v>3266</v>
      </c>
      <c r="B1116" s="2" t="s">
        <v>3267</v>
      </c>
      <c r="C1116" s="2" t="s">
        <v>88</v>
      </c>
      <c r="D1116" s="2" t="s">
        <v>27</v>
      </c>
      <c r="E1116" s="4">
        <v>-32715</v>
      </c>
      <c r="F1116" s="3" t="s">
        <v>1029</v>
      </c>
      <c r="G1116" s="3" t="s">
        <v>3268</v>
      </c>
      <c r="H1116" s="2" t="s">
        <v>74</v>
      </c>
      <c r="I1116" s="2" t="s">
        <v>3269</v>
      </c>
      <c r="J1116" s="3" t="str">
        <f>HYPERLINK("https://www.boe.es/gazeta/dias/1810/06/05/pdfs/GEI-1810-33.pdf#page=12","Abrir facsímil")</f>
        <v>Abrir facsímil</v>
      </c>
      <c r="K1116" s="3" t="s">
        <v>76</v>
      </c>
    </row>
    <row r="1117" spans="1:11" ht="42" customHeight="1">
      <c r="A1117" s="2" t="s">
        <v>3270</v>
      </c>
      <c r="B1117" s="2" t="s">
        <v>3271</v>
      </c>
      <c r="C1117" s="2" t="s">
        <v>26</v>
      </c>
      <c r="D1117" s="2" t="s">
        <v>27</v>
      </c>
      <c r="E1117" s="4">
        <v>-32595</v>
      </c>
      <c r="F1117" s="3" t="s">
        <v>700</v>
      </c>
      <c r="G1117" s="3" t="s">
        <v>29</v>
      </c>
      <c r="H1117" s="2" t="s">
        <v>74</v>
      </c>
      <c r="I1117" s="2" t="s">
        <v>3272</v>
      </c>
      <c r="J1117" s="3" t="str">
        <f>HYPERLINK("https://www.boe.es/gazeta/dias/1810/10/03/pdfs/GMD-1810-276.pdf#page=4","Abrir facsímil")</f>
        <v>Abrir facsímil</v>
      </c>
      <c r="K1117" s="3" t="s">
        <v>76</v>
      </c>
    </row>
    <row r="1118" spans="1:11" ht="42" customHeight="1">
      <c r="A1118" s="2" t="s">
        <v>3273</v>
      </c>
      <c r="B1118" s="2" t="s">
        <v>3274</v>
      </c>
      <c r="C1118" s="2" t="s">
        <v>26</v>
      </c>
      <c r="D1118" s="2" t="s">
        <v>27</v>
      </c>
      <c r="E1118" s="4">
        <v>-32591</v>
      </c>
      <c r="F1118" s="3" t="s">
        <v>377</v>
      </c>
      <c r="G1118" s="3" t="s">
        <v>140</v>
      </c>
      <c r="H1118" s="2" t="s">
        <v>74</v>
      </c>
      <c r="I1118" s="2" t="s">
        <v>3275</v>
      </c>
      <c r="J1118" s="3" t="str">
        <f>HYPERLINK("https://www.boe.es/gazeta/dias/1810/10/07/pdfs/GMD-1810-280.pdf#page=4","Abrir facsímil")</f>
        <v>Abrir facsímil</v>
      </c>
      <c r="K1118" s="3" t="s">
        <v>76</v>
      </c>
    </row>
    <row r="1119" spans="1:11" ht="42" customHeight="1">
      <c r="A1119" s="2" t="s">
        <v>3276</v>
      </c>
      <c r="B1119" s="2" t="s">
        <v>3277</v>
      </c>
      <c r="C1119" s="2" t="s">
        <v>26</v>
      </c>
      <c r="D1119" s="2" t="s">
        <v>39</v>
      </c>
      <c r="E1119" s="4">
        <v>-32740</v>
      </c>
      <c r="F1119" s="3" t="s">
        <v>848</v>
      </c>
      <c r="G1119" s="3" t="s">
        <v>849</v>
      </c>
      <c r="H1119" s="2" t="s">
        <v>74</v>
      </c>
      <c r="I1119" s="2" t="s">
        <v>3278</v>
      </c>
      <c r="J1119" s="3" t="str">
        <f>HYPERLINK("https://www.boe.es/gazeta/dias/1810/05/11/pdfs/GMD-C-1810-131.pdf#page=1","Abrir facsímil")</f>
        <v>Abrir facsímil</v>
      </c>
      <c r="K1119" s="3" t="s">
        <v>76</v>
      </c>
    </row>
    <row r="1120" spans="1:11" ht="42" customHeight="1">
      <c r="A1120" s="2" t="s">
        <v>3279</v>
      </c>
      <c r="B1120" s="2" t="s">
        <v>3280</v>
      </c>
      <c r="C1120" s="2" t="s">
        <v>26</v>
      </c>
      <c r="D1120" s="2" t="s">
        <v>27</v>
      </c>
      <c r="E1120" s="4">
        <v>-32632</v>
      </c>
      <c r="F1120" s="3" t="s">
        <v>358</v>
      </c>
      <c r="G1120" s="3" t="s">
        <v>359</v>
      </c>
      <c r="H1120" s="2" t="s">
        <v>74</v>
      </c>
      <c r="I1120" s="2" t="s">
        <v>3281</v>
      </c>
      <c r="J1120" s="3" t="str">
        <f>HYPERLINK("https://www.boe.es/gazeta/dias/1810/08/27/pdfs/GMD-1810-239.pdf#page=3","Abrir facsímil")</f>
        <v>Abrir facsímil</v>
      </c>
      <c r="K1120" s="3" t="s">
        <v>76</v>
      </c>
    </row>
    <row r="1121" spans="1:11" ht="42" customHeight="1">
      <c r="A1121" s="2" t="s">
        <v>3282</v>
      </c>
      <c r="B1121" s="2" t="s">
        <v>3283</v>
      </c>
      <c r="C1121" s="2" t="s">
        <v>26</v>
      </c>
      <c r="D1121" s="2" t="s">
        <v>27</v>
      </c>
      <c r="E1121" s="4">
        <v>-32688</v>
      </c>
      <c r="F1121" s="3" t="s">
        <v>997</v>
      </c>
      <c r="G1121" s="3" t="s">
        <v>749</v>
      </c>
      <c r="H1121" s="2" t="s">
        <v>74</v>
      </c>
      <c r="I1121" s="2" t="s">
        <v>3284</v>
      </c>
      <c r="J1121" s="3" t="str">
        <f>HYPERLINK("https://www.boe.es/gazeta/dias/1810/07/02/pdfs/GMD-1810-183.pdf#page=4","Abrir facsímil")</f>
        <v>Abrir facsímil</v>
      </c>
      <c r="K1121" s="3" t="s">
        <v>76</v>
      </c>
    </row>
    <row r="1122" spans="1:11" ht="42" customHeight="1">
      <c r="A1122" s="2" t="s">
        <v>3285</v>
      </c>
      <c r="B1122" s="2" t="s">
        <v>3286</v>
      </c>
      <c r="C1122" s="2" t="s">
        <v>88</v>
      </c>
      <c r="D1122" s="2" t="s">
        <v>117</v>
      </c>
      <c r="E1122" s="4">
        <v>-32666</v>
      </c>
      <c r="F1122" s="3" t="s">
        <v>1913</v>
      </c>
      <c r="G1122" s="3" t="s">
        <v>1914</v>
      </c>
      <c r="H1122" s="2" t="s">
        <v>74</v>
      </c>
      <c r="I1122" s="2" t="s">
        <v>3287</v>
      </c>
      <c r="J1122" s="3" t="str">
        <f>HYPERLINK("https://www.boe.es/gazeta/dias/1810/07/24/pdfs/GMD-1810-205.pdf#page=4","Abrir facsímil")</f>
        <v>Abrir facsímil</v>
      </c>
      <c r="K1122" s="3" t="s">
        <v>76</v>
      </c>
    </row>
    <row r="1123" spans="1:11" ht="42" customHeight="1">
      <c r="A1123" s="2" t="s">
        <v>3288</v>
      </c>
      <c r="B1123" s="2" t="s">
        <v>3289</v>
      </c>
      <c r="C1123" s="2" t="s">
        <v>88</v>
      </c>
      <c r="D1123" s="2" t="s">
        <v>27</v>
      </c>
      <c r="E1123" s="4">
        <v>-32763</v>
      </c>
      <c r="F1123" s="3" t="s">
        <v>1146</v>
      </c>
      <c r="G1123" s="3" t="s">
        <v>20</v>
      </c>
      <c r="H1123" s="2" t="s">
        <v>74</v>
      </c>
      <c r="I1123" s="2" t="s">
        <v>3290</v>
      </c>
      <c r="J1123" s="3" t="str">
        <f>HYPERLINK("https://www.boe.es/gazeta/dias/1810/04/18/pdfs/GMD-1810-108.pdf#page=4","Abrir facsímil")</f>
        <v>Abrir facsímil</v>
      </c>
      <c r="K1123" s="3" t="s">
        <v>76</v>
      </c>
    </row>
    <row r="1124" spans="1:11" ht="42" customHeight="1">
      <c r="A1124" s="2" t="s">
        <v>3291</v>
      </c>
      <c r="B1124" s="2" t="s">
        <v>3292</v>
      </c>
      <c r="C1124" s="2" t="s">
        <v>111</v>
      </c>
      <c r="D1124" s="2" t="s">
        <v>27</v>
      </c>
      <c r="E1124" s="4">
        <v>-32632</v>
      </c>
      <c r="F1124" s="3" t="s">
        <v>358</v>
      </c>
      <c r="G1124" s="3" t="s">
        <v>359</v>
      </c>
      <c r="H1124" s="2" t="s">
        <v>74</v>
      </c>
      <c r="I1124" s="2" t="s">
        <v>3293</v>
      </c>
      <c r="J1124" s="3" t="str">
        <f>HYPERLINK("https://www.boe.es/gazeta/dias/1810/08/27/pdfs/GMD-1810-239.pdf#page=3","Abrir facsímil")</f>
        <v>Abrir facsímil</v>
      </c>
      <c r="K1124" s="3" t="s">
        <v>76</v>
      </c>
    </row>
    <row r="1125" spans="1:11" ht="42" customHeight="1">
      <c r="A1125" s="2" t="s">
        <v>3294</v>
      </c>
      <c r="B1125" s="2" t="s">
        <v>3294</v>
      </c>
      <c r="C1125" s="2" t="s">
        <v>88</v>
      </c>
      <c r="D1125" s="2" t="s">
        <v>27</v>
      </c>
      <c r="E1125" s="4">
        <v>-32652</v>
      </c>
      <c r="F1125" s="3" t="s">
        <v>3295</v>
      </c>
      <c r="G1125" s="3" t="s">
        <v>3296</v>
      </c>
      <c r="H1125" s="2" t="s">
        <v>74</v>
      </c>
      <c r="I1125" s="2" t="s">
        <v>3297</v>
      </c>
      <c r="J1125" s="3" t="str">
        <f>HYPERLINK("https://www.boe.es/gazeta/dias/1810/08/07/pdfs/GEI-1810-52.pdf#page=4","Abrir facsímil")</f>
        <v>Abrir facsímil</v>
      </c>
      <c r="K1125" s="3" t="s">
        <v>76</v>
      </c>
    </row>
    <row r="1126" spans="1:11" ht="42" customHeight="1">
      <c r="A1126" s="2" t="s">
        <v>3298</v>
      </c>
      <c r="B1126" s="2" t="s">
        <v>3299</v>
      </c>
      <c r="C1126" s="2" t="s">
        <v>33</v>
      </c>
      <c r="D1126" s="2" t="s">
        <v>27</v>
      </c>
      <c r="E1126" s="4">
        <v>-32775</v>
      </c>
      <c r="F1126" s="3" t="s">
        <v>553</v>
      </c>
      <c r="G1126" s="3" t="s">
        <v>554</v>
      </c>
      <c r="H1126" s="2" t="s">
        <v>74</v>
      </c>
      <c r="I1126" s="2" t="s">
        <v>3300</v>
      </c>
      <c r="J1126" s="3" t="str">
        <f>HYPERLINK("https://www.boe.es/gazeta/dias/1810/04/06/pdfs/GEI-1810-12.pdf#page=12","Abrir facsímil")</f>
        <v>Abrir facsímil</v>
      </c>
      <c r="K1126" s="3" t="s">
        <v>76</v>
      </c>
    </row>
    <row r="1127" spans="1:11" ht="42" customHeight="1">
      <c r="A1127" s="2" t="s">
        <v>3301</v>
      </c>
      <c r="B1127" s="2" t="s">
        <v>3302</v>
      </c>
      <c r="C1127" s="2" t="s">
        <v>26</v>
      </c>
      <c r="D1127" s="2" t="s">
        <v>39</v>
      </c>
      <c r="E1127" s="4">
        <v>-32701</v>
      </c>
      <c r="F1127" s="3" t="s">
        <v>40</v>
      </c>
      <c r="G1127" s="3" t="s">
        <v>333</v>
      </c>
      <c r="H1127" s="2" t="s">
        <v>74</v>
      </c>
      <c r="I1127" s="2" t="s">
        <v>3303</v>
      </c>
      <c r="J1127" s="3" t="str">
        <f>HYPERLINK("https://www.boe.es/gazeta/dias/1810/06/19/pdfs/GMD-C-1810-170.pdf#page=4","Abrir facsímil")</f>
        <v>Abrir facsímil</v>
      </c>
      <c r="K1127" s="3" t="s">
        <v>76</v>
      </c>
    </row>
    <row r="1128" spans="1:11" ht="42" customHeight="1">
      <c r="A1128" s="2" t="s">
        <v>3304</v>
      </c>
      <c r="B1128" s="2" t="s">
        <v>3305</v>
      </c>
      <c r="C1128" s="2" t="s">
        <v>26</v>
      </c>
      <c r="D1128" s="2" t="s">
        <v>39</v>
      </c>
      <c r="E1128" s="4">
        <v>-32702</v>
      </c>
      <c r="F1128" s="3" t="s">
        <v>179</v>
      </c>
      <c r="G1128" s="3" t="s">
        <v>180</v>
      </c>
      <c r="H1128" s="2" t="s">
        <v>74</v>
      </c>
      <c r="I1128" s="2" t="s">
        <v>3306</v>
      </c>
      <c r="J1128" s="3" t="str">
        <f>HYPERLINK("https://www.boe.es/gazeta/dias/1810/06/18/pdfs/GMD-C-1810-169.pdf#page=2","Abrir facsímil")</f>
        <v>Abrir facsímil</v>
      </c>
      <c r="K1128" s="3" t="s">
        <v>76</v>
      </c>
    </row>
    <row r="1129" spans="1:11" ht="42" customHeight="1">
      <c r="A1129" s="2" t="s">
        <v>3307</v>
      </c>
      <c r="B1129" s="2" t="s">
        <v>3307</v>
      </c>
      <c r="C1129" s="2" t="s">
        <v>26</v>
      </c>
      <c r="D1129" s="2" t="s">
        <v>18</v>
      </c>
      <c r="E1129" s="4">
        <v>-32631</v>
      </c>
      <c r="F1129" s="3" t="s">
        <v>2830</v>
      </c>
      <c r="G1129" s="3" t="s">
        <v>3308</v>
      </c>
      <c r="H1129" s="2" t="s">
        <v>74</v>
      </c>
      <c r="I1129" s="2" t="s">
        <v>3309</v>
      </c>
      <c r="J1129" s="3" t="str">
        <f>HYPERLINK("https://www.boe.es/gazeta/dias/1810/08/28/pdfs/GEI-D-1810-60.pdf#page=2","Abrir facsímil")</f>
        <v>Abrir facsímil</v>
      </c>
      <c r="K1129" s="3" t="s">
        <v>76</v>
      </c>
    </row>
    <row r="1130" spans="1:11" ht="42" customHeight="1">
      <c r="A1130" s="2" t="s">
        <v>3310</v>
      </c>
      <c r="B1130" s="2" t="s">
        <v>3310</v>
      </c>
      <c r="C1130" s="2" t="s">
        <v>88</v>
      </c>
      <c r="D1130" s="2" t="s">
        <v>27</v>
      </c>
      <c r="E1130" s="4">
        <v>-32566</v>
      </c>
      <c r="F1130" s="3" t="s">
        <v>649</v>
      </c>
      <c r="G1130" s="3" t="s">
        <v>3311</v>
      </c>
      <c r="H1130" s="2" t="s">
        <v>74</v>
      </c>
      <c r="I1130" s="2" t="s">
        <v>3312</v>
      </c>
      <c r="J1130" s="3" t="str">
        <f>HYPERLINK("https://www.boe.es/gazeta/dias/1810/11/01/pdfs/GEI-1810-89.pdf#page=1","Abrir facsímil")</f>
        <v>Abrir facsímil</v>
      </c>
      <c r="K1130" s="3" t="s">
        <v>76</v>
      </c>
    </row>
    <row r="1131" spans="1:11" ht="42" customHeight="1">
      <c r="A1131" s="2" t="s">
        <v>3313</v>
      </c>
      <c r="B1131" s="2" t="s">
        <v>3313</v>
      </c>
      <c r="C1131" s="2" t="s">
        <v>88</v>
      </c>
      <c r="D1131" s="2" t="s">
        <v>117</v>
      </c>
      <c r="E1131" s="4">
        <v>-32699</v>
      </c>
      <c r="F1131" s="3" t="s">
        <v>1216</v>
      </c>
      <c r="G1131" s="3" t="s">
        <v>1219</v>
      </c>
      <c r="H1131" s="2" t="s">
        <v>74</v>
      </c>
      <c r="I1131" s="2" t="s">
        <v>3314</v>
      </c>
      <c r="J1131" s="3" t="str">
        <f>HYPERLINK("https://www.boe.es/gazeta/dias/1810/06/21/pdfs/GMD-1810-172.pdf#page=4","Abrir facsímil")</f>
        <v>Abrir facsímil</v>
      </c>
      <c r="K1131" s="3" t="s">
        <v>76</v>
      </c>
    </row>
    <row r="1132" spans="1:11" ht="42" customHeight="1">
      <c r="A1132" s="2" t="s">
        <v>3315</v>
      </c>
      <c r="B1132" s="2" t="s">
        <v>3315</v>
      </c>
      <c r="C1132" s="2" t="s">
        <v>88</v>
      </c>
      <c r="D1132" s="2" t="s">
        <v>220</v>
      </c>
      <c r="E1132" s="4">
        <v>-32831</v>
      </c>
      <c r="F1132" s="3" t="s">
        <v>3316</v>
      </c>
      <c r="G1132" s="3" t="s">
        <v>3317</v>
      </c>
      <c r="H1132" s="2" t="s">
        <v>74</v>
      </c>
      <c r="I1132" s="2" t="s">
        <v>3318</v>
      </c>
      <c r="J1132" s="3" t="str">
        <f>HYPERLINK("https://www.boe.es/gazeta/dias/1810/02/09/pdfs/GMD-1810-40.pdf#page=1","Abrir facsímil")</f>
        <v>Abrir facsímil</v>
      </c>
      <c r="K1132" s="3" t="s">
        <v>76</v>
      </c>
    </row>
    <row r="1133" spans="1:11" ht="42" customHeight="1">
      <c r="A1133" s="2" t="s">
        <v>3319</v>
      </c>
      <c r="B1133" s="2" t="s">
        <v>3319</v>
      </c>
      <c r="C1133" s="2" t="s">
        <v>88</v>
      </c>
      <c r="D1133" s="2" t="s">
        <v>117</v>
      </c>
      <c r="E1133" s="4">
        <v>-32713</v>
      </c>
      <c r="F1133" s="3" t="s">
        <v>959</v>
      </c>
      <c r="G1133" s="3" t="s">
        <v>960</v>
      </c>
      <c r="H1133" s="2" t="s">
        <v>74</v>
      </c>
      <c r="I1133" s="2" t="s">
        <v>3320</v>
      </c>
      <c r="J1133" s="3" t="str">
        <f>HYPERLINK("https://www.boe.es/gazeta/dias/1810/06/07/pdfs/GMD-1810-158.pdf#page=4","Abrir facsímil")</f>
        <v>Abrir facsímil</v>
      </c>
      <c r="K1133" s="3" t="s">
        <v>76</v>
      </c>
    </row>
    <row r="1134" spans="1:11" ht="42" customHeight="1">
      <c r="A1134" s="2" t="s">
        <v>3321</v>
      </c>
      <c r="B1134" s="2" t="s">
        <v>3321</v>
      </c>
      <c r="C1134" s="2" t="s">
        <v>225</v>
      </c>
      <c r="D1134" s="2" t="s">
        <v>117</v>
      </c>
      <c r="E1134" s="4">
        <v>-32606</v>
      </c>
      <c r="F1134" s="3" t="s">
        <v>1676</v>
      </c>
      <c r="G1134" s="3" t="s">
        <v>180</v>
      </c>
      <c r="H1134" s="2" t="s">
        <v>74</v>
      </c>
      <c r="I1134" s="2" t="s">
        <v>3322</v>
      </c>
      <c r="J1134" s="3" t="str">
        <f>HYPERLINK("https://www.boe.es/gazeta/dias/1810/09/22/pdfs/GMD-1810-265.pdf#page=1","Abrir facsímil")</f>
        <v>Abrir facsímil</v>
      </c>
      <c r="K1134" s="3" t="s">
        <v>76</v>
      </c>
    </row>
    <row r="1135" spans="1:11" ht="42" customHeight="1">
      <c r="A1135" s="2" t="s">
        <v>3323</v>
      </c>
      <c r="B1135" s="2" t="s">
        <v>3323</v>
      </c>
      <c r="C1135" s="2" t="s">
        <v>88</v>
      </c>
      <c r="D1135" s="2" t="s">
        <v>27</v>
      </c>
      <c r="E1135" s="4">
        <v>-32756</v>
      </c>
      <c r="F1135" s="3" t="s">
        <v>203</v>
      </c>
      <c r="G1135" s="3" t="s">
        <v>60</v>
      </c>
      <c r="H1135" s="2" t="s">
        <v>74</v>
      </c>
      <c r="I1135" s="2" t="s">
        <v>3324</v>
      </c>
      <c r="J1135" s="3" t="str">
        <f>HYPERLINK("https://www.boe.es/gazeta/dias/1810/04/25/pdfs/GMD-1810-115.pdf#page=2","Abrir facsímil")</f>
        <v>Abrir facsímil</v>
      </c>
      <c r="K1135" s="3" t="s">
        <v>76</v>
      </c>
    </row>
    <row r="1136" spans="1:11" ht="42" customHeight="1">
      <c r="A1136" s="2" t="s">
        <v>3325</v>
      </c>
      <c r="B1136" s="2" t="s">
        <v>3326</v>
      </c>
      <c r="C1136" s="2" t="s">
        <v>26</v>
      </c>
      <c r="D1136" s="2" t="s">
        <v>39</v>
      </c>
      <c r="E1136" s="4">
        <v>-32698</v>
      </c>
      <c r="F1136" s="3" t="s">
        <v>2657</v>
      </c>
      <c r="G1136" s="3" t="s">
        <v>3327</v>
      </c>
      <c r="H1136" s="2" t="s">
        <v>74</v>
      </c>
      <c r="I1136" s="2" t="s">
        <v>3328</v>
      </c>
      <c r="J1136" s="3" t="str">
        <f>HYPERLINK("https://www.boe.es/gazeta/dias/1810/06/22/pdfs/GEI-D-1810-38.pdf#page=2","Abrir facsímil")</f>
        <v>Abrir facsímil</v>
      </c>
      <c r="K1136" s="3" t="s">
        <v>76</v>
      </c>
    </row>
    <row r="1137" spans="1:11" ht="42" customHeight="1">
      <c r="A1137" s="2" t="s">
        <v>3329</v>
      </c>
      <c r="B1137" s="2" t="s">
        <v>3330</v>
      </c>
      <c r="C1137" s="2" t="s">
        <v>88</v>
      </c>
      <c r="D1137" s="2" t="s">
        <v>27</v>
      </c>
      <c r="E1137" s="4">
        <v>-32848</v>
      </c>
      <c r="F1137" s="3" t="s">
        <v>558</v>
      </c>
      <c r="G1137" s="3" t="s">
        <v>559</v>
      </c>
      <c r="H1137" s="2" t="s">
        <v>74</v>
      </c>
      <c r="I1137" s="2" t="s">
        <v>3331</v>
      </c>
      <c r="J1137" s="3" t="str">
        <f>HYPERLINK("https://www.boe.es/gazeta/dias/1810/01/23/pdfs/GGB-1810-10.pdf#page=7","Abrir facsímil")</f>
        <v>Abrir facsímil</v>
      </c>
      <c r="K1137" s="3" t="s">
        <v>76</v>
      </c>
    </row>
    <row r="1138" spans="1:11" ht="42" customHeight="1">
      <c r="A1138" s="2" t="s">
        <v>3332</v>
      </c>
      <c r="B1138" s="2" t="s">
        <v>3333</v>
      </c>
      <c r="C1138" s="2" t="s">
        <v>33</v>
      </c>
      <c r="D1138" s="2" t="s">
        <v>58</v>
      </c>
      <c r="E1138" s="4">
        <v>-32601</v>
      </c>
      <c r="F1138" s="3" t="s">
        <v>392</v>
      </c>
      <c r="G1138" s="3" t="s">
        <v>1430</v>
      </c>
      <c r="H1138" s="2" t="s">
        <v>74</v>
      </c>
      <c r="I1138" s="2" t="s">
        <v>3334</v>
      </c>
      <c r="J1138" s="3" t="str">
        <f>HYPERLINK("https://www.boe.es/gazeta/dias/1810/09/27/pdfs/GEI-1810-74E.pdf#page=3","Abrir facsímil")</f>
        <v>Abrir facsímil</v>
      </c>
      <c r="K1138" s="3" t="s">
        <v>76</v>
      </c>
    </row>
    <row r="1139" spans="1:11" ht="42" customHeight="1">
      <c r="A1139" s="2" t="s">
        <v>3335</v>
      </c>
      <c r="B1139" s="2" t="s">
        <v>3336</v>
      </c>
      <c r="C1139" s="2" t="s">
        <v>26</v>
      </c>
      <c r="D1139" s="2" t="s">
        <v>39</v>
      </c>
      <c r="E1139" s="4">
        <v>-32599</v>
      </c>
      <c r="F1139" s="3" t="s">
        <v>662</v>
      </c>
      <c r="G1139" s="3" t="s">
        <v>227</v>
      </c>
      <c r="H1139" s="2" t="s">
        <v>74</v>
      </c>
      <c r="I1139" s="2" t="s">
        <v>3337</v>
      </c>
      <c r="J1139" s="3" t="str">
        <f>HYPERLINK("https://www.boe.es/gazeta/dias/1810/09/29/pdfs/GMD-C-1810-272.pdf#page=12","Abrir facsímil")</f>
        <v>Abrir facsímil</v>
      </c>
      <c r="K1139" s="3" t="s">
        <v>76</v>
      </c>
    </row>
    <row r="1140" spans="1:11" ht="42" customHeight="1">
      <c r="A1140" s="2" t="s">
        <v>3338</v>
      </c>
      <c r="B1140" s="2" t="s">
        <v>3339</v>
      </c>
      <c r="C1140" s="2" t="s">
        <v>225</v>
      </c>
      <c r="D1140" s="2" t="s">
        <v>27</v>
      </c>
      <c r="E1140" s="4">
        <v>-32509</v>
      </c>
      <c r="F1140" s="3" t="s">
        <v>212</v>
      </c>
      <c r="G1140" s="3" t="s">
        <v>213</v>
      </c>
      <c r="H1140" s="2" t="s">
        <v>74</v>
      </c>
      <c r="I1140" s="2" t="s">
        <v>3340</v>
      </c>
      <c r="J1140" s="3" t="str">
        <f>HYPERLINK("https://www.boe.es/gazeta/dias/1810/12/28/pdfs/GMD-1810-362.pdf#page=4","Abrir facsímil")</f>
        <v>Abrir facsímil</v>
      </c>
      <c r="K1140" s="3" t="s">
        <v>76</v>
      </c>
    </row>
    <row r="1141" spans="1:11" ht="42" customHeight="1">
      <c r="A1141" s="2" t="s">
        <v>3341</v>
      </c>
      <c r="B1141" s="2" t="s">
        <v>3342</v>
      </c>
      <c r="C1141" s="2" t="s">
        <v>225</v>
      </c>
      <c r="D1141" s="2" t="s">
        <v>27</v>
      </c>
      <c r="E1141" s="4">
        <v>-32509</v>
      </c>
      <c r="F1141" s="3" t="s">
        <v>212</v>
      </c>
      <c r="G1141" s="3" t="s">
        <v>213</v>
      </c>
      <c r="H1141" s="2" t="s">
        <v>74</v>
      </c>
      <c r="I1141" s="2" t="s">
        <v>3343</v>
      </c>
      <c r="J1141" s="3" t="str">
        <f>HYPERLINK("https://www.boe.es/gazeta/dias/1810/12/28/pdfs/GMD-1810-362.pdf#page=4","Abrir facsímil")</f>
        <v>Abrir facsímil</v>
      </c>
      <c r="K1141" s="3" t="s">
        <v>76</v>
      </c>
    </row>
    <row r="1142" spans="1:11" ht="42" customHeight="1">
      <c r="A1142" s="2" t="s">
        <v>3344</v>
      </c>
      <c r="B1142" s="2" t="s">
        <v>3345</v>
      </c>
      <c r="C1142" s="2" t="s">
        <v>26</v>
      </c>
      <c r="D1142" s="2" t="s">
        <v>39</v>
      </c>
      <c r="E1142" s="4">
        <v>-32599</v>
      </c>
      <c r="F1142" s="3" t="s">
        <v>662</v>
      </c>
      <c r="G1142" s="3" t="s">
        <v>3346</v>
      </c>
      <c r="H1142" s="2" t="s">
        <v>74</v>
      </c>
      <c r="I1142" s="2" t="s">
        <v>3347</v>
      </c>
      <c r="J1142" s="3" t="str">
        <f>HYPERLINK("https://www.boe.es/gazeta/dias/1810/09/29/pdfs/GMD-C-1810-272.pdf#page=5","Abrir facsímil")</f>
        <v>Abrir facsímil</v>
      </c>
      <c r="K1142" s="3" t="s">
        <v>76</v>
      </c>
    </row>
    <row r="1143" spans="1:11" ht="42" customHeight="1">
      <c r="A1143" s="2" t="s">
        <v>3348</v>
      </c>
      <c r="B1143" s="2" t="s">
        <v>3349</v>
      </c>
      <c r="C1143" s="2" t="s">
        <v>26</v>
      </c>
      <c r="D1143" s="2" t="s">
        <v>27</v>
      </c>
      <c r="E1143" s="4">
        <v>-32726</v>
      </c>
      <c r="F1143" s="3" t="s">
        <v>3350</v>
      </c>
      <c r="G1143" s="3" t="s">
        <v>227</v>
      </c>
      <c r="H1143" s="2" t="s">
        <v>74</v>
      </c>
      <c r="I1143" s="2" t="s">
        <v>3351</v>
      </c>
      <c r="J1143" s="3" t="str">
        <f>HYPERLINK("https://www.boe.es/gazeta/dias/1810/05/25/pdfs/GMD-1810-145.pdf#page=1","Abrir facsímil")</f>
        <v>Abrir facsímil</v>
      </c>
      <c r="K1143" s="3" t="s">
        <v>76</v>
      </c>
    </row>
    <row r="1144" spans="1:11" ht="42" customHeight="1">
      <c r="A1144" s="2" t="s">
        <v>3352</v>
      </c>
      <c r="B1144" s="2" t="s">
        <v>3353</v>
      </c>
      <c r="C1144" s="2" t="s">
        <v>88</v>
      </c>
      <c r="D1144" s="2" t="s">
        <v>27</v>
      </c>
      <c r="E1144" s="4">
        <v>-32830</v>
      </c>
      <c r="F1144" s="3" t="s">
        <v>3354</v>
      </c>
      <c r="G1144" s="3" t="s">
        <v>90</v>
      </c>
      <c r="H1144" s="2" t="s">
        <v>74</v>
      </c>
      <c r="I1144" s="2" t="s">
        <v>3355</v>
      </c>
      <c r="J1144" s="3" t="str">
        <f>HYPERLINK("https://www.boe.es/gazeta/dias/1810/02/10/pdfs/GMD-1810-41.pdf#page=4","Abrir facsímil")</f>
        <v>Abrir facsímil</v>
      </c>
      <c r="K1144" s="3" t="s">
        <v>76</v>
      </c>
    </row>
    <row r="1145" spans="1:11" ht="42" customHeight="1">
      <c r="A1145" s="2" t="s">
        <v>3356</v>
      </c>
      <c r="B1145" s="2" t="s">
        <v>3357</v>
      </c>
      <c r="C1145" s="2" t="s">
        <v>88</v>
      </c>
      <c r="D1145" s="2" t="s">
        <v>117</v>
      </c>
      <c r="E1145" s="4">
        <v>-32713</v>
      </c>
      <c r="F1145" s="3" t="s">
        <v>959</v>
      </c>
      <c r="G1145" s="3" t="s">
        <v>960</v>
      </c>
      <c r="H1145" s="2" t="s">
        <v>74</v>
      </c>
      <c r="I1145" s="2" t="s">
        <v>3358</v>
      </c>
      <c r="J1145" s="3" t="str">
        <f>HYPERLINK("https://www.boe.es/gazeta/dias/1810/06/07/pdfs/GMD-1810-158.pdf#page=4","Abrir facsímil")</f>
        <v>Abrir facsímil</v>
      </c>
      <c r="K1145" s="3" t="s">
        <v>76</v>
      </c>
    </row>
    <row r="1146" spans="1:11" ht="42" customHeight="1">
      <c r="A1146" s="2" t="s">
        <v>3359</v>
      </c>
      <c r="B1146" s="2" t="s">
        <v>3359</v>
      </c>
      <c r="C1146" s="2" t="s">
        <v>88</v>
      </c>
      <c r="D1146" s="2" t="s">
        <v>27</v>
      </c>
      <c r="E1146" s="4">
        <v>-32731</v>
      </c>
      <c r="F1146" s="3" t="s">
        <v>251</v>
      </c>
      <c r="G1146" s="3" t="s">
        <v>252</v>
      </c>
      <c r="H1146" s="2" t="s">
        <v>74</v>
      </c>
      <c r="I1146" s="2" t="s">
        <v>3360</v>
      </c>
      <c r="J1146" s="3" t="str">
        <f>HYPERLINK("https://www.boe.es/gazeta/dias/1810/05/20/pdfs/GMD-1810-140.pdf#page=4","Abrir facsímil")</f>
        <v>Abrir facsímil</v>
      </c>
      <c r="K1146" s="3" t="s">
        <v>76</v>
      </c>
    </row>
    <row r="1147" spans="1:11" ht="42" customHeight="1">
      <c r="A1147" s="2" t="s">
        <v>3361</v>
      </c>
      <c r="B1147" s="2" t="s">
        <v>3361</v>
      </c>
      <c r="C1147" s="2" t="s">
        <v>88</v>
      </c>
      <c r="D1147" s="2" t="s">
        <v>58</v>
      </c>
      <c r="E1147" s="4">
        <v>-32729</v>
      </c>
      <c r="F1147" s="3" t="s">
        <v>2427</v>
      </c>
      <c r="G1147" s="3" t="s">
        <v>1266</v>
      </c>
      <c r="H1147" s="2" t="s">
        <v>74</v>
      </c>
      <c r="I1147" s="2" t="s">
        <v>3362</v>
      </c>
      <c r="J1147" s="3" t="str">
        <f>HYPERLINK("https://www.boe.es/gazeta/dias/1810/05/22/pdfs/GEI-1810-29E.pdf#page=3","Abrir facsímil")</f>
        <v>Abrir facsímil</v>
      </c>
      <c r="K1147" s="3" t="s">
        <v>76</v>
      </c>
    </row>
    <row r="1148" spans="1:11" ht="42" customHeight="1">
      <c r="A1148" s="2" t="s">
        <v>3363</v>
      </c>
      <c r="B1148" s="2" t="s">
        <v>3364</v>
      </c>
      <c r="C1148" s="2" t="s">
        <v>88</v>
      </c>
      <c r="D1148" s="2" t="s">
        <v>58</v>
      </c>
      <c r="E1148" s="4">
        <v>-32729</v>
      </c>
      <c r="F1148" s="3" t="s">
        <v>2427</v>
      </c>
      <c r="G1148" s="3" t="s">
        <v>1266</v>
      </c>
      <c r="H1148" s="2" t="s">
        <v>74</v>
      </c>
      <c r="I1148" s="2" t="s">
        <v>3365</v>
      </c>
      <c r="J1148" s="3" t="str">
        <f>HYPERLINK("https://www.boe.es/gazeta/dias/1810/05/22/pdfs/GEI-1810-29E.pdf#page=3","Abrir facsímil")</f>
        <v>Abrir facsímil</v>
      </c>
      <c r="K1148" s="3" t="s">
        <v>76</v>
      </c>
    </row>
    <row r="1149" spans="1:11" ht="42" customHeight="1">
      <c r="A1149" s="2" t="s">
        <v>3366</v>
      </c>
      <c r="B1149" s="2" t="s">
        <v>3367</v>
      </c>
      <c r="C1149" s="2" t="s">
        <v>17</v>
      </c>
      <c r="D1149" s="2" t="s">
        <v>27</v>
      </c>
      <c r="E1149" s="4">
        <v>-32689</v>
      </c>
      <c r="F1149" s="3" t="s">
        <v>571</v>
      </c>
      <c r="G1149" s="3" t="s">
        <v>140</v>
      </c>
      <c r="H1149" s="2" t="s">
        <v>74</v>
      </c>
      <c r="I1149" s="2" t="s">
        <v>3368</v>
      </c>
      <c r="J1149" s="3" t="str">
        <f>HYPERLINK("https://www.boe.es/gazeta/dias/1810/07/01/pdfs/GMD-1810-182.pdf#page=4","Abrir facsímil")</f>
        <v>Abrir facsímil</v>
      </c>
      <c r="K1149" s="3" t="s">
        <v>76</v>
      </c>
    </row>
    <row r="1150" spans="1:11" ht="42" customHeight="1">
      <c r="A1150" s="2" t="s">
        <v>3369</v>
      </c>
      <c r="B1150" s="2" t="s">
        <v>3370</v>
      </c>
      <c r="C1150" s="2" t="s">
        <v>88</v>
      </c>
      <c r="D1150" s="2" t="s">
        <v>27</v>
      </c>
      <c r="E1150" s="4">
        <v>-32710</v>
      </c>
      <c r="F1150" s="3" t="s">
        <v>126</v>
      </c>
      <c r="G1150" s="3" t="s">
        <v>35</v>
      </c>
      <c r="H1150" s="2" t="s">
        <v>74</v>
      </c>
      <c r="I1150" s="2" t="s">
        <v>3371</v>
      </c>
      <c r="J1150" s="3" t="str">
        <f>HYPERLINK("https://www.boe.es/gazeta/dias/1810/06/10/pdfs/GMD-1810-161.pdf#page=2","Abrir facsímil")</f>
        <v>Abrir facsímil</v>
      </c>
      <c r="K1150" s="3" t="s">
        <v>76</v>
      </c>
    </row>
    <row r="1151" spans="1:11" ht="42" customHeight="1">
      <c r="A1151" s="2" t="s">
        <v>3372</v>
      </c>
      <c r="B1151" s="2" t="s">
        <v>3373</v>
      </c>
      <c r="C1151" s="2" t="s">
        <v>195</v>
      </c>
      <c r="D1151" s="2" t="s">
        <v>27</v>
      </c>
      <c r="E1151" s="4">
        <v>-32545</v>
      </c>
      <c r="F1151" s="3" t="s">
        <v>165</v>
      </c>
      <c r="G1151" s="3" t="s">
        <v>166</v>
      </c>
      <c r="H1151" s="2" t="s">
        <v>74</v>
      </c>
      <c r="I1151" s="2" t="s">
        <v>3374</v>
      </c>
      <c r="J1151" s="3" t="str">
        <f>HYPERLINK("https://www.boe.es/gazeta/dias/1810/11/22/pdfs/GEI-1810-98.pdf#page=8","Abrir facsímil")</f>
        <v>Abrir facsímil</v>
      </c>
      <c r="K1151" s="3" t="s">
        <v>76</v>
      </c>
    </row>
    <row r="1152" spans="1:11" ht="42" customHeight="1">
      <c r="A1152" s="2" t="s">
        <v>3375</v>
      </c>
      <c r="B1152" s="2" t="s">
        <v>3376</v>
      </c>
      <c r="C1152" s="2" t="s">
        <v>26</v>
      </c>
      <c r="D1152" s="2" t="s">
        <v>27</v>
      </c>
      <c r="E1152" s="4">
        <v>-32720</v>
      </c>
      <c r="F1152" s="3" t="s">
        <v>3377</v>
      </c>
      <c r="G1152" s="3" t="s">
        <v>3378</v>
      </c>
      <c r="H1152" s="2" t="s">
        <v>74</v>
      </c>
      <c r="I1152" s="2" t="s">
        <v>3379</v>
      </c>
      <c r="J1152" s="3" t="str">
        <f>HYPERLINK("https://www.boe.es/gazeta/dias/1810/05/31/pdfs/GMD-1810-151.pdf#page=4","Abrir facsímil")</f>
        <v>Abrir facsímil</v>
      </c>
      <c r="K1152" s="3" t="s">
        <v>76</v>
      </c>
    </row>
    <row r="1153" spans="1:11" ht="42" customHeight="1">
      <c r="A1153" s="2" t="s">
        <v>3380</v>
      </c>
      <c r="B1153" s="2" t="s">
        <v>3381</v>
      </c>
      <c r="C1153" s="2" t="s">
        <v>88</v>
      </c>
      <c r="D1153" s="2" t="s">
        <v>117</v>
      </c>
      <c r="E1153" s="4">
        <v>-32729</v>
      </c>
      <c r="F1153" s="3" t="s">
        <v>174</v>
      </c>
      <c r="G1153" s="3" t="s">
        <v>175</v>
      </c>
      <c r="H1153" s="2" t="s">
        <v>74</v>
      </c>
      <c r="I1153" s="2" t="s">
        <v>3382</v>
      </c>
      <c r="J1153" s="3" t="str">
        <f>HYPERLINK("https://www.boe.es/gazeta/dias/1810/05/22/pdfs/GEI-1810-28.pdf#page=10","Abrir facsímil")</f>
        <v>Abrir facsímil</v>
      </c>
      <c r="K1153" s="3" t="s">
        <v>76</v>
      </c>
    </row>
    <row r="1154" spans="1:11" ht="42" customHeight="1">
      <c r="A1154" s="2" t="s">
        <v>3383</v>
      </c>
      <c r="B1154" s="2" t="s">
        <v>3384</v>
      </c>
      <c r="C1154" s="2" t="s">
        <v>88</v>
      </c>
      <c r="D1154" s="2" t="s">
        <v>27</v>
      </c>
      <c r="E1154" s="4">
        <v>-32631</v>
      </c>
      <c r="F1154" s="3" t="s">
        <v>497</v>
      </c>
      <c r="G1154" s="3" t="s">
        <v>498</v>
      </c>
      <c r="H1154" s="2" t="s">
        <v>74</v>
      </c>
      <c r="I1154" s="2" t="s">
        <v>3385</v>
      </c>
      <c r="J1154" s="3" t="str">
        <f>HYPERLINK("https://www.boe.es/gazeta/dias/1810/08/28/pdfs/GMD-1810-240.pdf#page=2","Abrir facsímil")</f>
        <v>Abrir facsímil</v>
      </c>
      <c r="K1154" s="3" t="s">
        <v>76</v>
      </c>
    </row>
    <row r="1155" spans="1:11" ht="42" customHeight="1">
      <c r="A1155" s="2" t="s">
        <v>3386</v>
      </c>
      <c r="B1155" s="2" t="s">
        <v>3387</v>
      </c>
      <c r="C1155" s="2" t="s">
        <v>88</v>
      </c>
      <c r="D1155" s="2" t="s">
        <v>117</v>
      </c>
      <c r="E1155" s="4">
        <v>-32862</v>
      </c>
      <c r="F1155" s="3" t="s">
        <v>878</v>
      </c>
      <c r="G1155" s="3" t="s">
        <v>99</v>
      </c>
      <c r="H1155" s="2" t="s">
        <v>74</v>
      </c>
      <c r="I1155" s="2" t="s">
        <v>3388</v>
      </c>
      <c r="J1155" s="3" t="str">
        <f>HYPERLINK("https://www.boe.es/gazeta/dias/1810/01/09/pdfs/GMD-1810-9.pdf#page=3","Abrir facsímil")</f>
        <v>Abrir facsímil</v>
      </c>
      <c r="K1155" s="3" t="s">
        <v>76</v>
      </c>
    </row>
    <row r="1156" spans="1:11" ht="42" customHeight="1">
      <c r="A1156" s="2" t="s">
        <v>3389</v>
      </c>
      <c r="B1156" s="2" t="s">
        <v>3390</v>
      </c>
      <c r="C1156" s="2" t="s">
        <v>26</v>
      </c>
      <c r="D1156" s="2" t="s">
        <v>27</v>
      </c>
      <c r="E1156" s="4">
        <v>-32508</v>
      </c>
      <c r="F1156" s="3" t="s">
        <v>864</v>
      </c>
      <c r="G1156" s="3" t="s">
        <v>691</v>
      </c>
      <c r="H1156" s="2" t="s">
        <v>74</v>
      </c>
      <c r="I1156" s="2" t="s">
        <v>3391</v>
      </c>
      <c r="J1156" s="3" t="str">
        <f>HYPERLINK("https://www.boe.es/gazeta/dias/1810/12/29/pdfs/GEI-1810-114.pdf#page=8","Abrir facsímil")</f>
        <v>Abrir facsímil</v>
      </c>
      <c r="K1156" s="3" t="s">
        <v>76</v>
      </c>
    </row>
    <row r="1157" spans="1:11" ht="42" customHeight="1">
      <c r="A1157" s="2" t="s">
        <v>3392</v>
      </c>
      <c r="B1157" s="2" t="s">
        <v>3393</v>
      </c>
      <c r="C1157" s="2" t="s">
        <v>17</v>
      </c>
      <c r="D1157" s="2" t="s">
        <v>27</v>
      </c>
      <c r="E1157" s="4">
        <v>-32688</v>
      </c>
      <c r="F1157" s="3" t="s">
        <v>997</v>
      </c>
      <c r="G1157" s="3" t="s">
        <v>749</v>
      </c>
      <c r="H1157" s="2" t="s">
        <v>74</v>
      </c>
      <c r="I1157" s="2" t="s">
        <v>3394</v>
      </c>
      <c r="J1157" s="3" t="str">
        <f>HYPERLINK("https://www.boe.es/gazeta/dias/1810/07/02/pdfs/GMD-1810-183.pdf#page=4","Abrir facsímil")</f>
        <v>Abrir facsímil</v>
      </c>
      <c r="K1157" s="3" t="s">
        <v>76</v>
      </c>
    </row>
    <row r="1158" spans="1:11" ht="42" customHeight="1">
      <c r="A1158" s="2" t="s">
        <v>3395</v>
      </c>
      <c r="B1158" s="2" t="s">
        <v>3396</v>
      </c>
      <c r="C1158" s="2" t="s">
        <v>26</v>
      </c>
      <c r="D1158" s="2" t="s">
        <v>39</v>
      </c>
      <c r="E1158" s="4">
        <v>-32702</v>
      </c>
      <c r="F1158" s="3" t="s">
        <v>179</v>
      </c>
      <c r="G1158" s="3" t="s">
        <v>180</v>
      </c>
      <c r="H1158" s="2" t="s">
        <v>74</v>
      </c>
      <c r="I1158" s="2" t="s">
        <v>3397</v>
      </c>
      <c r="J1158" s="3" t="str">
        <f>HYPERLINK("https://www.boe.es/gazeta/dias/1810/06/18/pdfs/GMD-C-1810-169.pdf#page=2","Abrir facsímil")</f>
        <v>Abrir facsímil</v>
      </c>
      <c r="K1158" s="3" t="s">
        <v>76</v>
      </c>
    </row>
    <row r="1159" spans="1:11" ht="42" customHeight="1">
      <c r="A1159" s="2" t="s">
        <v>3398</v>
      </c>
      <c r="B1159" s="2" t="s">
        <v>3399</v>
      </c>
      <c r="C1159" s="2" t="s">
        <v>33</v>
      </c>
      <c r="D1159" s="2" t="s">
        <v>27</v>
      </c>
      <c r="E1159" s="4">
        <v>-32845</v>
      </c>
      <c r="F1159" s="3" t="s">
        <v>1454</v>
      </c>
      <c r="G1159" s="3" t="s">
        <v>35</v>
      </c>
      <c r="H1159" s="2" t="s">
        <v>74</v>
      </c>
      <c r="I1159" s="2" t="s">
        <v>3400</v>
      </c>
      <c r="J1159" s="3" t="str">
        <f>HYPERLINK("https://www.boe.es/gazeta/dias/1810/01/26/pdfs/GMD-1810-26.pdf#page=2","Abrir facsímil")</f>
        <v>Abrir facsímil</v>
      </c>
      <c r="K1159" s="3" t="s">
        <v>76</v>
      </c>
    </row>
    <row r="1160" spans="1:11" ht="42" customHeight="1">
      <c r="A1160" s="2" t="s">
        <v>3398</v>
      </c>
      <c r="B1160" s="2" t="s">
        <v>3399</v>
      </c>
      <c r="C1160" s="2" t="s">
        <v>26</v>
      </c>
      <c r="D1160" s="2" t="s">
        <v>27</v>
      </c>
      <c r="E1160" s="4">
        <v>-32647</v>
      </c>
      <c r="F1160" s="3" t="s">
        <v>118</v>
      </c>
      <c r="G1160" s="3" t="s">
        <v>20</v>
      </c>
      <c r="H1160" s="2" t="s">
        <v>74</v>
      </c>
      <c r="I1160" s="2" t="s">
        <v>3401</v>
      </c>
      <c r="J1160" s="3" t="str">
        <f>HYPERLINK("https://www.boe.es/gazeta/dias/1810/08/12/pdfs/GMD-1810-224.pdf#page=4","Abrir facsímil")</f>
        <v>Abrir facsímil</v>
      </c>
      <c r="K1160" s="3" t="s">
        <v>76</v>
      </c>
    </row>
    <row r="1161" spans="1:11" ht="42" customHeight="1">
      <c r="A1161" s="2" t="s">
        <v>3398</v>
      </c>
      <c r="B1161" s="2" t="s">
        <v>3399</v>
      </c>
      <c r="C1161" s="2" t="s">
        <v>26</v>
      </c>
      <c r="D1161" s="2" t="s">
        <v>27</v>
      </c>
      <c r="E1161" s="4">
        <v>-32526</v>
      </c>
      <c r="F1161" s="3" t="s">
        <v>530</v>
      </c>
      <c r="G1161" s="3" t="s">
        <v>531</v>
      </c>
      <c r="H1161" s="2" t="s">
        <v>74</v>
      </c>
      <c r="I1161" s="2" t="s">
        <v>3402</v>
      </c>
      <c r="J1161" s="3" t="str">
        <f>HYPERLINK("https://www.boe.es/gazeta/dias/1810/12/11/pdfs/GEI-1810-106.pdf#page=2","Abrir facsímil")</f>
        <v>Abrir facsímil</v>
      </c>
      <c r="K1161" s="3" t="s">
        <v>76</v>
      </c>
    </row>
    <row r="1162" spans="1:11" ht="42" customHeight="1">
      <c r="A1162" s="2" t="s">
        <v>3403</v>
      </c>
      <c r="B1162" s="2" t="s">
        <v>3404</v>
      </c>
      <c r="C1162" s="2" t="s">
        <v>88</v>
      </c>
      <c r="D1162" s="2" t="s">
        <v>27</v>
      </c>
      <c r="E1162" s="4">
        <v>-32701</v>
      </c>
      <c r="F1162" s="3" t="s">
        <v>671</v>
      </c>
      <c r="G1162" s="3" t="s">
        <v>151</v>
      </c>
      <c r="H1162" s="2" t="s">
        <v>74</v>
      </c>
      <c r="I1162" s="2" t="s">
        <v>3405</v>
      </c>
      <c r="J1162" s="3" t="str">
        <f>HYPERLINK("https://www.boe.es/gazeta/dias/1810/06/19/pdfs/GEI-1810-37.pdf#page=5","Abrir facsímil")</f>
        <v>Abrir facsímil</v>
      </c>
      <c r="K1162" s="3" t="s">
        <v>76</v>
      </c>
    </row>
    <row r="1163" spans="1:11" ht="42" customHeight="1">
      <c r="A1163" s="2" t="s">
        <v>3406</v>
      </c>
      <c r="B1163" s="2" t="s">
        <v>3407</v>
      </c>
      <c r="C1163" s="2" t="s">
        <v>26</v>
      </c>
      <c r="D1163" s="2" t="s">
        <v>27</v>
      </c>
      <c r="E1163" s="4">
        <v>-32688</v>
      </c>
      <c r="F1163" s="3" t="s">
        <v>997</v>
      </c>
      <c r="G1163" s="3" t="s">
        <v>749</v>
      </c>
      <c r="H1163" s="2" t="s">
        <v>74</v>
      </c>
      <c r="I1163" s="2" t="s">
        <v>3408</v>
      </c>
      <c r="J1163" s="3" t="str">
        <f>HYPERLINK("https://www.boe.es/gazeta/dias/1810/07/02/pdfs/GMD-1810-183.pdf#page=4","Abrir facsímil")</f>
        <v>Abrir facsímil</v>
      </c>
      <c r="K1163" s="3" t="s">
        <v>76</v>
      </c>
    </row>
    <row r="1164" spans="1:11" ht="42" customHeight="1">
      <c r="A1164" s="2" t="s">
        <v>3409</v>
      </c>
      <c r="B1164" s="2" t="s">
        <v>3410</v>
      </c>
      <c r="C1164" s="2" t="s">
        <v>317</v>
      </c>
      <c r="D1164" s="2" t="s">
        <v>27</v>
      </c>
      <c r="E1164" s="4">
        <v>-32639</v>
      </c>
      <c r="F1164" s="3" t="s">
        <v>3411</v>
      </c>
      <c r="G1164" s="3" t="s">
        <v>3412</v>
      </c>
      <c r="H1164" s="2" t="s">
        <v>74</v>
      </c>
      <c r="I1164" s="2" t="s">
        <v>3413</v>
      </c>
      <c r="J1164" s="3" t="str">
        <f>HYPERLINK("https://www.boe.es/gazeta/dias/1810/08/20/pdfs/GMD-1810-232.pdf#page=4","Abrir facsímil")</f>
        <v>Abrir facsímil</v>
      </c>
      <c r="K1164" s="3" t="s">
        <v>76</v>
      </c>
    </row>
    <row r="1165" spans="1:11" ht="42" customHeight="1">
      <c r="A1165" s="2" t="s">
        <v>3414</v>
      </c>
      <c r="B1165" s="2" t="s">
        <v>3415</v>
      </c>
      <c r="C1165" s="2" t="s">
        <v>26</v>
      </c>
      <c r="D1165" s="2" t="s">
        <v>27</v>
      </c>
      <c r="E1165" s="4">
        <v>-32755</v>
      </c>
      <c r="F1165" s="3" t="s">
        <v>1641</v>
      </c>
      <c r="G1165" s="3" t="s">
        <v>2420</v>
      </c>
      <c r="H1165" s="2" t="s">
        <v>74</v>
      </c>
      <c r="I1165" s="2" t="s">
        <v>3416</v>
      </c>
      <c r="J1165" s="3" t="str">
        <f>HYPERLINK("https://www.boe.es/gazeta/dias/1810/04/26/pdfs/GMD-1810-116.pdf#page=4","Abrir facsímil")</f>
        <v>Abrir facsímil</v>
      </c>
      <c r="K1165" s="3" t="s">
        <v>76</v>
      </c>
    </row>
    <row r="1166" spans="1:11" ht="42" customHeight="1">
      <c r="A1166" s="2" t="s">
        <v>3417</v>
      </c>
      <c r="B1166" s="2" t="s">
        <v>3418</v>
      </c>
      <c r="C1166" s="2" t="s">
        <v>317</v>
      </c>
      <c r="D1166" s="2" t="s">
        <v>39</v>
      </c>
      <c r="E1166" s="4">
        <v>-32599</v>
      </c>
      <c r="F1166" s="3" t="s">
        <v>662</v>
      </c>
      <c r="G1166" s="3" t="s">
        <v>668</v>
      </c>
      <c r="H1166" s="2" t="s">
        <v>74</v>
      </c>
      <c r="I1166" s="2" t="s">
        <v>3419</v>
      </c>
      <c r="J1166" s="3" t="str">
        <f>HYPERLINK("https://www.boe.es/gazeta/dias/1810/09/29/pdfs/GMD-C-1810-272.pdf#page=4","Abrir facsímil")</f>
        <v>Abrir facsímil</v>
      </c>
      <c r="K1166" s="3" t="s">
        <v>76</v>
      </c>
    </row>
    <row r="1167" spans="1:11" ht="42" customHeight="1">
      <c r="A1167" s="2" t="s">
        <v>3420</v>
      </c>
      <c r="B1167" s="2" t="s">
        <v>3421</v>
      </c>
      <c r="C1167" s="2" t="s">
        <v>26</v>
      </c>
      <c r="D1167" s="2" t="s">
        <v>18</v>
      </c>
      <c r="E1167" s="4">
        <v>-32829</v>
      </c>
      <c r="F1167" s="3" t="s">
        <v>1126</v>
      </c>
      <c r="G1167" s="3" t="s">
        <v>29</v>
      </c>
      <c r="H1167" s="2" t="s">
        <v>74</v>
      </c>
      <c r="I1167" s="2" t="s">
        <v>3422</v>
      </c>
      <c r="J1167" s="3" t="str">
        <f>HYPERLINK("https://www.boe.es/gazeta/dias/1810/02/11/pdfs/GMD-1810-42.pdf#page=2","Abrir facsímil")</f>
        <v>Abrir facsímil</v>
      </c>
      <c r="K1167" s="3" t="s">
        <v>76</v>
      </c>
    </row>
    <row r="1168" spans="1:11" ht="42" customHeight="1">
      <c r="A1168" s="2" t="s">
        <v>3423</v>
      </c>
      <c r="B1168" s="2" t="s">
        <v>3424</v>
      </c>
      <c r="C1168" s="2" t="s">
        <v>88</v>
      </c>
      <c r="D1168" s="2" t="s">
        <v>27</v>
      </c>
      <c r="E1168" s="4">
        <v>-32710</v>
      </c>
      <c r="F1168" s="3" t="s">
        <v>126</v>
      </c>
      <c r="G1168" s="3" t="s">
        <v>184</v>
      </c>
      <c r="H1168" s="2" t="s">
        <v>74</v>
      </c>
      <c r="I1168" s="2" t="s">
        <v>3425</v>
      </c>
      <c r="J1168" s="3" t="str">
        <f>HYPERLINK("https://www.boe.es/gazeta/dias/1810/06/10/pdfs/GMD-1810-161.pdf#page=3","Abrir facsímil")</f>
        <v>Abrir facsímil</v>
      </c>
      <c r="K1168" s="3" t="s">
        <v>76</v>
      </c>
    </row>
    <row r="1169" spans="1:11" ht="42" customHeight="1">
      <c r="A1169" s="2" t="s">
        <v>3426</v>
      </c>
      <c r="B1169" s="2" t="s">
        <v>3427</v>
      </c>
      <c r="C1169" s="2" t="s">
        <v>26</v>
      </c>
      <c r="D1169" s="2" t="s">
        <v>27</v>
      </c>
      <c r="E1169" s="4">
        <v>-32761</v>
      </c>
      <c r="F1169" s="3" t="s">
        <v>811</v>
      </c>
      <c r="G1169" s="3" t="s">
        <v>140</v>
      </c>
      <c r="H1169" s="2" t="s">
        <v>74</v>
      </c>
      <c r="I1169" s="2" t="s">
        <v>3428</v>
      </c>
      <c r="J1169" s="3" t="str">
        <f>HYPERLINK("https://www.boe.es/gazeta/dias/1810/04/20/pdfs/GEI-1810-16.pdf#page=8","Abrir facsímil")</f>
        <v>Abrir facsímil</v>
      </c>
      <c r="K1169" s="3" t="s">
        <v>76</v>
      </c>
    </row>
    <row r="1170" spans="1:11" ht="42" customHeight="1">
      <c r="A1170" s="2" t="s">
        <v>3429</v>
      </c>
      <c r="B1170" s="2" t="s">
        <v>3430</v>
      </c>
      <c r="C1170" s="2" t="s">
        <v>26</v>
      </c>
      <c r="D1170" s="2" t="s">
        <v>27</v>
      </c>
      <c r="E1170" s="4">
        <v>-32543</v>
      </c>
      <c r="F1170" s="3" t="s">
        <v>69</v>
      </c>
      <c r="G1170" s="3" t="s">
        <v>70</v>
      </c>
      <c r="H1170" s="2" t="s">
        <v>74</v>
      </c>
      <c r="I1170" s="2" t="s">
        <v>3431</v>
      </c>
      <c r="J1170" s="3" t="str">
        <f>HYPERLINK("https://www.boe.es/gazeta/dias/1810/11/24/pdfs/GEI-1810-99.pdf#page=8","Abrir facsímil")</f>
        <v>Abrir facsímil</v>
      </c>
      <c r="K1170" s="3" t="s">
        <v>76</v>
      </c>
    </row>
    <row r="1171" spans="1:11" ht="42" customHeight="1">
      <c r="A1171" s="2" t="s">
        <v>3432</v>
      </c>
      <c r="B1171" s="2" t="s">
        <v>3433</v>
      </c>
      <c r="C1171" s="2" t="s">
        <v>26</v>
      </c>
      <c r="D1171" s="2" t="s">
        <v>27</v>
      </c>
      <c r="E1171" s="4">
        <v>-32733</v>
      </c>
      <c r="F1171" s="3" t="s">
        <v>955</v>
      </c>
      <c r="G1171" s="3" t="s">
        <v>3434</v>
      </c>
      <c r="H1171" s="2" t="s">
        <v>74</v>
      </c>
      <c r="I1171" s="2" t="s">
        <v>3435</v>
      </c>
      <c r="J1171" s="3" t="str">
        <f>HYPERLINK("https://www.boe.es/gazeta/dias/1810/05/18/pdfs/GEI-1810-27.pdf#page=2","Abrir facsímil")</f>
        <v>Abrir facsímil</v>
      </c>
      <c r="K1171" s="3" t="s">
        <v>76</v>
      </c>
    </row>
    <row r="1172" spans="1:11" ht="42" customHeight="1">
      <c r="A1172" s="2" t="s">
        <v>3436</v>
      </c>
      <c r="B1172" s="2" t="s">
        <v>3436</v>
      </c>
      <c r="C1172" s="2" t="s">
        <v>88</v>
      </c>
      <c r="D1172" s="2" t="s">
        <v>27</v>
      </c>
      <c r="E1172" s="4">
        <v>-32721</v>
      </c>
      <c r="F1172" s="3" t="s">
        <v>3437</v>
      </c>
      <c r="G1172" s="3" t="s">
        <v>213</v>
      </c>
      <c r="H1172" s="2" t="s">
        <v>74</v>
      </c>
      <c r="I1172" s="2" t="s">
        <v>3438</v>
      </c>
      <c r="J1172" s="3" t="str">
        <f>HYPERLINK("https://www.boe.es/gazeta/dias/1810/05/30/pdfs/GMD-1810-150.pdf#page=3","Abrir facsímil")</f>
        <v>Abrir facsímil</v>
      </c>
      <c r="K1172" s="3" t="s">
        <v>76</v>
      </c>
    </row>
    <row r="1173" spans="1:11" ht="42" customHeight="1">
      <c r="A1173" s="2" t="s">
        <v>3439</v>
      </c>
      <c r="B1173" s="2" t="s">
        <v>3439</v>
      </c>
      <c r="C1173" s="2" t="s">
        <v>17</v>
      </c>
      <c r="D1173" s="2" t="s">
        <v>27</v>
      </c>
      <c r="E1173" s="4">
        <v>-32535</v>
      </c>
      <c r="F1173" s="3" t="s">
        <v>3440</v>
      </c>
      <c r="G1173" s="3" t="s">
        <v>658</v>
      </c>
      <c r="H1173" s="2" t="s">
        <v>74</v>
      </c>
      <c r="I1173" s="2" t="s">
        <v>3441</v>
      </c>
      <c r="J1173" s="3" t="str">
        <f>HYPERLINK("https://www.boe.es/gazeta/dias/1810/12/02/pdfs/GMD-1810-336.pdf#page=2","Abrir facsímil")</f>
        <v>Abrir facsímil</v>
      </c>
      <c r="K1173" s="3" t="s">
        <v>76</v>
      </c>
    </row>
    <row r="1174" spans="1:11" ht="42" customHeight="1">
      <c r="A1174" s="2" t="s">
        <v>3442</v>
      </c>
      <c r="B1174" s="2" t="s">
        <v>3443</v>
      </c>
      <c r="C1174" s="2" t="s">
        <v>26</v>
      </c>
      <c r="D1174" s="2" t="s">
        <v>27</v>
      </c>
      <c r="E1174" s="4">
        <v>-32741</v>
      </c>
      <c r="F1174" s="3" t="s">
        <v>98</v>
      </c>
      <c r="G1174" s="3" t="s">
        <v>90</v>
      </c>
      <c r="H1174" s="2" t="s">
        <v>74</v>
      </c>
      <c r="I1174" s="2" t="s">
        <v>3444</v>
      </c>
      <c r="J1174" s="3" t="str">
        <f>HYPERLINK("https://www.boe.es/gazeta/dias/1810/05/10/pdfs/GMD-1810-130.pdf#page=4","Abrir facsímil")</f>
        <v>Abrir facsímil</v>
      </c>
      <c r="K1174" s="3" t="s">
        <v>76</v>
      </c>
    </row>
    <row r="1175" spans="1:11" ht="42" customHeight="1">
      <c r="A1175" s="2" t="s">
        <v>3445</v>
      </c>
      <c r="B1175" s="2" t="s">
        <v>3446</v>
      </c>
      <c r="C1175" s="2" t="s">
        <v>26</v>
      </c>
      <c r="D1175" s="2" t="s">
        <v>27</v>
      </c>
      <c r="E1175" s="4">
        <v>-32810</v>
      </c>
      <c r="F1175" s="3" t="s">
        <v>3447</v>
      </c>
      <c r="G1175" s="3" t="s">
        <v>915</v>
      </c>
      <c r="H1175" s="2" t="s">
        <v>74</v>
      </c>
      <c r="I1175" s="2" t="s">
        <v>3448</v>
      </c>
      <c r="J1175" s="3" t="str">
        <f>HYPERLINK("https://www.boe.es/gazeta/dias/1810/03/02/pdfs/GMD-1810-61.pdf#page=3","Abrir facsímil")</f>
        <v>Abrir facsímil</v>
      </c>
      <c r="K1175" s="3" t="s">
        <v>76</v>
      </c>
    </row>
    <row r="1176" spans="1:11" ht="42" customHeight="1">
      <c r="A1176" s="2" t="s">
        <v>3445</v>
      </c>
      <c r="B1176" s="2" t="s">
        <v>3446</v>
      </c>
      <c r="C1176" s="2" t="s">
        <v>111</v>
      </c>
      <c r="D1176" s="2" t="s">
        <v>27</v>
      </c>
      <c r="E1176" s="4">
        <v>-32724</v>
      </c>
      <c r="F1176" s="3" t="s">
        <v>1027</v>
      </c>
      <c r="G1176" s="3" t="s">
        <v>213</v>
      </c>
      <c r="H1176" s="2" t="s">
        <v>74</v>
      </c>
      <c r="I1176" s="2" t="s">
        <v>3449</v>
      </c>
      <c r="J1176" s="3" t="str">
        <f>HYPERLINK("https://www.boe.es/gazeta/dias/1810/05/27/pdfs/GMD-1810-147.pdf#page=4","Abrir facsímil")</f>
        <v>Abrir facsímil</v>
      </c>
      <c r="K1176" s="3" t="s">
        <v>76</v>
      </c>
    </row>
    <row r="1177" spans="1:11" ht="42" customHeight="1">
      <c r="A1177" s="2" t="s">
        <v>3450</v>
      </c>
      <c r="B1177" s="2" t="s">
        <v>3451</v>
      </c>
      <c r="C1177" s="2" t="s">
        <v>26</v>
      </c>
      <c r="D1177" s="2" t="s">
        <v>27</v>
      </c>
      <c r="E1177" s="4">
        <v>-32827</v>
      </c>
      <c r="F1177" s="3" t="s">
        <v>290</v>
      </c>
      <c r="G1177" s="3" t="s">
        <v>695</v>
      </c>
      <c r="H1177" s="2" t="s">
        <v>74</v>
      </c>
      <c r="I1177" s="2" t="s">
        <v>3452</v>
      </c>
      <c r="J1177" s="3" t="str">
        <f>HYPERLINK("https://www.boe.es/gazeta/dias/1810/02/13/pdfs/GMD-1810-44.pdf#page=2","Abrir facsímil")</f>
        <v>Abrir facsímil</v>
      </c>
      <c r="K1177" s="3" t="s">
        <v>76</v>
      </c>
    </row>
    <row r="1178" spans="1:11" ht="42" customHeight="1">
      <c r="A1178" s="2" t="s">
        <v>3453</v>
      </c>
      <c r="B1178" s="2" t="s">
        <v>3453</v>
      </c>
      <c r="C1178" s="2" t="s">
        <v>225</v>
      </c>
      <c r="D1178" s="2" t="s">
        <v>27</v>
      </c>
      <c r="E1178" s="4">
        <v>-32792</v>
      </c>
      <c r="F1178" s="3" t="s">
        <v>2387</v>
      </c>
      <c r="G1178" s="3" t="s">
        <v>1656</v>
      </c>
      <c r="H1178" s="2" t="s">
        <v>74</v>
      </c>
      <c r="I1178" s="2" t="s">
        <v>3454</v>
      </c>
      <c r="J1178" s="3" t="str">
        <f>HYPERLINK("https://www.boe.es/gazeta/dias/1810/03/20/pdfs/GEI-1810-4.pdf#page=2","Abrir facsímil")</f>
        <v>Abrir facsímil</v>
      </c>
      <c r="K1178" s="3" t="s">
        <v>76</v>
      </c>
    </row>
    <row r="1179" spans="1:11" ht="42" customHeight="1">
      <c r="A1179" s="2" t="s">
        <v>3455</v>
      </c>
      <c r="B1179" s="2" t="s">
        <v>3455</v>
      </c>
      <c r="C1179" s="2" t="s">
        <v>26</v>
      </c>
      <c r="D1179" s="2" t="s">
        <v>39</v>
      </c>
      <c r="E1179" s="4">
        <v>-32701</v>
      </c>
      <c r="F1179" s="3" t="s">
        <v>40</v>
      </c>
      <c r="G1179" s="3" t="s">
        <v>41</v>
      </c>
      <c r="H1179" s="2" t="s">
        <v>74</v>
      </c>
      <c r="I1179" s="2" t="s">
        <v>3456</v>
      </c>
      <c r="J1179" s="3" t="str">
        <f>HYPERLINK("https://www.boe.es/gazeta/dias/1810/06/19/pdfs/GMD-C-1810-170.pdf#page=3","Abrir facsímil")</f>
        <v>Abrir facsímil</v>
      </c>
      <c r="K1179" s="3" t="s">
        <v>76</v>
      </c>
    </row>
    <row r="1180" spans="1:11" ht="42" customHeight="1">
      <c r="A1180" s="2" t="s">
        <v>3457</v>
      </c>
      <c r="B1180" s="2" t="s">
        <v>3458</v>
      </c>
      <c r="C1180" s="2" t="s">
        <v>26</v>
      </c>
      <c r="D1180" s="2" t="s">
        <v>27</v>
      </c>
      <c r="E1180" s="4">
        <v>-32684</v>
      </c>
      <c r="F1180" s="3" t="s">
        <v>1373</v>
      </c>
      <c r="G1180" s="3" t="s">
        <v>1374</v>
      </c>
      <c r="H1180" s="2" t="s">
        <v>74</v>
      </c>
      <c r="I1180" s="2" t="s">
        <v>3459</v>
      </c>
      <c r="J1180" s="3" t="str">
        <f>HYPERLINK("https://www.boe.es/gazeta/dias/1810/07/06/pdfs/GEI-1810-42.pdf#page=8","Abrir facsímil")</f>
        <v>Abrir facsímil</v>
      </c>
      <c r="K1180" s="3" t="s">
        <v>76</v>
      </c>
    </row>
    <row r="1181" spans="1:11" ht="42" customHeight="1">
      <c r="A1181" s="2" t="s">
        <v>3460</v>
      </c>
      <c r="B1181" s="2" t="s">
        <v>3460</v>
      </c>
      <c r="C1181" s="2" t="s">
        <v>26</v>
      </c>
      <c r="D1181" s="2" t="s">
        <v>39</v>
      </c>
      <c r="E1181" s="4">
        <v>-32669</v>
      </c>
      <c r="F1181" s="3" t="s">
        <v>1110</v>
      </c>
      <c r="G1181" s="3" t="s">
        <v>29</v>
      </c>
      <c r="H1181" s="2" t="s">
        <v>74</v>
      </c>
      <c r="I1181" s="2" t="s">
        <v>3461</v>
      </c>
      <c r="J1181" s="3" t="str">
        <f>HYPERLINK("https://www.boe.es/gazeta/dias/1810/07/21/pdfs/GMD-C-1810-202.pdf#page=4","Abrir facsímil")</f>
        <v>Abrir facsímil</v>
      </c>
      <c r="K1181" s="3" t="s">
        <v>76</v>
      </c>
    </row>
    <row r="1182" spans="1:11" ht="42" customHeight="1">
      <c r="A1182" s="2" t="s">
        <v>3460</v>
      </c>
      <c r="B1182" s="2" t="s">
        <v>3460</v>
      </c>
      <c r="C1182" s="2" t="s">
        <v>17</v>
      </c>
      <c r="D1182" s="2" t="s">
        <v>27</v>
      </c>
      <c r="E1182" s="4">
        <v>-32567</v>
      </c>
      <c r="F1182" s="3" t="s">
        <v>741</v>
      </c>
      <c r="G1182" s="3" t="s">
        <v>807</v>
      </c>
      <c r="H1182" s="2" t="s">
        <v>74</v>
      </c>
      <c r="I1182" s="2" t="s">
        <v>3462</v>
      </c>
      <c r="J1182" s="3" t="str">
        <f>HYPERLINK("https://www.boe.es/gazeta/dias/1810/10/31/pdfs/GMD-1810-304.pdf#page=3","Abrir facsímil")</f>
        <v>Abrir facsímil</v>
      </c>
      <c r="K1182" s="3" t="s">
        <v>76</v>
      </c>
    </row>
    <row r="1183" spans="1:11" ht="42" customHeight="1">
      <c r="A1183" s="2" t="s">
        <v>3463</v>
      </c>
      <c r="B1183" s="2" t="s">
        <v>3464</v>
      </c>
      <c r="C1183" s="2" t="s">
        <v>88</v>
      </c>
      <c r="D1183" s="2" t="s">
        <v>27</v>
      </c>
      <c r="E1183" s="4">
        <v>-32837</v>
      </c>
      <c r="F1183" s="3" t="s">
        <v>196</v>
      </c>
      <c r="G1183" s="3" t="s">
        <v>213</v>
      </c>
      <c r="H1183" s="2" t="s">
        <v>74</v>
      </c>
      <c r="I1183" s="2" t="s">
        <v>3465</v>
      </c>
      <c r="J1183" s="3" t="str">
        <f>HYPERLINK("https://www.boe.es/gazeta/dias/1810/02/03/pdfs/GMD-1810-34.pdf#page=2","Abrir facsímil")</f>
        <v>Abrir facsímil</v>
      </c>
      <c r="K1183" s="3" t="s">
        <v>76</v>
      </c>
    </row>
    <row r="1184" spans="1:11" ht="42" customHeight="1">
      <c r="A1184" s="2" t="s">
        <v>3466</v>
      </c>
      <c r="B1184" s="2" t="s">
        <v>3466</v>
      </c>
      <c r="C1184" s="2" t="s">
        <v>88</v>
      </c>
      <c r="D1184" s="2" t="s">
        <v>27</v>
      </c>
      <c r="E1184" s="4">
        <v>-32575</v>
      </c>
      <c r="F1184" s="3" t="s">
        <v>135</v>
      </c>
      <c r="G1184" s="3" t="s">
        <v>3467</v>
      </c>
      <c r="H1184" s="2" t="s">
        <v>74</v>
      </c>
      <c r="I1184" s="2" t="s">
        <v>3468</v>
      </c>
      <c r="J1184" s="3" t="str">
        <f>HYPERLINK("https://www.boe.es/gazeta/dias/1810/10/23/pdfs/GEI-1810-85.pdf#page=2","Abrir facsímil")</f>
        <v>Abrir facsímil</v>
      </c>
      <c r="K1184" s="3" t="s">
        <v>76</v>
      </c>
    </row>
    <row r="1185" spans="1:11" ht="42" customHeight="1">
      <c r="A1185" s="2" t="s">
        <v>3466</v>
      </c>
      <c r="B1185" s="2" t="s">
        <v>3466</v>
      </c>
      <c r="C1185" s="2" t="s">
        <v>88</v>
      </c>
      <c r="D1185" s="2" t="s">
        <v>27</v>
      </c>
      <c r="E1185" s="4">
        <v>-32561</v>
      </c>
      <c r="F1185" s="3" t="s">
        <v>3469</v>
      </c>
      <c r="G1185" s="3" t="s">
        <v>70</v>
      </c>
      <c r="H1185" s="2" t="s">
        <v>74</v>
      </c>
      <c r="I1185" s="2" t="s">
        <v>3470</v>
      </c>
      <c r="J1185" s="3" t="str">
        <f>HYPERLINK("https://www.boe.es/gazeta/dias/1810/11/06/pdfs/GMD-1810-310.pdf#page=2","Abrir facsímil")</f>
        <v>Abrir facsímil</v>
      </c>
      <c r="K1185" s="3" t="s">
        <v>76</v>
      </c>
    </row>
    <row r="1186" spans="1:11" ht="42" customHeight="1">
      <c r="A1186" s="2" t="s">
        <v>3466</v>
      </c>
      <c r="B1186" s="2" t="s">
        <v>3466</v>
      </c>
      <c r="C1186" s="2" t="s">
        <v>88</v>
      </c>
      <c r="D1186" s="2" t="s">
        <v>117</v>
      </c>
      <c r="E1186" s="4">
        <v>-32559</v>
      </c>
      <c r="F1186" s="3" t="s">
        <v>3062</v>
      </c>
      <c r="G1186" s="3" t="s">
        <v>3471</v>
      </c>
      <c r="H1186" s="2" t="s">
        <v>74</v>
      </c>
      <c r="I1186" s="2" t="s">
        <v>3472</v>
      </c>
      <c r="J1186" s="3" t="str">
        <f>HYPERLINK("https://www.boe.es/gazeta/dias/1810/11/08/pdfs/GEI-1810-92.pdf#page=1","Abrir facsímil")</f>
        <v>Abrir facsímil</v>
      </c>
      <c r="K1186" s="3" t="s">
        <v>76</v>
      </c>
    </row>
    <row r="1187" spans="1:11" ht="42" customHeight="1">
      <c r="A1187" s="2" t="s">
        <v>3466</v>
      </c>
      <c r="B1187" s="2" t="s">
        <v>3466</v>
      </c>
      <c r="C1187" s="2" t="s">
        <v>88</v>
      </c>
      <c r="D1187" s="2" t="s">
        <v>117</v>
      </c>
      <c r="E1187" s="4">
        <v>-32515</v>
      </c>
      <c r="F1187" s="3" t="s">
        <v>351</v>
      </c>
      <c r="G1187" s="3" t="s">
        <v>3473</v>
      </c>
      <c r="H1187" s="2" t="s">
        <v>74</v>
      </c>
      <c r="I1187" s="2" t="s">
        <v>3474</v>
      </c>
      <c r="J1187" s="3" t="str">
        <f>HYPERLINK("https://www.boe.es/gazeta/dias/1810/12/22/pdfs/GEI-1810-111.pdf#page=1","Abrir facsímil")</f>
        <v>Abrir facsímil</v>
      </c>
      <c r="K1187" s="3" t="s">
        <v>76</v>
      </c>
    </row>
    <row r="1188" spans="1:11" ht="42" customHeight="1">
      <c r="A1188" s="2" t="s">
        <v>3466</v>
      </c>
      <c r="B1188" s="2" t="s">
        <v>3466</v>
      </c>
      <c r="C1188" s="2" t="s">
        <v>88</v>
      </c>
      <c r="D1188" s="2" t="s">
        <v>27</v>
      </c>
      <c r="E1188" s="4">
        <v>-32515</v>
      </c>
      <c r="F1188" s="3" t="s">
        <v>351</v>
      </c>
      <c r="G1188" s="3" t="s">
        <v>3475</v>
      </c>
      <c r="H1188" s="2" t="s">
        <v>74</v>
      </c>
      <c r="I1188" s="2" t="s">
        <v>3476</v>
      </c>
      <c r="J1188" s="3" t="str">
        <f>HYPERLINK("https://www.boe.es/gazeta/dias/1810/12/22/pdfs/GEI-1810-111.pdf#page=2","Abrir facsímil")</f>
        <v>Abrir facsímil</v>
      </c>
      <c r="K1188" s="3" t="s">
        <v>76</v>
      </c>
    </row>
    <row r="1189" spans="1:11" ht="42" customHeight="1">
      <c r="A1189" s="2" t="s">
        <v>3477</v>
      </c>
      <c r="B1189" s="2" t="s">
        <v>3478</v>
      </c>
      <c r="C1189" s="2" t="s">
        <v>26</v>
      </c>
      <c r="D1189" s="2" t="s">
        <v>27</v>
      </c>
      <c r="E1189" s="4">
        <v>-32526</v>
      </c>
      <c r="F1189" s="3" t="s">
        <v>530</v>
      </c>
      <c r="G1189" s="3" t="s">
        <v>531</v>
      </c>
      <c r="H1189" s="2" t="s">
        <v>74</v>
      </c>
      <c r="I1189" s="2" t="s">
        <v>3479</v>
      </c>
      <c r="J1189" s="3" t="str">
        <f>HYPERLINK("https://www.boe.es/gazeta/dias/1810/12/11/pdfs/GEI-1810-106.pdf#page=2","Abrir facsímil")</f>
        <v>Abrir facsímil</v>
      </c>
      <c r="K1189" s="3" t="s">
        <v>76</v>
      </c>
    </row>
    <row r="1190" spans="1:11" ht="42" customHeight="1">
      <c r="A1190" s="2" t="s">
        <v>3480</v>
      </c>
      <c r="B1190" s="2" t="s">
        <v>3481</v>
      </c>
      <c r="C1190" s="2" t="s">
        <v>111</v>
      </c>
      <c r="D1190" s="2" t="s">
        <v>27</v>
      </c>
      <c r="E1190" s="4">
        <v>-32867</v>
      </c>
      <c r="F1190" s="3" t="s">
        <v>712</v>
      </c>
      <c r="G1190" s="3" t="s">
        <v>291</v>
      </c>
      <c r="H1190" s="2" t="s">
        <v>74</v>
      </c>
      <c r="I1190" s="2" t="s">
        <v>3482</v>
      </c>
      <c r="J1190" s="3" t="str">
        <f>HYPERLINK("https://www.boe.es/gazeta/dias/1810/01/04/pdfs/GGB-1810-2.pdf#page=8","Abrir facsímil")</f>
        <v>Abrir facsímil</v>
      </c>
      <c r="K1190" s="3" t="s">
        <v>76</v>
      </c>
    </row>
    <row r="1191" spans="1:11" ht="42" customHeight="1">
      <c r="A1191" s="2" t="s">
        <v>3483</v>
      </c>
      <c r="B1191" s="2" t="s">
        <v>3484</v>
      </c>
      <c r="C1191" s="2" t="s">
        <v>26</v>
      </c>
      <c r="D1191" s="2" t="s">
        <v>27</v>
      </c>
      <c r="E1191" s="4">
        <v>-32647</v>
      </c>
      <c r="F1191" s="3" t="s">
        <v>118</v>
      </c>
      <c r="G1191" s="3" t="s">
        <v>119</v>
      </c>
      <c r="H1191" s="2" t="s">
        <v>74</v>
      </c>
      <c r="I1191" s="2" t="s">
        <v>3485</v>
      </c>
      <c r="J1191" s="3" t="str">
        <f>HYPERLINK("https://www.boe.es/gazeta/dias/1810/08/12/pdfs/GMD-1810-224.pdf#page=3","Abrir facsímil")</f>
        <v>Abrir facsímil</v>
      </c>
      <c r="K1191" s="3" t="s">
        <v>76</v>
      </c>
    </row>
    <row r="1192" spans="1:11" ht="42" customHeight="1">
      <c r="A1192" s="2" t="s">
        <v>3486</v>
      </c>
      <c r="B1192" s="2" t="s">
        <v>3486</v>
      </c>
      <c r="C1192" s="2" t="s">
        <v>88</v>
      </c>
      <c r="D1192" s="2" t="s">
        <v>27</v>
      </c>
      <c r="E1192" s="4">
        <v>-32624</v>
      </c>
      <c r="F1192" s="3" t="s">
        <v>2838</v>
      </c>
      <c r="G1192" s="3" t="s">
        <v>1667</v>
      </c>
      <c r="H1192" s="2" t="s">
        <v>74</v>
      </c>
      <c r="I1192" s="2" t="s">
        <v>3487</v>
      </c>
      <c r="J1192" s="3" t="str">
        <f>HYPERLINK("https://www.boe.es/gazeta/dias/1810/09/04/pdfs/GMD-1810-247.pdf#page=2","Abrir facsímil")</f>
        <v>Abrir facsímil</v>
      </c>
      <c r="K1192" s="3" t="s">
        <v>76</v>
      </c>
    </row>
    <row r="1193" spans="1:11" ht="42" customHeight="1">
      <c r="A1193" s="2" t="s">
        <v>3488</v>
      </c>
      <c r="B1193" s="2" t="s">
        <v>3489</v>
      </c>
      <c r="C1193" s="2" t="s">
        <v>26</v>
      </c>
      <c r="D1193" s="2" t="s">
        <v>27</v>
      </c>
      <c r="E1193" s="4">
        <v>-32517</v>
      </c>
      <c r="F1193" s="3" t="s">
        <v>566</v>
      </c>
      <c r="G1193" s="3" t="s">
        <v>762</v>
      </c>
      <c r="H1193" s="2" t="s">
        <v>74</v>
      </c>
      <c r="I1193" s="2" t="s">
        <v>3490</v>
      </c>
      <c r="J1193" s="3" t="str">
        <f>HYPERLINK("https://www.boe.es/gazeta/dias/1810/12/20/pdfs/GEI-1810-110.pdf#page=8","Abrir facsímil")</f>
        <v>Abrir facsímil</v>
      </c>
      <c r="K1193" s="3" t="s">
        <v>76</v>
      </c>
    </row>
    <row r="1194" spans="1:11" ht="42" customHeight="1">
      <c r="A1194" s="2" t="s">
        <v>3491</v>
      </c>
      <c r="B1194" s="2" t="s">
        <v>3492</v>
      </c>
      <c r="C1194" s="2" t="s">
        <v>195</v>
      </c>
      <c r="D1194" s="2" t="s">
        <v>27</v>
      </c>
      <c r="E1194" s="4">
        <v>-32517</v>
      </c>
      <c r="F1194" s="3" t="s">
        <v>566</v>
      </c>
      <c r="G1194" s="3" t="s">
        <v>762</v>
      </c>
      <c r="H1194" s="2" t="s">
        <v>74</v>
      </c>
      <c r="I1194" s="2" t="s">
        <v>3493</v>
      </c>
      <c r="J1194" s="3" t="str">
        <f>HYPERLINK("https://www.boe.es/gazeta/dias/1810/12/20/pdfs/GEI-1810-110.pdf#page=8","Abrir facsímil")</f>
        <v>Abrir facsímil</v>
      </c>
      <c r="K1194" s="3" t="s">
        <v>76</v>
      </c>
    </row>
    <row r="1195" spans="1:11" ht="42" customHeight="1">
      <c r="A1195" s="2" t="s">
        <v>3494</v>
      </c>
      <c r="B1195" s="2" t="s">
        <v>3495</v>
      </c>
      <c r="C1195" s="2" t="s">
        <v>26</v>
      </c>
      <c r="D1195" s="2" t="s">
        <v>27</v>
      </c>
      <c r="E1195" s="4">
        <v>-32517</v>
      </c>
      <c r="F1195" s="3" t="s">
        <v>566</v>
      </c>
      <c r="G1195" s="3" t="s">
        <v>762</v>
      </c>
      <c r="H1195" s="2" t="s">
        <v>74</v>
      </c>
      <c r="I1195" s="2" t="s">
        <v>3496</v>
      </c>
      <c r="J1195" s="3" t="str">
        <f>HYPERLINK("https://www.boe.es/gazeta/dias/1810/12/20/pdfs/GEI-1810-110.pdf#page=8","Abrir facsímil")</f>
        <v>Abrir facsímil</v>
      </c>
      <c r="K1195" s="3" t="s">
        <v>76</v>
      </c>
    </row>
    <row r="1196" spans="1:11" ht="42" customHeight="1">
      <c r="A1196" s="2" t="s">
        <v>3497</v>
      </c>
      <c r="B1196" s="2" t="s">
        <v>3498</v>
      </c>
      <c r="C1196" s="2" t="s">
        <v>195</v>
      </c>
      <c r="D1196" s="2" t="s">
        <v>27</v>
      </c>
      <c r="E1196" s="4">
        <v>-32517</v>
      </c>
      <c r="F1196" s="3" t="s">
        <v>566</v>
      </c>
      <c r="G1196" s="3" t="s">
        <v>762</v>
      </c>
      <c r="H1196" s="2" t="s">
        <v>74</v>
      </c>
      <c r="I1196" s="2" t="s">
        <v>3499</v>
      </c>
      <c r="J1196" s="3" t="str">
        <f>HYPERLINK("https://www.boe.es/gazeta/dias/1810/12/20/pdfs/GEI-1810-110.pdf#page=8","Abrir facsímil")</f>
        <v>Abrir facsímil</v>
      </c>
      <c r="K1196" s="3" t="s">
        <v>76</v>
      </c>
    </row>
    <row r="1197" spans="1:11" ht="42" customHeight="1">
      <c r="A1197" s="2" t="s">
        <v>3500</v>
      </c>
      <c r="B1197" s="2" t="s">
        <v>3501</v>
      </c>
      <c r="C1197" s="2" t="s">
        <v>26</v>
      </c>
      <c r="D1197" s="2" t="s">
        <v>27</v>
      </c>
      <c r="E1197" s="4">
        <v>-32512</v>
      </c>
      <c r="F1197" s="3" t="s">
        <v>1920</v>
      </c>
      <c r="G1197" s="3" t="s">
        <v>1659</v>
      </c>
      <c r="H1197" s="2" t="s">
        <v>74</v>
      </c>
      <c r="I1197" s="2" t="s">
        <v>3502</v>
      </c>
      <c r="J1197" s="3" t="str">
        <f>HYPERLINK("https://www.boe.es/gazeta/dias/1810/12/25/pdfs/GEI-1810-112.pdf#page=5","Abrir facsímil")</f>
        <v>Abrir facsímil</v>
      </c>
      <c r="K1197" s="3" t="s">
        <v>76</v>
      </c>
    </row>
    <row r="1198" spans="1:11" ht="42" customHeight="1">
      <c r="A1198" s="2" t="s">
        <v>3503</v>
      </c>
      <c r="B1198" s="2" t="s">
        <v>3503</v>
      </c>
      <c r="C1198" s="2" t="s">
        <v>88</v>
      </c>
      <c r="D1198" s="2" t="s">
        <v>117</v>
      </c>
      <c r="E1198" s="4">
        <v>-32557</v>
      </c>
      <c r="F1198" s="3" t="s">
        <v>837</v>
      </c>
      <c r="G1198" s="3" t="s">
        <v>785</v>
      </c>
      <c r="H1198" s="2" t="s">
        <v>74</v>
      </c>
      <c r="I1198" s="2" t="s">
        <v>3504</v>
      </c>
      <c r="J1198" s="3" t="str">
        <f>HYPERLINK("https://www.boe.es/gazeta/dias/1810/11/10/pdfs/GEI-1810-93.pdf#page=1","Abrir facsímil")</f>
        <v>Abrir facsímil</v>
      </c>
      <c r="K1198" s="3" t="s">
        <v>76</v>
      </c>
    </row>
    <row r="1199" spans="1:11" ht="42" customHeight="1">
      <c r="A1199" s="2" t="s">
        <v>3505</v>
      </c>
      <c r="B1199" s="2" t="s">
        <v>3505</v>
      </c>
      <c r="C1199" s="2" t="s">
        <v>88</v>
      </c>
      <c r="D1199" s="2" t="s">
        <v>117</v>
      </c>
      <c r="E1199" s="4">
        <v>-32701</v>
      </c>
      <c r="F1199" s="3" t="s">
        <v>671</v>
      </c>
      <c r="G1199" s="3" t="s">
        <v>2560</v>
      </c>
      <c r="H1199" s="2" t="s">
        <v>74</v>
      </c>
      <c r="I1199" s="2" t="s">
        <v>3506</v>
      </c>
      <c r="J1199" s="3" t="str">
        <f>HYPERLINK("https://www.boe.es/gazeta/dias/1810/06/19/pdfs/GEI-1810-37.pdf#page=1","Abrir facsímil")</f>
        <v>Abrir facsímil</v>
      </c>
      <c r="K1199" s="3" t="s">
        <v>76</v>
      </c>
    </row>
    <row r="1200" spans="1:11" ht="42" customHeight="1">
      <c r="A1200" s="2" t="s">
        <v>3507</v>
      </c>
      <c r="B1200" s="2" t="s">
        <v>3508</v>
      </c>
      <c r="C1200" s="2" t="s">
        <v>26</v>
      </c>
      <c r="D1200" s="2" t="s">
        <v>27</v>
      </c>
      <c r="E1200" s="4">
        <v>-32526</v>
      </c>
      <c r="F1200" s="3" t="s">
        <v>530</v>
      </c>
      <c r="G1200" s="3" t="s">
        <v>636</v>
      </c>
      <c r="H1200" s="2" t="s">
        <v>74</v>
      </c>
      <c r="I1200" s="2" t="s">
        <v>3509</v>
      </c>
      <c r="J1200" s="3" t="str">
        <f>HYPERLINK("https://www.boe.es/gazeta/dias/1810/12/11/pdfs/GEI-1810-106.pdf#page=3","Abrir facsímil")</f>
        <v>Abrir facsímil</v>
      </c>
      <c r="K1200" s="3" t="s">
        <v>76</v>
      </c>
    </row>
    <row r="1201" spans="1:11" ht="42" customHeight="1">
      <c r="A1201" s="2" t="s">
        <v>3510</v>
      </c>
      <c r="B1201" s="2" t="s">
        <v>3511</v>
      </c>
      <c r="C1201" s="2" t="s">
        <v>111</v>
      </c>
      <c r="D1201" s="2" t="s">
        <v>27</v>
      </c>
      <c r="E1201" s="4">
        <v>-32732</v>
      </c>
      <c r="F1201" s="3" t="s">
        <v>545</v>
      </c>
      <c r="G1201" s="3" t="s">
        <v>140</v>
      </c>
      <c r="H1201" s="2" t="s">
        <v>74</v>
      </c>
      <c r="I1201" s="2" t="s">
        <v>3512</v>
      </c>
      <c r="J1201" s="3" t="str">
        <f>HYPERLINK("https://www.boe.es/gazeta/dias/1810/05/19/pdfs/GMD-1810-139.pdf#page=3","Abrir facsímil")</f>
        <v>Abrir facsímil</v>
      </c>
      <c r="K1201" s="3" t="s">
        <v>76</v>
      </c>
    </row>
    <row r="1202" spans="1:11" ht="42" customHeight="1">
      <c r="A1202" s="2" t="s">
        <v>3513</v>
      </c>
      <c r="B1202" s="2" t="s">
        <v>3514</v>
      </c>
      <c r="C1202" s="2" t="s">
        <v>88</v>
      </c>
      <c r="D1202" s="2" t="s">
        <v>117</v>
      </c>
      <c r="E1202" s="4">
        <v>-32666</v>
      </c>
      <c r="F1202" s="3" t="s">
        <v>1913</v>
      </c>
      <c r="G1202" s="3" t="s">
        <v>1914</v>
      </c>
      <c r="H1202" s="2" t="s">
        <v>74</v>
      </c>
      <c r="I1202" s="2" t="s">
        <v>3515</v>
      </c>
      <c r="J1202" s="3" t="str">
        <f>HYPERLINK("https://www.boe.es/gazeta/dias/1810/07/24/pdfs/GMD-1810-205.pdf#page=4","Abrir facsímil")</f>
        <v>Abrir facsímil</v>
      </c>
      <c r="K1202" s="3" t="s">
        <v>76</v>
      </c>
    </row>
    <row r="1203" spans="1:11" ht="42" customHeight="1">
      <c r="A1203" s="2" t="s">
        <v>3516</v>
      </c>
      <c r="B1203" s="2" t="s">
        <v>3517</v>
      </c>
      <c r="C1203" s="2" t="s">
        <v>88</v>
      </c>
      <c r="D1203" s="2" t="s">
        <v>39</v>
      </c>
      <c r="E1203" s="4">
        <v>-32684</v>
      </c>
      <c r="F1203" s="3" t="s">
        <v>372</v>
      </c>
      <c r="G1203" s="3" t="s">
        <v>2049</v>
      </c>
      <c r="H1203" s="2" t="s">
        <v>74</v>
      </c>
      <c r="I1203" s="2" t="s">
        <v>3518</v>
      </c>
      <c r="J1203" s="3" t="str">
        <f>HYPERLINK("https://www.boe.es/gazeta/dias/1810/07/06/pdfs/GEI-D-1810-42.pdf#page=7","Abrir facsímil")</f>
        <v>Abrir facsímil</v>
      </c>
      <c r="K1203" s="3" t="s">
        <v>76</v>
      </c>
    </row>
    <row r="1204" spans="1:11" ht="42" customHeight="1">
      <c r="A1204" s="2" t="s">
        <v>3519</v>
      </c>
      <c r="B1204" s="2" t="s">
        <v>3520</v>
      </c>
      <c r="C1204" s="2" t="s">
        <v>26</v>
      </c>
      <c r="D1204" s="2" t="s">
        <v>27</v>
      </c>
      <c r="E1204" s="4">
        <v>-32689</v>
      </c>
      <c r="F1204" s="3" t="s">
        <v>571</v>
      </c>
      <c r="G1204" s="3" t="s">
        <v>29</v>
      </c>
      <c r="H1204" s="2" t="s">
        <v>74</v>
      </c>
      <c r="I1204" s="2" t="s">
        <v>3521</v>
      </c>
      <c r="J1204" s="3" t="str">
        <f>HYPERLINK("https://www.boe.es/gazeta/dias/1810/07/01/pdfs/GMD-1810-182.pdf#page=3","Abrir facsímil")</f>
        <v>Abrir facsímil</v>
      </c>
      <c r="K1204" s="3" t="s">
        <v>76</v>
      </c>
    </row>
    <row r="1205" spans="1:11" ht="42" customHeight="1">
      <c r="A1205" s="2" t="s">
        <v>3522</v>
      </c>
      <c r="B1205" s="2" t="s">
        <v>3523</v>
      </c>
      <c r="C1205" s="2" t="s">
        <v>33</v>
      </c>
      <c r="D1205" s="2" t="s">
        <v>27</v>
      </c>
      <c r="E1205" s="4">
        <v>-32569</v>
      </c>
      <c r="F1205" s="3" t="s">
        <v>421</v>
      </c>
      <c r="G1205" s="3" t="s">
        <v>20</v>
      </c>
      <c r="H1205" s="2" t="s">
        <v>74</v>
      </c>
      <c r="I1205" s="2" t="s">
        <v>3524</v>
      </c>
      <c r="J1205" s="3" t="str">
        <f>HYPERLINK("https://www.boe.es/gazeta/dias/1810/10/29/pdfs/GMD-1810-302.pdf#page=4","Abrir facsímil")</f>
        <v>Abrir facsímil</v>
      </c>
      <c r="K1205" s="3" t="s">
        <v>76</v>
      </c>
    </row>
    <row r="1206" spans="1:11" ht="42" customHeight="1">
      <c r="A1206" s="2" t="s">
        <v>3525</v>
      </c>
      <c r="B1206" s="2" t="s">
        <v>3526</v>
      </c>
      <c r="C1206" s="2" t="s">
        <v>26</v>
      </c>
      <c r="D1206" s="2" t="s">
        <v>39</v>
      </c>
      <c r="E1206" s="4">
        <v>-32701</v>
      </c>
      <c r="F1206" s="3" t="s">
        <v>40</v>
      </c>
      <c r="G1206" s="3" t="s">
        <v>315</v>
      </c>
      <c r="H1206" s="2" t="s">
        <v>74</v>
      </c>
      <c r="I1206" s="2" t="s">
        <v>3527</v>
      </c>
      <c r="J1206" s="3" t="str">
        <f>HYPERLINK("https://www.boe.es/gazeta/dias/1810/06/19/pdfs/GMD-C-1810-170.pdf#page=2","Abrir facsímil")</f>
        <v>Abrir facsímil</v>
      </c>
      <c r="K1206" s="3" t="s">
        <v>76</v>
      </c>
    </row>
    <row r="1207" spans="1:11" ht="42" customHeight="1">
      <c r="A1207" s="2" t="s">
        <v>3528</v>
      </c>
      <c r="B1207" s="2" t="s">
        <v>3529</v>
      </c>
      <c r="C1207" s="2" t="s">
        <v>26</v>
      </c>
      <c r="D1207" s="2" t="s">
        <v>18</v>
      </c>
      <c r="E1207" s="4">
        <v>-32736</v>
      </c>
      <c r="F1207" s="3" t="s">
        <v>400</v>
      </c>
      <c r="G1207" s="3" t="s">
        <v>401</v>
      </c>
      <c r="H1207" s="2" t="s">
        <v>74</v>
      </c>
      <c r="I1207" s="2" t="s">
        <v>3530</v>
      </c>
      <c r="J1207" s="3" t="str">
        <f>HYPERLINK("https://www.boe.es/gazeta/dias/1810/05/15/pdfs/GMD-1810-135.pdf#page=4","Abrir facsímil")</f>
        <v>Abrir facsímil</v>
      </c>
      <c r="K1207" s="3" t="s">
        <v>76</v>
      </c>
    </row>
    <row r="1208" spans="1:11" ht="42" customHeight="1">
      <c r="A1208" s="2" t="s">
        <v>3531</v>
      </c>
      <c r="B1208" s="2" t="s">
        <v>3531</v>
      </c>
      <c r="C1208" s="2" t="s">
        <v>33</v>
      </c>
      <c r="D1208" s="2" t="s">
        <v>27</v>
      </c>
      <c r="E1208" s="4">
        <v>-32618</v>
      </c>
      <c r="F1208" s="3" t="s">
        <v>1501</v>
      </c>
      <c r="G1208" s="3" t="s">
        <v>20</v>
      </c>
      <c r="H1208" s="2" t="s">
        <v>74</v>
      </c>
      <c r="I1208" s="2" t="s">
        <v>3532</v>
      </c>
      <c r="J1208" s="3" t="str">
        <f>HYPERLINK("https://www.boe.es/gazeta/dias/1810/09/10/pdfs/GMD-1810-253.pdf#page=4","Abrir facsímil")</f>
        <v>Abrir facsímil</v>
      </c>
      <c r="K1208" s="3" t="s">
        <v>76</v>
      </c>
    </row>
    <row r="1209" spans="1:11" ht="42" customHeight="1">
      <c r="A1209" s="2" t="s">
        <v>3533</v>
      </c>
      <c r="B1209" s="2" t="s">
        <v>3534</v>
      </c>
      <c r="C1209" s="2" t="s">
        <v>26</v>
      </c>
      <c r="D1209" s="2" t="s">
        <v>27</v>
      </c>
      <c r="E1209" s="4">
        <v>-32591</v>
      </c>
      <c r="F1209" s="3" t="s">
        <v>377</v>
      </c>
      <c r="G1209" s="3" t="s">
        <v>136</v>
      </c>
      <c r="H1209" s="2" t="s">
        <v>74</v>
      </c>
      <c r="I1209" s="2" t="s">
        <v>3535</v>
      </c>
      <c r="J1209" s="3" t="str">
        <f>HYPERLINK("https://www.boe.es/gazeta/dias/1810/10/07/pdfs/GMD-1810-280.pdf#page=3","Abrir facsímil")</f>
        <v>Abrir facsímil</v>
      </c>
      <c r="K1209" s="3" t="s">
        <v>76</v>
      </c>
    </row>
    <row r="1210" spans="1:11" ht="42" customHeight="1">
      <c r="A1210" s="2" t="s">
        <v>3536</v>
      </c>
      <c r="B1210" s="2" t="s">
        <v>3537</v>
      </c>
      <c r="C1210" s="2" t="s">
        <v>26</v>
      </c>
      <c r="D1210" s="2" t="s">
        <v>27</v>
      </c>
      <c r="E1210" s="4">
        <v>-32684</v>
      </c>
      <c r="F1210" s="3" t="s">
        <v>1373</v>
      </c>
      <c r="G1210" s="3" t="s">
        <v>3538</v>
      </c>
      <c r="H1210" s="2" t="s">
        <v>74</v>
      </c>
      <c r="I1210" s="2" t="s">
        <v>3539</v>
      </c>
      <c r="J1210" s="3" t="str">
        <f>HYPERLINK("https://www.boe.es/gazeta/dias/1810/07/06/pdfs/GEI-1810-42.pdf#page=2","Abrir facsímil")</f>
        <v>Abrir facsímil</v>
      </c>
      <c r="K1210" s="3" t="s">
        <v>76</v>
      </c>
    </row>
    <row r="1211" spans="1:11" ht="42" customHeight="1">
      <c r="A1211" s="2" t="s">
        <v>3540</v>
      </c>
      <c r="B1211" s="2" t="s">
        <v>3541</v>
      </c>
      <c r="C1211" s="2" t="s">
        <v>195</v>
      </c>
      <c r="D1211" s="2" t="s">
        <v>27</v>
      </c>
      <c r="E1211" s="4">
        <v>-32630</v>
      </c>
      <c r="F1211" s="3" t="s">
        <v>3542</v>
      </c>
      <c r="G1211" s="3" t="s">
        <v>3543</v>
      </c>
      <c r="H1211" s="2" t="s">
        <v>74</v>
      </c>
      <c r="I1211" s="2" t="s">
        <v>3544</v>
      </c>
      <c r="J1211" s="3" t="str">
        <f>HYPERLINK("https://www.boe.es/gazeta/dias/1810/08/29/pdfs/GMD-1810-241.pdf#page=4","Abrir facsímil")</f>
        <v>Abrir facsímil</v>
      </c>
      <c r="K1211" s="3" t="s">
        <v>76</v>
      </c>
    </row>
    <row r="1212" spans="1:11" ht="42" customHeight="1">
      <c r="A1212" s="2" t="s">
        <v>3545</v>
      </c>
      <c r="B1212" s="2" t="s">
        <v>3546</v>
      </c>
      <c r="C1212" s="2" t="s">
        <v>26</v>
      </c>
      <c r="D1212" s="2" t="s">
        <v>27</v>
      </c>
      <c r="E1212" s="4">
        <v>-32839</v>
      </c>
      <c r="F1212" s="3" t="s">
        <v>28</v>
      </c>
      <c r="G1212" s="3" t="s">
        <v>29</v>
      </c>
      <c r="H1212" s="2" t="s">
        <v>74</v>
      </c>
      <c r="I1212" s="2" t="s">
        <v>3547</v>
      </c>
      <c r="J1212" s="3" t="str">
        <f>HYPERLINK("https://www.boe.es/gazeta/dias/1810/02/01/pdfs/GMD-1810-32.pdf#page=3","Abrir facsímil")</f>
        <v>Abrir facsímil</v>
      </c>
      <c r="K1212" s="3" t="s">
        <v>76</v>
      </c>
    </row>
    <row r="1213" spans="1:11" ht="42" customHeight="1">
      <c r="A1213" s="2" t="s">
        <v>3548</v>
      </c>
      <c r="B1213" s="2" t="s">
        <v>3549</v>
      </c>
      <c r="C1213" s="2" t="s">
        <v>26</v>
      </c>
      <c r="D1213" s="2" t="s">
        <v>27</v>
      </c>
      <c r="E1213" s="4">
        <v>-32632</v>
      </c>
      <c r="F1213" s="3" t="s">
        <v>358</v>
      </c>
      <c r="G1213" s="3" t="s">
        <v>359</v>
      </c>
      <c r="H1213" s="2" t="s">
        <v>74</v>
      </c>
      <c r="I1213" s="2" t="s">
        <v>3550</v>
      </c>
      <c r="J1213" s="3" t="str">
        <f>HYPERLINK("https://www.boe.es/gazeta/dias/1810/08/27/pdfs/GMD-1810-239.pdf#page=3","Abrir facsímil")</f>
        <v>Abrir facsímil</v>
      </c>
      <c r="K1213" s="3" t="s">
        <v>76</v>
      </c>
    </row>
    <row r="1214" spans="1:11" ht="42" customHeight="1">
      <c r="A1214" s="2" t="s">
        <v>3551</v>
      </c>
      <c r="B1214" s="2" t="s">
        <v>3552</v>
      </c>
      <c r="C1214" s="2" t="s">
        <v>26</v>
      </c>
      <c r="D1214" s="2" t="s">
        <v>27</v>
      </c>
      <c r="E1214" s="4">
        <v>-32550</v>
      </c>
      <c r="F1214" s="3" t="s">
        <v>1472</v>
      </c>
      <c r="G1214" s="3" t="s">
        <v>1473</v>
      </c>
      <c r="H1214" s="2" t="s">
        <v>74</v>
      </c>
      <c r="I1214" s="2" t="s">
        <v>3553</v>
      </c>
      <c r="J1214" s="3" t="str">
        <f>HYPERLINK("https://www.boe.es/gazeta/dias/1810/11/17/pdfs/GEI-1810-96.pdf#page=8","Abrir facsímil")</f>
        <v>Abrir facsímil</v>
      </c>
      <c r="K1214" s="3" t="s">
        <v>76</v>
      </c>
    </row>
    <row r="1215" spans="1:11" ht="42" customHeight="1">
      <c r="A1215" s="2" t="s">
        <v>3554</v>
      </c>
      <c r="B1215" s="2" t="s">
        <v>3555</v>
      </c>
      <c r="C1215" s="2" t="s">
        <v>26</v>
      </c>
      <c r="D1215" s="2" t="s">
        <v>39</v>
      </c>
      <c r="E1215" s="4">
        <v>-32701</v>
      </c>
      <c r="F1215" s="3" t="s">
        <v>40</v>
      </c>
      <c r="G1215" s="3" t="s">
        <v>170</v>
      </c>
      <c r="H1215" s="2" t="s">
        <v>74</v>
      </c>
      <c r="I1215" s="2" t="s">
        <v>3556</v>
      </c>
      <c r="J1215" s="3" t="str">
        <f>HYPERLINK("https://www.boe.es/gazeta/dias/1810/06/19/pdfs/GMD-C-1810-170.pdf#page=1","Abrir facsímil")</f>
        <v>Abrir facsímil</v>
      </c>
      <c r="K1215" s="3" t="s">
        <v>76</v>
      </c>
    </row>
    <row r="1216" spans="1:11" ht="42" customHeight="1">
      <c r="A1216" s="2" t="s">
        <v>3557</v>
      </c>
      <c r="B1216" s="2" t="s">
        <v>3558</v>
      </c>
      <c r="C1216" s="2" t="s">
        <v>26</v>
      </c>
      <c r="D1216" s="2" t="s">
        <v>27</v>
      </c>
      <c r="E1216" s="4">
        <v>-32580</v>
      </c>
      <c r="F1216" s="3" t="s">
        <v>2508</v>
      </c>
      <c r="G1216" s="3" t="s">
        <v>3559</v>
      </c>
      <c r="H1216" s="2" t="s">
        <v>74</v>
      </c>
      <c r="I1216" s="2" t="s">
        <v>3560</v>
      </c>
      <c r="J1216" s="3" t="str">
        <f>HYPERLINK("https://www.boe.es/gazeta/dias/1810/10/18/pdfs/GEI-1810-83.pdf#page=8","Abrir facsímil")</f>
        <v>Abrir facsímil</v>
      </c>
      <c r="K1216" s="3" t="s">
        <v>76</v>
      </c>
    </row>
    <row r="1217" spans="1:11" ht="42" customHeight="1">
      <c r="A1217" s="2" t="s">
        <v>3561</v>
      </c>
      <c r="B1217" s="2" t="s">
        <v>3562</v>
      </c>
      <c r="C1217" s="2" t="s">
        <v>26</v>
      </c>
      <c r="D1217" s="2" t="s">
        <v>39</v>
      </c>
      <c r="E1217" s="4">
        <v>-32702</v>
      </c>
      <c r="F1217" s="3" t="s">
        <v>179</v>
      </c>
      <c r="G1217" s="3" t="s">
        <v>517</v>
      </c>
      <c r="H1217" s="2" t="s">
        <v>74</v>
      </c>
      <c r="I1217" s="2" t="s">
        <v>3563</v>
      </c>
      <c r="J1217" s="3" t="str">
        <f>HYPERLINK("https://www.boe.es/gazeta/dias/1810/06/18/pdfs/GMD-C-1810-169.pdf#page=3","Abrir facsímil")</f>
        <v>Abrir facsímil</v>
      </c>
      <c r="K1217" s="3" t="s">
        <v>76</v>
      </c>
    </row>
    <row r="1218" spans="1:11" ht="42" customHeight="1">
      <c r="A1218" s="2" t="s">
        <v>3564</v>
      </c>
      <c r="B1218" s="2" t="s">
        <v>3565</v>
      </c>
      <c r="C1218" s="2" t="s">
        <v>111</v>
      </c>
      <c r="D1218" s="2" t="s">
        <v>220</v>
      </c>
      <c r="E1218" s="4">
        <v>-32632</v>
      </c>
      <c r="F1218" s="3" t="s">
        <v>358</v>
      </c>
      <c r="G1218" s="3" t="s">
        <v>359</v>
      </c>
      <c r="H1218" s="2" t="s">
        <v>74</v>
      </c>
      <c r="I1218" s="2" t="s">
        <v>3566</v>
      </c>
      <c r="J1218" s="3" t="str">
        <f>HYPERLINK("https://www.boe.es/gazeta/dias/1810/08/27/pdfs/GMD-1810-239.pdf#page=3","Abrir facsímil")</f>
        <v>Abrir facsímil</v>
      </c>
      <c r="K1218" s="3" t="s">
        <v>76</v>
      </c>
    </row>
    <row r="1219" spans="1:11" ht="42" customHeight="1">
      <c r="A1219" s="2" t="s">
        <v>3567</v>
      </c>
      <c r="B1219" s="2" t="s">
        <v>3568</v>
      </c>
      <c r="C1219" s="2" t="s">
        <v>26</v>
      </c>
      <c r="D1219" s="2" t="s">
        <v>27</v>
      </c>
      <c r="E1219" s="4">
        <v>-32521</v>
      </c>
      <c r="F1219" s="3" t="s">
        <v>3569</v>
      </c>
      <c r="G1219" s="3" t="s">
        <v>180</v>
      </c>
      <c r="H1219" s="2" t="s">
        <v>74</v>
      </c>
      <c r="I1219" s="2" t="s">
        <v>3570</v>
      </c>
      <c r="J1219" s="3" t="str">
        <f>HYPERLINK("https://www.boe.es/gazeta/dias/1810/12/16/pdfs/GMD-1810-350.pdf#page=3","Abrir facsímil")</f>
        <v>Abrir facsímil</v>
      </c>
      <c r="K1219" s="3" t="s">
        <v>76</v>
      </c>
    </row>
    <row r="1220" spans="1:11" ht="42" customHeight="1">
      <c r="A1220" s="2" t="s">
        <v>3571</v>
      </c>
      <c r="B1220" s="2" t="s">
        <v>3571</v>
      </c>
      <c r="C1220" s="2" t="s">
        <v>88</v>
      </c>
      <c r="D1220" s="2" t="s">
        <v>27</v>
      </c>
      <c r="E1220" s="4">
        <v>-32652</v>
      </c>
      <c r="F1220" s="3" t="s">
        <v>731</v>
      </c>
      <c r="G1220" s="3" t="s">
        <v>735</v>
      </c>
      <c r="H1220" s="2" t="s">
        <v>74</v>
      </c>
      <c r="I1220" s="2" t="s">
        <v>3572</v>
      </c>
      <c r="J1220" s="3" t="str">
        <f>HYPERLINK("https://www.boe.es/gazeta/dias/1810/08/07/pdfs/GMD-1810-219.pdf#page=4","Abrir facsímil")</f>
        <v>Abrir facsímil</v>
      </c>
      <c r="K1220" s="3" t="s">
        <v>76</v>
      </c>
    </row>
    <row r="1221" spans="1:11" ht="42" customHeight="1">
      <c r="A1221" s="2" t="s">
        <v>3573</v>
      </c>
      <c r="B1221" s="2" t="s">
        <v>3574</v>
      </c>
      <c r="C1221" s="2" t="s">
        <v>26</v>
      </c>
      <c r="D1221" s="2" t="s">
        <v>27</v>
      </c>
      <c r="E1221" s="4">
        <v>-32647</v>
      </c>
      <c r="F1221" s="3" t="s">
        <v>118</v>
      </c>
      <c r="G1221" s="3" t="s">
        <v>140</v>
      </c>
      <c r="H1221" s="2" t="s">
        <v>74</v>
      </c>
      <c r="I1221" s="2" t="s">
        <v>3575</v>
      </c>
      <c r="J1221" s="3" t="str">
        <f>HYPERLINK("https://www.boe.es/gazeta/dias/1810/08/12/pdfs/GMD-1810-224.pdf#page=2","Abrir facsímil")</f>
        <v>Abrir facsímil</v>
      </c>
      <c r="K1221" s="3" t="s">
        <v>76</v>
      </c>
    </row>
    <row r="1222" spans="1:11" ht="42" customHeight="1">
      <c r="A1222" s="2" t="s">
        <v>3576</v>
      </c>
      <c r="B1222" s="2" t="s">
        <v>3577</v>
      </c>
      <c r="C1222" s="2" t="s">
        <v>88</v>
      </c>
      <c r="D1222" s="2" t="s">
        <v>27</v>
      </c>
      <c r="E1222" s="4">
        <v>-32700</v>
      </c>
      <c r="F1222" s="3" t="s">
        <v>89</v>
      </c>
      <c r="G1222" s="3" t="s">
        <v>29</v>
      </c>
      <c r="H1222" s="2" t="s">
        <v>74</v>
      </c>
      <c r="I1222" s="2" t="s">
        <v>3578</v>
      </c>
      <c r="J1222" s="3" t="str">
        <f>HYPERLINK("https://www.boe.es/gazeta/dias/1810/06/20/pdfs/GMD-1810-171.pdf#page=3","Abrir facsímil")</f>
        <v>Abrir facsímil</v>
      </c>
      <c r="K1222" s="3" t="s">
        <v>76</v>
      </c>
    </row>
    <row r="1223" spans="1:11" ht="42" customHeight="1">
      <c r="A1223" s="2" t="s">
        <v>3579</v>
      </c>
      <c r="B1223" s="2" t="s">
        <v>3580</v>
      </c>
      <c r="C1223" s="2" t="s">
        <v>26</v>
      </c>
      <c r="D1223" s="2" t="s">
        <v>58</v>
      </c>
      <c r="E1223" s="4">
        <v>-32601</v>
      </c>
      <c r="F1223" s="3" t="s">
        <v>392</v>
      </c>
      <c r="G1223" s="3" t="s">
        <v>35</v>
      </c>
      <c r="H1223" s="2" t="s">
        <v>74</v>
      </c>
      <c r="I1223" s="2" t="s">
        <v>3581</v>
      </c>
      <c r="J1223" s="3" t="str">
        <f>HYPERLINK("https://www.boe.es/gazeta/dias/1810/09/27/pdfs/GEI-1810-74E.pdf#page=2","Abrir facsímil")</f>
        <v>Abrir facsímil</v>
      </c>
      <c r="K1223" s="3" t="s">
        <v>76</v>
      </c>
    </row>
    <row r="1224" spans="1:11" ht="42" customHeight="1">
      <c r="A1224" s="2" t="s">
        <v>3582</v>
      </c>
      <c r="B1224" s="2" t="s">
        <v>3583</v>
      </c>
      <c r="C1224" s="2" t="s">
        <v>26</v>
      </c>
      <c r="D1224" s="2" t="s">
        <v>27</v>
      </c>
      <c r="E1224" s="4">
        <v>-32575</v>
      </c>
      <c r="F1224" s="3" t="s">
        <v>135</v>
      </c>
      <c r="G1224" s="3" t="s">
        <v>140</v>
      </c>
      <c r="H1224" s="2" t="s">
        <v>74</v>
      </c>
      <c r="I1224" s="2" t="s">
        <v>3584</v>
      </c>
      <c r="J1224" s="3" t="str">
        <f>HYPERLINK("https://www.boe.es/gazeta/dias/1810/10/23/pdfs/GEI-1810-85.pdf#page=10","Abrir facsímil")</f>
        <v>Abrir facsímil</v>
      </c>
      <c r="K1224" s="3" t="s">
        <v>76</v>
      </c>
    </row>
    <row r="1225" spans="1:11" ht="42" customHeight="1">
      <c r="A1225" s="2" t="s">
        <v>3585</v>
      </c>
      <c r="B1225" s="2" t="s">
        <v>3585</v>
      </c>
      <c r="C1225" s="2" t="s">
        <v>26</v>
      </c>
      <c r="D1225" s="2" t="s">
        <v>220</v>
      </c>
      <c r="E1225" s="4">
        <v>-32681</v>
      </c>
      <c r="F1225" s="3" t="s">
        <v>3586</v>
      </c>
      <c r="G1225" s="3" t="s">
        <v>465</v>
      </c>
      <c r="H1225" s="2" t="s">
        <v>74</v>
      </c>
      <c r="I1225" s="2" t="s">
        <v>3587</v>
      </c>
      <c r="J1225" s="3" t="str">
        <f>HYPERLINK("https://www.boe.es/gazeta/dias/1810/07/09/pdfs/GMD-1810-190.pdf#page=4","Abrir facsímil")</f>
        <v>Abrir facsímil</v>
      </c>
      <c r="K1225" s="3" t="s">
        <v>76</v>
      </c>
    </row>
    <row r="1226" spans="1:11" ht="42" customHeight="1">
      <c r="A1226" s="2" t="s">
        <v>3588</v>
      </c>
      <c r="B1226" s="2" t="s">
        <v>3588</v>
      </c>
      <c r="C1226" s="2" t="s">
        <v>88</v>
      </c>
      <c r="D1226" s="2" t="s">
        <v>117</v>
      </c>
      <c r="E1226" s="4">
        <v>-32631</v>
      </c>
      <c r="F1226" s="3" t="s">
        <v>497</v>
      </c>
      <c r="G1226" s="3" t="s">
        <v>498</v>
      </c>
      <c r="H1226" s="2" t="s">
        <v>74</v>
      </c>
      <c r="I1226" s="2" t="s">
        <v>3589</v>
      </c>
      <c r="J1226" s="3" t="str">
        <f>HYPERLINK("https://www.boe.es/gazeta/dias/1810/08/28/pdfs/GMD-1810-240.pdf#page=2","Abrir facsímil")</f>
        <v>Abrir facsímil</v>
      </c>
      <c r="K1226" s="3" t="s">
        <v>76</v>
      </c>
    </row>
    <row r="1227" spans="1:11" ht="42" customHeight="1">
      <c r="A1227" s="2" t="s">
        <v>3585</v>
      </c>
      <c r="B1227" s="2" t="s">
        <v>3585</v>
      </c>
      <c r="C1227" s="2" t="s">
        <v>26</v>
      </c>
      <c r="D1227" s="2" t="s">
        <v>27</v>
      </c>
      <c r="E1227" s="4">
        <v>-32540</v>
      </c>
      <c r="F1227" s="3" t="s">
        <v>3590</v>
      </c>
      <c r="G1227" s="3" t="s">
        <v>3296</v>
      </c>
      <c r="H1227" s="2" t="s">
        <v>74</v>
      </c>
      <c r="I1227" s="2" t="s">
        <v>3591</v>
      </c>
      <c r="J1227" s="3" t="str">
        <f>HYPERLINK("https://www.boe.es/gazeta/dias/1810/11/27/pdfs/GEI-1810-100.pdf#page=6","Abrir facsímil")</f>
        <v>Abrir facsímil</v>
      </c>
      <c r="K1227" s="3" t="s">
        <v>76</v>
      </c>
    </row>
    <row r="1228" spans="1:11" ht="42" customHeight="1">
      <c r="A1228" s="2" t="s">
        <v>3592</v>
      </c>
      <c r="B1228" s="2" t="s">
        <v>3593</v>
      </c>
      <c r="C1228" s="2" t="s">
        <v>26</v>
      </c>
      <c r="D1228" s="2" t="s">
        <v>27</v>
      </c>
      <c r="E1228" s="4">
        <v>-32533</v>
      </c>
      <c r="F1228" s="3" t="s">
        <v>1357</v>
      </c>
      <c r="G1228" s="3" t="s">
        <v>1894</v>
      </c>
      <c r="H1228" s="2" t="s">
        <v>74</v>
      </c>
      <c r="I1228" s="2" t="s">
        <v>3594</v>
      </c>
      <c r="J1228" s="3" t="str">
        <f>HYPERLINK("https://www.boe.es/gazeta/dias/1810/12/04/pdfs/GEI-1810-103.pdf#page=7","Abrir facsímil")</f>
        <v>Abrir facsímil</v>
      </c>
      <c r="K1228" s="3" t="s">
        <v>76</v>
      </c>
    </row>
    <row r="1229" spans="1:11" ht="42" customHeight="1">
      <c r="A1229" s="2" t="s">
        <v>3595</v>
      </c>
      <c r="B1229" s="2" t="s">
        <v>3596</v>
      </c>
      <c r="C1229" s="2" t="s">
        <v>26</v>
      </c>
      <c r="D1229" s="2" t="s">
        <v>27</v>
      </c>
      <c r="E1229" s="4">
        <v>-32563</v>
      </c>
      <c r="F1229" s="3" t="s">
        <v>535</v>
      </c>
      <c r="G1229" s="3" t="s">
        <v>3597</v>
      </c>
      <c r="H1229" s="2" t="s">
        <v>74</v>
      </c>
      <c r="I1229" s="2" t="s">
        <v>3598</v>
      </c>
      <c r="J1229" s="3" t="str">
        <f>HYPERLINK("https://www.boe.es/gazeta/dias/1810/11/04/pdfs/GMD-1810-308.pdf#page=23","Abrir facsímil")</f>
        <v>Abrir facsímil</v>
      </c>
      <c r="K1229" s="3" t="s">
        <v>76</v>
      </c>
    </row>
    <row r="1230" spans="1:11" ht="42" customHeight="1">
      <c r="A1230" s="2" t="s">
        <v>3599</v>
      </c>
      <c r="B1230" s="2" t="s">
        <v>3600</v>
      </c>
      <c r="C1230" s="2" t="s">
        <v>88</v>
      </c>
      <c r="D1230" s="2" t="s">
        <v>117</v>
      </c>
      <c r="E1230" s="4">
        <v>-32768</v>
      </c>
      <c r="F1230" s="3" t="s">
        <v>1930</v>
      </c>
      <c r="G1230" s="3" t="s">
        <v>3601</v>
      </c>
      <c r="H1230" s="2" t="s">
        <v>74</v>
      </c>
      <c r="I1230" s="2" t="s">
        <v>3602</v>
      </c>
      <c r="J1230" s="3" t="str">
        <f>HYPERLINK("https://www.boe.es/gazeta/dias/1810/04/13/pdfs/GEI-1810-14.pdf#page=12","Abrir facsímil")</f>
        <v>Abrir facsímil</v>
      </c>
      <c r="K1230" s="3" t="s">
        <v>76</v>
      </c>
    </row>
    <row r="1231" spans="1:11" ht="42" customHeight="1">
      <c r="A1231" s="2" t="s">
        <v>3603</v>
      </c>
      <c r="B1231" s="2" t="s">
        <v>3604</v>
      </c>
      <c r="C1231" s="2" t="s">
        <v>225</v>
      </c>
      <c r="D1231" s="2" t="s">
        <v>27</v>
      </c>
      <c r="E1231" s="4">
        <v>-32562</v>
      </c>
      <c r="F1231" s="3" t="s">
        <v>1186</v>
      </c>
      <c r="G1231" s="3" t="s">
        <v>29</v>
      </c>
      <c r="H1231" s="2" t="s">
        <v>74</v>
      </c>
      <c r="I1231" s="2" t="s">
        <v>3605</v>
      </c>
      <c r="J1231" s="3" t="str">
        <f>HYPERLINK("https://www.boe.es/gazeta/dias/1810/11/05/pdfs/GMD-1810-309.pdf#page=2","Abrir facsímil")</f>
        <v>Abrir facsímil</v>
      </c>
      <c r="K1231" s="3" t="s">
        <v>76</v>
      </c>
    </row>
    <row r="1232" spans="1:11" ht="42" customHeight="1">
      <c r="A1232" s="2" t="s">
        <v>3606</v>
      </c>
      <c r="B1232" s="2" t="s">
        <v>3607</v>
      </c>
      <c r="C1232" s="2" t="s">
        <v>26</v>
      </c>
      <c r="D1232" s="2" t="s">
        <v>27</v>
      </c>
      <c r="E1232" s="4">
        <v>-32596</v>
      </c>
      <c r="F1232" s="3" t="s">
        <v>1311</v>
      </c>
      <c r="G1232" s="3" t="s">
        <v>29</v>
      </c>
      <c r="H1232" s="2" t="s">
        <v>74</v>
      </c>
      <c r="I1232" s="2" t="s">
        <v>3608</v>
      </c>
      <c r="J1232" s="3" t="str">
        <f>HYPERLINK("https://www.boe.es/gazeta/dias/1810/10/02/pdfs/GMD-1810-275.pdf#page=4","Abrir facsímil")</f>
        <v>Abrir facsímil</v>
      </c>
      <c r="K1232" s="3" t="s">
        <v>76</v>
      </c>
    </row>
    <row r="1233" spans="1:11" ht="42" customHeight="1">
      <c r="A1233" s="2" t="s">
        <v>3609</v>
      </c>
      <c r="B1233" s="2" t="s">
        <v>3610</v>
      </c>
      <c r="C1233" s="2" t="s">
        <v>26</v>
      </c>
      <c r="D1233" s="2" t="s">
        <v>27</v>
      </c>
      <c r="E1233" s="4">
        <v>-32526</v>
      </c>
      <c r="F1233" s="3" t="s">
        <v>530</v>
      </c>
      <c r="G1233" s="3" t="s">
        <v>531</v>
      </c>
      <c r="H1233" s="2" t="s">
        <v>74</v>
      </c>
      <c r="I1233" s="2" t="s">
        <v>3611</v>
      </c>
      <c r="J1233" s="3" t="str">
        <f>HYPERLINK("https://www.boe.es/gazeta/dias/1810/12/11/pdfs/GEI-1810-106.pdf#page=2","Abrir facsímil")</f>
        <v>Abrir facsímil</v>
      </c>
      <c r="K1233" s="3" t="s">
        <v>76</v>
      </c>
    </row>
    <row r="1234" spans="1:11" ht="42" customHeight="1">
      <c r="A1234" s="2" t="s">
        <v>3612</v>
      </c>
      <c r="B1234" s="2" t="s">
        <v>3613</v>
      </c>
      <c r="C1234" s="2" t="s">
        <v>88</v>
      </c>
      <c r="D1234" s="2" t="s">
        <v>27</v>
      </c>
      <c r="E1234" s="4">
        <v>-32713</v>
      </c>
      <c r="F1234" s="3" t="s">
        <v>959</v>
      </c>
      <c r="G1234" s="3" t="s">
        <v>960</v>
      </c>
      <c r="H1234" s="2" t="s">
        <v>74</v>
      </c>
      <c r="I1234" s="2" t="s">
        <v>3614</v>
      </c>
      <c r="J1234" s="3" t="str">
        <f>HYPERLINK("https://www.boe.es/gazeta/dias/1810/06/07/pdfs/GMD-1810-158.pdf#page=4","Abrir facsímil")</f>
        <v>Abrir facsímil</v>
      </c>
      <c r="K1234" s="3" t="s">
        <v>76</v>
      </c>
    </row>
    <row r="1235" spans="1:11" ht="42" customHeight="1">
      <c r="A1235" s="2" t="s">
        <v>3615</v>
      </c>
      <c r="B1235" s="2" t="s">
        <v>3615</v>
      </c>
      <c r="C1235" s="2" t="s">
        <v>88</v>
      </c>
      <c r="D1235" s="2" t="s">
        <v>117</v>
      </c>
      <c r="E1235" s="4">
        <v>-32601</v>
      </c>
      <c r="F1235" s="3" t="s">
        <v>2181</v>
      </c>
      <c r="G1235" s="3" t="s">
        <v>2182</v>
      </c>
      <c r="H1235" s="2" t="s">
        <v>74</v>
      </c>
      <c r="I1235" s="2" t="s">
        <v>3616</v>
      </c>
      <c r="J1235" s="3" t="str">
        <f>HYPERLINK("https://www.boe.es/gazeta/dias/1810/09/27/pdfs/GEI-1810-73.pdf#page=4","Abrir facsímil")</f>
        <v>Abrir facsímil</v>
      </c>
      <c r="K1235" s="3" t="s">
        <v>76</v>
      </c>
    </row>
    <row r="1236" spans="1:11" ht="42" customHeight="1">
      <c r="A1236" s="2" t="s">
        <v>3617</v>
      </c>
      <c r="B1236" s="2" t="s">
        <v>3618</v>
      </c>
      <c r="C1236" s="2" t="s">
        <v>88</v>
      </c>
      <c r="D1236" s="2" t="s">
        <v>117</v>
      </c>
      <c r="E1236" s="4">
        <v>-32659</v>
      </c>
      <c r="F1236" s="3" t="s">
        <v>328</v>
      </c>
      <c r="G1236" s="3" t="s">
        <v>329</v>
      </c>
      <c r="H1236" s="2" t="s">
        <v>74</v>
      </c>
      <c r="I1236" s="2" t="s">
        <v>3619</v>
      </c>
      <c r="J1236" s="3" t="str">
        <f>HYPERLINK("https://www.boe.es/gazeta/dias/1810/07/31/pdfs/GEI-1810-49.pdf#page=7","Abrir facsímil")</f>
        <v>Abrir facsímil</v>
      </c>
      <c r="K1236" s="3" t="s">
        <v>76</v>
      </c>
    </row>
    <row r="1237" spans="1:11" ht="42" customHeight="1">
      <c r="A1237" s="2" t="s">
        <v>3620</v>
      </c>
      <c r="B1237" s="2" t="s">
        <v>3621</v>
      </c>
      <c r="C1237" s="2" t="s">
        <v>88</v>
      </c>
      <c r="D1237" s="2" t="s">
        <v>27</v>
      </c>
      <c r="E1237" s="4">
        <v>-32764</v>
      </c>
      <c r="F1237" s="3" t="s">
        <v>640</v>
      </c>
      <c r="G1237" s="3" t="s">
        <v>641</v>
      </c>
      <c r="H1237" s="2" t="s">
        <v>74</v>
      </c>
      <c r="I1237" s="2" t="s">
        <v>3622</v>
      </c>
      <c r="J1237" s="3" t="str">
        <f>HYPERLINK("https://www.boe.es/gazeta/dias/1810/04/17/pdfs/GEI-1810-15.pdf#page=8","Abrir facsímil")</f>
        <v>Abrir facsímil</v>
      </c>
      <c r="K1237" s="3" t="s">
        <v>76</v>
      </c>
    </row>
    <row r="1238" spans="1:11" ht="42" customHeight="1">
      <c r="A1238" s="2" t="s">
        <v>3623</v>
      </c>
      <c r="B1238" s="2" t="s">
        <v>3624</v>
      </c>
      <c r="C1238" s="2" t="s">
        <v>26</v>
      </c>
      <c r="D1238" s="2" t="s">
        <v>27</v>
      </c>
      <c r="E1238" s="4">
        <v>-32659</v>
      </c>
      <c r="F1238" s="3" t="s">
        <v>1684</v>
      </c>
      <c r="G1238" s="3" t="s">
        <v>29</v>
      </c>
      <c r="H1238" s="2" t="s">
        <v>74</v>
      </c>
      <c r="I1238" s="2" t="s">
        <v>3625</v>
      </c>
      <c r="J1238" s="3" t="str">
        <f>HYPERLINK("https://www.boe.es/gazeta/dias/1810/07/31/pdfs/GMD-1810-212.pdf#page=4","Abrir facsímil")</f>
        <v>Abrir facsímil</v>
      </c>
      <c r="K1238" s="3" t="s">
        <v>76</v>
      </c>
    </row>
    <row r="1239" spans="1:11" ht="42" customHeight="1">
      <c r="A1239" s="2" t="s">
        <v>3626</v>
      </c>
      <c r="B1239" s="2" t="s">
        <v>3627</v>
      </c>
      <c r="C1239" s="2" t="s">
        <v>26</v>
      </c>
      <c r="D1239" s="2" t="s">
        <v>27</v>
      </c>
      <c r="E1239" s="4">
        <v>-32645</v>
      </c>
      <c r="F1239" s="3" t="s">
        <v>122</v>
      </c>
      <c r="G1239" s="3" t="s">
        <v>119</v>
      </c>
      <c r="H1239" s="2" t="s">
        <v>74</v>
      </c>
      <c r="I1239" s="2" t="s">
        <v>3628</v>
      </c>
      <c r="J1239" s="3" t="str">
        <f>HYPERLINK("https://www.boe.es/gazeta/dias/1810/08/14/pdfs/GEI-1810-56.pdf#page=14","Abrir facsímil")</f>
        <v>Abrir facsímil</v>
      </c>
      <c r="K1239" s="3" t="s">
        <v>76</v>
      </c>
    </row>
    <row r="1240" spans="1:11" ht="42" customHeight="1">
      <c r="A1240" s="2" t="s">
        <v>3629</v>
      </c>
      <c r="B1240" s="2" t="s">
        <v>3630</v>
      </c>
      <c r="C1240" s="2" t="s">
        <v>88</v>
      </c>
      <c r="D1240" s="2" t="s">
        <v>27</v>
      </c>
      <c r="E1240" s="4">
        <v>-32848</v>
      </c>
      <c r="F1240" s="3" t="s">
        <v>558</v>
      </c>
      <c r="G1240" s="3" t="s">
        <v>559</v>
      </c>
      <c r="H1240" s="2" t="s">
        <v>74</v>
      </c>
      <c r="I1240" s="2" t="s">
        <v>3631</v>
      </c>
      <c r="J1240" s="3" t="str">
        <f>HYPERLINK("https://www.boe.es/gazeta/dias/1810/01/23/pdfs/GGB-1810-10.pdf#page=7","Abrir facsímil")</f>
        <v>Abrir facsímil</v>
      </c>
      <c r="K1240" s="3" t="s">
        <v>76</v>
      </c>
    </row>
    <row r="1241" spans="1:11" ht="42" customHeight="1">
      <c r="A1241" s="2" t="s">
        <v>3632</v>
      </c>
      <c r="B1241" s="2" t="s">
        <v>3633</v>
      </c>
      <c r="C1241" s="2" t="s">
        <v>26</v>
      </c>
      <c r="D1241" s="2" t="s">
        <v>27</v>
      </c>
      <c r="E1241" s="4">
        <v>-32763</v>
      </c>
      <c r="F1241" s="3" t="s">
        <v>1146</v>
      </c>
      <c r="G1241" s="3" t="s">
        <v>20</v>
      </c>
      <c r="H1241" s="2" t="s">
        <v>74</v>
      </c>
      <c r="I1241" s="2" t="s">
        <v>3634</v>
      </c>
      <c r="J1241" s="3" t="str">
        <f>HYPERLINK("https://www.boe.es/gazeta/dias/1810/04/18/pdfs/GMD-1810-108.pdf#page=4","Abrir facsímil")</f>
        <v>Abrir facsímil</v>
      </c>
      <c r="K1241" s="3" t="s">
        <v>76</v>
      </c>
    </row>
    <row r="1242" spans="1:11" ht="42" customHeight="1">
      <c r="A1242" s="2" t="s">
        <v>3635</v>
      </c>
      <c r="B1242" s="2" t="s">
        <v>3636</v>
      </c>
      <c r="C1242" s="2" t="s">
        <v>26</v>
      </c>
      <c r="D1242" s="2" t="s">
        <v>27</v>
      </c>
      <c r="E1242" s="4">
        <v>-32782</v>
      </c>
      <c r="F1242" s="3" t="s">
        <v>79</v>
      </c>
      <c r="G1242" s="3" t="s">
        <v>80</v>
      </c>
      <c r="H1242" s="2" t="s">
        <v>74</v>
      </c>
      <c r="I1242" s="2" t="s">
        <v>3637</v>
      </c>
      <c r="J1242" s="3" t="str">
        <f>HYPERLINK("https://www.boe.es/gazeta/dias/1810/03/30/pdfs/GEI-1810-9.pdf#page=7","Abrir facsímil")</f>
        <v>Abrir facsímil</v>
      </c>
      <c r="K1242" s="3" t="s">
        <v>76</v>
      </c>
    </row>
    <row r="1243" spans="1:11" ht="42" customHeight="1">
      <c r="A1243" s="2" t="s">
        <v>3638</v>
      </c>
      <c r="B1243" s="2" t="s">
        <v>3639</v>
      </c>
      <c r="C1243" s="2" t="s">
        <v>88</v>
      </c>
      <c r="D1243" s="2" t="s">
        <v>117</v>
      </c>
      <c r="E1243" s="4">
        <v>-32764</v>
      </c>
      <c r="F1243" s="3" t="s">
        <v>640</v>
      </c>
      <c r="G1243" s="3" t="s">
        <v>641</v>
      </c>
      <c r="H1243" s="2" t="s">
        <v>74</v>
      </c>
      <c r="I1243" s="2" t="s">
        <v>3640</v>
      </c>
      <c r="J1243" s="3" t="str">
        <f>HYPERLINK("https://www.boe.es/gazeta/dias/1810/04/17/pdfs/GEI-1810-15.pdf#page=8","Abrir facsímil")</f>
        <v>Abrir facsímil</v>
      </c>
      <c r="K1243" s="3" t="s">
        <v>76</v>
      </c>
    </row>
    <row r="1244" spans="1:11" ht="42" customHeight="1">
      <c r="A1244" s="2" t="s">
        <v>3641</v>
      </c>
      <c r="B1244" s="2" t="s">
        <v>3641</v>
      </c>
      <c r="C1244" s="2" t="s">
        <v>88</v>
      </c>
      <c r="D1244" s="2" t="s">
        <v>27</v>
      </c>
      <c r="E1244" s="4">
        <v>-32582</v>
      </c>
      <c r="F1244" s="3" t="s">
        <v>3642</v>
      </c>
      <c r="G1244" s="3" t="s">
        <v>20</v>
      </c>
      <c r="H1244" s="2" t="s">
        <v>74</v>
      </c>
      <c r="I1244" s="2" t="s">
        <v>3643</v>
      </c>
      <c r="J1244" s="3" t="str">
        <f>HYPERLINK("https://www.boe.es/gazeta/dias/1810/10/16/pdfs/GMD-1810-289.pdf#page=4","Abrir facsímil")</f>
        <v>Abrir facsímil</v>
      </c>
      <c r="K1244" s="3" t="s">
        <v>76</v>
      </c>
    </row>
    <row r="1245" spans="1:11" ht="42" customHeight="1">
      <c r="A1245" s="2" t="s">
        <v>3644</v>
      </c>
      <c r="B1245" s="2" t="s">
        <v>3645</v>
      </c>
      <c r="C1245" s="2" t="s">
        <v>26</v>
      </c>
      <c r="D1245" s="2" t="s">
        <v>27</v>
      </c>
      <c r="E1245" s="4">
        <v>-32526</v>
      </c>
      <c r="F1245" s="3" t="s">
        <v>530</v>
      </c>
      <c r="G1245" s="3" t="s">
        <v>531</v>
      </c>
      <c r="H1245" s="2" t="s">
        <v>74</v>
      </c>
      <c r="I1245" s="2" t="s">
        <v>3646</v>
      </c>
      <c r="J1245" s="3" t="str">
        <f>HYPERLINK("https://www.boe.es/gazeta/dias/1810/12/11/pdfs/GEI-1810-106.pdf#page=2","Abrir facsímil")</f>
        <v>Abrir facsímil</v>
      </c>
      <c r="K1245" s="3" t="s">
        <v>76</v>
      </c>
    </row>
    <row r="1246" spans="1:11" ht="42" customHeight="1">
      <c r="A1246" s="2" t="s">
        <v>3647</v>
      </c>
      <c r="B1246" s="2" t="s">
        <v>3648</v>
      </c>
      <c r="C1246" s="2" t="s">
        <v>26</v>
      </c>
      <c r="D1246" s="2" t="s">
        <v>39</v>
      </c>
      <c r="E1246" s="4">
        <v>-32702</v>
      </c>
      <c r="F1246" s="3" t="s">
        <v>179</v>
      </c>
      <c r="G1246" s="3" t="s">
        <v>213</v>
      </c>
      <c r="H1246" s="2" t="s">
        <v>74</v>
      </c>
      <c r="I1246" s="2" t="s">
        <v>3649</v>
      </c>
      <c r="J1246" s="3" t="str">
        <f>HYPERLINK("https://www.boe.es/gazeta/dias/1810/06/18/pdfs/GMD-C-1810-169.pdf#page=4","Abrir facsímil")</f>
        <v>Abrir facsímil</v>
      </c>
      <c r="K1246" s="3" t="s">
        <v>76</v>
      </c>
    </row>
    <row r="1247" spans="1:11" ht="42" customHeight="1">
      <c r="A1247" s="2" t="s">
        <v>3650</v>
      </c>
      <c r="B1247" s="2" t="s">
        <v>3651</v>
      </c>
      <c r="C1247" s="2" t="s">
        <v>17</v>
      </c>
      <c r="D1247" s="2" t="s">
        <v>18</v>
      </c>
      <c r="E1247" s="4">
        <v>-32710</v>
      </c>
      <c r="F1247" s="3" t="s">
        <v>126</v>
      </c>
      <c r="G1247" s="3" t="s">
        <v>180</v>
      </c>
      <c r="H1247" s="2" t="s">
        <v>74</v>
      </c>
      <c r="I1247" s="2" t="s">
        <v>3652</v>
      </c>
      <c r="J1247" s="3" t="str">
        <f>HYPERLINK("https://www.boe.es/gazeta/dias/1810/06/10/pdfs/GMD-1810-161.pdf#page=1","Abrir facsímil")</f>
        <v>Abrir facsímil</v>
      </c>
      <c r="K1247" s="3" t="s">
        <v>76</v>
      </c>
    </row>
    <row r="1248" spans="1:11" ht="42" customHeight="1">
      <c r="A1248" s="2" t="s">
        <v>3653</v>
      </c>
      <c r="B1248" s="2" t="s">
        <v>3654</v>
      </c>
      <c r="C1248" s="2" t="s">
        <v>26</v>
      </c>
      <c r="D1248" s="2" t="s">
        <v>27</v>
      </c>
      <c r="E1248" s="4">
        <v>-32628</v>
      </c>
      <c r="F1248" s="3" t="s">
        <v>3118</v>
      </c>
      <c r="G1248" s="3" t="s">
        <v>2277</v>
      </c>
      <c r="H1248" s="2" t="s">
        <v>74</v>
      </c>
      <c r="I1248" s="2" t="s">
        <v>3655</v>
      </c>
      <c r="J1248" s="3" t="str">
        <f>HYPERLINK("https://www.boe.es/gazeta/dias/1810/08/31/pdfs/GEI-1810-62.pdf#page=2","Abrir facsímil")</f>
        <v>Abrir facsímil</v>
      </c>
      <c r="K1248" s="3" t="s">
        <v>76</v>
      </c>
    </row>
    <row r="1249" spans="1:11" ht="42" customHeight="1">
      <c r="A1249" s="2" t="s">
        <v>3656</v>
      </c>
      <c r="B1249" s="2" t="s">
        <v>3657</v>
      </c>
      <c r="C1249" s="2" t="s">
        <v>26</v>
      </c>
      <c r="D1249" s="2" t="s">
        <v>27</v>
      </c>
      <c r="E1249" s="4">
        <v>-32514</v>
      </c>
      <c r="F1249" s="3" t="s">
        <v>3658</v>
      </c>
      <c r="G1249" s="3" t="s">
        <v>213</v>
      </c>
      <c r="H1249" s="2" t="s">
        <v>74</v>
      </c>
      <c r="I1249" s="2" t="s">
        <v>3659</v>
      </c>
      <c r="J1249" s="3" t="str">
        <f>HYPERLINK("https://www.boe.es/gazeta/dias/1810/12/23/pdfs/GMD-1810-357.pdf#page=1","Abrir facsímil")</f>
        <v>Abrir facsímil</v>
      </c>
      <c r="K1249" s="3" t="s">
        <v>76</v>
      </c>
    </row>
    <row r="1250" spans="1:11" ht="42" customHeight="1">
      <c r="A1250" s="2" t="s">
        <v>3660</v>
      </c>
      <c r="B1250" s="2" t="s">
        <v>3660</v>
      </c>
      <c r="C1250" s="2" t="s">
        <v>88</v>
      </c>
      <c r="D1250" s="2" t="s">
        <v>117</v>
      </c>
      <c r="E1250" s="4">
        <v>-32861</v>
      </c>
      <c r="F1250" s="3" t="s">
        <v>796</v>
      </c>
      <c r="G1250" s="3" t="s">
        <v>29</v>
      </c>
      <c r="H1250" s="2" t="s">
        <v>74</v>
      </c>
      <c r="I1250" s="2" t="s">
        <v>3661</v>
      </c>
      <c r="J1250" s="3" t="str">
        <f>HYPERLINK("https://www.boe.es/gazeta/dias/1810/01/10/pdfs/GMD-1810-10.pdf#page=2","Abrir facsímil")</f>
        <v>Abrir facsímil</v>
      </c>
      <c r="K1250" s="3" t="s">
        <v>76</v>
      </c>
    </row>
    <row r="1251" spans="1:11" ht="42" customHeight="1">
      <c r="A1251" s="2" t="s">
        <v>3660</v>
      </c>
      <c r="B1251" s="2" t="s">
        <v>3660</v>
      </c>
      <c r="C1251" s="2" t="s">
        <v>88</v>
      </c>
      <c r="D1251" s="2" t="s">
        <v>117</v>
      </c>
      <c r="E1251" s="4">
        <v>-32860</v>
      </c>
      <c r="F1251" s="3" t="s">
        <v>3662</v>
      </c>
      <c r="G1251" s="3" t="s">
        <v>1266</v>
      </c>
      <c r="H1251" s="2" t="s">
        <v>74</v>
      </c>
      <c r="I1251" s="2" t="s">
        <v>3663</v>
      </c>
      <c r="J1251" s="3" t="str">
        <f>HYPERLINK("https://www.boe.es/gazeta/dias/1810/01/11/pdfs/GMD-1810-11.pdf#page=1","Abrir facsímil")</f>
        <v>Abrir facsímil</v>
      </c>
      <c r="K1251" s="3" t="s">
        <v>76</v>
      </c>
    </row>
    <row r="1252" spans="1:11" ht="42" customHeight="1">
      <c r="A1252" s="2" t="s">
        <v>3660</v>
      </c>
      <c r="B1252" s="2" t="s">
        <v>3660</v>
      </c>
      <c r="C1252" s="2" t="s">
        <v>33</v>
      </c>
      <c r="D1252" s="2" t="s">
        <v>18</v>
      </c>
      <c r="E1252" s="4">
        <v>-32860</v>
      </c>
      <c r="F1252" s="3" t="s">
        <v>3662</v>
      </c>
      <c r="G1252" s="3" t="s">
        <v>1540</v>
      </c>
      <c r="H1252" s="2" t="s">
        <v>74</v>
      </c>
      <c r="I1252" s="2" t="s">
        <v>3664</v>
      </c>
      <c r="J1252" s="3" t="str">
        <f>HYPERLINK("https://www.boe.es/gazeta/dias/1810/01/11/pdfs/GMD-1810-11.pdf#page=2","Abrir facsímil")</f>
        <v>Abrir facsímil</v>
      </c>
      <c r="K1252" s="3" t="s">
        <v>76</v>
      </c>
    </row>
    <row r="1253" spans="1:11" ht="42" customHeight="1">
      <c r="A1253" s="2" t="s">
        <v>3660</v>
      </c>
      <c r="B1253" s="2" t="s">
        <v>3660</v>
      </c>
      <c r="C1253" s="2" t="s">
        <v>111</v>
      </c>
      <c r="D1253" s="2" t="s">
        <v>27</v>
      </c>
      <c r="E1253" s="4">
        <v>-32804</v>
      </c>
      <c r="F1253" s="3" t="s">
        <v>583</v>
      </c>
      <c r="G1253" s="3" t="s">
        <v>99</v>
      </c>
      <c r="H1253" s="2" t="s">
        <v>74</v>
      </c>
      <c r="I1253" s="2" t="s">
        <v>3665</v>
      </c>
      <c r="J1253" s="3" t="str">
        <f>HYPERLINK("https://www.boe.es/gazeta/dias/1810/03/08/pdfs/GMD-1810-67.pdf#page=3","Abrir facsímil")</f>
        <v>Abrir facsímil</v>
      </c>
      <c r="K1253" s="3" t="s">
        <v>76</v>
      </c>
    </row>
    <row r="1254" spans="1:11" ht="42" customHeight="1">
      <c r="A1254" s="2" t="s">
        <v>3660</v>
      </c>
      <c r="B1254" s="2" t="s">
        <v>3660</v>
      </c>
      <c r="C1254" s="2" t="s">
        <v>88</v>
      </c>
      <c r="D1254" s="2" t="s">
        <v>117</v>
      </c>
      <c r="E1254" s="4">
        <v>-32797</v>
      </c>
      <c r="F1254" s="3" t="s">
        <v>3666</v>
      </c>
      <c r="G1254" s="3" t="s">
        <v>3667</v>
      </c>
      <c r="H1254" s="2" t="s">
        <v>74</v>
      </c>
      <c r="I1254" s="2" t="s">
        <v>3668</v>
      </c>
      <c r="J1254" s="3" t="str">
        <f>HYPERLINK("https://www.boe.es/gazeta/dias/1810/03/15/pdfs/GMD-1810-74.pdf#page=1","Abrir facsímil")</f>
        <v>Abrir facsímil</v>
      </c>
      <c r="K1254" s="3" t="s">
        <v>76</v>
      </c>
    </row>
    <row r="1255" spans="1:11" ht="42" customHeight="1">
      <c r="A1255" s="2" t="s">
        <v>3660</v>
      </c>
      <c r="B1255" s="2" t="s">
        <v>3660</v>
      </c>
      <c r="C1255" s="2" t="s">
        <v>33</v>
      </c>
      <c r="D1255" s="2" t="s">
        <v>27</v>
      </c>
      <c r="E1255" s="4">
        <v>-32769</v>
      </c>
      <c r="F1255" s="3" t="s">
        <v>1543</v>
      </c>
      <c r="G1255" s="3" t="s">
        <v>2861</v>
      </c>
      <c r="H1255" s="2" t="s">
        <v>74</v>
      </c>
      <c r="I1255" s="2" t="s">
        <v>3669</v>
      </c>
      <c r="J1255" s="3" t="str">
        <f>HYPERLINK("https://www.boe.es/gazeta/dias/1810/04/12/pdfs/GMD-1810-102.pdf#page=3","Abrir facsímil")</f>
        <v>Abrir facsímil</v>
      </c>
      <c r="K1255" s="3" t="s">
        <v>76</v>
      </c>
    </row>
    <row r="1256" spans="1:11" ht="42" customHeight="1">
      <c r="A1256" s="2" t="s">
        <v>3670</v>
      </c>
      <c r="B1256" s="2" t="s">
        <v>3670</v>
      </c>
      <c r="C1256" s="2" t="s">
        <v>317</v>
      </c>
      <c r="D1256" s="2" t="s">
        <v>27</v>
      </c>
      <c r="E1256" s="4">
        <v>-32764</v>
      </c>
      <c r="F1256" s="3" t="s">
        <v>718</v>
      </c>
      <c r="G1256" s="3" t="s">
        <v>213</v>
      </c>
      <c r="H1256" s="2" t="s">
        <v>74</v>
      </c>
      <c r="I1256" s="2" t="s">
        <v>3671</v>
      </c>
      <c r="J1256" s="3" t="str">
        <f>HYPERLINK("https://www.boe.es/gazeta/dias/1810/04/17/pdfs/GMD-1810-107.pdf#page=1","Abrir facsímil")</f>
        <v>Abrir facsímil</v>
      </c>
      <c r="K1256" s="3" t="s">
        <v>76</v>
      </c>
    </row>
    <row r="1257" spans="1:11" ht="42" customHeight="1">
      <c r="A1257" s="2" t="s">
        <v>3660</v>
      </c>
      <c r="B1257" s="2" t="s">
        <v>3660</v>
      </c>
      <c r="C1257" s="2" t="s">
        <v>88</v>
      </c>
      <c r="D1257" s="2" t="s">
        <v>117</v>
      </c>
      <c r="E1257" s="4">
        <v>-32753</v>
      </c>
      <c r="F1257" s="3" t="s">
        <v>2789</v>
      </c>
      <c r="G1257" s="3" t="s">
        <v>658</v>
      </c>
      <c r="H1257" s="2" t="s">
        <v>74</v>
      </c>
      <c r="I1257" s="2" t="s">
        <v>3672</v>
      </c>
      <c r="J1257" s="3" t="str">
        <f>HYPERLINK("https://www.boe.es/gazeta/dias/1810/04/28/pdfs/GMD-1810-118.pdf#page=4","Abrir facsímil")</f>
        <v>Abrir facsímil</v>
      </c>
      <c r="K1257" s="3" t="s">
        <v>76</v>
      </c>
    </row>
    <row r="1258" spans="1:11" ht="42" customHeight="1">
      <c r="A1258" s="2" t="s">
        <v>3660</v>
      </c>
      <c r="B1258" s="2" t="s">
        <v>3660</v>
      </c>
      <c r="C1258" s="2" t="s">
        <v>88</v>
      </c>
      <c r="D1258" s="2" t="s">
        <v>117</v>
      </c>
      <c r="E1258" s="4">
        <v>-32725</v>
      </c>
      <c r="F1258" s="3" t="s">
        <v>417</v>
      </c>
      <c r="G1258" s="3" t="s">
        <v>35</v>
      </c>
      <c r="H1258" s="2" t="s">
        <v>74</v>
      </c>
      <c r="I1258" s="2" t="s">
        <v>3673</v>
      </c>
      <c r="J1258" s="3" t="str">
        <f>HYPERLINK("https://www.boe.es/gazeta/dias/1810/05/26/pdfs/GMD-1810-146.pdf#page=2","Abrir facsímil")</f>
        <v>Abrir facsímil</v>
      </c>
      <c r="K1258" s="3" t="s">
        <v>76</v>
      </c>
    </row>
    <row r="1259" spans="1:11" ht="42" customHeight="1">
      <c r="A1259" s="2" t="s">
        <v>3660</v>
      </c>
      <c r="B1259" s="2" t="s">
        <v>3660</v>
      </c>
      <c r="C1259" s="2" t="s">
        <v>26</v>
      </c>
      <c r="D1259" s="2" t="s">
        <v>27</v>
      </c>
      <c r="E1259" s="4">
        <v>-32720</v>
      </c>
      <c r="F1259" s="3" t="s">
        <v>3377</v>
      </c>
      <c r="G1259" s="3" t="s">
        <v>99</v>
      </c>
      <c r="H1259" s="2" t="s">
        <v>74</v>
      </c>
      <c r="I1259" s="2" t="s">
        <v>3674</v>
      </c>
      <c r="J1259" s="3" t="str">
        <f>HYPERLINK("https://www.boe.es/gazeta/dias/1810/05/31/pdfs/GMD-1810-151.pdf#page=3","Abrir facsímil")</f>
        <v>Abrir facsímil</v>
      </c>
      <c r="K1259" s="3" t="s">
        <v>76</v>
      </c>
    </row>
    <row r="1260" spans="1:11" ht="42" customHeight="1">
      <c r="A1260" s="2" t="s">
        <v>3660</v>
      </c>
      <c r="B1260" s="2" t="s">
        <v>3660</v>
      </c>
      <c r="C1260" s="2" t="s">
        <v>111</v>
      </c>
      <c r="D1260" s="2" t="s">
        <v>27</v>
      </c>
      <c r="E1260" s="4">
        <v>-32713</v>
      </c>
      <c r="F1260" s="3" t="s">
        <v>959</v>
      </c>
      <c r="G1260" s="3" t="s">
        <v>632</v>
      </c>
      <c r="H1260" s="2" t="s">
        <v>74</v>
      </c>
      <c r="I1260" s="2" t="s">
        <v>3675</v>
      </c>
      <c r="J1260" s="3" t="str">
        <f>HYPERLINK("https://www.boe.es/gazeta/dias/1810/06/07/pdfs/GMD-1810-158.pdf#page=2","Abrir facsímil")</f>
        <v>Abrir facsímil</v>
      </c>
      <c r="K1260" s="3" t="s">
        <v>76</v>
      </c>
    </row>
    <row r="1261" spans="1:11" ht="42" customHeight="1">
      <c r="A1261" s="2" t="s">
        <v>3660</v>
      </c>
      <c r="B1261" s="2" t="s">
        <v>3660</v>
      </c>
      <c r="C1261" s="2" t="s">
        <v>26</v>
      </c>
      <c r="D1261" s="2" t="s">
        <v>27</v>
      </c>
      <c r="E1261" s="4">
        <v>-32700</v>
      </c>
      <c r="F1261" s="3" t="s">
        <v>89</v>
      </c>
      <c r="G1261" s="3" t="s">
        <v>90</v>
      </c>
      <c r="H1261" s="2" t="s">
        <v>74</v>
      </c>
      <c r="I1261" s="2" t="s">
        <v>3676</v>
      </c>
      <c r="J1261" s="3" t="str">
        <f>HYPERLINK("https://www.boe.es/gazeta/dias/1810/06/20/pdfs/GMD-1810-171.pdf#page=2","Abrir facsímil")</f>
        <v>Abrir facsímil</v>
      </c>
      <c r="K1261" s="3" t="s">
        <v>76</v>
      </c>
    </row>
    <row r="1262" spans="1:11" ht="42" customHeight="1">
      <c r="A1262" s="2" t="s">
        <v>3660</v>
      </c>
      <c r="B1262" s="2" t="s">
        <v>3660</v>
      </c>
      <c r="C1262" s="2" t="s">
        <v>88</v>
      </c>
      <c r="D1262" s="2" t="s">
        <v>117</v>
      </c>
      <c r="E1262" s="4">
        <v>-32699</v>
      </c>
      <c r="F1262" s="3" t="s">
        <v>1216</v>
      </c>
      <c r="G1262" s="3" t="s">
        <v>1219</v>
      </c>
      <c r="H1262" s="2" t="s">
        <v>74</v>
      </c>
      <c r="I1262" s="2" t="s">
        <v>3677</v>
      </c>
      <c r="J1262" s="3" t="str">
        <f>HYPERLINK("https://www.boe.es/gazeta/dias/1810/06/21/pdfs/GMD-1810-172.pdf#page=4","Abrir facsímil")</f>
        <v>Abrir facsímil</v>
      </c>
      <c r="K1262" s="3" t="s">
        <v>76</v>
      </c>
    </row>
    <row r="1263" spans="1:11" ht="42" customHeight="1">
      <c r="A1263" s="2" t="s">
        <v>3660</v>
      </c>
      <c r="B1263" s="2" t="s">
        <v>3660</v>
      </c>
      <c r="C1263" s="2" t="s">
        <v>26</v>
      </c>
      <c r="D1263" s="2" t="s">
        <v>27</v>
      </c>
      <c r="E1263" s="4">
        <v>-32698</v>
      </c>
      <c r="F1263" s="3" t="s">
        <v>1721</v>
      </c>
      <c r="G1263" s="3" t="s">
        <v>632</v>
      </c>
      <c r="H1263" s="2" t="s">
        <v>74</v>
      </c>
      <c r="I1263" s="2" t="s">
        <v>3678</v>
      </c>
      <c r="J1263" s="3" t="str">
        <f>HYPERLINK("https://www.boe.es/gazeta/dias/1810/06/22/pdfs/GMD-1810-173.pdf#page=4","Abrir facsímil")</f>
        <v>Abrir facsímil</v>
      </c>
      <c r="K1263" s="3" t="s">
        <v>76</v>
      </c>
    </row>
    <row r="1264" spans="1:11" ht="42" customHeight="1">
      <c r="A1264" s="2" t="s">
        <v>3660</v>
      </c>
      <c r="B1264" s="2" t="s">
        <v>3660</v>
      </c>
      <c r="C1264" s="2" t="s">
        <v>33</v>
      </c>
      <c r="D1264" s="2" t="s">
        <v>27</v>
      </c>
      <c r="E1264" s="4">
        <v>-32678</v>
      </c>
      <c r="F1264" s="3" t="s">
        <v>3679</v>
      </c>
      <c r="G1264" s="3" t="s">
        <v>29</v>
      </c>
      <c r="H1264" s="2" t="s">
        <v>74</v>
      </c>
      <c r="I1264" s="2" t="s">
        <v>3680</v>
      </c>
      <c r="J1264" s="3" t="str">
        <f>HYPERLINK("https://www.boe.es/gazeta/dias/1810/07/12/pdfs/GMD-1810-193.pdf#page=2","Abrir facsímil")</f>
        <v>Abrir facsímil</v>
      </c>
      <c r="K1264" s="3" t="s">
        <v>76</v>
      </c>
    </row>
    <row r="1265" spans="1:11" ht="42" customHeight="1">
      <c r="A1265" s="2" t="s">
        <v>3660</v>
      </c>
      <c r="B1265" s="2" t="s">
        <v>3660</v>
      </c>
      <c r="C1265" s="2" t="s">
        <v>26</v>
      </c>
      <c r="D1265" s="2" t="s">
        <v>220</v>
      </c>
      <c r="E1265" s="4">
        <v>-32674</v>
      </c>
      <c r="F1265" s="3" t="s">
        <v>1319</v>
      </c>
      <c r="G1265" s="3" t="s">
        <v>227</v>
      </c>
      <c r="H1265" s="2" t="s">
        <v>74</v>
      </c>
      <c r="I1265" s="2" t="s">
        <v>3681</v>
      </c>
      <c r="J1265" s="3" t="str">
        <f>HYPERLINK("https://www.boe.es/gazeta/dias/1810/07/16/pdfs/GMD-1810-197.pdf#page=3","Abrir facsímil")</f>
        <v>Abrir facsímil</v>
      </c>
      <c r="K1265" s="3" t="s">
        <v>76</v>
      </c>
    </row>
    <row r="1266" spans="1:11" ht="42" customHeight="1">
      <c r="A1266" s="2" t="s">
        <v>3670</v>
      </c>
      <c r="B1266" s="2" t="s">
        <v>3670</v>
      </c>
      <c r="C1266" s="2" t="s">
        <v>88</v>
      </c>
      <c r="D1266" s="2" t="s">
        <v>27</v>
      </c>
      <c r="E1266" s="4">
        <v>-32671</v>
      </c>
      <c r="F1266" s="3" t="s">
        <v>3682</v>
      </c>
      <c r="G1266" s="3" t="s">
        <v>90</v>
      </c>
      <c r="H1266" s="2" t="s">
        <v>74</v>
      </c>
      <c r="I1266" s="2" t="s">
        <v>3683</v>
      </c>
      <c r="J1266" s="3" t="str">
        <f>HYPERLINK("https://www.boe.es/gazeta/dias/1810/07/19/pdfs/GMD-1810-200.pdf#page=2","Abrir facsímil")</f>
        <v>Abrir facsímil</v>
      </c>
      <c r="K1266" s="3" t="s">
        <v>76</v>
      </c>
    </row>
    <row r="1267" spans="1:11" ht="42" customHeight="1">
      <c r="A1267" s="2" t="s">
        <v>3660</v>
      </c>
      <c r="B1267" s="2" t="s">
        <v>3660</v>
      </c>
      <c r="C1267" s="2" t="s">
        <v>26</v>
      </c>
      <c r="D1267" s="2" t="s">
        <v>27</v>
      </c>
      <c r="E1267" s="4">
        <v>-32669</v>
      </c>
      <c r="F1267" s="3" t="s">
        <v>217</v>
      </c>
      <c r="G1267" s="3" t="s">
        <v>29</v>
      </c>
      <c r="H1267" s="2" t="s">
        <v>74</v>
      </c>
      <c r="I1267" s="2" t="s">
        <v>3684</v>
      </c>
      <c r="J1267" s="3" t="str">
        <f>HYPERLINK("https://www.boe.es/gazeta/dias/1810/07/21/pdfs/GMD-1810-202.pdf#page=3","Abrir facsímil")</f>
        <v>Abrir facsímil</v>
      </c>
      <c r="K1267" s="3" t="s">
        <v>76</v>
      </c>
    </row>
    <row r="1268" spans="1:11" ht="42" customHeight="1">
      <c r="A1268" s="2" t="s">
        <v>3670</v>
      </c>
      <c r="B1268" s="2" t="s">
        <v>3670</v>
      </c>
      <c r="C1268" s="2" t="s">
        <v>88</v>
      </c>
      <c r="D1268" s="2" t="s">
        <v>27</v>
      </c>
      <c r="E1268" s="4">
        <v>-32663</v>
      </c>
      <c r="F1268" s="3" t="s">
        <v>1615</v>
      </c>
      <c r="G1268" s="3" t="s">
        <v>29</v>
      </c>
      <c r="H1268" s="2" t="s">
        <v>74</v>
      </c>
      <c r="I1268" s="2" t="s">
        <v>3685</v>
      </c>
      <c r="J1268" s="3" t="str">
        <f>HYPERLINK("https://www.boe.es/gazeta/dias/1810/07/27/pdfs/GMD-1810-208.pdf#page=2","Abrir facsímil")</f>
        <v>Abrir facsímil</v>
      </c>
      <c r="K1268" s="3" t="s">
        <v>76</v>
      </c>
    </row>
    <row r="1269" spans="1:11" ht="42" customHeight="1">
      <c r="A1269" s="2" t="s">
        <v>3660</v>
      </c>
      <c r="B1269" s="2" t="s">
        <v>3660</v>
      </c>
      <c r="C1269" s="2" t="s">
        <v>26</v>
      </c>
      <c r="D1269" s="2" t="s">
        <v>27</v>
      </c>
      <c r="E1269" s="4">
        <v>-32591</v>
      </c>
      <c r="F1269" s="3" t="s">
        <v>377</v>
      </c>
      <c r="G1269" s="3" t="s">
        <v>136</v>
      </c>
      <c r="H1269" s="2" t="s">
        <v>74</v>
      </c>
      <c r="I1269" s="2" t="s">
        <v>3686</v>
      </c>
      <c r="J1269" s="3" t="str">
        <f>HYPERLINK("https://www.boe.es/gazeta/dias/1810/10/07/pdfs/GMD-1810-280.pdf#page=3","Abrir facsímil")</f>
        <v>Abrir facsímil</v>
      </c>
      <c r="K1269" s="3" t="s">
        <v>76</v>
      </c>
    </row>
    <row r="1270" spans="1:11" ht="42" customHeight="1">
      <c r="A1270" s="2" t="s">
        <v>3670</v>
      </c>
      <c r="B1270" s="2" t="s">
        <v>3670</v>
      </c>
      <c r="C1270" s="2" t="s">
        <v>88</v>
      </c>
      <c r="D1270" s="2" t="s">
        <v>27</v>
      </c>
      <c r="E1270" s="4">
        <v>-32566</v>
      </c>
      <c r="F1270" s="3" t="s">
        <v>405</v>
      </c>
      <c r="G1270" s="3" t="s">
        <v>469</v>
      </c>
      <c r="H1270" s="2" t="s">
        <v>74</v>
      </c>
      <c r="I1270" s="2" t="s">
        <v>3687</v>
      </c>
      <c r="J1270" s="3" t="str">
        <f>HYPERLINK("https://www.boe.es/gazeta/dias/1810/11/01/pdfs/GMD-1810-305.pdf#page=2","Abrir facsímil")</f>
        <v>Abrir facsímil</v>
      </c>
      <c r="K1270" s="3" t="s">
        <v>76</v>
      </c>
    </row>
    <row r="1271" spans="1:11" ht="42" customHeight="1">
      <c r="A1271" s="2" t="s">
        <v>3660</v>
      </c>
      <c r="B1271" s="2" t="s">
        <v>3660</v>
      </c>
      <c r="C1271" s="2" t="s">
        <v>88</v>
      </c>
      <c r="D1271" s="2" t="s">
        <v>117</v>
      </c>
      <c r="E1271" s="4">
        <v>-32566</v>
      </c>
      <c r="F1271" s="3" t="s">
        <v>405</v>
      </c>
      <c r="G1271" s="3" t="s">
        <v>99</v>
      </c>
      <c r="H1271" s="2" t="s">
        <v>74</v>
      </c>
      <c r="I1271" s="2" t="s">
        <v>3688</v>
      </c>
      <c r="J1271" s="3" t="str">
        <f>HYPERLINK("https://www.boe.es/gazeta/dias/1810/11/01/pdfs/GMD-1810-305.pdf#page=3","Abrir facsímil")</f>
        <v>Abrir facsímil</v>
      </c>
      <c r="K1271" s="3" t="s">
        <v>76</v>
      </c>
    </row>
    <row r="1272" spans="1:11" ht="42" customHeight="1">
      <c r="A1272" s="2" t="s">
        <v>3660</v>
      </c>
      <c r="B1272" s="2" t="s">
        <v>3660</v>
      </c>
      <c r="C1272" s="2" t="s">
        <v>88</v>
      </c>
      <c r="D1272" s="2" t="s">
        <v>117</v>
      </c>
      <c r="E1272" s="4">
        <v>-32545</v>
      </c>
      <c r="F1272" s="3" t="s">
        <v>165</v>
      </c>
      <c r="G1272" s="3" t="s">
        <v>691</v>
      </c>
      <c r="H1272" s="2" t="s">
        <v>74</v>
      </c>
      <c r="I1272" s="2" t="s">
        <v>3689</v>
      </c>
      <c r="J1272" s="3" t="str">
        <f>HYPERLINK("https://www.boe.es/gazeta/dias/1810/11/22/pdfs/GEI-1810-98.pdf#page=6","Abrir facsímil")</f>
        <v>Abrir facsímil</v>
      </c>
      <c r="K1272" s="3" t="s">
        <v>76</v>
      </c>
    </row>
    <row r="1273" spans="1:11" ht="42" customHeight="1">
      <c r="A1273" s="2" t="s">
        <v>3660</v>
      </c>
      <c r="B1273" s="2" t="s">
        <v>3660</v>
      </c>
      <c r="C1273" s="2" t="s">
        <v>26</v>
      </c>
      <c r="D1273" s="2" t="s">
        <v>27</v>
      </c>
      <c r="E1273" s="4">
        <v>-32526</v>
      </c>
      <c r="F1273" s="3" t="s">
        <v>530</v>
      </c>
      <c r="G1273" s="3" t="s">
        <v>29</v>
      </c>
      <c r="H1273" s="2" t="s">
        <v>74</v>
      </c>
      <c r="I1273" s="2" t="s">
        <v>3690</v>
      </c>
      <c r="J1273" s="3" t="str">
        <f>HYPERLINK("https://www.boe.es/gazeta/dias/1810/12/11/pdfs/GEI-1810-106.pdf#page=1","Abrir facsímil")</f>
        <v>Abrir facsímil</v>
      </c>
      <c r="K1273" s="3" t="s">
        <v>76</v>
      </c>
    </row>
    <row r="1274" spans="1:11" ht="42" customHeight="1">
      <c r="A1274" s="2" t="s">
        <v>3660</v>
      </c>
      <c r="B1274" s="2" t="s">
        <v>3660</v>
      </c>
      <c r="C1274" s="2" t="s">
        <v>26</v>
      </c>
      <c r="D1274" s="2" t="s">
        <v>27</v>
      </c>
      <c r="E1274" s="4">
        <v>-32508</v>
      </c>
      <c r="F1274" s="3" t="s">
        <v>864</v>
      </c>
      <c r="G1274" s="3" t="s">
        <v>691</v>
      </c>
      <c r="H1274" s="2" t="s">
        <v>74</v>
      </c>
      <c r="I1274" s="2" t="s">
        <v>3691</v>
      </c>
      <c r="J1274" s="3" t="str">
        <f>HYPERLINK("https://www.boe.es/gazeta/dias/1810/12/29/pdfs/GEI-1810-114.pdf#page=8","Abrir facsímil")</f>
        <v>Abrir facsímil</v>
      </c>
      <c r="K1274" s="3" t="s">
        <v>76</v>
      </c>
    </row>
    <row r="1275" spans="1:11" ht="42" customHeight="1">
      <c r="A1275" s="2" t="s">
        <v>3692</v>
      </c>
      <c r="B1275" s="2" t="s">
        <v>3692</v>
      </c>
      <c r="C1275" s="2" t="s">
        <v>26</v>
      </c>
      <c r="D1275" s="2" t="s">
        <v>27</v>
      </c>
      <c r="E1275" s="4">
        <v>-32766</v>
      </c>
      <c r="F1275" s="3" t="s">
        <v>492</v>
      </c>
      <c r="G1275" s="3" t="s">
        <v>180</v>
      </c>
      <c r="H1275" s="2" t="s">
        <v>74</v>
      </c>
      <c r="I1275" s="2" t="s">
        <v>3693</v>
      </c>
      <c r="J1275" s="3" t="str">
        <f>HYPERLINK("https://www.boe.es/gazeta/dias/1810/04/15/pdfs/GMD-1810-105.pdf#page=1","Abrir facsímil")</f>
        <v>Abrir facsímil</v>
      </c>
      <c r="K1275" s="3" t="s">
        <v>76</v>
      </c>
    </row>
    <row r="1276" spans="1:11" ht="42" customHeight="1">
      <c r="A1276" s="2" t="s">
        <v>3694</v>
      </c>
      <c r="B1276" s="2" t="s">
        <v>3695</v>
      </c>
      <c r="C1276" s="2" t="s">
        <v>33</v>
      </c>
      <c r="D1276" s="2" t="s">
        <v>27</v>
      </c>
      <c r="E1276" s="4">
        <v>-32674</v>
      </c>
      <c r="F1276" s="3" t="s">
        <v>1319</v>
      </c>
      <c r="G1276" s="3" t="s">
        <v>235</v>
      </c>
      <c r="H1276" s="2" t="s">
        <v>74</v>
      </c>
      <c r="I1276" s="2" t="s">
        <v>3696</v>
      </c>
      <c r="J1276" s="3" t="str">
        <f>HYPERLINK("https://www.boe.es/gazeta/dias/1810/07/16/pdfs/GMD-1810-197.pdf#page=4","Abrir facsímil")</f>
        <v>Abrir facsímil</v>
      </c>
      <c r="K1276" s="3" t="s">
        <v>76</v>
      </c>
    </row>
    <row r="1277" spans="1:11" ht="42" customHeight="1">
      <c r="A1277" s="2" t="s">
        <v>3697</v>
      </c>
      <c r="B1277" s="2" t="s">
        <v>3697</v>
      </c>
      <c r="C1277" s="2" t="s">
        <v>88</v>
      </c>
      <c r="D1277" s="2" t="s">
        <v>27</v>
      </c>
      <c r="E1277" s="4">
        <v>-32692</v>
      </c>
      <c r="F1277" s="3" t="s">
        <v>3698</v>
      </c>
      <c r="G1277" s="3" t="s">
        <v>180</v>
      </c>
      <c r="H1277" s="2" t="s">
        <v>74</v>
      </c>
      <c r="I1277" s="2" t="s">
        <v>3699</v>
      </c>
      <c r="J1277" s="3" t="str">
        <f>HYPERLINK("https://www.boe.es/gazeta/dias/1810/06/28/pdfs/GMD-1810-179.pdf#page=2","Abrir facsímil")</f>
        <v>Abrir facsímil</v>
      </c>
      <c r="K1277" s="3" t="s">
        <v>76</v>
      </c>
    </row>
    <row r="1278" spans="1:11" ht="42" customHeight="1">
      <c r="A1278" s="2" t="s">
        <v>3697</v>
      </c>
      <c r="B1278" s="2" t="s">
        <v>3697</v>
      </c>
      <c r="C1278" s="2" t="s">
        <v>26</v>
      </c>
      <c r="D1278" s="2" t="s">
        <v>220</v>
      </c>
      <c r="E1278" s="4">
        <v>-32529</v>
      </c>
      <c r="F1278" s="3" t="s">
        <v>3700</v>
      </c>
      <c r="G1278" s="3" t="s">
        <v>70</v>
      </c>
      <c r="H1278" s="2" t="s">
        <v>74</v>
      </c>
      <c r="I1278" s="2" t="s">
        <v>3701</v>
      </c>
      <c r="J1278" s="3" t="str">
        <f>HYPERLINK("https://www.boe.es/gazeta/dias/1810/12/08/pdfs/GMD-1810-342.pdf#page=3","Abrir facsímil")</f>
        <v>Abrir facsímil</v>
      </c>
      <c r="K1278" s="3" t="s">
        <v>76</v>
      </c>
    </row>
    <row r="1279" spans="1:11" ht="42" customHeight="1">
      <c r="A1279" s="2" t="s">
        <v>3697</v>
      </c>
      <c r="B1279" s="2" t="s">
        <v>3697</v>
      </c>
      <c r="C1279" s="2" t="s">
        <v>88</v>
      </c>
      <c r="D1279" s="2" t="s">
        <v>117</v>
      </c>
      <c r="E1279" s="4">
        <v>-32513</v>
      </c>
      <c r="F1279" s="3" t="s">
        <v>3702</v>
      </c>
      <c r="G1279" s="3" t="s">
        <v>668</v>
      </c>
      <c r="H1279" s="2" t="s">
        <v>74</v>
      </c>
      <c r="I1279" s="2" t="s">
        <v>3703</v>
      </c>
      <c r="J1279" s="3" t="str">
        <f>HYPERLINK("https://www.boe.es/gazeta/dias/1810/12/24/pdfs/GMD-1810-358.pdf#page=3","Abrir facsímil")</f>
        <v>Abrir facsímil</v>
      </c>
      <c r="K1279" s="3" t="s">
        <v>76</v>
      </c>
    </row>
    <row r="1280" spans="1:11" ht="42" customHeight="1">
      <c r="A1280" s="2" t="s">
        <v>3704</v>
      </c>
      <c r="B1280" s="2" t="s">
        <v>3704</v>
      </c>
      <c r="C1280" s="2" t="s">
        <v>88</v>
      </c>
      <c r="D1280" s="2" t="s">
        <v>117</v>
      </c>
      <c r="E1280" s="4">
        <v>-32818</v>
      </c>
      <c r="F1280" s="3" t="s">
        <v>936</v>
      </c>
      <c r="G1280" s="3" t="s">
        <v>937</v>
      </c>
      <c r="H1280" s="2" t="s">
        <v>74</v>
      </c>
      <c r="I1280" s="2" t="s">
        <v>3705</v>
      </c>
      <c r="J1280" s="3" t="str">
        <f>HYPERLINK("https://www.boe.es/gazeta/dias/1810/02/22/pdfs/GMD-1810-53.pdf#page=1","Abrir facsímil")</f>
        <v>Abrir facsímil</v>
      </c>
      <c r="K1280" s="3" t="s">
        <v>76</v>
      </c>
    </row>
    <row r="1281" spans="1:11" ht="42" customHeight="1">
      <c r="A1281" s="2" t="s">
        <v>3706</v>
      </c>
      <c r="B1281" s="2" t="s">
        <v>3707</v>
      </c>
      <c r="C1281" s="2" t="s">
        <v>26</v>
      </c>
      <c r="D1281" s="2" t="s">
        <v>39</v>
      </c>
      <c r="E1281" s="4">
        <v>-32702</v>
      </c>
      <c r="F1281" s="3" t="s">
        <v>179</v>
      </c>
      <c r="G1281" s="3" t="s">
        <v>119</v>
      </c>
      <c r="H1281" s="2" t="s">
        <v>74</v>
      </c>
      <c r="I1281" s="2" t="s">
        <v>3708</v>
      </c>
      <c r="J1281" s="3" t="str">
        <f>HYPERLINK("https://www.boe.es/gazeta/dias/1810/06/18/pdfs/GMD-C-1810-169.pdf#page=1","Abrir facsímil")</f>
        <v>Abrir facsímil</v>
      </c>
      <c r="K1281" s="3" t="s">
        <v>76</v>
      </c>
    </row>
    <row r="1282" spans="1:11" ht="42" customHeight="1">
      <c r="A1282" s="2" t="s">
        <v>3709</v>
      </c>
      <c r="B1282" s="2" t="s">
        <v>3709</v>
      </c>
      <c r="C1282" s="2" t="s">
        <v>88</v>
      </c>
      <c r="D1282" s="2" t="s">
        <v>27</v>
      </c>
      <c r="E1282" s="4">
        <v>-32611</v>
      </c>
      <c r="F1282" s="3" t="s">
        <v>604</v>
      </c>
      <c r="G1282" s="3" t="s">
        <v>99</v>
      </c>
      <c r="H1282" s="2" t="s">
        <v>74</v>
      </c>
      <c r="I1282" s="2" t="s">
        <v>3710</v>
      </c>
      <c r="J1282" s="3" t="str">
        <f>HYPERLINK("https://www.boe.es/gazeta/dias/1810/09/17/pdfs/GMD-1810-260.pdf#page=3","Abrir facsímil")</f>
        <v>Abrir facsímil</v>
      </c>
      <c r="K1282" s="3" t="s">
        <v>76</v>
      </c>
    </row>
    <row r="1283" spans="1:11" ht="42" customHeight="1">
      <c r="A1283" s="2" t="s">
        <v>3711</v>
      </c>
      <c r="B1283" s="2" t="s">
        <v>3711</v>
      </c>
      <c r="C1283" s="2" t="s">
        <v>88</v>
      </c>
      <c r="D1283" s="2" t="s">
        <v>117</v>
      </c>
      <c r="E1283" s="4">
        <v>-32635</v>
      </c>
      <c r="F1283" s="3" t="s">
        <v>3132</v>
      </c>
      <c r="G1283" s="3" t="s">
        <v>3712</v>
      </c>
      <c r="H1283" s="2" t="s">
        <v>74</v>
      </c>
      <c r="I1283" s="2" t="s">
        <v>3713</v>
      </c>
      <c r="J1283" s="3" t="str">
        <f>HYPERLINK("https://www.boe.es/gazeta/dias/1810/08/24/pdfs/GEI-1810-59.pdf#page=5","Abrir facsímil")</f>
        <v>Abrir facsímil</v>
      </c>
      <c r="K1283" s="3" t="s">
        <v>76</v>
      </c>
    </row>
    <row r="1284" spans="1:11" ht="42" customHeight="1">
      <c r="A1284" s="2" t="s">
        <v>3711</v>
      </c>
      <c r="B1284" s="2" t="s">
        <v>3711</v>
      </c>
      <c r="C1284" s="2" t="s">
        <v>88</v>
      </c>
      <c r="D1284" s="2" t="s">
        <v>27</v>
      </c>
      <c r="E1284" s="4">
        <v>-32621</v>
      </c>
      <c r="F1284" s="3" t="s">
        <v>674</v>
      </c>
      <c r="G1284" s="3" t="s">
        <v>20</v>
      </c>
      <c r="H1284" s="2" t="s">
        <v>74</v>
      </c>
      <c r="I1284" s="2" t="s">
        <v>3714</v>
      </c>
      <c r="J1284" s="3" t="str">
        <f>HYPERLINK("https://www.boe.es/gazeta/dias/1810/09/07/pdfs/GEI-1810-65.pdf#page=4","Abrir facsímil")</f>
        <v>Abrir facsímil</v>
      </c>
      <c r="K1284" s="3" t="s">
        <v>76</v>
      </c>
    </row>
    <row r="1285" spans="1:11" ht="42" customHeight="1">
      <c r="A1285" s="2" t="s">
        <v>3715</v>
      </c>
      <c r="B1285" s="2" t="s">
        <v>3716</v>
      </c>
      <c r="C1285" s="2" t="s">
        <v>88</v>
      </c>
      <c r="D1285" s="2" t="s">
        <v>117</v>
      </c>
      <c r="E1285" s="4">
        <v>-32779</v>
      </c>
      <c r="F1285" s="3" t="s">
        <v>161</v>
      </c>
      <c r="G1285" s="3" t="s">
        <v>140</v>
      </c>
      <c r="H1285" s="2" t="s">
        <v>74</v>
      </c>
      <c r="I1285" s="2" t="s">
        <v>3717</v>
      </c>
      <c r="J1285" s="3" t="str">
        <f>HYPERLINK("https://www.boe.es/gazeta/dias/1810/04/02/pdfs/GEI-1810-10E.pdf#page=2","Abrir facsímil")</f>
        <v>Abrir facsímil</v>
      </c>
      <c r="K1285" s="3" t="s">
        <v>76</v>
      </c>
    </row>
    <row r="1286" spans="1:11" ht="42" customHeight="1">
      <c r="A1286" s="2" t="s">
        <v>3715</v>
      </c>
      <c r="B1286" s="2" t="s">
        <v>3716</v>
      </c>
      <c r="C1286" s="2" t="s">
        <v>26</v>
      </c>
      <c r="D1286" s="2" t="s">
        <v>58</v>
      </c>
      <c r="E1286" s="4">
        <v>-32779</v>
      </c>
      <c r="F1286" s="3" t="s">
        <v>161</v>
      </c>
      <c r="G1286" s="3" t="s">
        <v>29</v>
      </c>
      <c r="H1286" s="2" t="s">
        <v>74</v>
      </c>
      <c r="I1286" s="2" t="s">
        <v>3718</v>
      </c>
      <c r="J1286" s="3" t="str">
        <f>HYPERLINK("https://www.boe.es/gazeta/dias/1810/04/02/pdfs/GEI-1810-10E.pdf#page=4","Abrir facsímil")</f>
        <v>Abrir facsímil</v>
      </c>
      <c r="K1286" s="3" t="s">
        <v>76</v>
      </c>
    </row>
    <row r="1287" spans="1:11" ht="42" customHeight="1">
      <c r="A1287" s="2" t="s">
        <v>3719</v>
      </c>
      <c r="B1287" s="2" t="s">
        <v>3719</v>
      </c>
      <c r="C1287" s="2" t="s">
        <v>317</v>
      </c>
      <c r="D1287" s="2" t="s">
        <v>27</v>
      </c>
      <c r="E1287" s="4">
        <v>-32679</v>
      </c>
      <c r="F1287" s="3" t="s">
        <v>616</v>
      </c>
      <c r="G1287" s="3" t="s">
        <v>99</v>
      </c>
      <c r="H1287" s="2" t="s">
        <v>74</v>
      </c>
      <c r="I1287" s="2" t="s">
        <v>3720</v>
      </c>
      <c r="J1287" s="3" t="str">
        <f>HYPERLINK("https://www.boe.es/gazeta/dias/1810/07/11/pdfs/GMD-1810-192.pdf#page=3","Abrir facsímil")</f>
        <v>Abrir facsímil</v>
      </c>
      <c r="K1287" s="3" t="s">
        <v>76</v>
      </c>
    </row>
    <row r="1288" spans="1:11" ht="42" customHeight="1">
      <c r="A1288" s="2" t="s">
        <v>3721</v>
      </c>
      <c r="B1288" s="2" t="s">
        <v>3722</v>
      </c>
      <c r="C1288" s="2" t="s">
        <v>88</v>
      </c>
      <c r="D1288" s="2" t="s">
        <v>117</v>
      </c>
      <c r="E1288" s="4">
        <v>-32531</v>
      </c>
      <c r="F1288" s="3" t="s">
        <v>2483</v>
      </c>
      <c r="G1288" s="3" t="s">
        <v>3723</v>
      </c>
      <c r="H1288" s="2" t="s">
        <v>74</v>
      </c>
      <c r="I1288" s="2" t="s">
        <v>3724</v>
      </c>
      <c r="J1288" s="3" t="str">
        <f>HYPERLINK("https://www.boe.es/gazeta/dias/1810/12/06/pdfs/GEI-1810-104.pdf#page=5","Abrir facsímil")</f>
        <v>Abrir facsímil</v>
      </c>
      <c r="K1288" s="3" t="s">
        <v>76</v>
      </c>
    </row>
    <row r="1289" spans="1:11" ht="42" customHeight="1">
      <c r="A1289" s="2" t="s">
        <v>3725</v>
      </c>
      <c r="B1289" s="2" t="s">
        <v>3726</v>
      </c>
      <c r="C1289" s="2" t="s">
        <v>88</v>
      </c>
      <c r="D1289" s="2" t="s">
        <v>27</v>
      </c>
      <c r="E1289" s="4">
        <v>-32710</v>
      </c>
      <c r="F1289" s="3" t="s">
        <v>126</v>
      </c>
      <c r="G1289" s="3" t="s">
        <v>184</v>
      </c>
      <c r="H1289" s="2" t="s">
        <v>74</v>
      </c>
      <c r="I1289" s="2" t="s">
        <v>3727</v>
      </c>
      <c r="J1289" s="3" t="str">
        <f>HYPERLINK("https://www.boe.es/gazeta/dias/1810/06/10/pdfs/GMD-1810-161.pdf#page=3","Abrir facsímil")</f>
        <v>Abrir facsímil</v>
      </c>
      <c r="K1289" s="3" t="s">
        <v>76</v>
      </c>
    </row>
    <row r="1290" spans="1:11" ht="42" customHeight="1">
      <c r="A1290" s="2" t="s">
        <v>3728</v>
      </c>
      <c r="B1290" s="2" t="s">
        <v>3729</v>
      </c>
      <c r="C1290" s="2" t="s">
        <v>26</v>
      </c>
      <c r="D1290" s="2" t="s">
        <v>27</v>
      </c>
      <c r="E1290" s="4">
        <v>-32842</v>
      </c>
      <c r="F1290" s="3" t="s">
        <v>1291</v>
      </c>
      <c r="G1290" s="3" t="s">
        <v>1292</v>
      </c>
      <c r="H1290" s="2" t="s">
        <v>74</v>
      </c>
      <c r="I1290" s="2" t="s">
        <v>3730</v>
      </c>
      <c r="J1290" s="3" t="str">
        <f>HYPERLINK("https://www.boe.es/gazeta/dias/1810/01/29/pdfs/GMD-1810-29.pdf#page=3","Abrir facsímil")</f>
        <v>Abrir facsímil</v>
      </c>
      <c r="K1290" s="3" t="s">
        <v>76</v>
      </c>
    </row>
    <row r="1291" spans="1:11" ht="42" customHeight="1">
      <c r="A1291" s="2" t="s">
        <v>3728</v>
      </c>
      <c r="B1291" s="2" t="s">
        <v>3729</v>
      </c>
      <c r="C1291" s="2" t="s">
        <v>88</v>
      </c>
      <c r="D1291" s="2" t="s">
        <v>117</v>
      </c>
      <c r="E1291" s="4">
        <v>-32827</v>
      </c>
      <c r="F1291" s="3" t="s">
        <v>290</v>
      </c>
      <c r="G1291" s="3" t="s">
        <v>291</v>
      </c>
      <c r="H1291" s="2" t="s">
        <v>74</v>
      </c>
      <c r="I1291" s="2" t="s">
        <v>3731</v>
      </c>
      <c r="J1291" s="3" t="str">
        <f>HYPERLINK("https://www.boe.es/gazeta/dias/1810/02/13/pdfs/GMD-1810-44.pdf#page=4","Abrir facsímil")</f>
        <v>Abrir facsímil</v>
      </c>
      <c r="K1291" s="3" t="s">
        <v>76</v>
      </c>
    </row>
    <row r="1292" spans="1:11" ht="42" customHeight="1">
      <c r="A1292" s="2" t="s">
        <v>3728</v>
      </c>
      <c r="B1292" s="2" t="s">
        <v>3729</v>
      </c>
      <c r="C1292" s="2" t="s">
        <v>26</v>
      </c>
      <c r="D1292" s="2" t="s">
        <v>27</v>
      </c>
      <c r="E1292" s="4">
        <v>-32710</v>
      </c>
      <c r="F1292" s="3" t="s">
        <v>126</v>
      </c>
      <c r="G1292" s="3" t="s">
        <v>35</v>
      </c>
      <c r="H1292" s="2" t="s">
        <v>74</v>
      </c>
      <c r="I1292" s="2" t="s">
        <v>3732</v>
      </c>
      <c r="J1292" s="3" t="str">
        <f>HYPERLINK("https://www.boe.es/gazeta/dias/1810/06/10/pdfs/GMD-1810-161.pdf#page=2","Abrir facsímil")</f>
        <v>Abrir facsímil</v>
      </c>
      <c r="K1292" s="3" t="s">
        <v>76</v>
      </c>
    </row>
    <row r="1293" spans="1:11" ht="42" customHeight="1">
      <c r="A1293" s="2" t="s">
        <v>3733</v>
      </c>
      <c r="B1293" s="2" t="s">
        <v>3734</v>
      </c>
      <c r="C1293" s="2" t="s">
        <v>88</v>
      </c>
      <c r="D1293" s="2" t="s">
        <v>18</v>
      </c>
      <c r="E1293" s="4">
        <v>-32614</v>
      </c>
      <c r="F1293" s="3" t="s">
        <v>1083</v>
      </c>
      <c r="G1293" s="3" t="s">
        <v>1084</v>
      </c>
      <c r="H1293" s="2" t="s">
        <v>74</v>
      </c>
      <c r="I1293" s="2" t="s">
        <v>3735</v>
      </c>
      <c r="J1293" s="3" t="str">
        <f>HYPERLINK("https://www.boe.es/gazeta/dias/1810/09/14/pdfs/GEI-1810-67.pdf#page=10","Abrir facsímil")</f>
        <v>Abrir facsímil</v>
      </c>
      <c r="K1293" s="3" t="s">
        <v>76</v>
      </c>
    </row>
    <row r="1294" spans="1:11" ht="42" customHeight="1">
      <c r="A1294" s="2" t="s">
        <v>3736</v>
      </c>
      <c r="B1294" s="2" t="s">
        <v>3737</v>
      </c>
      <c r="C1294" s="2" t="s">
        <v>26</v>
      </c>
      <c r="D1294" s="2" t="s">
        <v>27</v>
      </c>
      <c r="E1294" s="4">
        <v>-32526</v>
      </c>
      <c r="F1294" s="3" t="s">
        <v>530</v>
      </c>
      <c r="G1294" s="3" t="s">
        <v>636</v>
      </c>
      <c r="H1294" s="2" t="s">
        <v>74</v>
      </c>
      <c r="I1294" s="2" t="s">
        <v>3738</v>
      </c>
      <c r="J1294" s="3" t="str">
        <f>HYPERLINK("https://www.boe.es/gazeta/dias/1810/12/11/pdfs/GEI-1810-106.pdf#page=3","Abrir facsímil")</f>
        <v>Abrir facsímil</v>
      </c>
      <c r="K1294" s="3" t="s">
        <v>76</v>
      </c>
    </row>
    <row r="1295" spans="1:11" ht="42" customHeight="1">
      <c r="A1295" s="2" t="s">
        <v>3739</v>
      </c>
      <c r="B1295" s="2" t="s">
        <v>3739</v>
      </c>
      <c r="C1295" s="2" t="s">
        <v>88</v>
      </c>
      <c r="D1295" s="2" t="s">
        <v>27</v>
      </c>
      <c r="E1295" s="4">
        <v>-32721</v>
      </c>
      <c r="F1295" s="3" t="s">
        <v>3437</v>
      </c>
      <c r="G1295" s="3" t="s">
        <v>213</v>
      </c>
      <c r="H1295" s="2" t="s">
        <v>74</v>
      </c>
      <c r="I1295" s="2" t="s">
        <v>3740</v>
      </c>
      <c r="J1295" s="3" t="str">
        <f>HYPERLINK("https://www.boe.es/gazeta/dias/1810/05/30/pdfs/GMD-1810-150.pdf#page=3","Abrir facsímil")</f>
        <v>Abrir facsímil</v>
      </c>
      <c r="K1295" s="3" t="s">
        <v>76</v>
      </c>
    </row>
    <row r="1296" spans="1:11" ht="42" customHeight="1">
      <c r="A1296" s="2" t="s">
        <v>3741</v>
      </c>
      <c r="B1296" s="2" t="s">
        <v>3742</v>
      </c>
      <c r="C1296" s="2" t="s">
        <v>111</v>
      </c>
      <c r="D1296" s="2" t="s">
        <v>27</v>
      </c>
      <c r="E1296" s="4">
        <v>-32606</v>
      </c>
      <c r="F1296" s="3" t="s">
        <v>3743</v>
      </c>
      <c r="G1296" s="3" t="s">
        <v>3744</v>
      </c>
      <c r="H1296" s="2" t="s">
        <v>74</v>
      </c>
      <c r="I1296" s="2" t="s">
        <v>3745</v>
      </c>
      <c r="J1296" s="3" t="str">
        <f>HYPERLINK("https://www.boe.es/gazeta/dias/1810/09/22/pdfs/GEI-1810-71.pdf#page=8","Abrir facsímil")</f>
        <v>Abrir facsímil</v>
      </c>
      <c r="K1296" s="3" t="s">
        <v>76</v>
      </c>
    </row>
    <row r="1297" spans="1:11" ht="42" customHeight="1">
      <c r="A1297" s="2" t="s">
        <v>3746</v>
      </c>
      <c r="B1297" s="2" t="s">
        <v>3746</v>
      </c>
      <c r="C1297" s="2" t="s">
        <v>88</v>
      </c>
      <c r="D1297" s="2" t="s">
        <v>27</v>
      </c>
      <c r="E1297" s="4">
        <v>-32715</v>
      </c>
      <c r="F1297" s="3" t="s">
        <v>1029</v>
      </c>
      <c r="G1297" s="3" t="s">
        <v>3747</v>
      </c>
      <c r="H1297" s="2" t="s">
        <v>74</v>
      </c>
      <c r="I1297" s="2" t="s">
        <v>3748</v>
      </c>
      <c r="J1297" s="3" t="str">
        <f>HYPERLINK("https://www.boe.es/gazeta/dias/1810/06/05/pdfs/GEI-1810-33.pdf#page=4","Abrir facsímil")</f>
        <v>Abrir facsímil</v>
      </c>
      <c r="K1297" s="3" t="s">
        <v>76</v>
      </c>
    </row>
    <row r="1298" spans="1:11" ht="42" customHeight="1">
      <c r="A1298" s="2" t="s">
        <v>3746</v>
      </c>
      <c r="B1298" s="2" t="s">
        <v>3746</v>
      </c>
      <c r="C1298" s="2" t="s">
        <v>88</v>
      </c>
      <c r="D1298" s="2" t="s">
        <v>27</v>
      </c>
      <c r="E1298" s="4">
        <v>-32561</v>
      </c>
      <c r="F1298" s="3" t="s">
        <v>273</v>
      </c>
      <c r="G1298" s="3" t="s">
        <v>3749</v>
      </c>
      <c r="H1298" s="2" t="s">
        <v>74</v>
      </c>
      <c r="I1298" s="2" t="s">
        <v>3750</v>
      </c>
      <c r="J1298" s="3" t="str">
        <f>HYPERLINK("https://www.boe.es/gazeta/dias/1810/11/06/pdfs/GEI-1810-91.pdf#page=1","Abrir facsímil")</f>
        <v>Abrir facsímil</v>
      </c>
      <c r="K1298" s="3" t="s">
        <v>76</v>
      </c>
    </row>
    <row r="1299" spans="1:11" ht="42" customHeight="1">
      <c r="A1299" s="2" t="s">
        <v>3746</v>
      </c>
      <c r="B1299" s="2" t="s">
        <v>3746</v>
      </c>
      <c r="C1299" s="2" t="s">
        <v>88</v>
      </c>
      <c r="D1299" s="2" t="s">
        <v>117</v>
      </c>
      <c r="E1299" s="4">
        <v>-32559</v>
      </c>
      <c r="F1299" s="3" t="s">
        <v>3062</v>
      </c>
      <c r="G1299" s="3" t="s">
        <v>291</v>
      </c>
      <c r="H1299" s="2" t="s">
        <v>74</v>
      </c>
      <c r="I1299" s="2" t="s">
        <v>3751</v>
      </c>
      <c r="J1299" s="3" t="str">
        <f>HYPERLINK("https://www.boe.es/gazeta/dias/1810/11/08/pdfs/GEI-1810-92.pdf#page=2","Abrir facsímil")</f>
        <v>Abrir facsímil</v>
      </c>
      <c r="K1299" s="3" t="s">
        <v>76</v>
      </c>
    </row>
    <row r="1300" spans="1:11" ht="42" customHeight="1">
      <c r="A1300" s="2" t="s">
        <v>3752</v>
      </c>
      <c r="B1300" s="2" t="s">
        <v>3753</v>
      </c>
      <c r="C1300" s="2" t="s">
        <v>88</v>
      </c>
      <c r="D1300" s="2" t="s">
        <v>117</v>
      </c>
      <c r="E1300" s="4">
        <v>-32827</v>
      </c>
      <c r="F1300" s="3" t="s">
        <v>290</v>
      </c>
      <c r="G1300" s="3" t="s">
        <v>291</v>
      </c>
      <c r="H1300" s="2" t="s">
        <v>74</v>
      </c>
      <c r="I1300" s="2" t="s">
        <v>3754</v>
      </c>
      <c r="J1300" s="3" t="str">
        <f>HYPERLINK("https://www.boe.es/gazeta/dias/1810/02/13/pdfs/GMD-1810-44.pdf#page=4","Abrir facsímil")</f>
        <v>Abrir facsímil</v>
      </c>
      <c r="K1300" s="3" t="s">
        <v>76</v>
      </c>
    </row>
    <row r="1301" spans="1:11" ht="42" customHeight="1">
      <c r="A1301" s="2" t="s">
        <v>3755</v>
      </c>
      <c r="B1301" s="2" t="s">
        <v>3756</v>
      </c>
      <c r="C1301" s="2" t="s">
        <v>26</v>
      </c>
      <c r="D1301" s="2" t="s">
        <v>39</v>
      </c>
      <c r="E1301" s="4">
        <v>-32702</v>
      </c>
      <c r="F1301" s="3" t="s">
        <v>179</v>
      </c>
      <c r="G1301" s="3" t="s">
        <v>517</v>
      </c>
      <c r="H1301" s="2" t="s">
        <v>74</v>
      </c>
      <c r="I1301" s="2" t="s">
        <v>3757</v>
      </c>
      <c r="J1301" s="3" t="str">
        <f>HYPERLINK("https://www.boe.es/gazeta/dias/1810/06/18/pdfs/GMD-C-1810-169.pdf#page=3","Abrir facsímil")</f>
        <v>Abrir facsímil</v>
      </c>
      <c r="K1301" s="3" t="s">
        <v>76</v>
      </c>
    </row>
    <row r="1302" spans="1:11" ht="42" customHeight="1">
      <c r="A1302" s="2" t="s">
        <v>3758</v>
      </c>
      <c r="B1302" s="2" t="s">
        <v>3759</v>
      </c>
      <c r="C1302" s="2" t="s">
        <v>26</v>
      </c>
      <c r="D1302" s="2" t="s">
        <v>39</v>
      </c>
      <c r="E1302" s="4">
        <v>-32701</v>
      </c>
      <c r="F1302" s="3" t="s">
        <v>40</v>
      </c>
      <c r="G1302" s="3" t="s">
        <v>170</v>
      </c>
      <c r="H1302" s="2" t="s">
        <v>74</v>
      </c>
      <c r="I1302" s="2" t="s">
        <v>3760</v>
      </c>
      <c r="J1302" s="3" t="str">
        <f>HYPERLINK("https://www.boe.es/gazeta/dias/1810/06/19/pdfs/GMD-C-1810-170.pdf#page=1","Abrir facsímil")</f>
        <v>Abrir facsímil</v>
      </c>
      <c r="K1302" s="3" t="s">
        <v>76</v>
      </c>
    </row>
    <row r="1303" spans="1:11" ht="42" customHeight="1">
      <c r="A1303" s="2" t="s">
        <v>3761</v>
      </c>
      <c r="B1303" s="2" t="s">
        <v>3762</v>
      </c>
      <c r="C1303" s="2" t="s">
        <v>26</v>
      </c>
      <c r="D1303" s="2" t="s">
        <v>27</v>
      </c>
      <c r="E1303" s="4">
        <v>-32543</v>
      </c>
      <c r="F1303" s="3" t="s">
        <v>69</v>
      </c>
      <c r="G1303" s="3" t="s">
        <v>70</v>
      </c>
      <c r="H1303" s="2" t="s">
        <v>74</v>
      </c>
      <c r="I1303" s="2" t="s">
        <v>3763</v>
      </c>
      <c r="J1303" s="3" t="str">
        <f>HYPERLINK("https://www.boe.es/gazeta/dias/1810/11/24/pdfs/GEI-1810-99.pdf#page=8","Abrir facsímil")</f>
        <v>Abrir facsímil</v>
      </c>
      <c r="K1303" s="3" t="s">
        <v>76</v>
      </c>
    </row>
    <row r="1304" spans="1:11" ht="42" customHeight="1">
      <c r="A1304" s="2" t="s">
        <v>3764</v>
      </c>
      <c r="B1304" s="2" t="s">
        <v>3765</v>
      </c>
      <c r="C1304" s="2" t="s">
        <v>26</v>
      </c>
      <c r="D1304" s="2" t="s">
        <v>27</v>
      </c>
      <c r="E1304" s="4">
        <v>-32654</v>
      </c>
      <c r="F1304" s="3" t="s">
        <v>1226</v>
      </c>
      <c r="G1304" s="3" t="s">
        <v>732</v>
      </c>
      <c r="H1304" s="2" t="s">
        <v>74</v>
      </c>
      <c r="I1304" s="2" t="s">
        <v>3766</v>
      </c>
      <c r="J1304" s="3" t="str">
        <f>HYPERLINK("https://www.boe.es/gazeta/dias/1810/08/05/pdfs/GMD-1810-217.pdf#page=3","Abrir facsímil")</f>
        <v>Abrir facsímil</v>
      </c>
      <c r="K1304" s="3" t="s">
        <v>76</v>
      </c>
    </row>
    <row r="1305" spans="1:11" ht="42" customHeight="1">
      <c r="A1305" s="2" t="s">
        <v>3767</v>
      </c>
      <c r="B1305" s="2" t="s">
        <v>3768</v>
      </c>
      <c r="C1305" s="2" t="s">
        <v>26</v>
      </c>
      <c r="D1305" s="2" t="s">
        <v>220</v>
      </c>
      <c r="E1305" s="4">
        <v>-32762</v>
      </c>
      <c r="F1305" s="3" t="s">
        <v>231</v>
      </c>
      <c r="G1305" s="3" t="s">
        <v>29</v>
      </c>
      <c r="H1305" s="2" t="s">
        <v>74</v>
      </c>
      <c r="I1305" s="2" t="s">
        <v>3769</v>
      </c>
      <c r="J1305" s="3" t="str">
        <f>HYPERLINK("https://www.boe.es/gazeta/dias/1810/04/19/pdfs/GMD-1810-109.pdf#page=2","Abrir facsímil")</f>
        <v>Abrir facsímil</v>
      </c>
      <c r="K1305" s="3" t="s">
        <v>76</v>
      </c>
    </row>
    <row r="1306" spans="1:11" ht="42" customHeight="1">
      <c r="A1306" s="2" t="s">
        <v>3770</v>
      </c>
      <c r="B1306" s="2" t="s">
        <v>3771</v>
      </c>
      <c r="C1306" s="2" t="s">
        <v>26</v>
      </c>
      <c r="D1306" s="2" t="s">
        <v>27</v>
      </c>
      <c r="E1306" s="4">
        <v>-32647</v>
      </c>
      <c r="F1306" s="3" t="s">
        <v>118</v>
      </c>
      <c r="G1306" s="3" t="s">
        <v>20</v>
      </c>
      <c r="H1306" s="2" t="s">
        <v>74</v>
      </c>
      <c r="I1306" s="2" t="s">
        <v>3772</v>
      </c>
      <c r="J1306" s="3" t="str">
        <f>HYPERLINK("https://www.boe.es/gazeta/dias/1810/08/12/pdfs/GMD-1810-224.pdf#page=4","Abrir facsímil")</f>
        <v>Abrir facsímil</v>
      </c>
      <c r="K1306" s="3" t="s">
        <v>76</v>
      </c>
    </row>
    <row r="1307" spans="1:11" ht="42" customHeight="1">
      <c r="A1307" s="2" t="s">
        <v>3773</v>
      </c>
      <c r="B1307" s="2" t="s">
        <v>3774</v>
      </c>
      <c r="C1307" s="2" t="s">
        <v>225</v>
      </c>
      <c r="D1307" s="2" t="s">
        <v>117</v>
      </c>
      <c r="E1307" s="4">
        <v>-32761</v>
      </c>
      <c r="F1307" s="3" t="s">
        <v>811</v>
      </c>
      <c r="G1307" s="3" t="s">
        <v>140</v>
      </c>
      <c r="H1307" s="2" t="s">
        <v>74</v>
      </c>
      <c r="I1307" s="2" t="s">
        <v>3775</v>
      </c>
      <c r="J1307" s="3" t="str">
        <f>HYPERLINK("https://www.boe.es/gazeta/dias/1810/04/20/pdfs/GEI-1810-16.pdf#page=8","Abrir facsímil")</f>
        <v>Abrir facsímil</v>
      </c>
      <c r="K1307" s="3" t="s">
        <v>76</v>
      </c>
    </row>
    <row r="1308" spans="1:11" ht="42" customHeight="1">
      <c r="A1308" s="2" t="s">
        <v>3776</v>
      </c>
      <c r="B1308" s="2" t="s">
        <v>3777</v>
      </c>
      <c r="C1308" s="2" t="s">
        <v>33</v>
      </c>
      <c r="D1308" s="2" t="s">
        <v>27</v>
      </c>
      <c r="E1308" s="4">
        <v>-32756</v>
      </c>
      <c r="F1308" s="3" t="s">
        <v>203</v>
      </c>
      <c r="G1308" s="3" t="s">
        <v>180</v>
      </c>
      <c r="H1308" s="2" t="s">
        <v>74</v>
      </c>
      <c r="I1308" s="2" t="s">
        <v>3778</v>
      </c>
      <c r="J1308" s="3" t="str">
        <f>HYPERLINK("https://www.boe.es/gazeta/dias/1810/04/25/pdfs/GMD-1810-115.pdf#page=4","Abrir facsímil")</f>
        <v>Abrir facsímil</v>
      </c>
      <c r="K1308" s="3" t="s">
        <v>76</v>
      </c>
    </row>
    <row r="1309" spans="1:11" ht="42" customHeight="1">
      <c r="A1309" s="2" t="s">
        <v>3779</v>
      </c>
      <c r="B1309" s="2" t="s">
        <v>3780</v>
      </c>
      <c r="C1309" s="2" t="s">
        <v>88</v>
      </c>
      <c r="D1309" s="2" t="s">
        <v>27</v>
      </c>
      <c r="E1309" s="4">
        <v>-32754</v>
      </c>
      <c r="F1309" s="3" t="s">
        <v>1057</v>
      </c>
      <c r="G1309" s="3" t="s">
        <v>1058</v>
      </c>
      <c r="H1309" s="2" t="s">
        <v>74</v>
      </c>
      <c r="I1309" s="2" t="s">
        <v>3781</v>
      </c>
      <c r="J1309" s="3" t="str">
        <f>HYPERLINK("https://www.boe.es/gazeta/dias/1810/04/27/pdfs/GEI-1810-18.pdf#page=12","Abrir facsímil")</f>
        <v>Abrir facsímil</v>
      </c>
      <c r="K1309" s="3" t="s">
        <v>76</v>
      </c>
    </row>
    <row r="1310" spans="1:11" ht="42" customHeight="1">
      <c r="A1310" s="2" t="s">
        <v>3782</v>
      </c>
      <c r="B1310" s="2" t="s">
        <v>3783</v>
      </c>
      <c r="C1310" s="2" t="s">
        <v>26</v>
      </c>
      <c r="D1310" s="2" t="s">
        <v>27</v>
      </c>
      <c r="E1310" s="4">
        <v>-32591</v>
      </c>
      <c r="F1310" s="3" t="s">
        <v>377</v>
      </c>
      <c r="G1310" s="3" t="s">
        <v>140</v>
      </c>
      <c r="H1310" s="2" t="s">
        <v>74</v>
      </c>
      <c r="I1310" s="2" t="s">
        <v>3784</v>
      </c>
      <c r="J1310" s="3" t="str">
        <f>HYPERLINK("https://www.boe.es/gazeta/dias/1810/10/07/pdfs/GMD-1810-280.pdf#page=4","Abrir facsímil")</f>
        <v>Abrir facsímil</v>
      </c>
      <c r="K1310" s="3" t="s">
        <v>76</v>
      </c>
    </row>
    <row r="1311" spans="1:11" ht="42" customHeight="1">
      <c r="A1311" s="2" t="s">
        <v>3785</v>
      </c>
      <c r="B1311" s="2" t="s">
        <v>3786</v>
      </c>
      <c r="C1311" s="2" t="s">
        <v>26</v>
      </c>
      <c r="D1311" s="2" t="s">
        <v>39</v>
      </c>
      <c r="E1311" s="4">
        <v>-32702</v>
      </c>
      <c r="F1311" s="3" t="s">
        <v>179</v>
      </c>
      <c r="G1311" s="3" t="s">
        <v>180</v>
      </c>
      <c r="H1311" s="2" t="s">
        <v>74</v>
      </c>
      <c r="I1311" s="2" t="s">
        <v>3787</v>
      </c>
      <c r="J1311" s="3" t="str">
        <f>HYPERLINK("https://www.boe.es/gazeta/dias/1810/06/18/pdfs/GMD-C-1810-169.pdf#page=2","Abrir facsímil")</f>
        <v>Abrir facsímil</v>
      </c>
      <c r="K1311" s="3" t="s">
        <v>76</v>
      </c>
    </row>
    <row r="1312" spans="1:11" ht="42" customHeight="1">
      <c r="A1312" s="2" t="s">
        <v>3788</v>
      </c>
      <c r="B1312" s="2" t="s">
        <v>3789</v>
      </c>
      <c r="C1312" s="2" t="s">
        <v>26</v>
      </c>
      <c r="D1312" s="2" t="s">
        <v>27</v>
      </c>
      <c r="E1312" s="4">
        <v>-32761</v>
      </c>
      <c r="F1312" s="3" t="s">
        <v>811</v>
      </c>
      <c r="G1312" s="3" t="s">
        <v>140</v>
      </c>
      <c r="H1312" s="2" t="s">
        <v>74</v>
      </c>
      <c r="I1312" s="2" t="s">
        <v>3790</v>
      </c>
      <c r="J1312" s="3" t="str">
        <f>HYPERLINK("https://www.boe.es/gazeta/dias/1810/04/20/pdfs/GEI-1810-16.pdf#page=8","Abrir facsímil")</f>
        <v>Abrir facsímil</v>
      </c>
      <c r="K1312" s="3" t="s">
        <v>76</v>
      </c>
    </row>
    <row r="1313" spans="1:11" ht="42" customHeight="1">
      <c r="A1313" s="2" t="s">
        <v>3791</v>
      </c>
      <c r="B1313" s="2" t="s">
        <v>3792</v>
      </c>
      <c r="C1313" s="2" t="s">
        <v>26</v>
      </c>
      <c r="D1313" s="2" t="s">
        <v>27</v>
      </c>
      <c r="E1313" s="4">
        <v>-32710</v>
      </c>
      <c r="F1313" s="3" t="s">
        <v>126</v>
      </c>
      <c r="G1313" s="3" t="s">
        <v>35</v>
      </c>
      <c r="H1313" s="2" t="s">
        <v>74</v>
      </c>
      <c r="I1313" s="2" t="s">
        <v>3793</v>
      </c>
      <c r="J1313" s="3" t="str">
        <f>HYPERLINK("https://www.boe.es/gazeta/dias/1810/06/10/pdfs/GMD-1810-161.pdf#page=2","Abrir facsímil")</f>
        <v>Abrir facsímil</v>
      </c>
      <c r="K1313" s="3" t="s">
        <v>76</v>
      </c>
    </row>
    <row r="1314" spans="1:11" ht="42" customHeight="1">
      <c r="A1314" s="2" t="s">
        <v>3794</v>
      </c>
      <c r="B1314" s="2" t="s">
        <v>3795</v>
      </c>
      <c r="C1314" s="2" t="s">
        <v>26</v>
      </c>
      <c r="D1314" s="2" t="s">
        <v>27</v>
      </c>
      <c r="E1314" s="4">
        <v>-32729</v>
      </c>
      <c r="F1314" s="3" t="s">
        <v>174</v>
      </c>
      <c r="G1314" s="3" t="s">
        <v>175</v>
      </c>
      <c r="H1314" s="2" t="s">
        <v>74</v>
      </c>
      <c r="I1314" s="2" t="s">
        <v>3796</v>
      </c>
      <c r="J1314" s="3" t="str">
        <f>HYPERLINK("https://www.boe.es/gazeta/dias/1810/05/22/pdfs/GEI-1810-28.pdf#page=10","Abrir facsímil")</f>
        <v>Abrir facsímil</v>
      </c>
      <c r="K1314" s="3" t="s">
        <v>76</v>
      </c>
    </row>
    <row r="1315" spans="1:11" ht="42" customHeight="1">
      <c r="A1315" s="2" t="s">
        <v>3797</v>
      </c>
      <c r="B1315" s="2" t="s">
        <v>3798</v>
      </c>
      <c r="C1315" s="2" t="s">
        <v>26</v>
      </c>
      <c r="D1315" s="2" t="s">
        <v>27</v>
      </c>
      <c r="E1315" s="4">
        <v>-32526</v>
      </c>
      <c r="F1315" s="3" t="s">
        <v>530</v>
      </c>
      <c r="G1315" s="3" t="s">
        <v>531</v>
      </c>
      <c r="H1315" s="2" t="s">
        <v>74</v>
      </c>
      <c r="I1315" s="2" t="s">
        <v>3799</v>
      </c>
      <c r="J1315" s="3" t="str">
        <f>HYPERLINK("https://www.boe.es/gazeta/dias/1810/12/11/pdfs/GEI-1810-106.pdf#page=2","Abrir facsímil")</f>
        <v>Abrir facsímil</v>
      </c>
      <c r="K1315" s="3" t="s">
        <v>76</v>
      </c>
    </row>
    <row r="1316" spans="1:11" ht="42" customHeight="1">
      <c r="A1316" s="2" t="s">
        <v>3800</v>
      </c>
      <c r="B1316" s="2" t="s">
        <v>3801</v>
      </c>
      <c r="C1316" s="2" t="s">
        <v>33</v>
      </c>
      <c r="D1316" s="2" t="s">
        <v>27</v>
      </c>
      <c r="E1316" s="4">
        <v>-32757</v>
      </c>
      <c r="F1316" s="3" t="s">
        <v>1136</v>
      </c>
      <c r="G1316" s="3" t="s">
        <v>1901</v>
      </c>
      <c r="H1316" s="2" t="s">
        <v>74</v>
      </c>
      <c r="I1316" s="2" t="s">
        <v>3802</v>
      </c>
      <c r="J1316" s="3" t="str">
        <f>HYPERLINK("https://www.boe.es/gazeta/dias/1810/04/24/pdfs/GEI-1810-17.pdf#page=8","Abrir facsímil")</f>
        <v>Abrir facsímil</v>
      </c>
      <c r="K1316" s="3" t="s">
        <v>76</v>
      </c>
    </row>
    <row r="1317" spans="1:11" ht="42" customHeight="1">
      <c r="A1317" s="2" t="s">
        <v>3803</v>
      </c>
      <c r="B1317" s="2" t="s">
        <v>3804</v>
      </c>
      <c r="C1317" s="2" t="s">
        <v>26</v>
      </c>
      <c r="D1317" s="2" t="s">
        <v>27</v>
      </c>
      <c r="E1317" s="4">
        <v>-32562</v>
      </c>
      <c r="F1317" s="3" t="s">
        <v>1186</v>
      </c>
      <c r="G1317" s="3" t="s">
        <v>90</v>
      </c>
      <c r="H1317" s="2" t="s">
        <v>74</v>
      </c>
      <c r="I1317" s="2" t="s">
        <v>3805</v>
      </c>
      <c r="J1317" s="3" t="str">
        <f>HYPERLINK("https://www.boe.es/gazeta/dias/1810/11/05/pdfs/GMD-1810-309.pdf#page=3","Abrir facsímil")</f>
        <v>Abrir facsímil</v>
      </c>
      <c r="K1317" s="3" t="s">
        <v>76</v>
      </c>
    </row>
    <row r="1318" spans="1:11" ht="42" customHeight="1">
      <c r="A1318" s="2" t="s">
        <v>3806</v>
      </c>
      <c r="B1318" s="2" t="s">
        <v>3807</v>
      </c>
      <c r="C1318" s="2" t="s">
        <v>317</v>
      </c>
      <c r="D1318" s="2" t="s">
        <v>27</v>
      </c>
      <c r="E1318" s="4">
        <v>-32537</v>
      </c>
      <c r="F1318" s="3" t="s">
        <v>1091</v>
      </c>
      <c r="G1318" s="3" t="s">
        <v>20</v>
      </c>
      <c r="H1318" s="2" t="s">
        <v>74</v>
      </c>
      <c r="I1318" s="2" t="s">
        <v>3808</v>
      </c>
      <c r="J1318" s="3" t="str">
        <f>HYPERLINK("https://www.boe.es/gazeta/dias/1810/11/30/pdfs/GMD-1810-334.pdf#page=4","Abrir facsímil")</f>
        <v>Abrir facsímil</v>
      </c>
      <c r="K1318" s="3" t="s">
        <v>76</v>
      </c>
    </row>
    <row r="1319" spans="1:11" ht="42" customHeight="1">
      <c r="A1319" s="2" t="s">
        <v>3809</v>
      </c>
      <c r="B1319" s="2" t="s">
        <v>3810</v>
      </c>
      <c r="C1319" s="2" t="s">
        <v>317</v>
      </c>
      <c r="D1319" s="2" t="s">
        <v>27</v>
      </c>
      <c r="E1319" s="4">
        <v>-32537</v>
      </c>
      <c r="F1319" s="3" t="s">
        <v>1091</v>
      </c>
      <c r="G1319" s="3" t="s">
        <v>20</v>
      </c>
      <c r="H1319" s="2" t="s">
        <v>74</v>
      </c>
      <c r="I1319" s="2" t="s">
        <v>3811</v>
      </c>
      <c r="J1319" s="3" t="str">
        <f>HYPERLINK("https://www.boe.es/gazeta/dias/1810/11/30/pdfs/GMD-1810-334.pdf#page=4","Abrir facsímil")</f>
        <v>Abrir facsímil</v>
      </c>
      <c r="K1319" s="3" t="s">
        <v>76</v>
      </c>
    </row>
    <row r="1320" spans="1:11" ht="42" customHeight="1">
      <c r="A1320" s="2" t="s">
        <v>3812</v>
      </c>
      <c r="B1320" s="2" t="s">
        <v>3813</v>
      </c>
      <c r="C1320" s="2" t="s">
        <v>26</v>
      </c>
      <c r="D1320" s="2" t="s">
        <v>27</v>
      </c>
      <c r="E1320" s="4">
        <v>-32710</v>
      </c>
      <c r="F1320" s="3" t="s">
        <v>126</v>
      </c>
      <c r="G1320" s="3" t="s">
        <v>35</v>
      </c>
      <c r="H1320" s="2" t="s">
        <v>74</v>
      </c>
      <c r="I1320" s="2" t="s">
        <v>3814</v>
      </c>
      <c r="J1320" s="3" t="str">
        <f>HYPERLINK("https://www.boe.es/gazeta/dias/1810/06/10/pdfs/GMD-1810-161.pdf#page=2","Abrir facsímil")</f>
        <v>Abrir facsímil</v>
      </c>
      <c r="K1320" s="3" t="s">
        <v>76</v>
      </c>
    </row>
    <row r="1321" spans="1:11" ht="42" customHeight="1">
      <c r="A1321" s="2" t="s">
        <v>3815</v>
      </c>
      <c r="B1321" s="2" t="s">
        <v>3816</v>
      </c>
      <c r="C1321" s="2" t="s">
        <v>17</v>
      </c>
      <c r="D1321" s="2" t="s">
        <v>18</v>
      </c>
      <c r="E1321" s="4">
        <v>-32738</v>
      </c>
      <c r="F1321" s="3" t="s">
        <v>321</v>
      </c>
      <c r="G1321" s="3" t="s">
        <v>140</v>
      </c>
      <c r="H1321" s="2" t="s">
        <v>74</v>
      </c>
      <c r="I1321" s="2" t="s">
        <v>3817</v>
      </c>
      <c r="J1321" s="3" t="str">
        <f>HYPERLINK("https://www.boe.es/gazeta/dias/1810/05/13/pdfs/GMD-1810-133.pdf#page=4","Abrir facsímil")</f>
        <v>Abrir facsímil</v>
      </c>
      <c r="K1321" s="3" t="s">
        <v>76</v>
      </c>
    </row>
    <row r="1322" spans="1:11" ht="42" customHeight="1">
      <c r="A1322" s="2" t="s">
        <v>3818</v>
      </c>
      <c r="B1322" s="2" t="s">
        <v>3819</v>
      </c>
      <c r="C1322" s="2" t="s">
        <v>26</v>
      </c>
      <c r="D1322" s="2" t="s">
        <v>27</v>
      </c>
      <c r="E1322" s="4">
        <v>-32575</v>
      </c>
      <c r="F1322" s="3" t="s">
        <v>135</v>
      </c>
      <c r="G1322" s="3" t="s">
        <v>136</v>
      </c>
      <c r="H1322" s="2" t="s">
        <v>74</v>
      </c>
      <c r="I1322" s="2" t="s">
        <v>3820</v>
      </c>
      <c r="J1322" s="3" t="str">
        <f>HYPERLINK("https://www.boe.es/gazeta/dias/1810/10/23/pdfs/GEI-1810-85.pdf#page=11","Abrir facsímil")</f>
        <v>Abrir facsímil</v>
      </c>
      <c r="K1322" s="3" t="s">
        <v>76</v>
      </c>
    </row>
    <row r="1323" spans="1:11" ht="42" customHeight="1">
      <c r="A1323" s="2" t="s">
        <v>3821</v>
      </c>
      <c r="B1323" s="2" t="s">
        <v>3822</v>
      </c>
      <c r="C1323" s="2" t="s">
        <v>26</v>
      </c>
      <c r="D1323" s="2" t="s">
        <v>27</v>
      </c>
      <c r="E1323" s="4">
        <v>-32710</v>
      </c>
      <c r="F1323" s="3" t="s">
        <v>126</v>
      </c>
      <c r="G1323" s="3" t="s">
        <v>35</v>
      </c>
      <c r="H1323" s="2" t="s">
        <v>74</v>
      </c>
      <c r="I1323" s="2" t="s">
        <v>3823</v>
      </c>
      <c r="J1323" s="3" t="str">
        <f>HYPERLINK("https://www.boe.es/gazeta/dias/1810/06/10/pdfs/GMD-1810-161.pdf#page=2","Abrir facsímil")</f>
        <v>Abrir facsímil</v>
      </c>
      <c r="K1323" s="3" t="s">
        <v>76</v>
      </c>
    </row>
    <row r="1324" spans="1:11" ht="42" customHeight="1">
      <c r="A1324" s="2" t="s">
        <v>3824</v>
      </c>
      <c r="B1324" s="2" t="s">
        <v>3825</v>
      </c>
      <c r="C1324" s="2" t="s">
        <v>26</v>
      </c>
      <c r="D1324" s="2" t="s">
        <v>39</v>
      </c>
      <c r="E1324" s="4">
        <v>-32701</v>
      </c>
      <c r="F1324" s="3" t="s">
        <v>40</v>
      </c>
      <c r="G1324" s="3" t="s">
        <v>315</v>
      </c>
      <c r="H1324" s="2" t="s">
        <v>74</v>
      </c>
      <c r="I1324" s="2" t="s">
        <v>3826</v>
      </c>
      <c r="J1324" s="3" t="str">
        <f>HYPERLINK("https://www.boe.es/gazeta/dias/1810/06/19/pdfs/GMD-C-1810-170.pdf#page=2","Abrir facsímil")</f>
        <v>Abrir facsímil</v>
      </c>
      <c r="K1324" s="3" t="s">
        <v>76</v>
      </c>
    </row>
    <row r="1325" spans="1:11" ht="42" customHeight="1">
      <c r="A1325" s="2" t="s">
        <v>3827</v>
      </c>
      <c r="B1325" s="2" t="s">
        <v>3828</v>
      </c>
      <c r="C1325" s="2" t="s">
        <v>88</v>
      </c>
      <c r="D1325" s="2" t="s">
        <v>27</v>
      </c>
      <c r="E1325" s="4">
        <v>-32533</v>
      </c>
      <c r="F1325" s="3" t="s">
        <v>1357</v>
      </c>
      <c r="G1325" s="3" t="s">
        <v>701</v>
      </c>
      <c r="H1325" s="2" t="s">
        <v>74</v>
      </c>
      <c r="I1325" s="2" t="s">
        <v>3829</v>
      </c>
      <c r="J1325" s="3" t="str">
        <f>HYPERLINK("https://www.boe.es/gazeta/dias/1810/12/04/pdfs/GEI-1810-103.pdf#page=8","Abrir facsímil")</f>
        <v>Abrir facsímil</v>
      </c>
      <c r="K1325" s="3" t="s">
        <v>76</v>
      </c>
    </row>
    <row r="1326" spans="1:11" ht="42" customHeight="1">
      <c r="A1326" s="2" t="s">
        <v>3830</v>
      </c>
      <c r="B1326" s="2" t="s">
        <v>3831</v>
      </c>
      <c r="C1326" s="2" t="s">
        <v>26</v>
      </c>
      <c r="D1326" s="2" t="s">
        <v>27</v>
      </c>
      <c r="E1326" s="4">
        <v>-32591</v>
      </c>
      <c r="F1326" s="3" t="s">
        <v>377</v>
      </c>
      <c r="G1326" s="3" t="s">
        <v>140</v>
      </c>
      <c r="H1326" s="2" t="s">
        <v>74</v>
      </c>
      <c r="I1326" s="2" t="s">
        <v>3832</v>
      </c>
      <c r="J1326" s="3" t="str">
        <f>HYPERLINK("https://www.boe.es/gazeta/dias/1810/10/07/pdfs/GMD-1810-280.pdf#page=4","Abrir facsímil")</f>
        <v>Abrir facsímil</v>
      </c>
      <c r="K1326" s="3" t="s">
        <v>76</v>
      </c>
    </row>
    <row r="1327" spans="1:11" ht="42" customHeight="1">
      <c r="A1327" s="2" t="s">
        <v>3833</v>
      </c>
      <c r="B1327" s="2" t="s">
        <v>3834</v>
      </c>
      <c r="C1327" s="2" t="s">
        <v>26</v>
      </c>
      <c r="D1327" s="2" t="s">
        <v>39</v>
      </c>
      <c r="E1327" s="4">
        <v>-32661</v>
      </c>
      <c r="F1327" s="3" t="s">
        <v>157</v>
      </c>
      <c r="G1327" s="3" t="s">
        <v>158</v>
      </c>
      <c r="H1327" s="2" t="s">
        <v>74</v>
      </c>
      <c r="I1327" s="2" t="s">
        <v>3835</v>
      </c>
      <c r="J1327" s="3" t="str">
        <f>HYPERLINK("https://www.boe.es/gazeta/dias/1810/07/29/pdfs/GMD-C-1810-210.pdf#page=1","Abrir facsímil")</f>
        <v>Abrir facsímil</v>
      </c>
      <c r="K1327" s="3" t="s">
        <v>76</v>
      </c>
    </row>
    <row r="1328" spans="1:11" ht="42" customHeight="1">
      <c r="A1328" s="2" t="s">
        <v>3836</v>
      </c>
      <c r="B1328" s="2" t="s">
        <v>3836</v>
      </c>
      <c r="C1328" s="2" t="s">
        <v>88</v>
      </c>
      <c r="D1328" s="2" t="s">
        <v>27</v>
      </c>
      <c r="E1328" s="4">
        <v>-32522</v>
      </c>
      <c r="F1328" s="3" t="s">
        <v>3137</v>
      </c>
      <c r="G1328" s="3" t="s">
        <v>782</v>
      </c>
      <c r="H1328" s="2" t="s">
        <v>74</v>
      </c>
      <c r="I1328" s="2" t="s">
        <v>3837</v>
      </c>
      <c r="J1328" s="3" t="str">
        <f>HYPERLINK("https://www.boe.es/gazeta/dias/1810/12/15/pdfs/GEI-1810-108.pdf#page=5","Abrir facsímil")</f>
        <v>Abrir facsímil</v>
      </c>
      <c r="K1328" s="3" t="s">
        <v>76</v>
      </c>
    </row>
    <row r="1329" spans="1:11" ht="42" customHeight="1">
      <c r="A1329" s="2" t="s">
        <v>3838</v>
      </c>
      <c r="B1329" s="2" t="s">
        <v>3839</v>
      </c>
      <c r="C1329" s="2" t="s">
        <v>26</v>
      </c>
      <c r="D1329" s="2" t="s">
        <v>27</v>
      </c>
      <c r="E1329" s="4">
        <v>-32647</v>
      </c>
      <c r="F1329" s="3" t="s">
        <v>118</v>
      </c>
      <c r="G1329" s="3" t="s">
        <v>140</v>
      </c>
      <c r="H1329" s="2" t="s">
        <v>74</v>
      </c>
      <c r="I1329" s="2" t="s">
        <v>3840</v>
      </c>
      <c r="J1329" s="3" t="str">
        <f>HYPERLINK("https://www.boe.es/gazeta/dias/1810/08/12/pdfs/GMD-1810-224.pdf#page=2","Abrir facsímil")</f>
        <v>Abrir facsímil</v>
      </c>
      <c r="K1329" s="3" t="s">
        <v>76</v>
      </c>
    </row>
    <row r="1330" spans="1:11" ht="42" customHeight="1">
      <c r="A1330" s="2" t="s">
        <v>3838</v>
      </c>
      <c r="B1330" s="2" t="s">
        <v>3839</v>
      </c>
      <c r="C1330" s="2" t="s">
        <v>26</v>
      </c>
      <c r="D1330" s="2" t="s">
        <v>27</v>
      </c>
      <c r="E1330" s="4">
        <v>-32537</v>
      </c>
      <c r="F1330" s="3" t="s">
        <v>1091</v>
      </c>
      <c r="G1330" s="3" t="s">
        <v>20</v>
      </c>
      <c r="H1330" s="2" t="s">
        <v>74</v>
      </c>
      <c r="I1330" s="2" t="s">
        <v>3841</v>
      </c>
      <c r="J1330" s="3" t="str">
        <f>HYPERLINK("https://www.boe.es/gazeta/dias/1810/11/30/pdfs/GMD-1810-334.pdf#page=4","Abrir facsímil")</f>
        <v>Abrir facsímil</v>
      </c>
      <c r="K1330" s="3" t="s">
        <v>76</v>
      </c>
    </row>
    <row r="1331" spans="1:11" ht="42" customHeight="1">
      <c r="A1331" s="2" t="s">
        <v>3842</v>
      </c>
      <c r="B1331" s="2" t="s">
        <v>3843</v>
      </c>
      <c r="C1331" s="2" t="s">
        <v>88</v>
      </c>
      <c r="D1331" s="2" t="s">
        <v>39</v>
      </c>
      <c r="E1331" s="4">
        <v>-32642</v>
      </c>
      <c r="F1331" s="3" t="s">
        <v>2273</v>
      </c>
      <c r="G1331" s="3" t="s">
        <v>274</v>
      </c>
      <c r="H1331" s="2" t="s">
        <v>74</v>
      </c>
      <c r="I1331" s="2" t="s">
        <v>3844</v>
      </c>
      <c r="J1331" s="3" t="str">
        <f>HYPERLINK("https://www.boe.es/gazeta/dias/1810/08/17/pdfs/GEI-D-1810-57.pdf#page=8","Abrir facsímil")</f>
        <v>Abrir facsímil</v>
      </c>
      <c r="K1331" s="3" t="s">
        <v>76</v>
      </c>
    </row>
    <row r="1332" spans="1:11" ht="42" customHeight="1">
      <c r="A1332" s="2" t="s">
        <v>3845</v>
      </c>
      <c r="B1332" s="2" t="s">
        <v>3846</v>
      </c>
      <c r="C1332" s="2" t="s">
        <v>26</v>
      </c>
      <c r="D1332" s="2" t="s">
        <v>27</v>
      </c>
      <c r="E1332" s="4">
        <v>-32862</v>
      </c>
      <c r="F1332" s="3" t="s">
        <v>878</v>
      </c>
      <c r="G1332" s="3" t="s">
        <v>99</v>
      </c>
      <c r="H1332" s="2" t="s">
        <v>74</v>
      </c>
      <c r="I1332" s="2" t="s">
        <v>3847</v>
      </c>
      <c r="J1332" s="3" t="str">
        <f>HYPERLINK("https://www.boe.es/gazeta/dias/1810/01/09/pdfs/GMD-1810-9.pdf#page=3","Abrir facsímil")</f>
        <v>Abrir facsímil</v>
      </c>
      <c r="K1332" s="3" t="s">
        <v>76</v>
      </c>
    </row>
    <row r="1333" spans="1:11" ht="42" customHeight="1">
      <c r="A1333" s="2" t="s">
        <v>3848</v>
      </c>
      <c r="B1333" s="2" t="s">
        <v>3848</v>
      </c>
      <c r="C1333" s="2" t="s">
        <v>26</v>
      </c>
      <c r="D1333" s="2" t="s">
        <v>27</v>
      </c>
      <c r="E1333" s="4">
        <v>-32582</v>
      </c>
      <c r="F1333" s="3" t="s">
        <v>3849</v>
      </c>
      <c r="G1333" s="3" t="s">
        <v>3850</v>
      </c>
      <c r="H1333" s="2" t="s">
        <v>74</v>
      </c>
      <c r="I1333" s="2" t="s">
        <v>3851</v>
      </c>
      <c r="J1333" s="3" t="str">
        <f>HYPERLINK("https://www.boe.es/gazeta/dias/1810/10/16/pdfs/GEI-1810-82.pdf#page=4","Abrir facsímil")</f>
        <v>Abrir facsímil</v>
      </c>
      <c r="K1333" s="3" t="s">
        <v>76</v>
      </c>
    </row>
    <row r="1334" spans="1:11" ht="42" customHeight="1">
      <c r="A1334" s="2" t="s">
        <v>3852</v>
      </c>
      <c r="B1334" s="2" t="s">
        <v>3853</v>
      </c>
      <c r="C1334" s="2" t="s">
        <v>26</v>
      </c>
      <c r="D1334" s="2" t="s">
        <v>27</v>
      </c>
      <c r="E1334" s="4">
        <v>-32563</v>
      </c>
      <c r="F1334" s="3" t="s">
        <v>535</v>
      </c>
      <c r="G1334" s="3" t="s">
        <v>210</v>
      </c>
      <c r="H1334" s="2" t="s">
        <v>74</v>
      </c>
      <c r="I1334" s="2" t="s">
        <v>3854</v>
      </c>
      <c r="J1334" s="3" t="str">
        <f>HYPERLINK("https://www.boe.es/gazeta/dias/1810/11/04/pdfs/GMD-1810-308.pdf#page=18","Abrir facsímil")</f>
        <v>Abrir facsímil</v>
      </c>
      <c r="K1334" s="3" t="s">
        <v>76</v>
      </c>
    </row>
    <row r="1335" spans="1:11" ht="42" customHeight="1">
      <c r="A1335" s="2" t="s">
        <v>3855</v>
      </c>
      <c r="B1335" s="2" t="s">
        <v>3856</v>
      </c>
      <c r="C1335" s="2" t="s">
        <v>225</v>
      </c>
      <c r="D1335" s="2" t="s">
        <v>27</v>
      </c>
      <c r="E1335" s="4">
        <v>-32867</v>
      </c>
      <c r="F1335" s="3" t="s">
        <v>3857</v>
      </c>
      <c r="G1335" s="3" t="s">
        <v>140</v>
      </c>
      <c r="H1335" s="2" t="s">
        <v>74</v>
      </c>
      <c r="I1335" s="2" t="s">
        <v>3858</v>
      </c>
      <c r="J1335" s="3" t="str">
        <f>HYPERLINK("https://www.boe.es/gazeta/dias/1810/01/04/pdfs/GMD-1810-4.pdf#page=2","Abrir facsímil")</f>
        <v>Abrir facsímil</v>
      </c>
      <c r="K1335" s="3" t="s">
        <v>76</v>
      </c>
    </row>
    <row r="1336" spans="1:11" ht="42" customHeight="1">
      <c r="A1336" s="2" t="s">
        <v>3859</v>
      </c>
      <c r="B1336" s="2" t="s">
        <v>3860</v>
      </c>
      <c r="C1336" s="2" t="s">
        <v>88</v>
      </c>
      <c r="D1336" s="2" t="s">
        <v>27</v>
      </c>
      <c r="E1336" s="4">
        <v>-32617</v>
      </c>
      <c r="F1336" s="3" t="s">
        <v>3861</v>
      </c>
      <c r="G1336" s="3" t="s">
        <v>20</v>
      </c>
      <c r="H1336" s="2" t="s">
        <v>74</v>
      </c>
      <c r="I1336" s="2" t="s">
        <v>3862</v>
      </c>
      <c r="J1336" s="3" t="str">
        <f>HYPERLINK("https://www.boe.es/gazeta/dias/1810/09/11/pdfs/GMD-1810-254.pdf#page=4","Abrir facsímil")</f>
        <v>Abrir facsímil</v>
      </c>
      <c r="K1336" s="3" t="s">
        <v>76</v>
      </c>
    </row>
    <row r="1337" spans="1:11" ht="42" customHeight="1">
      <c r="A1337" s="2" t="s">
        <v>3863</v>
      </c>
      <c r="B1337" s="2" t="s">
        <v>3863</v>
      </c>
      <c r="C1337" s="2" t="s">
        <v>17</v>
      </c>
      <c r="D1337" s="2" t="s">
        <v>27</v>
      </c>
      <c r="E1337" s="4">
        <v>-32788</v>
      </c>
      <c r="F1337" s="3" t="s">
        <v>1254</v>
      </c>
      <c r="G1337" s="3" t="s">
        <v>3864</v>
      </c>
      <c r="H1337" s="2" t="s">
        <v>74</v>
      </c>
      <c r="I1337" s="2" t="s">
        <v>3865</v>
      </c>
      <c r="J1337" s="3" t="str">
        <f>HYPERLINK("https://www.boe.es/gazeta/dias/1810/03/24/pdfs/GMD-1810-83.pdf#page=1","Abrir facsímil")</f>
        <v>Abrir facsímil</v>
      </c>
      <c r="K1337" s="3" t="s">
        <v>76</v>
      </c>
    </row>
    <row r="1338" spans="1:11" ht="42" customHeight="1">
      <c r="A1338" s="2" t="s">
        <v>3866</v>
      </c>
      <c r="B1338" s="2" t="s">
        <v>3867</v>
      </c>
      <c r="C1338" s="2" t="s">
        <v>17</v>
      </c>
      <c r="D1338" s="2" t="s">
        <v>18</v>
      </c>
      <c r="E1338" s="4">
        <v>-32734</v>
      </c>
      <c r="F1338" s="3" t="s">
        <v>19</v>
      </c>
      <c r="G1338" s="3" t="s">
        <v>20</v>
      </c>
      <c r="H1338" s="2" t="s">
        <v>74</v>
      </c>
      <c r="I1338" s="2" t="s">
        <v>3868</v>
      </c>
      <c r="J1338" s="3" t="str">
        <f>HYPERLINK("https://www.boe.es/gazeta/dias/1810/05/17/pdfs/GMD-1810-137.pdf#page=4","Abrir facsímil")</f>
        <v>Abrir facsímil</v>
      </c>
      <c r="K1338" s="3" t="s">
        <v>76</v>
      </c>
    </row>
    <row r="1339" spans="1:11" ht="42" customHeight="1">
      <c r="A1339" s="2" t="s">
        <v>3866</v>
      </c>
      <c r="B1339" s="2" t="s">
        <v>3867</v>
      </c>
      <c r="C1339" s="2" t="s">
        <v>26</v>
      </c>
      <c r="D1339" s="2" t="s">
        <v>18</v>
      </c>
      <c r="E1339" s="4">
        <v>-32733</v>
      </c>
      <c r="F1339" s="3" t="s">
        <v>955</v>
      </c>
      <c r="G1339" s="3" t="s">
        <v>20</v>
      </c>
      <c r="H1339" s="2" t="s">
        <v>74</v>
      </c>
      <c r="I1339" s="2" t="s">
        <v>3869</v>
      </c>
      <c r="J1339" s="3" t="str">
        <f>HYPERLINK("https://www.boe.es/gazeta/dias/1810/05/18/pdfs/GEI-1810-27.pdf#page=4","Abrir facsímil")</f>
        <v>Abrir facsímil</v>
      </c>
      <c r="K1339" s="3" t="s">
        <v>76</v>
      </c>
    </row>
    <row r="1340" spans="1:11" ht="42" customHeight="1">
      <c r="A1340" s="2" t="s">
        <v>3870</v>
      </c>
      <c r="B1340" s="2" t="s">
        <v>3871</v>
      </c>
      <c r="C1340" s="2" t="s">
        <v>225</v>
      </c>
      <c r="D1340" s="2" t="s">
        <v>27</v>
      </c>
      <c r="E1340" s="4">
        <v>-32733</v>
      </c>
      <c r="F1340" s="3" t="s">
        <v>955</v>
      </c>
      <c r="G1340" s="3" t="s">
        <v>20</v>
      </c>
      <c r="H1340" s="2" t="s">
        <v>74</v>
      </c>
      <c r="I1340" s="2" t="s">
        <v>3872</v>
      </c>
      <c r="J1340" s="3" t="str">
        <f>HYPERLINK("https://www.boe.es/gazeta/dias/1810/05/18/pdfs/GEI-1810-27.pdf#page=4","Abrir facsímil")</f>
        <v>Abrir facsímil</v>
      </c>
      <c r="K1340" s="3" t="s">
        <v>76</v>
      </c>
    </row>
    <row r="1341" spans="1:11" ht="42" customHeight="1">
      <c r="A1341" s="2" t="s">
        <v>3873</v>
      </c>
      <c r="B1341" s="2" t="s">
        <v>3873</v>
      </c>
      <c r="C1341" s="2" t="s">
        <v>88</v>
      </c>
      <c r="D1341" s="2" t="s">
        <v>18</v>
      </c>
      <c r="E1341" s="4">
        <v>-32733</v>
      </c>
      <c r="F1341" s="3" t="s">
        <v>644</v>
      </c>
      <c r="G1341" s="3" t="s">
        <v>20</v>
      </c>
      <c r="H1341" s="2" t="s">
        <v>74</v>
      </c>
      <c r="I1341" s="2" t="s">
        <v>3874</v>
      </c>
      <c r="J1341" s="3" t="str">
        <f>HYPERLINK("https://www.boe.es/gazeta/dias/1810/05/18/pdfs/GMD-1810-138.pdf#page=4","Abrir facsímil")</f>
        <v>Abrir facsímil</v>
      </c>
      <c r="K1341" s="3" t="s">
        <v>76</v>
      </c>
    </row>
    <row r="1342" spans="1:11" ht="42" customHeight="1">
      <c r="A1342" s="2" t="s">
        <v>3875</v>
      </c>
      <c r="B1342" s="2" t="s">
        <v>3876</v>
      </c>
      <c r="C1342" s="2" t="s">
        <v>26</v>
      </c>
      <c r="D1342" s="2" t="s">
        <v>220</v>
      </c>
      <c r="E1342" s="4">
        <v>-32689</v>
      </c>
      <c r="F1342" s="3" t="s">
        <v>571</v>
      </c>
      <c r="G1342" s="3" t="s">
        <v>29</v>
      </c>
      <c r="H1342" s="2" t="s">
        <v>74</v>
      </c>
      <c r="I1342" s="2" t="s">
        <v>3877</v>
      </c>
      <c r="J1342" s="3" t="str">
        <f>HYPERLINK("https://www.boe.es/gazeta/dias/1810/07/01/pdfs/GMD-1810-182.pdf#page=3","Abrir facsímil")</f>
        <v>Abrir facsímil</v>
      </c>
      <c r="K1342" s="3" t="s">
        <v>76</v>
      </c>
    </row>
    <row r="1343" spans="1:11" ht="42" customHeight="1">
      <c r="A1343" s="2" t="s">
        <v>3878</v>
      </c>
      <c r="B1343" s="2" t="s">
        <v>3879</v>
      </c>
      <c r="C1343" s="2" t="s">
        <v>26</v>
      </c>
      <c r="D1343" s="2" t="s">
        <v>27</v>
      </c>
      <c r="E1343" s="4">
        <v>-32508</v>
      </c>
      <c r="F1343" s="3" t="s">
        <v>864</v>
      </c>
      <c r="G1343" s="3" t="s">
        <v>691</v>
      </c>
      <c r="H1343" s="2" t="s">
        <v>74</v>
      </c>
      <c r="I1343" s="2" t="s">
        <v>3880</v>
      </c>
      <c r="J1343" s="3" t="str">
        <f>HYPERLINK("https://www.boe.es/gazeta/dias/1810/12/29/pdfs/GEI-1810-114.pdf#page=8","Abrir facsímil")</f>
        <v>Abrir facsímil</v>
      </c>
      <c r="K1343" s="3" t="s">
        <v>76</v>
      </c>
    </row>
    <row r="1344" spans="1:11" ht="42" customHeight="1">
      <c r="A1344" s="2" t="s">
        <v>3881</v>
      </c>
      <c r="B1344" s="2" t="s">
        <v>3882</v>
      </c>
      <c r="C1344" s="2" t="s">
        <v>88</v>
      </c>
      <c r="D1344" s="2" t="s">
        <v>27</v>
      </c>
      <c r="E1344" s="4">
        <v>-32763</v>
      </c>
      <c r="F1344" s="3" t="s">
        <v>1146</v>
      </c>
      <c r="G1344" s="3" t="s">
        <v>140</v>
      </c>
      <c r="H1344" s="2" t="s">
        <v>74</v>
      </c>
      <c r="I1344" s="2" t="s">
        <v>3883</v>
      </c>
      <c r="J1344" s="3" t="str">
        <f>HYPERLINK("https://www.boe.es/gazeta/dias/1810/04/18/pdfs/GMD-1810-108.pdf#page=3","Abrir facsímil")</f>
        <v>Abrir facsímil</v>
      </c>
      <c r="K1344" s="3" t="s">
        <v>76</v>
      </c>
    </row>
    <row r="1345" spans="1:11" ht="42" customHeight="1">
      <c r="A1345" s="2" t="s">
        <v>3884</v>
      </c>
      <c r="B1345" s="2" t="s">
        <v>3885</v>
      </c>
      <c r="C1345" s="2" t="s">
        <v>26</v>
      </c>
      <c r="D1345" s="2" t="s">
        <v>27</v>
      </c>
      <c r="E1345" s="4">
        <v>-32782</v>
      </c>
      <c r="F1345" s="3" t="s">
        <v>79</v>
      </c>
      <c r="G1345" s="3" t="s">
        <v>80</v>
      </c>
      <c r="H1345" s="2" t="s">
        <v>74</v>
      </c>
      <c r="I1345" s="2" t="s">
        <v>3886</v>
      </c>
      <c r="J1345" s="3" t="str">
        <f>HYPERLINK("https://www.boe.es/gazeta/dias/1810/03/30/pdfs/GEI-1810-9.pdf#page=7","Abrir facsímil")</f>
        <v>Abrir facsímil</v>
      </c>
      <c r="K1345" s="3" t="s">
        <v>76</v>
      </c>
    </row>
    <row r="1346" spans="1:11" ht="42" customHeight="1">
      <c r="A1346" s="2" t="s">
        <v>3887</v>
      </c>
      <c r="B1346" s="2" t="s">
        <v>3888</v>
      </c>
      <c r="C1346" s="2" t="s">
        <v>26</v>
      </c>
      <c r="D1346" s="2" t="s">
        <v>27</v>
      </c>
      <c r="E1346" s="4">
        <v>-32763</v>
      </c>
      <c r="F1346" s="3" t="s">
        <v>1146</v>
      </c>
      <c r="G1346" s="3" t="s">
        <v>140</v>
      </c>
      <c r="H1346" s="2" t="s">
        <v>74</v>
      </c>
      <c r="I1346" s="2" t="s">
        <v>3889</v>
      </c>
      <c r="J1346" s="3" t="str">
        <f>HYPERLINK("https://www.boe.es/gazeta/dias/1810/04/18/pdfs/GMD-1810-108.pdf#page=3","Abrir facsímil")</f>
        <v>Abrir facsímil</v>
      </c>
      <c r="K1346" s="3" t="s">
        <v>76</v>
      </c>
    </row>
    <row r="1347" spans="1:11" ht="42" customHeight="1">
      <c r="A1347" s="2" t="s">
        <v>3890</v>
      </c>
      <c r="B1347" s="2" t="s">
        <v>3890</v>
      </c>
      <c r="C1347" s="2" t="s">
        <v>88</v>
      </c>
      <c r="D1347" s="2" t="s">
        <v>18</v>
      </c>
      <c r="E1347" s="4">
        <v>-32580</v>
      </c>
      <c r="F1347" s="3" t="s">
        <v>2508</v>
      </c>
      <c r="G1347" s="3" t="s">
        <v>735</v>
      </c>
      <c r="H1347" s="2" t="s">
        <v>74</v>
      </c>
      <c r="I1347" s="2" t="s">
        <v>3891</v>
      </c>
      <c r="J1347" s="3" t="str">
        <f>HYPERLINK("https://www.boe.es/gazeta/dias/1810/10/18/pdfs/GEI-1810-83.pdf#page=3","Abrir facsímil")</f>
        <v>Abrir facsímil</v>
      </c>
      <c r="K1347" s="3" t="s">
        <v>76</v>
      </c>
    </row>
    <row r="1348" spans="1:11" ht="42" customHeight="1">
      <c r="A1348" s="2" t="s">
        <v>3892</v>
      </c>
      <c r="B1348" s="2" t="s">
        <v>3893</v>
      </c>
      <c r="C1348" s="2" t="s">
        <v>26</v>
      </c>
      <c r="D1348" s="2" t="s">
        <v>27</v>
      </c>
      <c r="E1348" s="4">
        <v>-32647</v>
      </c>
      <c r="F1348" s="3" t="s">
        <v>118</v>
      </c>
      <c r="G1348" s="3" t="s">
        <v>119</v>
      </c>
      <c r="H1348" s="2" t="s">
        <v>74</v>
      </c>
      <c r="I1348" s="2" t="s">
        <v>3894</v>
      </c>
      <c r="J1348" s="3" t="str">
        <f>HYPERLINK("https://www.boe.es/gazeta/dias/1810/08/12/pdfs/GMD-1810-224.pdf#page=3","Abrir facsímil")</f>
        <v>Abrir facsímil</v>
      </c>
      <c r="K1348" s="3" t="s">
        <v>76</v>
      </c>
    </row>
    <row r="1349" spans="1:11" ht="42" customHeight="1">
      <c r="A1349" s="2" t="s">
        <v>3895</v>
      </c>
      <c r="B1349" s="2" t="s">
        <v>3896</v>
      </c>
      <c r="C1349" s="2" t="s">
        <v>33</v>
      </c>
      <c r="D1349" s="2" t="s">
        <v>27</v>
      </c>
      <c r="E1349" s="4">
        <v>-32710</v>
      </c>
      <c r="F1349" s="3" t="s">
        <v>126</v>
      </c>
      <c r="G1349" s="3" t="s">
        <v>184</v>
      </c>
      <c r="H1349" s="2" t="s">
        <v>74</v>
      </c>
      <c r="I1349" s="2" t="s">
        <v>3897</v>
      </c>
      <c r="J1349" s="3" t="str">
        <f>HYPERLINK("https://www.boe.es/gazeta/dias/1810/06/10/pdfs/GMD-1810-161.pdf#page=3","Abrir facsímil")</f>
        <v>Abrir facsímil</v>
      </c>
      <c r="K1349" s="3" t="s">
        <v>76</v>
      </c>
    </row>
    <row r="1350" spans="1:11" ht="42" customHeight="1">
      <c r="A1350" s="2" t="s">
        <v>3898</v>
      </c>
      <c r="B1350" s="2" t="s">
        <v>3898</v>
      </c>
      <c r="C1350" s="2" t="s">
        <v>88</v>
      </c>
      <c r="D1350" s="2" t="s">
        <v>117</v>
      </c>
      <c r="E1350" s="4">
        <v>-32845</v>
      </c>
      <c r="F1350" s="3" t="s">
        <v>1454</v>
      </c>
      <c r="G1350" s="3" t="s">
        <v>140</v>
      </c>
      <c r="H1350" s="2" t="s">
        <v>74</v>
      </c>
      <c r="I1350" s="2" t="s">
        <v>3899</v>
      </c>
      <c r="J1350" s="3" t="str">
        <f>HYPERLINK("https://www.boe.es/gazeta/dias/1810/01/26/pdfs/GMD-1810-26.pdf#page=3","Abrir facsímil")</f>
        <v>Abrir facsímil</v>
      </c>
      <c r="K1350" s="3" t="s">
        <v>76</v>
      </c>
    </row>
    <row r="1351" spans="1:11" ht="42" customHeight="1">
      <c r="A1351" s="2" t="s">
        <v>3900</v>
      </c>
      <c r="B1351" s="2" t="s">
        <v>3901</v>
      </c>
      <c r="C1351" s="2" t="s">
        <v>33</v>
      </c>
      <c r="D1351" s="2" t="s">
        <v>39</v>
      </c>
      <c r="E1351" s="4">
        <v>-32661</v>
      </c>
      <c r="F1351" s="3" t="s">
        <v>157</v>
      </c>
      <c r="G1351" s="3" t="s">
        <v>592</v>
      </c>
      <c r="H1351" s="2" t="s">
        <v>74</v>
      </c>
      <c r="I1351" s="2" t="s">
        <v>3902</v>
      </c>
      <c r="J1351" s="3" t="str">
        <f>HYPERLINK("https://www.boe.es/gazeta/dias/1810/07/29/pdfs/GMD-C-1810-210.pdf#page=2","Abrir facsímil")</f>
        <v>Abrir facsímil</v>
      </c>
      <c r="K1351" s="3" t="s">
        <v>76</v>
      </c>
    </row>
    <row r="1352" spans="1:11" ht="42" customHeight="1">
      <c r="A1352" s="2" t="s">
        <v>3903</v>
      </c>
      <c r="B1352" s="2" t="s">
        <v>3904</v>
      </c>
      <c r="C1352" s="2" t="s">
        <v>26</v>
      </c>
      <c r="D1352" s="2" t="s">
        <v>39</v>
      </c>
      <c r="E1352" s="4">
        <v>-32702</v>
      </c>
      <c r="F1352" s="3" t="s">
        <v>179</v>
      </c>
      <c r="G1352" s="3" t="s">
        <v>119</v>
      </c>
      <c r="H1352" s="2" t="s">
        <v>74</v>
      </c>
      <c r="I1352" s="2" t="s">
        <v>3905</v>
      </c>
      <c r="J1352" s="3" t="str">
        <f>HYPERLINK("https://www.boe.es/gazeta/dias/1810/06/18/pdfs/GMD-C-1810-169.pdf#page=1","Abrir facsímil")</f>
        <v>Abrir facsímil</v>
      </c>
      <c r="K1352" s="3" t="s">
        <v>76</v>
      </c>
    </row>
    <row r="1353" spans="1:11" ht="42" customHeight="1">
      <c r="A1353" s="2" t="s">
        <v>3903</v>
      </c>
      <c r="B1353" s="2" t="s">
        <v>3904</v>
      </c>
      <c r="C1353" s="2" t="s">
        <v>26</v>
      </c>
      <c r="D1353" s="2" t="s">
        <v>39</v>
      </c>
      <c r="E1353" s="4">
        <v>-32701</v>
      </c>
      <c r="F1353" s="3" t="s">
        <v>40</v>
      </c>
      <c r="G1353" s="3" t="s">
        <v>170</v>
      </c>
      <c r="H1353" s="2" t="s">
        <v>74</v>
      </c>
      <c r="I1353" s="2" t="s">
        <v>3906</v>
      </c>
      <c r="J1353" s="3" t="str">
        <f>HYPERLINK("https://www.boe.es/gazeta/dias/1810/06/19/pdfs/GMD-C-1810-170.pdf#page=1","Abrir facsímil")</f>
        <v>Abrir facsímil</v>
      </c>
      <c r="K1353" s="3" t="s">
        <v>76</v>
      </c>
    </row>
    <row r="1354" spans="1:11" ht="42" customHeight="1">
      <c r="A1354" s="2" t="s">
        <v>3907</v>
      </c>
      <c r="B1354" s="2" t="s">
        <v>3908</v>
      </c>
      <c r="C1354" s="2" t="s">
        <v>26</v>
      </c>
      <c r="D1354" s="2" t="s">
        <v>27</v>
      </c>
      <c r="E1354" s="4">
        <v>-32730</v>
      </c>
      <c r="F1354" s="3" t="s">
        <v>50</v>
      </c>
      <c r="G1354" s="3" t="s">
        <v>20</v>
      </c>
      <c r="H1354" s="2" t="s">
        <v>74</v>
      </c>
      <c r="I1354" s="2" t="s">
        <v>3909</v>
      </c>
      <c r="J1354" s="3" t="str">
        <f>HYPERLINK("https://www.boe.es/gazeta/dias/1810/05/21/pdfs/GMD-1810-141.pdf#page=4","Abrir facsímil")</f>
        <v>Abrir facsímil</v>
      </c>
      <c r="K1354" s="3" t="s">
        <v>76</v>
      </c>
    </row>
    <row r="1355" spans="1:11" ht="42" customHeight="1">
      <c r="A1355" s="2" t="s">
        <v>3910</v>
      </c>
      <c r="B1355" s="2" t="s">
        <v>3910</v>
      </c>
      <c r="C1355" s="2" t="s">
        <v>225</v>
      </c>
      <c r="D1355" s="2" t="s">
        <v>27</v>
      </c>
      <c r="E1355" s="4">
        <v>-32855</v>
      </c>
      <c r="F1355" s="3" t="s">
        <v>3911</v>
      </c>
      <c r="G1355" s="3" t="s">
        <v>80</v>
      </c>
      <c r="H1355" s="2" t="s">
        <v>74</v>
      </c>
      <c r="I1355" s="2" t="s">
        <v>3912</v>
      </c>
      <c r="J1355" s="3" t="str">
        <f>HYPERLINK("https://www.boe.es/gazeta/dias/1810/01/16/pdfs/GGB-1810-7.pdf#page=5","Abrir facsímil")</f>
        <v>Abrir facsímil</v>
      </c>
      <c r="K1355" s="3" t="s">
        <v>76</v>
      </c>
    </row>
    <row r="1356" spans="1:11" ht="42" customHeight="1">
      <c r="A1356" s="2" t="s">
        <v>3913</v>
      </c>
      <c r="B1356" s="2" t="s">
        <v>3914</v>
      </c>
      <c r="C1356" s="2" t="s">
        <v>17</v>
      </c>
      <c r="D1356" s="2" t="s">
        <v>27</v>
      </c>
      <c r="E1356" s="4">
        <v>-32707</v>
      </c>
      <c r="F1356" s="3" t="s">
        <v>1753</v>
      </c>
      <c r="G1356" s="3" t="s">
        <v>227</v>
      </c>
      <c r="H1356" s="2" t="s">
        <v>74</v>
      </c>
      <c r="I1356" s="2" t="s">
        <v>3915</v>
      </c>
      <c r="J1356" s="3" t="str">
        <f>HYPERLINK("https://www.boe.es/gazeta/dias/1810/06/13/pdfs/GMD-1810-164.pdf#page=4","Abrir facsímil")</f>
        <v>Abrir facsímil</v>
      </c>
      <c r="K1356" s="3" t="s">
        <v>76</v>
      </c>
    </row>
    <row r="1357" spans="1:11" ht="42" customHeight="1">
      <c r="A1357" s="2" t="s">
        <v>3916</v>
      </c>
      <c r="B1357" s="2" t="s">
        <v>3917</v>
      </c>
      <c r="C1357" s="2" t="s">
        <v>26</v>
      </c>
      <c r="D1357" s="2" t="s">
        <v>27</v>
      </c>
      <c r="E1357" s="4">
        <v>-32710</v>
      </c>
      <c r="F1357" s="3" t="s">
        <v>126</v>
      </c>
      <c r="G1357" s="3" t="s">
        <v>35</v>
      </c>
      <c r="H1357" s="2" t="s">
        <v>74</v>
      </c>
      <c r="I1357" s="2" t="s">
        <v>3918</v>
      </c>
      <c r="J1357" s="3" t="str">
        <f>HYPERLINK("https://www.boe.es/gazeta/dias/1810/06/10/pdfs/GMD-1810-161.pdf#page=2","Abrir facsímil")</f>
        <v>Abrir facsímil</v>
      </c>
      <c r="K1357" s="3" t="s">
        <v>76</v>
      </c>
    </row>
    <row r="1358" spans="1:11" ht="42" customHeight="1">
      <c r="A1358" s="2" t="s">
        <v>3919</v>
      </c>
      <c r="B1358" s="2" t="s">
        <v>3920</v>
      </c>
      <c r="C1358" s="2" t="s">
        <v>88</v>
      </c>
      <c r="D1358" s="2" t="s">
        <v>27</v>
      </c>
      <c r="E1358" s="4">
        <v>-32710</v>
      </c>
      <c r="F1358" s="3" t="s">
        <v>126</v>
      </c>
      <c r="G1358" s="3" t="s">
        <v>20</v>
      </c>
      <c r="H1358" s="2" t="s">
        <v>74</v>
      </c>
      <c r="I1358" s="2" t="s">
        <v>3921</v>
      </c>
      <c r="J1358" s="3" t="str">
        <f>HYPERLINK("https://www.boe.es/gazeta/dias/1810/06/10/pdfs/GMD-1810-161.pdf#page=4","Abrir facsímil")</f>
        <v>Abrir facsímil</v>
      </c>
      <c r="K1358" s="3" t="s">
        <v>76</v>
      </c>
    </row>
    <row r="1359" spans="1:11" ht="42" customHeight="1">
      <c r="A1359" s="2" t="s">
        <v>3922</v>
      </c>
      <c r="B1359" s="2" t="s">
        <v>3923</v>
      </c>
      <c r="C1359" s="2" t="s">
        <v>26</v>
      </c>
      <c r="D1359" s="2" t="s">
        <v>18</v>
      </c>
      <c r="E1359" s="4">
        <v>-32707</v>
      </c>
      <c r="F1359" s="3" t="s">
        <v>1753</v>
      </c>
      <c r="G1359" s="3" t="s">
        <v>227</v>
      </c>
      <c r="H1359" s="2" t="s">
        <v>74</v>
      </c>
      <c r="I1359" s="2" t="s">
        <v>3924</v>
      </c>
      <c r="J1359" s="3" t="str">
        <f>HYPERLINK("https://www.boe.es/gazeta/dias/1810/06/13/pdfs/GMD-1810-164.pdf#page=4","Abrir facsímil")</f>
        <v>Abrir facsímil</v>
      </c>
      <c r="K1359" s="3" t="s">
        <v>76</v>
      </c>
    </row>
    <row r="1360" spans="1:11" ht="42" customHeight="1">
      <c r="A1360" s="2" t="s">
        <v>3925</v>
      </c>
      <c r="B1360" s="2" t="s">
        <v>3926</v>
      </c>
      <c r="C1360" s="2" t="s">
        <v>88</v>
      </c>
      <c r="D1360" s="2" t="s">
        <v>117</v>
      </c>
      <c r="E1360" s="4">
        <v>-32799</v>
      </c>
      <c r="F1360" s="3" t="s">
        <v>2252</v>
      </c>
      <c r="G1360" s="3" t="s">
        <v>2253</v>
      </c>
      <c r="H1360" s="2" t="s">
        <v>74</v>
      </c>
      <c r="I1360" s="2" t="s">
        <v>3927</v>
      </c>
      <c r="J1360" s="3" t="str">
        <f>HYPERLINK("https://www.boe.es/gazeta/dias/1810/03/13/pdfs/GMD-1810-72.pdf#page=4","Abrir facsímil")</f>
        <v>Abrir facsímil</v>
      </c>
      <c r="K1360" s="3" t="s">
        <v>76</v>
      </c>
    </row>
    <row r="1361" spans="1:11" ht="42" customHeight="1">
      <c r="A1361" s="2" t="s">
        <v>3928</v>
      </c>
      <c r="B1361" s="2" t="s">
        <v>3928</v>
      </c>
      <c r="C1361" s="2" t="s">
        <v>88</v>
      </c>
      <c r="D1361" s="2" t="s">
        <v>117</v>
      </c>
      <c r="E1361" s="4">
        <v>-32677</v>
      </c>
      <c r="F1361" s="3" t="s">
        <v>549</v>
      </c>
      <c r="G1361" s="3" t="s">
        <v>242</v>
      </c>
      <c r="H1361" s="2" t="s">
        <v>74</v>
      </c>
      <c r="I1361" s="2" t="s">
        <v>3929</v>
      </c>
      <c r="J1361" s="3" t="str">
        <f>HYPERLINK("https://www.boe.es/gazeta/dias/1810/07/13/pdfs/GEI-D-1810-44.pdf#page=3","Abrir facsímil")</f>
        <v>Abrir facsímil</v>
      </c>
      <c r="K1361" s="3" t="s">
        <v>76</v>
      </c>
    </row>
    <row r="1362" spans="1:11" ht="42" customHeight="1">
      <c r="A1362" s="2" t="s">
        <v>3930</v>
      </c>
      <c r="B1362" s="2" t="s">
        <v>3931</v>
      </c>
      <c r="C1362" s="2" t="s">
        <v>88</v>
      </c>
      <c r="D1362" s="2" t="s">
        <v>117</v>
      </c>
      <c r="E1362" s="4">
        <v>-32784</v>
      </c>
      <c r="F1362" s="3" t="s">
        <v>429</v>
      </c>
      <c r="G1362" s="3" t="s">
        <v>1821</v>
      </c>
      <c r="H1362" s="2" t="s">
        <v>74</v>
      </c>
      <c r="I1362" s="2" t="s">
        <v>3932</v>
      </c>
      <c r="J1362" s="3" t="str">
        <f>HYPERLINK("https://www.boe.es/gazeta/dias/1810/03/28/pdfs/GMD-1810-87.pdf#page=4","Abrir facsímil")</f>
        <v>Abrir facsímil</v>
      </c>
      <c r="K1362" s="3" t="s">
        <v>76</v>
      </c>
    </row>
    <row r="1363" spans="1:11" ht="42" customHeight="1">
      <c r="A1363" s="2" t="s">
        <v>3933</v>
      </c>
      <c r="B1363" s="2" t="s">
        <v>3934</v>
      </c>
      <c r="C1363" s="2" t="s">
        <v>26</v>
      </c>
      <c r="D1363" s="2" t="s">
        <v>27</v>
      </c>
      <c r="E1363" s="4">
        <v>-32510</v>
      </c>
      <c r="F1363" s="3" t="s">
        <v>1955</v>
      </c>
      <c r="G1363" s="3" t="s">
        <v>3935</v>
      </c>
      <c r="H1363" s="2" t="s">
        <v>74</v>
      </c>
      <c r="I1363" s="2" t="s">
        <v>3936</v>
      </c>
      <c r="J1363" s="3" t="str">
        <f>HYPERLINK("https://www.boe.es/gazeta/dias/1810/12/27/pdfs/GEI-1810-113.pdf#page=4","Abrir facsímil")</f>
        <v>Abrir facsímil</v>
      </c>
      <c r="K1363" s="3" t="s">
        <v>76</v>
      </c>
    </row>
    <row r="1364" spans="1:11" ht="42" customHeight="1">
      <c r="A1364" s="2" t="s">
        <v>3937</v>
      </c>
      <c r="B1364" s="2" t="s">
        <v>3937</v>
      </c>
      <c r="C1364" s="2" t="s">
        <v>88</v>
      </c>
      <c r="D1364" s="2" t="s">
        <v>27</v>
      </c>
      <c r="E1364" s="4">
        <v>-32551</v>
      </c>
      <c r="F1364" s="3" t="s">
        <v>968</v>
      </c>
      <c r="G1364" s="3" t="s">
        <v>3938</v>
      </c>
      <c r="H1364" s="2" t="s">
        <v>74</v>
      </c>
      <c r="I1364" s="2" t="s">
        <v>3939</v>
      </c>
      <c r="J1364" s="3" t="str">
        <f>HYPERLINK("https://www.boe.es/gazeta/dias/1810/11/16/pdfs/GMD-1810-320.pdf#page=1","Abrir facsímil")</f>
        <v>Abrir facsímil</v>
      </c>
      <c r="K1364" s="3" t="s">
        <v>76</v>
      </c>
    </row>
    <row r="1365" spans="1:11" ht="42" customHeight="1">
      <c r="A1365" s="2" t="s">
        <v>3937</v>
      </c>
      <c r="B1365" s="2" t="s">
        <v>3937</v>
      </c>
      <c r="C1365" s="2" t="s">
        <v>88</v>
      </c>
      <c r="D1365" s="2" t="s">
        <v>27</v>
      </c>
      <c r="E1365" s="4">
        <v>-32551</v>
      </c>
      <c r="F1365" s="3" t="s">
        <v>968</v>
      </c>
      <c r="G1365" s="3" t="s">
        <v>969</v>
      </c>
      <c r="H1365" s="2" t="s">
        <v>74</v>
      </c>
      <c r="I1365" s="2" t="s">
        <v>3940</v>
      </c>
      <c r="J1365" s="3" t="str">
        <f>HYPERLINK("https://www.boe.es/gazeta/dias/1810/11/16/pdfs/GMD-1810-320.pdf#page=2","Abrir facsímil")</f>
        <v>Abrir facsímil</v>
      </c>
      <c r="K1365" s="3" t="s">
        <v>76</v>
      </c>
    </row>
    <row r="1366" spans="1:11" ht="42" customHeight="1">
      <c r="A1366" s="2" t="s">
        <v>3937</v>
      </c>
      <c r="B1366" s="2" t="s">
        <v>3937</v>
      </c>
      <c r="C1366" s="2" t="s">
        <v>88</v>
      </c>
      <c r="D1366" s="2" t="s">
        <v>117</v>
      </c>
      <c r="E1366" s="4">
        <v>-32515</v>
      </c>
      <c r="F1366" s="3" t="s">
        <v>351</v>
      </c>
      <c r="G1366" s="3" t="s">
        <v>3473</v>
      </c>
      <c r="H1366" s="2" t="s">
        <v>74</v>
      </c>
      <c r="I1366" s="2" t="s">
        <v>3941</v>
      </c>
      <c r="J1366" s="3" t="str">
        <f>HYPERLINK("https://www.boe.es/gazeta/dias/1810/12/22/pdfs/GEI-1810-111.pdf#page=1","Abrir facsímil")</f>
        <v>Abrir facsímil</v>
      </c>
      <c r="K1366" s="3" t="s">
        <v>76</v>
      </c>
    </row>
    <row r="1367" spans="1:11" ht="42" customHeight="1">
      <c r="A1367" s="2" t="s">
        <v>3937</v>
      </c>
      <c r="B1367" s="2" t="s">
        <v>3937</v>
      </c>
      <c r="C1367" s="2" t="s">
        <v>88</v>
      </c>
      <c r="D1367" s="2" t="s">
        <v>27</v>
      </c>
      <c r="E1367" s="4">
        <v>-32515</v>
      </c>
      <c r="F1367" s="3" t="s">
        <v>351</v>
      </c>
      <c r="G1367" s="3" t="s">
        <v>971</v>
      </c>
      <c r="H1367" s="2" t="s">
        <v>74</v>
      </c>
      <c r="I1367" s="2" t="s">
        <v>3942</v>
      </c>
      <c r="J1367" s="3" t="str">
        <f>HYPERLINK("https://www.boe.es/gazeta/dias/1810/12/22/pdfs/GEI-1810-111.pdf#page=3","Abrir facsímil")</f>
        <v>Abrir facsímil</v>
      </c>
      <c r="K1367" s="3" t="s">
        <v>76</v>
      </c>
    </row>
    <row r="1368" spans="1:11" ht="42" customHeight="1">
      <c r="A1368" s="2" t="s">
        <v>3943</v>
      </c>
      <c r="B1368" s="2" t="s">
        <v>3944</v>
      </c>
      <c r="C1368" s="2" t="s">
        <v>26</v>
      </c>
      <c r="D1368" s="2" t="s">
        <v>27</v>
      </c>
      <c r="E1368" s="4">
        <v>-32691</v>
      </c>
      <c r="F1368" s="3" t="s">
        <v>727</v>
      </c>
      <c r="G1368" s="3" t="s">
        <v>807</v>
      </c>
      <c r="H1368" s="2" t="s">
        <v>74</v>
      </c>
      <c r="I1368" s="2" t="s">
        <v>3945</v>
      </c>
      <c r="J1368" s="3" t="str">
        <f>HYPERLINK("https://www.boe.es/gazeta/dias/1810/06/29/pdfs/GMD-1810-180.pdf#page=3","Abrir facsímil")</f>
        <v>Abrir facsímil</v>
      </c>
      <c r="K1368" s="3" t="s">
        <v>76</v>
      </c>
    </row>
    <row r="1369" spans="1:11" ht="42" customHeight="1">
      <c r="A1369" s="2" t="s">
        <v>3946</v>
      </c>
      <c r="B1369" s="2" t="s">
        <v>3946</v>
      </c>
      <c r="C1369" s="2" t="s">
        <v>88</v>
      </c>
      <c r="D1369" s="2" t="s">
        <v>27</v>
      </c>
      <c r="E1369" s="4">
        <v>-32521</v>
      </c>
      <c r="F1369" s="3" t="s">
        <v>3569</v>
      </c>
      <c r="G1369" s="3" t="s">
        <v>695</v>
      </c>
      <c r="H1369" s="2" t="s">
        <v>74</v>
      </c>
      <c r="I1369" s="2" t="s">
        <v>3947</v>
      </c>
      <c r="J1369" s="3" t="str">
        <f>HYPERLINK("https://www.boe.es/gazeta/dias/1810/12/16/pdfs/GMD-1810-350.pdf#page=2","Abrir facsímil")</f>
        <v>Abrir facsímil</v>
      </c>
      <c r="K1369" s="3" t="s">
        <v>76</v>
      </c>
    </row>
    <row r="1370" spans="1:11" ht="42" customHeight="1">
      <c r="A1370" s="2" t="s">
        <v>3948</v>
      </c>
      <c r="B1370" s="2" t="s">
        <v>3948</v>
      </c>
      <c r="C1370" s="2" t="s">
        <v>88</v>
      </c>
      <c r="D1370" s="2" t="s">
        <v>117</v>
      </c>
      <c r="E1370" s="4">
        <v>-32557</v>
      </c>
      <c r="F1370" s="3" t="s">
        <v>837</v>
      </c>
      <c r="G1370" s="3" t="s">
        <v>785</v>
      </c>
      <c r="H1370" s="2" t="s">
        <v>74</v>
      </c>
      <c r="I1370" s="2" t="s">
        <v>3949</v>
      </c>
      <c r="J1370" s="3" t="str">
        <f>HYPERLINK("https://www.boe.es/gazeta/dias/1810/11/10/pdfs/GEI-1810-93.pdf#page=1","Abrir facsímil")</f>
        <v>Abrir facsímil</v>
      </c>
      <c r="K1370" s="3" t="s">
        <v>76</v>
      </c>
    </row>
    <row r="1371" spans="1:11" ht="42" customHeight="1">
      <c r="A1371" s="2" t="s">
        <v>3950</v>
      </c>
      <c r="B1371" s="2" t="s">
        <v>3951</v>
      </c>
      <c r="C1371" s="2" t="s">
        <v>26</v>
      </c>
      <c r="D1371" s="2" t="s">
        <v>27</v>
      </c>
      <c r="E1371" s="4">
        <v>-32508</v>
      </c>
      <c r="F1371" s="3" t="s">
        <v>864</v>
      </c>
      <c r="G1371" s="3" t="s">
        <v>691</v>
      </c>
      <c r="H1371" s="2" t="s">
        <v>74</v>
      </c>
      <c r="I1371" s="2" t="s">
        <v>3952</v>
      </c>
      <c r="J1371" s="3" t="str">
        <f>HYPERLINK("https://www.boe.es/gazeta/dias/1810/12/29/pdfs/GEI-1810-114.pdf#page=8","Abrir facsímil")</f>
        <v>Abrir facsímil</v>
      </c>
      <c r="K1371" s="3" t="s">
        <v>76</v>
      </c>
    </row>
    <row r="1372" spans="1:11" ht="42" customHeight="1">
      <c r="A1372" s="2" t="s">
        <v>3953</v>
      </c>
      <c r="B1372" s="2" t="s">
        <v>3953</v>
      </c>
      <c r="C1372" s="2" t="s">
        <v>88</v>
      </c>
      <c r="D1372" s="2" t="s">
        <v>117</v>
      </c>
      <c r="E1372" s="4">
        <v>-32565</v>
      </c>
      <c r="F1372" s="3" t="s">
        <v>743</v>
      </c>
      <c r="G1372" s="3" t="s">
        <v>458</v>
      </c>
      <c r="H1372" s="2" t="s">
        <v>74</v>
      </c>
      <c r="I1372" s="2" t="s">
        <v>3954</v>
      </c>
      <c r="J1372" s="3" t="str">
        <f>HYPERLINK("https://www.boe.es/gazeta/dias/1810/11/02/pdfs/GMD-1810-306.pdf#page=2","Abrir facsímil")</f>
        <v>Abrir facsímil</v>
      </c>
      <c r="K1372" s="3" t="s">
        <v>76</v>
      </c>
    </row>
    <row r="1373" spans="1:11" ht="42" customHeight="1">
      <c r="A1373" s="2" t="s">
        <v>3953</v>
      </c>
      <c r="B1373" s="2" t="s">
        <v>3953</v>
      </c>
      <c r="C1373" s="2" t="s">
        <v>88</v>
      </c>
      <c r="D1373" s="2" t="s">
        <v>117</v>
      </c>
      <c r="E1373" s="4">
        <v>-32533</v>
      </c>
      <c r="F1373" s="3" t="s">
        <v>1357</v>
      </c>
      <c r="G1373" s="3" t="s">
        <v>1894</v>
      </c>
      <c r="H1373" s="2" t="s">
        <v>74</v>
      </c>
      <c r="I1373" s="2" t="s">
        <v>3955</v>
      </c>
      <c r="J1373" s="3" t="str">
        <f>HYPERLINK("https://www.boe.es/gazeta/dias/1810/12/04/pdfs/GEI-1810-103.pdf#page=7","Abrir facsímil")</f>
        <v>Abrir facsímil</v>
      </c>
      <c r="K1373" s="3" t="s">
        <v>76</v>
      </c>
    </row>
    <row r="1374" spans="1:11" ht="42" customHeight="1">
      <c r="A1374" s="2" t="s">
        <v>3956</v>
      </c>
      <c r="B1374" s="2" t="s">
        <v>3956</v>
      </c>
      <c r="C1374" s="2" t="s">
        <v>88</v>
      </c>
      <c r="D1374" s="2" t="s">
        <v>27</v>
      </c>
      <c r="E1374" s="4">
        <v>-32568</v>
      </c>
      <c r="F1374" s="3" t="s">
        <v>683</v>
      </c>
      <c r="G1374" s="3" t="s">
        <v>1396</v>
      </c>
      <c r="H1374" s="2" t="s">
        <v>74</v>
      </c>
      <c r="I1374" s="2" t="s">
        <v>3957</v>
      </c>
      <c r="J1374" s="3" t="str">
        <f>HYPERLINK("https://www.boe.es/gazeta/dias/1810/10/30/pdfs/GEI-1810-88.pdf#page=11","Abrir facsímil")</f>
        <v>Abrir facsímil</v>
      </c>
      <c r="K1374" s="3" t="s">
        <v>76</v>
      </c>
    </row>
    <row r="1375" spans="1:11" ht="42" customHeight="1">
      <c r="A1375" s="2" t="s">
        <v>3958</v>
      </c>
      <c r="B1375" s="2" t="s">
        <v>3958</v>
      </c>
      <c r="C1375" s="2" t="s">
        <v>225</v>
      </c>
      <c r="D1375" s="2" t="s">
        <v>27</v>
      </c>
      <c r="E1375" s="4">
        <v>-32771</v>
      </c>
      <c r="F1375" s="3" t="s">
        <v>543</v>
      </c>
      <c r="G1375" s="3" t="s">
        <v>65</v>
      </c>
      <c r="H1375" s="2" t="s">
        <v>74</v>
      </c>
      <c r="I1375" s="2" t="s">
        <v>3959</v>
      </c>
      <c r="J1375" s="3" t="str">
        <f>HYPERLINK("https://www.boe.es/gazeta/dias/1810/04/10/pdfs/GEI-1810-13.pdf#page=7","Abrir facsímil")</f>
        <v>Abrir facsímil</v>
      </c>
      <c r="K1375" s="3" t="s">
        <v>76</v>
      </c>
    </row>
    <row r="1376" spans="1:11" ht="42" customHeight="1">
      <c r="A1376" s="2" t="s">
        <v>3960</v>
      </c>
      <c r="B1376" s="2" t="s">
        <v>3960</v>
      </c>
      <c r="C1376" s="2" t="s">
        <v>88</v>
      </c>
      <c r="D1376" s="2" t="s">
        <v>117</v>
      </c>
      <c r="E1376" s="4">
        <v>-32652</v>
      </c>
      <c r="F1376" s="3" t="s">
        <v>731</v>
      </c>
      <c r="G1376" s="3" t="s">
        <v>735</v>
      </c>
      <c r="H1376" s="2" t="s">
        <v>74</v>
      </c>
      <c r="I1376" s="2" t="s">
        <v>3961</v>
      </c>
      <c r="J1376" s="3" t="str">
        <f>HYPERLINK("https://www.boe.es/gazeta/dias/1810/08/07/pdfs/GMD-1810-219.pdf#page=4","Abrir facsímil")</f>
        <v>Abrir facsímil</v>
      </c>
      <c r="K1376" s="3" t="s">
        <v>76</v>
      </c>
    </row>
    <row r="1377" spans="1:11" ht="42" customHeight="1">
      <c r="A1377" s="2" t="s">
        <v>3962</v>
      </c>
      <c r="B1377" s="2" t="s">
        <v>3963</v>
      </c>
      <c r="C1377" s="2" t="s">
        <v>26</v>
      </c>
      <c r="D1377" s="2" t="s">
        <v>39</v>
      </c>
      <c r="E1377" s="4">
        <v>-32677</v>
      </c>
      <c r="F1377" s="3" t="s">
        <v>549</v>
      </c>
      <c r="G1377" s="3" t="s">
        <v>70</v>
      </c>
      <c r="H1377" s="2" t="s">
        <v>74</v>
      </c>
      <c r="I1377" s="2" t="s">
        <v>3964</v>
      </c>
      <c r="J1377" s="3" t="str">
        <f>HYPERLINK("https://www.boe.es/gazeta/dias/1810/07/13/pdfs/GEI-D-1810-44.pdf#page=8","Abrir facsímil")</f>
        <v>Abrir facsímil</v>
      </c>
      <c r="K1377" s="3" t="s">
        <v>76</v>
      </c>
    </row>
    <row r="1378" spans="1:11" ht="42" customHeight="1">
      <c r="A1378" s="2" t="s">
        <v>3965</v>
      </c>
      <c r="B1378" s="2" t="s">
        <v>3965</v>
      </c>
      <c r="C1378" s="2" t="s">
        <v>26</v>
      </c>
      <c r="D1378" s="2" t="s">
        <v>27</v>
      </c>
      <c r="E1378" s="4">
        <v>-32698</v>
      </c>
      <c r="F1378" s="3" t="s">
        <v>1721</v>
      </c>
      <c r="G1378" s="3" t="s">
        <v>668</v>
      </c>
      <c r="H1378" s="2" t="s">
        <v>74</v>
      </c>
      <c r="I1378" s="2" t="s">
        <v>3966</v>
      </c>
      <c r="J1378" s="3" t="str">
        <f>HYPERLINK("https://www.boe.es/gazeta/dias/1810/06/22/pdfs/GMD-1810-173.pdf#page=3","Abrir facsímil")</f>
        <v>Abrir facsímil</v>
      </c>
      <c r="K1378" s="3" t="s">
        <v>76</v>
      </c>
    </row>
    <row r="1379" spans="1:11" ht="42" customHeight="1">
      <c r="A1379" s="2" t="s">
        <v>3967</v>
      </c>
      <c r="B1379" s="2" t="s">
        <v>3968</v>
      </c>
      <c r="C1379" s="2" t="s">
        <v>26</v>
      </c>
      <c r="D1379" s="2" t="s">
        <v>27</v>
      </c>
      <c r="E1379" s="4">
        <v>-32645</v>
      </c>
      <c r="F1379" s="3" t="s">
        <v>122</v>
      </c>
      <c r="G1379" s="3" t="s">
        <v>227</v>
      </c>
      <c r="H1379" s="2" t="s">
        <v>74</v>
      </c>
      <c r="I1379" s="2" t="s">
        <v>3969</v>
      </c>
      <c r="J1379" s="3" t="str">
        <f>HYPERLINK("https://www.boe.es/gazeta/dias/1810/08/14/pdfs/GEI-1810-56.pdf#page=11","Abrir facsímil")</f>
        <v>Abrir facsímil</v>
      </c>
      <c r="K1379" s="3" t="s">
        <v>76</v>
      </c>
    </row>
    <row r="1380" spans="1:11" ht="42" customHeight="1">
      <c r="A1380" s="2" t="s">
        <v>3970</v>
      </c>
      <c r="B1380" s="2" t="s">
        <v>3971</v>
      </c>
      <c r="C1380" s="2" t="s">
        <v>26</v>
      </c>
      <c r="D1380" s="2" t="s">
        <v>27</v>
      </c>
      <c r="E1380" s="4">
        <v>-32543</v>
      </c>
      <c r="F1380" s="3" t="s">
        <v>69</v>
      </c>
      <c r="G1380" s="3" t="s">
        <v>84</v>
      </c>
      <c r="H1380" s="2" t="s">
        <v>74</v>
      </c>
      <c r="I1380" s="2" t="s">
        <v>3972</v>
      </c>
      <c r="J1380" s="3" t="str">
        <f>HYPERLINK("https://www.boe.es/gazeta/dias/1810/11/24/pdfs/GEI-1810-99.pdf#page=7","Abrir facsímil")</f>
        <v>Abrir facsímil</v>
      </c>
      <c r="K1380" s="3" t="s">
        <v>76</v>
      </c>
    </row>
    <row r="1381" spans="1:11" ht="42" customHeight="1">
      <c r="A1381" s="2" t="s">
        <v>3973</v>
      </c>
      <c r="B1381" s="2" t="s">
        <v>3974</v>
      </c>
      <c r="C1381" s="2" t="s">
        <v>33</v>
      </c>
      <c r="D1381" s="2" t="s">
        <v>27</v>
      </c>
      <c r="E1381" s="4">
        <v>-32545</v>
      </c>
      <c r="F1381" s="3" t="s">
        <v>165</v>
      </c>
      <c r="G1381" s="3" t="s">
        <v>166</v>
      </c>
      <c r="H1381" s="2" t="s">
        <v>74</v>
      </c>
      <c r="I1381" s="2" t="s">
        <v>3975</v>
      </c>
      <c r="J1381" s="3" t="str">
        <f>HYPERLINK("https://www.boe.es/gazeta/dias/1810/11/22/pdfs/GEI-1810-98.pdf#page=8","Abrir facsímil")</f>
        <v>Abrir facsímil</v>
      </c>
      <c r="K1381" s="3" t="s">
        <v>76</v>
      </c>
    </row>
    <row r="1382" spans="1:11" ht="42" customHeight="1">
      <c r="A1382" s="2" t="s">
        <v>3976</v>
      </c>
      <c r="B1382" s="2" t="s">
        <v>3977</v>
      </c>
      <c r="C1382" s="2" t="s">
        <v>195</v>
      </c>
      <c r="D1382" s="2" t="s">
        <v>27</v>
      </c>
      <c r="E1382" s="4">
        <v>-32756</v>
      </c>
      <c r="F1382" s="3" t="s">
        <v>203</v>
      </c>
      <c r="G1382" s="3" t="s">
        <v>180</v>
      </c>
      <c r="H1382" s="2" t="s">
        <v>74</v>
      </c>
      <c r="I1382" s="2" t="s">
        <v>3978</v>
      </c>
      <c r="J1382" s="3" t="str">
        <f>HYPERLINK("https://www.boe.es/gazeta/dias/1810/04/25/pdfs/GMD-1810-115.pdf#page=4","Abrir facsímil")</f>
        <v>Abrir facsímil</v>
      </c>
      <c r="K1382" s="3" t="s">
        <v>76</v>
      </c>
    </row>
    <row r="1383" spans="1:11" ht="42" customHeight="1">
      <c r="A1383" s="2" t="s">
        <v>3979</v>
      </c>
      <c r="B1383" s="2" t="s">
        <v>3980</v>
      </c>
      <c r="C1383" s="2" t="s">
        <v>26</v>
      </c>
      <c r="D1383" s="2" t="s">
        <v>39</v>
      </c>
      <c r="E1383" s="4">
        <v>-32702</v>
      </c>
      <c r="F1383" s="3" t="s">
        <v>179</v>
      </c>
      <c r="G1383" s="3" t="s">
        <v>180</v>
      </c>
      <c r="H1383" s="2" t="s">
        <v>74</v>
      </c>
      <c r="I1383" s="2" t="s">
        <v>3981</v>
      </c>
      <c r="J1383" s="3" t="str">
        <f>HYPERLINK("https://www.boe.es/gazeta/dias/1810/06/18/pdfs/GMD-C-1810-169.pdf#page=2","Abrir facsímil")</f>
        <v>Abrir facsímil</v>
      </c>
      <c r="K1383" s="3" t="s">
        <v>76</v>
      </c>
    </row>
    <row r="1384" spans="1:11" ht="42" customHeight="1">
      <c r="A1384" s="2" t="s">
        <v>3982</v>
      </c>
      <c r="B1384" s="2" t="s">
        <v>3983</v>
      </c>
      <c r="C1384" s="2" t="s">
        <v>26</v>
      </c>
      <c r="D1384" s="2" t="s">
        <v>27</v>
      </c>
      <c r="E1384" s="4">
        <v>-32689</v>
      </c>
      <c r="F1384" s="3" t="s">
        <v>571</v>
      </c>
      <c r="G1384" s="3" t="s">
        <v>140</v>
      </c>
      <c r="H1384" s="2" t="s">
        <v>74</v>
      </c>
      <c r="I1384" s="2" t="s">
        <v>3984</v>
      </c>
      <c r="J1384" s="3" t="str">
        <f>HYPERLINK("https://www.boe.es/gazeta/dias/1810/07/01/pdfs/GMD-1810-182.pdf#page=4","Abrir facsímil")</f>
        <v>Abrir facsímil</v>
      </c>
      <c r="K1384" s="3" t="s">
        <v>76</v>
      </c>
    </row>
    <row r="1385" spans="1:11" ht="42" customHeight="1">
      <c r="A1385" s="2" t="s">
        <v>3985</v>
      </c>
      <c r="B1385" s="2" t="s">
        <v>3986</v>
      </c>
      <c r="C1385" s="2" t="s">
        <v>26</v>
      </c>
      <c r="D1385" s="2" t="s">
        <v>39</v>
      </c>
      <c r="E1385" s="4">
        <v>-32701</v>
      </c>
      <c r="F1385" s="3" t="s">
        <v>40</v>
      </c>
      <c r="G1385" s="3" t="s">
        <v>41</v>
      </c>
      <c r="H1385" s="2" t="s">
        <v>74</v>
      </c>
      <c r="I1385" s="2" t="s">
        <v>3987</v>
      </c>
      <c r="J1385" s="3" t="str">
        <f>HYPERLINK("https://www.boe.es/gazeta/dias/1810/06/19/pdfs/GMD-C-1810-170.pdf#page=3","Abrir facsímil")</f>
        <v>Abrir facsímil</v>
      </c>
      <c r="K1385" s="3" t="s">
        <v>76</v>
      </c>
    </row>
    <row r="1386" spans="1:11" ht="42" customHeight="1">
      <c r="A1386" s="2" t="s">
        <v>3988</v>
      </c>
      <c r="B1386" s="2" t="s">
        <v>3988</v>
      </c>
      <c r="C1386" s="2" t="s">
        <v>26</v>
      </c>
      <c r="D1386" s="2" t="s">
        <v>27</v>
      </c>
      <c r="E1386" s="4">
        <v>-32654</v>
      </c>
      <c r="F1386" s="3" t="s">
        <v>1226</v>
      </c>
      <c r="G1386" s="3" t="s">
        <v>151</v>
      </c>
      <c r="H1386" s="2" t="s">
        <v>74</v>
      </c>
      <c r="I1386" s="2" t="s">
        <v>3989</v>
      </c>
      <c r="J1386" s="3" t="str">
        <f>HYPERLINK("https://www.boe.es/gazeta/dias/1810/08/05/pdfs/GMD-1810-217.pdf#page=2","Abrir facsímil")</f>
        <v>Abrir facsímil</v>
      </c>
      <c r="K1386" s="3" t="s">
        <v>76</v>
      </c>
    </row>
    <row r="1387" spans="1:11" ht="42" customHeight="1">
      <c r="A1387" s="2" t="s">
        <v>3990</v>
      </c>
      <c r="B1387" s="2" t="s">
        <v>3991</v>
      </c>
      <c r="C1387" s="2" t="s">
        <v>26</v>
      </c>
      <c r="D1387" s="2" t="s">
        <v>39</v>
      </c>
      <c r="E1387" s="4">
        <v>-32702</v>
      </c>
      <c r="F1387" s="3" t="s">
        <v>179</v>
      </c>
      <c r="G1387" s="3" t="s">
        <v>119</v>
      </c>
      <c r="H1387" s="2" t="s">
        <v>74</v>
      </c>
      <c r="I1387" s="2" t="s">
        <v>3992</v>
      </c>
      <c r="J1387" s="3" t="str">
        <f>HYPERLINK("https://www.boe.es/gazeta/dias/1810/06/18/pdfs/GMD-C-1810-169.pdf#page=1","Abrir facsímil")</f>
        <v>Abrir facsímil</v>
      </c>
      <c r="K1387" s="3" t="s">
        <v>76</v>
      </c>
    </row>
    <row r="1388" spans="1:11" ht="42" customHeight="1">
      <c r="A1388" s="2" t="s">
        <v>3990</v>
      </c>
      <c r="B1388" s="2" t="s">
        <v>3991</v>
      </c>
      <c r="C1388" s="2" t="s">
        <v>26</v>
      </c>
      <c r="D1388" s="2" t="s">
        <v>39</v>
      </c>
      <c r="E1388" s="4">
        <v>-32661</v>
      </c>
      <c r="F1388" s="3" t="s">
        <v>157</v>
      </c>
      <c r="G1388" s="3" t="s">
        <v>158</v>
      </c>
      <c r="H1388" s="2" t="s">
        <v>74</v>
      </c>
      <c r="I1388" s="2" t="s">
        <v>3993</v>
      </c>
      <c r="J1388" s="3" t="str">
        <f>HYPERLINK("https://www.boe.es/gazeta/dias/1810/07/29/pdfs/GMD-C-1810-210.pdf#page=1","Abrir facsímil")</f>
        <v>Abrir facsímil</v>
      </c>
      <c r="K1388" s="3" t="s">
        <v>76</v>
      </c>
    </row>
    <row r="1389" spans="1:11" ht="42" customHeight="1">
      <c r="A1389" s="2" t="s">
        <v>3990</v>
      </c>
      <c r="B1389" s="2" t="s">
        <v>3991</v>
      </c>
      <c r="C1389" s="2" t="s">
        <v>26</v>
      </c>
      <c r="D1389" s="2" t="s">
        <v>39</v>
      </c>
      <c r="E1389" s="4">
        <v>-32661</v>
      </c>
      <c r="F1389" s="3" t="s">
        <v>157</v>
      </c>
      <c r="G1389" s="3" t="s">
        <v>592</v>
      </c>
      <c r="H1389" s="2" t="s">
        <v>74</v>
      </c>
      <c r="I1389" s="2" t="s">
        <v>3994</v>
      </c>
      <c r="J1389" s="3" t="str">
        <f>HYPERLINK("https://www.boe.es/gazeta/dias/1810/07/29/pdfs/GMD-C-1810-210.pdf#page=2","Abrir facsímil")</f>
        <v>Abrir facsímil</v>
      </c>
      <c r="K1389" s="3" t="s">
        <v>76</v>
      </c>
    </row>
    <row r="1390" spans="1:11" ht="42" customHeight="1">
      <c r="A1390" s="2" t="s">
        <v>3995</v>
      </c>
      <c r="B1390" s="2" t="s">
        <v>3996</v>
      </c>
      <c r="C1390" s="2" t="s">
        <v>26</v>
      </c>
      <c r="D1390" s="2" t="s">
        <v>39</v>
      </c>
      <c r="E1390" s="4">
        <v>-32701</v>
      </c>
      <c r="F1390" s="3" t="s">
        <v>40</v>
      </c>
      <c r="G1390" s="3" t="s">
        <v>41</v>
      </c>
      <c r="H1390" s="2" t="s">
        <v>74</v>
      </c>
      <c r="I1390" s="2" t="s">
        <v>3997</v>
      </c>
      <c r="J1390" s="3" t="str">
        <f>HYPERLINK("https://www.boe.es/gazeta/dias/1810/06/19/pdfs/GMD-C-1810-170.pdf#page=3","Abrir facsímil")</f>
        <v>Abrir facsímil</v>
      </c>
      <c r="K1390" s="3" t="s">
        <v>76</v>
      </c>
    </row>
    <row r="1391" spans="1:11" ht="42" customHeight="1">
      <c r="A1391" s="2" t="s">
        <v>3998</v>
      </c>
      <c r="B1391" s="2" t="s">
        <v>3999</v>
      </c>
      <c r="C1391" s="2" t="s">
        <v>26</v>
      </c>
      <c r="D1391" s="2" t="s">
        <v>39</v>
      </c>
      <c r="E1391" s="4">
        <v>-32701</v>
      </c>
      <c r="F1391" s="3" t="s">
        <v>40</v>
      </c>
      <c r="G1391" s="3" t="s">
        <v>333</v>
      </c>
      <c r="H1391" s="2" t="s">
        <v>74</v>
      </c>
      <c r="I1391" s="2" t="s">
        <v>4000</v>
      </c>
      <c r="J1391" s="3" t="str">
        <f>HYPERLINK("https://www.boe.es/gazeta/dias/1810/06/19/pdfs/GMD-C-1810-170.pdf#page=4","Abrir facsímil")</f>
        <v>Abrir facsímil</v>
      </c>
      <c r="K1391" s="3" t="s">
        <v>76</v>
      </c>
    </row>
    <row r="1392" spans="1:11" ht="42" customHeight="1">
      <c r="A1392" s="2" t="s">
        <v>4001</v>
      </c>
      <c r="B1392" s="2" t="s">
        <v>4002</v>
      </c>
      <c r="C1392" s="2" t="s">
        <v>26</v>
      </c>
      <c r="D1392" s="2" t="s">
        <v>27</v>
      </c>
      <c r="E1392" s="4">
        <v>-32783</v>
      </c>
      <c r="F1392" s="3" t="s">
        <v>896</v>
      </c>
      <c r="G1392" s="3" t="s">
        <v>20</v>
      </c>
      <c r="H1392" s="2" t="s">
        <v>74</v>
      </c>
      <c r="I1392" s="2" t="s">
        <v>4003</v>
      </c>
      <c r="J1392" s="3" t="str">
        <f>HYPERLINK("https://www.boe.es/gazeta/dias/1810/03/29/pdfs/GMD-1810-88.pdf#page=4","Abrir facsímil")</f>
        <v>Abrir facsímil</v>
      </c>
      <c r="K1392" s="3" t="s">
        <v>76</v>
      </c>
    </row>
    <row r="1393" spans="1:11" ht="42" customHeight="1">
      <c r="A1393" s="2" t="s">
        <v>4004</v>
      </c>
      <c r="B1393" s="2" t="s">
        <v>4005</v>
      </c>
      <c r="C1393" s="2" t="s">
        <v>88</v>
      </c>
      <c r="D1393" s="2" t="s">
        <v>27</v>
      </c>
      <c r="E1393" s="4">
        <v>-32510</v>
      </c>
      <c r="F1393" s="3" t="s">
        <v>1955</v>
      </c>
      <c r="G1393" s="3" t="s">
        <v>4006</v>
      </c>
      <c r="H1393" s="2" t="s">
        <v>74</v>
      </c>
      <c r="I1393" s="2" t="s">
        <v>4007</v>
      </c>
      <c r="J1393" s="3" t="str">
        <f>HYPERLINK("https://www.boe.es/gazeta/dias/1810/12/27/pdfs/GEI-1810-113.pdf#page=3","Abrir facsímil")</f>
        <v>Abrir facsímil</v>
      </c>
      <c r="K1393" s="3" t="s">
        <v>76</v>
      </c>
    </row>
    <row r="1394" spans="1:11" ht="42" customHeight="1">
      <c r="A1394" s="2" t="s">
        <v>4008</v>
      </c>
      <c r="B1394" s="2" t="s">
        <v>4009</v>
      </c>
      <c r="C1394" s="2" t="s">
        <v>26</v>
      </c>
      <c r="D1394" s="2" t="s">
        <v>39</v>
      </c>
      <c r="E1394" s="4">
        <v>-32642</v>
      </c>
      <c r="F1394" s="3" t="s">
        <v>2273</v>
      </c>
      <c r="G1394" s="3" t="s">
        <v>274</v>
      </c>
      <c r="H1394" s="2" t="s">
        <v>74</v>
      </c>
      <c r="I1394" s="2" t="s">
        <v>4010</v>
      </c>
      <c r="J1394" s="3" t="str">
        <f>HYPERLINK("https://www.boe.es/gazeta/dias/1810/08/17/pdfs/GEI-D-1810-57.pdf#page=8","Abrir facsímil")</f>
        <v>Abrir facsímil</v>
      </c>
      <c r="K1394" s="3" t="s">
        <v>76</v>
      </c>
    </row>
    <row r="1395" spans="1:11" ht="42" customHeight="1">
      <c r="A1395" s="2" t="s">
        <v>4011</v>
      </c>
      <c r="B1395" s="2" t="s">
        <v>4012</v>
      </c>
      <c r="C1395" s="2" t="s">
        <v>930</v>
      </c>
      <c r="D1395" s="2" t="s">
        <v>27</v>
      </c>
      <c r="E1395" s="4">
        <v>-32543</v>
      </c>
      <c r="F1395" s="3" t="s">
        <v>69</v>
      </c>
      <c r="G1395" s="3" t="s">
        <v>84</v>
      </c>
      <c r="H1395" s="2" t="s">
        <v>74</v>
      </c>
      <c r="I1395" s="2" t="s">
        <v>4013</v>
      </c>
      <c r="J1395" s="3" t="str">
        <f>HYPERLINK("https://www.boe.es/gazeta/dias/1810/11/24/pdfs/GEI-1810-99.pdf#page=7","Abrir facsímil")</f>
        <v>Abrir facsímil</v>
      </c>
      <c r="K1395" s="3" t="s">
        <v>76</v>
      </c>
    </row>
    <row r="1396" spans="1:11" ht="42" customHeight="1">
      <c r="A1396" s="2" t="s">
        <v>4014</v>
      </c>
      <c r="B1396" s="2" t="s">
        <v>4015</v>
      </c>
      <c r="C1396" s="2" t="s">
        <v>88</v>
      </c>
      <c r="D1396" s="2" t="s">
        <v>27</v>
      </c>
      <c r="E1396" s="4">
        <v>-32510</v>
      </c>
      <c r="F1396" s="3" t="s">
        <v>1955</v>
      </c>
      <c r="G1396" s="3" t="s">
        <v>140</v>
      </c>
      <c r="H1396" s="2" t="s">
        <v>74</v>
      </c>
      <c r="I1396" s="2" t="s">
        <v>4016</v>
      </c>
      <c r="J1396" s="3" t="str">
        <f>HYPERLINK("https://www.boe.es/gazeta/dias/1810/12/27/pdfs/GEI-1810-113.pdf#page=8","Abrir facsímil")</f>
        <v>Abrir facsímil</v>
      </c>
      <c r="K1396" s="3" t="s">
        <v>76</v>
      </c>
    </row>
    <row r="1397" spans="1:11" ht="42" customHeight="1">
      <c r="A1397" s="2" t="s">
        <v>4017</v>
      </c>
      <c r="B1397" s="2" t="s">
        <v>4018</v>
      </c>
      <c r="C1397" s="2" t="s">
        <v>26</v>
      </c>
      <c r="D1397" s="2" t="s">
        <v>18</v>
      </c>
      <c r="E1397" s="4">
        <v>-32601</v>
      </c>
      <c r="F1397" s="3" t="s">
        <v>392</v>
      </c>
      <c r="G1397" s="3" t="s">
        <v>35</v>
      </c>
      <c r="H1397" s="2" t="s">
        <v>74</v>
      </c>
      <c r="I1397" s="2" t="s">
        <v>4019</v>
      </c>
      <c r="J1397" s="3" t="str">
        <f>HYPERLINK("https://www.boe.es/gazeta/dias/1810/09/27/pdfs/GEI-1810-74E.pdf#page=2","Abrir facsímil")</f>
        <v>Abrir facsímil</v>
      </c>
      <c r="K1397" s="3" t="s">
        <v>76</v>
      </c>
    </row>
    <row r="1398" spans="1:11" ht="42" customHeight="1">
      <c r="A1398" s="2" t="s">
        <v>4020</v>
      </c>
      <c r="B1398" s="2" t="s">
        <v>4021</v>
      </c>
      <c r="C1398" s="2" t="s">
        <v>88</v>
      </c>
      <c r="D1398" s="2" t="s">
        <v>117</v>
      </c>
      <c r="E1398" s="4">
        <v>-32631</v>
      </c>
      <c r="F1398" s="3" t="s">
        <v>497</v>
      </c>
      <c r="G1398" s="3" t="s">
        <v>498</v>
      </c>
      <c r="H1398" s="2" t="s">
        <v>74</v>
      </c>
      <c r="I1398" s="2" t="s">
        <v>4022</v>
      </c>
      <c r="J1398" s="3" t="str">
        <f>HYPERLINK("https://www.boe.es/gazeta/dias/1810/08/28/pdfs/GMD-1810-240.pdf#page=2","Abrir facsímil")</f>
        <v>Abrir facsímil</v>
      </c>
      <c r="K1398" s="3" t="s">
        <v>76</v>
      </c>
    </row>
    <row r="1399" spans="1:11" ht="42" customHeight="1">
      <c r="A1399" s="2" t="s">
        <v>4023</v>
      </c>
      <c r="B1399" s="2" t="s">
        <v>4024</v>
      </c>
      <c r="C1399" s="2" t="s">
        <v>17</v>
      </c>
      <c r="D1399" s="2" t="s">
        <v>27</v>
      </c>
      <c r="E1399" s="4">
        <v>-32691</v>
      </c>
      <c r="F1399" s="3" t="s">
        <v>727</v>
      </c>
      <c r="G1399" s="3" t="s">
        <v>807</v>
      </c>
      <c r="H1399" s="2" t="s">
        <v>74</v>
      </c>
      <c r="I1399" s="2" t="s">
        <v>4025</v>
      </c>
      <c r="J1399" s="3" t="str">
        <f>HYPERLINK("https://www.boe.es/gazeta/dias/1810/06/29/pdfs/GMD-1810-180.pdf#page=3","Abrir facsímil")</f>
        <v>Abrir facsímil</v>
      </c>
      <c r="K1399" s="3" t="s">
        <v>76</v>
      </c>
    </row>
    <row r="1400" spans="1:11" ht="42" customHeight="1">
      <c r="A1400" s="2" t="s">
        <v>4026</v>
      </c>
      <c r="B1400" s="2" t="s">
        <v>4027</v>
      </c>
      <c r="C1400" s="2" t="s">
        <v>26</v>
      </c>
      <c r="D1400" s="2" t="s">
        <v>27</v>
      </c>
      <c r="E1400" s="4">
        <v>-32584</v>
      </c>
      <c r="F1400" s="3" t="s">
        <v>1560</v>
      </c>
      <c r="G1400" s="3" t="s">
        <v>971</v>
      </c>
      <c r="H1400" s="2" t="s">
        <v>74</v>
      </c>
      <c r="I1400" s="2" t="s">
        <v>4028</v>
      </c>
      <c r="J1400" s="3" t="str">
        <f>HYPERLINK("https://www.boe.es/gazeta/dias/1810/10/14/pdfs/GMD-1810-287.pdf#page=3","Abrir facsímil")</f>
        <v>Abrir facsímil</v>
      </c>
      <c r="K1400" s="3" t="s">
        <v>76</v>
      </c>
    </row>
    <row r="1401" spans="1:11" ht="42" customHeight="1">
      <c r="A1401" s="2" t="s">
        <v>4029</v>
      </c>
      <c r="B1401" s="2" t="s">
        <v>4030</v>
      </c>
      <c r="C1401" s="2" t="s">
        <v>26</v>
      </c>
      <c r="D1401" s="2" t="s">
        <v>27</v>
      </c>
      <c r="E1401" s="4">
        <v>-32515</v>
      </c>
      <c r="F1401" s="3" t="s">
        <v>351</v>
      </c>
      <c r="G1401" s="3" t="s">
        <v>352</v>
      </c>
      <c r="H1401" s="2" t="s">
        <v>74</v>
      </c>
      <c r="I1401" s="2" t="s">
        <v>4031</v>
      </c>
      <c r="J1401" s="3" t="str">
        <f>HYPERLINK("https://www.boe.es/gazeta/dias/1810/12/22/pdfs/GEI-1810-111.pdf#page=8","Abrir facsímil")</f>
        <v>Abrir facsímil</v>
      </c>
      <c r="K1401" s="3" t="s">
        <v>76</v>
      </c>
    </row>
    <row r="1402" spans="1:11" ht="42" customHeight="1">
      <c r="A1402" s="2" t="s">
        <v>4032</v>
      </c>
      <c r="B1402" s="2" t="s">
        <v>4033</v>
      </c>
      <c r="C1402" s="2" t="s">
        <v>26</v>
      </c>
      <c r="D1402" s="2" t="s">
        <v>39</v>
      </c>
      <c r="E1402" s="4">
        <v>-32661</v>
      </c>
      <c r="F1402" s="3" t="s">
        <v>157</v>
      </c>
      <c r="G1402" s="3" t="s">
        <v>592</v>
      </c>
      <c r="H1402" s="2" t="s">
        <v>74</v>
      </c>
      <c r="I1402" s="2" t="s">
        <v>4034</v>
      </c>
      <c r="J1402" s="3" t="str">
        <f>HYPERLINK("https://www.boe.es/gazeta/dias/1810/07/29/pdfs/GMD-C-1810-210.pdf#page=2","Abrir facsímil")</f>
        <v>Abrir facsímil</v>
      </c>
      <c r="K1402" s="3" t="s">
        <v>76</v>
      </c>
    </row>
    <row r="1403" spans="1:11" ht="42" customHeight="1">
      <c r="A1403" s="2" t="s">
        <v>4035</v>
      </c>
      <c r="B1403" s="2" t="s">
        <v>4036</v>
      </c>
      <c r="C1403" s="2" t="s">
        <v>88</v>
      </c>
      <c r="D1403" s="2" t="s">
        <v>117</v>
      </c>
      <c r="E1403" s="4">
        <v>-32764</v>
      </c>
      <c r="F1403" s="3" t="s">
        <v>640</v>
      </c>
      <c r="G1403" s="3" t="s">
        <v>641</v>
      </c>
      <c r="H1403" s="2" t="s">
        <v>74</v>
      </c>
      <c r="I1403" s="2" t="s">
        <v>4037</v>
      </c>
      <c r="J1403" s="3" t="str">
        <f>HYPERLINK("https://www.boe.es/gazeta/dias/1810/04/17/pdfs/GEI-1810-15.pdf#page=8","Abrir facsímil")</f>
        <v>Abrir facsímil</v>
      </c>
      <c r="K1403" s="3" t="s">
        <v>76</v>
      </c>
    </row>
    <row r="1404" spans="1:11" ht="42" customHeight="1">
      <c r="A1404" s="2" t="s">
        <v>4038</v>
      </c>
      <c r="B1404" s="2" t="s">
        <v>4039</v>
      </c>
      <c r="C1404" s="2" t="s">
        <v>26</v>
      </c>
      <c r="D1404" s="2" t="s">
        <v>27</v>
      </c>
      <c r="E1404" s="4">
        <v>-32562</v>
      </c>
      <c r="F1404" s="3" t="s">
        <v>1186</v>
      </c>
      <c r="G1404" s="3" t="s">
        <v>29</v>
      </c>
      <c r="H1404" s="2" t="s">
        <v>74</v>
      </c>
      <c r="I1404" s="2" t="s">
        <v>4040</v>
      </c>
      <c r="J1404" s="3" t="str">
        <f>HYPERLINK("https://www.boe.es/gazeta/dias/1810/11/05/pdfs/GMD-1810-309.pdf#page=2","Abrir facsímil")</f>
        <v>Abrir facsímil</v>
      </c>
      <c r="K1404" s="3" t="s">
        <v>76</v>
      </c>
    </row>
    <row r="1405" spans="1:11" ht="42" customHeight="1">
      <c r="A1405" s="2" t="s">
        <v>4041</v>
      </c>
      <c r="B1405" s="2" t="s">
        <v>4042</v>
      </c>
      <c r="C1405" s="2" t="s">
        <v>26</v>
      </c>
      <c r="D1405" s="2" t="s">
        <v>27</v>
      </c>
      <c r="E1405" s="4">
        <v>-32647</v>
      </c>
      <c r="F1405" s="3" t="s">
        <v>118</v>
      </c>
      <c r="G1405" s="3" t="s">
        <v>20</v>
      </c>
      <c r="H1405" s="2" t="s">
        <v>74</v>
      </c>
      <c r="I1405" s="2" t="s">
        <v>4043</v>
      </c>
      <c r="J1405" s="3" t="str">
        <f>HYPERLINK("https://www.boe.es/gazeta/dias/1810/08/12/pdfs/GMD-1810-224.pdf#page=4","Abrir facsímil")</f>
        <v>Abrir facsímil</v>
      </c>
      <c r="K1405" s="3" t="s">
        <v>76</v>
      </c>
    </row>
    <row r="1406" spans="1:11" ht="42" customHeight="1">
      <c r="A1406" s="2" t="s">
        <v>4044</v>
      </c>
      <c r="B1406" s="2" t="s">
        <v>4045</v>
      </c>
      <c r="C1406" s="2" t="s">
        <v>33</v>
      </c>
      <c r="D1406" s="2" t="s">
        <v>27</v>
      </c>
      <c r="E1406" s="4">
        <v>-32757</v>
      </c>
      <c r="F1406" s="3" t="s">
        <v>1136</v>
      </c>
      <c r="G1406" s="3" t="s">
        <v>1901</v>
      </c>
      <c r="H1406" s="2" t="s">
        <v>74</v>
      </c>
      <c r="I1406" s="2" t="s">
        <v>4046</v>
      </c>
      <c r="J1406" s="3" t="str">
        <f>HYPERLINK("https://www.boe.es/gazeta/dias/1810/04/24/pdfs/GEI-1810-17.pdf#page=8","Abrir facsímil")</f>
        <v>Abrir facsímil</v>
      </c>
      <c r="K1406" s="3" t="s">
        <v>76</v>
      </c>
    </row>
    <row r="1407" spans="1:11" ht="42" customHeight="1">
      <c r="A1407" s="2" t="s">
        <v>4047</v>
      </c>
      <c r="B1407" s="2" t="s">
        <v>4048</v>
      </c>
      <c r="C1407" s="2" t="s">
        <v>111</v>
      </c>
      <c r="D1407" s="2" t="s">
        <v>18</v>
      </c>
      <c r="E1407" s="4">
        <v>-32515</v>
      </c>
      <c r="F1407" s="3" t="s">
        <v>351</v>
      </c>
      <c r="G1407" s="3" t="s">
        <v>352</v>
      </c>
      <c r="H1407" s="2" t="s">
        <v>21</v>
      </c>
      <c r="I1407" s="2" t="s">
        <v>4049</v>
      </c>
      <c r="J1407" s="3" t="str">
        <f>HYPERLINK("https://www.boe.es/gazeta/dias/1810/12/22/pdfs/GEI-1810-111.pdf#page=8","Abrir facsímil")</f>
        <v>Abrir facsímil</v>
      </c>
      <c r="K1407" s="3" t="s">
        <v>23</v>
      </c>
    </row>
    <row r="1408" spans="1:11" ht="42" customHeight="1">
      <c r="A1408" s="2" t="s">
        <v>4050</v>
      </c>
      <c r="B1408" s="2" t="s">
        <v>4051</v>
      </c>
      <c r="C1408" s="2" t="s">
        <v>26</v>
      </c>
      <c r="D1408" s="2" t="s">
        <v>27</v>
      </c>
      <c r="E1408" s="4">
        <v>-32803</v>
      </c>
      <c r="F1408" s="3" t="s">
        <v>4052</v>
      </c>
      <c r="G1408" s="3" t="s">
        <v>695</v>
      </c>
      <c r="H1408" s="2" t="s">
        <v>74</v>
      </c>
      <c r="I1408" s="2" t="s">
        <v>4053</v>
      </c>
      <c r="J1408" s="3" t="str">
        <f>HYPERLINK("https://www.boe.es/gazeta/dias/1810/03/09/pdfs/GMD-1810-68.pdf#page=4","Abrir facsímil")</f>
        <v>Abrir facsímil</v>
      </c>
      <c r="K1408" s="3" t="s">
        <v>76</v>
      </c>
    </row>
    <row r="1409" spans="1:11" ht="42" customHeight="1">
      <c r="A1409" s="2" t="s">
        <v>4054</v>
      </c>
      <c r="B1409" s="2" t="s">
        <v>4054</v>
      </c>
      <c r="C1409" s="2" t="s">
        <v>26</v>
      </c>
      <c r="D1409" s="2" t="s">
        <v>39</v>
      </c>
      <c r="E1409" s="4">
        <v>-32659</v>
      </c>
      <c r="F1409" s="3" t="s">
        <v>1304</v>
      </c>
      <c r="G1409" s="3" t="s">
        <v>84</v>
      </c>
      <c r="H1409" s="2" t="s">
        <v>74</v>
      </c>
      <c r="I1409" s="2" t="s">
        <v>4055</v>
      </c>
      <c r="J1409" s="3" t="str">
        <f>HYPERLINK("https://www.boe.es/gazeta/dias/1810/07/31/pdfs/GMD-C-1810-212.pdf#page=1","Abrir facsímil")</f>
        <v>Abrir facsímil</v>
      </c>
      <c r="K1409" s="3" t="s">
        <v>76</v>
      </c>
    </row>
    <row r="1410" spans="1:11" ht="42" customHeight="1">
      <c r="A1410" s="2" t="s">
        <v>4056</v>
      </c>
      <c r="B1410" s="2" t="s">
        <v>4056</v>
      </c>
      <c r="C1410" s="2" t="s">
        <v>88</v>
      </c>
      <c r="D1410" s="2" t="s">
        <v>117</v>
      </c>
      <c r="E1410" s="4">
        <v>-32677</v>
      </c>
      <c r="F1410" s="3" t="s">
        <v>549</v>
      </c>
      <c r="G1410" s="3" t="s">
        <v>1540</v>
      </c>
      <c r="H1410" s="2" t="s">
        <v>74</v>
      </c>
      <c r="I1410" s="2" t="s">
        <v>4057</v>
      </c>
      <c r="J1410" s="3" t="str">
        <f>HYPERLINK("https://www.boe.es/gazeta/dias/1810/07/13/pdfs/GEI-D-1810-44.pdf#page=6","Abrir facsímil")</f>
        <v>Abrir facsímil</v>
      </c>
      <c r="K1410" s="3" t="s">
        <v>76</v>
      </c>
    </row>
    <row r="1411" spans="1:11" ht="42" customHeight="1">
      <c r="A1411" s="2" t="s">
        <v>4058</v>
      </c>
      <c r="B1411" s="2" t="s">
        <v>4059</v>
      </c>
      <c r="C1411" s="2" t="s">
        <v>26</v>
      </c>
      <c r="D1411" s="2" t="s">
        <v>27</v>
      </c>
      <c r="E1411" s="4">
        <v>-32659</v>
      </c>
      <c r="F1411" s="3" t="s">
        <v>1684</v>
      </c>
      <c r="G1411" s="3" t="s">
        <v>29</v>
      </c>
      <c r="H1411" s="2" t="s">
        <v>74</v>
      </c>
      <c r="I1411" s="2" t="s">
        <v>4060</v>
      </c>
      <c r="J1411" s="3" t="str">
        <f>HYPERLINK("https://www.boe.es/gazeta/dias/1810/07/31/pdfs/GMD-1810-212.pdf#page=4","Abrir facsímil")</f>
        <v>Abrir facsímil</v>
      </c>
      <c r="K1411" s="3" t="s">
        <v>76</v>
      </c>
    </row>
    <row r="1412" spans="1:11" ht="42" customHeight="1">
      <c r="A1412" s="2" t="s">
        <v>4061</v>
      </c>
      <c r="B1412" s="2" t="s">
        <v>4061</v>
      </c>
      <c r="C1412" s="2" t="s">
        <v>88</v>
      </c>
      <c r="D1412" s="2" t="s">
        <v>27</v>
      </c>
      <c r="E1412" s="4">
        <v>-32664</v>
      </c>
      <c r="F1412" s="3" t="s">
        <v>618</v>
      </c>
      <c r="G1412" s="3" t="s">
        <v>1985</v>
      </c>
      <c r="H1412" s="2" t="s">
        <v>74</v>
      </c>
      <c r="I1412" s="2" t="s">
        <v>4062</v>
      </c>
      <c r="J1412" s="3" t="str">
        <f>HYPERLINK("https://www.boe.es/gazeta/dias/1810/07/26/pdfs/GMD-1810-207.pdf#page=4","Abrir facsímil")</f>
        <v>Abrir facsímil</v>
      </c>
      <c r="K1412" s="3" t="s">
        <v>76</v>
      </c>
    </row>
    <row r="1413" spans="1:11" ht="42" customHeight="1">
      <c r="A1413" s="2" t="s">
        <v>4063</v>
      </c>
      <c r="B1413" s="2" t="s">
        <v>4063</v>
      </c>
      <c r="C1413" s="2" t="s">
        <v>88</v>
      </c>
      <c r="D1413" s="2" t="s">
        <v>27</v>
      </c>
      <c r="E1413" s="4">
        <v>-32740</v>
      </c>
      <c r="F1413" s="3" t="s">
        <v>721</v>
      </c>
      <c r="G1413" s="3" t="s">
        <v>1633</v>
      </c>
      <c r="H1413" s="2" t="s">
        <v>74</v>
      </c>
      <c r="I1413" s="2" t="s">
        <v>4064</v>
      </c>
      <c r="J1413" s="3" t="str">
        <f>HYPERLINK("https://www.boe.es/gazeta/dias/1810/05/11/pdfs/GEI-1810-24.pdf#page=4","Abrir facsímil")</f>
        <v>Abrir facsímil</v>
      </c>
      <c r="K1413" s="3" t="s">
        <v>76</v>
      </c>
    </row>
    <row r="1414" spans="1:11" ht="42" customHeight="1">
      <c r="A1414" s="2" t="s">
        <v>4065</v>
      </c>
      <c r="B1414" s="2" t="s">
        <v>4066</v>
      </c>
      <c r="C1414" s="2" t="s">
        <v>26</v>
      </c>
      <c r="D1414" s="2" t="s">
        <v>27</v>
      </c>
      <c r="E1414" s="4">
        <v>-32735</v>
      </c>
      <c r="F1414" s="3" t="s">
        <v>612</v>
      </c>
      <c r="G1414" s="3" t="s">
        <v>359</v>
      </c>
      <c r="H1414" s="2" t="s">
        <v>74</v>
      </c>
      <c r="I1414" s="2" t="s">
        <v>4067</v>
      </c>
      <c r="J1414" s="3" t="str">
        <f>HYPERLINK("https://www.boe.es/gazeta/dias/1810/05/16/pdfs/GMD-1810-136.pdf#page=3","Abrir facsímil")</f>
        <v>Abrir facsímil</v>
      </c>
      <c r="K1414" s="3" t="s">
        <v>76</v>
      </c>
    </row>
    <row r="1415" spans="1:11" ht="42" customHeight="1">
      <c r="A1415" s="2" t="s">
        <v>4068</v>
      </c>
      <c r="B1415" s="2" t="s">
        <v>4069</v>
      </c>
      <c r="C1415" s="2" t="s">
        <v>88</v>
      </c>
      <c r="D1415" s="2" t="s">
        <v>117</v>
      </c>
      <c r="E1415" s="4">
        <v>-32729</v>
      </c>
      <c r="F1415" s="3" t="s">
        <v>174</v>
      </c>
      <c r="G1415" s="3" t="s">
        <v>274</v>
      </c>
      <c r="H1415" s="2" t="s">
        <v>74</v>
      </c>
      <c r="I1415" s="2" t="s">
        <v>4070</v>
      </c>
      <c r="J1415" s="3" t="str">
        <f>HYPERLINK("https://www.boe.es/gazeta/dias/1810/05/22/pdfs/GEI-1810-28.pdf#page=8","Abrir facsímil")</f>
        <v>Abrir facsímil</v>
      </c>
      <c r="K1415" s="3" t="s">
        <v>76</v>
      </c>
    </row>
    <row r="1416" spans="1:11" ht="42" customHeight="1">
      <c r="A1416" s="2" t="s">
        <v>4071</v>
      </c>
      <c r="B1416" s="2" t="s">
        <v>4072</v>
      </c>
      <c r="C1416" s="2" t="s">
        <v>26</v>
      </c>
      <c r="D1416" s="2" t="s">
        <v>39</v>
      </c>
      <c r="E1416" s="4">
        <v>-32740</v>
      </c>
      <c r="F1416" s="3" t="s">
        <v>848</v>
      </c>
      <c r="G1416" s="3" t="s">
        <v>359</v>
      </c>
      <c r="H1416" s="2" t="s">
        <v>74</v>
      </c>
      <c r="I1416" s="2" t="s">
        <v>4073</v>
      </c>
      <c r="J1416" s="3" t="str">
        <f>HYPERLINK("https://www.boe.es/gazeta/dias/1810/05/11/pdfs/GMD-C-1810-131.pdf#page=2","Abrir facsímil")</f>
        <v>Abrir facsímil</v>
      </c>
      <c r="K1416" s="3" t="s">
        <v>76</v>
      </c>
    </row>
    <row r="1417" spans="1:11" ht="42" customHeight="1">
      <c r="A1417" s="2" t="s">
        <v>4074</v>
      </c>
      <c r="B1417" s="2" t="s">
        <v>4075</v>
      </c>
      <c r="C1417" s="2" t="s">
        <v>26</v>
      </c>
      <c r="D1417" s="2" t="s">
        <v>27</v>
      </c>
      <c r="E1417" s="4">
        <v>-32732</v>
      </c>
      <c r="F1417" s="3" t="s">
        <v>545</v>
      </c>
      <c r="G1417" s="3" t="s">
        <v>90</v>
      </c>
      <c r="H1417" s="2" t="s">
        <v>74</v>
      </c>
      <c r="I1417" s="2" t="s">
        <v>4076</v>
      </c>
      <c r="J1417" s="3" t="str">
        <f>HYPERLINK("https://www.boe.es/gazeta/dias/1810/05/19/pdfs/GMD-1810-139.pdf#page=4","Abrir facsímil")</f>
        <v>Abrir facsímil</v>
      </c>
      <c r="K1417" s="3" t="s">
        <v>76</v>
      </c>
    </row>
    <row r="1418" spans="1:11" ht="42" customHeight="1">
      <c r="A1418" s="2" t="s">
        <v>4077</v>
      </c>
      <c r="B1418" s="2" t="s">
        <v>4078</v>
      </c>
      <c r="C1418" s="2" t="s">
        <v>88</v>
      </c>
      <c r="D1418" s="2" t="s">
        <v>27</v>
      </c>
      <c r="E1418" s="4">
        <v>-32710</v>
      </c>
      <c r="F1418" s="3" t="s">
        <v>126</v>
      </c>
      <c r="G1418" s="3" t="s">
        <v>20</v>
      </c>
      <c r="H1418" s="2" t="s">
        <v>74</v>
      </c>
      <c r="I1418" s="2" t="s">
        <v>4079</v>
      </c>
      <c r="J1418" s="3" t="str">
        <f>HYPERLINK("https://www.boe.es/gazeta/dias/1810/06/10/pdfs/GMD-1810-161.pdf#page=4","Abrir facsímil")</f>
        <v>Abrir facsímil</v>
      </c>
      <c r="K1418" s="3" t="s">
        <v>76</v>
      </c>
    </row>
    <row r="1419" spans="1:11" ht="42" customHeight="1">
      <c r="A1419" s="2" t="s">
        <v>4077</v>
      </c>
      <c r="B1419" s="2" t="s">
        <v>4078</v>
      </c>
      <c r="C1419" s="2" t="s">
        <v>33</v>
      </c>
      <c r="D1419" s="2" t="s">
        <v>27</v>
      </c>
      <c r="E1419" s="4">
        <v>-32647</v>
      </c>
      <c r="F1419" s="3" t="s">
        <v>118</v>
      </c>
      <c r="G1419" s="3" t="s">
        <v>20</v>
      </c>
      <c r="H1419" s="2" t="s">
        <v>74</v>
      </c>
      <c r="I1419" s="2" t="s">
        <v>4080</v>
      </c>
      <c r="J1419" s="3" t="str">
        <f>HYPERLINK("https://www.boe.es/gazeta/dias/1810/08/12/pdfs/GMD-1810-224.pdf#page=4","Abrir facsímil")</f>
        <v>Abrir facsímil</v>
      </c>
      <c r="K1419" s="3" t="s">
        <v>76</v>
      </c>
    </row>
    <row r="1420" spans="1:11" ht="42" customHeight="1">
      <c r="A1420" s="2" t="s">
        <v>4081</v>
      </c>
      <c r="B1420" s="2" t="s">
        <v>4081</v>
      </c>
      <c r="C1420" s="2" t="s">
        <v>26</v>
      </c>
      <c r="D1420" s="2" t="s">
        <v>27</v>
      </c>
      <c r="E1420" s="4">
        <v>-32543</v>
      </c>
      <c r="F1420" s="3" t="s">
        <v>4082</v>
      </c>
      <c r="G1420" s="3" t="s">
        <v>90</v>
      </c>
      <c r="H1420" s="2" t="s">
        <v>74</v>
      </c>
      <c r="I1420" s="2" t="s">
        <v>4083</v>
      </c>
      <c r="J1420" s="3" t="str">
        <f>HYPERLINK("https://www.boe.es/gazeta/dias/1810/11/24/pdfs/GMD-1810-328.pdf#page=4","Abrir facsímil")</f>
        <v>Abrir facsímil</v>
      </c>
      <c r="K1420" s="3" t="s">
        <v>76</v>
      </c>
    </row>
    <row r="1421" spans="1:11" ht="42" customHeight="1">
      <c r="A1421" s="2" t="s">
        <v>4084</v>
      </c>
      <c r="B1421" s="2" t="s">
        <v>4084</v>
      </c>
      <c r="C1421" s="2" t="s">
        <v>33</v>
      </c>
      <c r="D1421" s="2" t="s">
        <v>27</v>
      </c>
      <c r="E1421" s="4">
        <v>-32715</v>
      </c>
      <c r="F1421" s="3" t="s">
        <v>1029</v>
      </c>
      <c r="G1421" s="3" t="s">
        <v>1030</v>
      </c>
      <c r="H1421" s="2" t="s">
        <v>74</v>
      </c>
      <c r="I1421" s="2" t="s">
        <v>4085</v>
      </c>
      <c r="J1421" s="3" t="str">
        <f>HYPERLINK("https://www.boe.es/gazeta/dias/1810/06/05/pdfs/GEI-1810-33.pdf#page=2","Abrir facsímil")</f>
        <v>Abrir facsímil</v>
      </c>
      <c r="K1421" s="3" t="s">
        <v>76</v>
      </c>
    </row>
    <row r="1422" spans="1:11" ht="42" customHeight="1">
      <c r="A1422" s="2" t="s">
        <v>4086</v>
      </c>
      <c r="B1422" s="2" t="s">
        <v>4086</v>
      </c>
      <c r="C1422" s="2" t="s">
        <v>17</v>
      </c>
      <c r="D1422" s="2" t="s">
        <v>220</v>
      </c>
      <c r="E1422" s="4">
        <v>-32726</v>
      </c>
      <c r="F1422" s="3" t="s">
        <v>1850</v>
      </c>
      <c r="G1422" s="3" t="s">
        <v>4087</v>
      </c>
      <c r="H1422" s="2" t="s">
        <v>74</v>
      </c>
      <c r="I1422" s="2" t="s">
        <v>4088</v>
      </c>
      <c r="J1422" s="3" t="str">
        <f>HYPERLINK("https://www.boe.es/gazeta/dias/1810/05/25/pdfs/GEI-1810-30.pdf#page=2","Abrir facsímil")</f>
        <v>Abrir facsímil</v>
      </c>
      <c r="K1422" s="3" t="s">
        <v>76</v>
      </c>
    </row>
    <row r="1423" spans="1:11" ht="42" customHeight="1">
      <c r="A1423" s="2" t="s">
        <v>4089</v>
      </c>
      <c r="B1423" s="2" t="s">
        <v>4089</v>
      </c>
      <c r="C1423" s="2" t="s">
        <v>33</v>
      </c>
      <c r="D1423" s="2" t="s">
        <v>27</v>
      </c>
      <c r="E1423" s="4">
        <v>-32764</v>
      </c>
      <c r="F1423" s="3" t="s">
        <v>640</v>
      </c>
      <c r="G1423" s="3" t="s">
        <v>180</v>
      </c>
      <c r="H1423" s="2" t="s">
        <v>74</v>
      </c>
      <c r="I1423" s="2" t="s">
        <v>4090</v>
      </c>
      <c r="J1423" s="3" t="str">
        <f>HYPERLINK("https://www.boe.es/gazeta/dias/1810/04/17/pdfs/GEI-1810-15.pdf#page=1","Abrir facsímil")</f>
        <v>Abrir facsímil</v>
      </c>
      <c r="K1423" s="3" t="s">
        <v>76</v>
      </c>
    </row>
    <row r="1424" spans="1:11" ht="42" customHeight="1">
      <c r="A1424" s="2" t="s">
        <v>4089</v>
      </c>
      <c r="B1424" s="2" t="s">
        <v>4089</v>
      </c>
      <c r="C1424" s="2" t="s">
        <v>33</v>
      </c>
      <c r="D1424" s="2" t="s">
        <v>220</v>
      </c>
      <c r="E1424" s="4">
        <v>-32652</v>
      </c>
      <c r="F1424" s="3" t="s">
        <v>3295</v>
      </c>
      <c r="G1424" s="3" t="s">
        <v>60</v>
      </c>
      <c r="H1424" s="2" t="s">
        <v>74</v>
      </c>
      <c r="I1424" s="2" t="s">
        <v>4091</v>
      </c>
      <c r="J1424" s="3" t="str">
        <f>HYPERLINK("https://www.boe.es/gazeta/dias/1810/08/07/pdfs/GEI-1810-52.pdf#page=2","Abrir facsímil")</f>
        <v>Abrir facsímil</v>
      </c>
      <c r="K1424" s="3" t="s">
        <v>76</v>
      </c>
    </row>
    <row r="1425" spans="1:11" ht="42" customHeight="1">
      <c r="A1425" s="2" t="s">
        <v>4092</v>
      </c>
      <c r="B1425" s="2" t="s">
        <v>4092</v>
      </c>
      <c r="C1425" s="2" t="s">
        <v>26</v>
      </c>
      <c r="D1425" s="2" t="s">
        <v>27</v>
      </c>
      <c r="E1425" s="4">
        <v>-32798</v>
      </c>
      <c r="F1425" s="3" t="s">
        <v>2002</v>
      </c>
      <c r="G1425" s="3" t="s">
        <v>180</v>
      </c>
      <c r="H1425" s="2" t="s">
        <v>74</v>
      </c>
      <c r="I1425" s="2" t="s">
        <v>4093</v>
      </c>
      <c r="J1425" s="3" t="str">
        <f>HYPERLINK("https://www.boe.es/gazeta/dias/1810/03/14/pdfs/GMD-1810-73.pdf#page=1","Abrir facsímil")</f>
        <v>Abrir facsímil</v>
      </c>
      <c r="K1425" s="3" t="s">
        <v>76</v>
      </c>
    </row>
    <row r="1426" spans="1:11" ht="42" customHeight="1">
      <c r="A1426" s="2" t="s">
        <v>4094</v>
      </c>
      <c r="B1426" s="2" t="s">
        <v>4094</v>
      </c>
      <c r="C1426" s="2" t="s">
        <v>88</v>
      </c>
      <c r="D1426" s="2" t="s">
        <v>117</v>
      </c>
      <c r="E1426" s="4">
        <v>-32578</v>
      </c>
      <c r="F1426" s="3" t="s">
        <v>2333</v>
      </c>
      <c r="G1426" s="3" t="s">
        <v>4095</v>
      </c>
      <c r="H1426" s="2" t="s">
        <v>74</v>
      </c>
      <c r="I1426" s="2" t="s">
        <v>4096</v>
      </c>
      <c r="J1426" s="3" t="str">
        <f>HYPERLINK("https://www.boe.es/gazeta/dias/1810/10/20/pdfs/GEI-1810-84.pdf#page=3","Abrir facsímil")</f>
        <v>Abrir facsímil</v>
      </c>
      <c r="K1426" s="3" t="s">
        <v>76</v>
      </c>
    </row>
    <row r="1427" spans="1:11" ht="42" customHeight="1">
      <c r="A1427" s="2" t="s">
        <v>4094</v>
      </c>
      <c r="B1427" s="2" t="s">
        <v>4094</v>
      </c>
      <c r="C1427" s="2" t="s">
        <v>88</v>
      </c>
      <c r="D1427" s="2" t="s">
        <v>117</v>
      </c>
      <c r="E1427" s="4">
        <v>-32575</v>
      </c>
      <c r="F1427" s="3" t="s">
        <v>135</v>
      </c>
      <c r="G1427" s="3" t="s">
        <v>3467</v>
      </c>
      <c r="H1427" s="2" t="s">
        <v>74</v>
      </c>
      <c r="I1427" s="2" t="s">
        <v>4097</v>
      </c>
      <c r="J1427" s="3" t="str">
        <f>HYPERLINK("https://www.boe.es/gazeta/dias/1810/10/23/pdfs/GEI-1810-85.pdf#page=2","Abrir facsímil")</f>
        <v>Abrir facsímil</v>
      </c>
      <c r="K1427" s="3" t="s">
        <v>76</v>
      </c>
    </row>
    <row r="1428" spans="1:11" ht="42" customHeight="1">
      <c r="A1428" s="2" t="s">
        <v>4098</v>
      </c>
      <c r="B1428" s="2" t="s">
        <v>4098</v>
      </c>
      <c r="C1428" s="2" t="s">
        <v>88</v>
      </c>
      <c r="D1428" s="2" t="s">
        <v>117</v>
      </c>
      <c r="E1428" s="4">
        <v>-32531</v>
      </c>
      <c r="F1428" s="3" t="s">
        <v>2483</v>
      </c>
      <c r="G1428" s="3" t="s">
        <v>235</v>
      </c>
      <c r="H1428" s="2" t="s">
        <v>74</v>
      </c>
      <c r="I1428" s="2" t="s">
        <v>4099</v>
      </c>
      <c r="J1428" s="3" t="str">
        <f>HYPERLINK("https://www.boe.es/gazeta/dias/1810/12/06/pdfs/GEI-1810-104.pdf#page=4","Abrir facsímil")</f>
        <v>Abrir facsímil</v>
      </c>
      <c r="K1428" s="3" t="s">
        <v>76</v>
      </c>
    </row>
    <row r="1429" spans="1:11" ht="42" customHeight="1">
      <c r="A1429" s="2" t="s">
        <v>4100</v>
      </c>
      <c r="B1429" s="2" t="s">
        <v>4101</v>
      </c>
      <c r="C1429" s="2" t="s">
        <v>88</v>
      </c>
      <c r="D1429" s="2" t="s">
        <v>220</v>
      </c>
      <c r="E1429" s="4">
        <v>-32713</v>
      </c>
      <c r="F1429" s="3" t="s">
        <v>959</v>
      </c>
      <c r="G1429" s="3" t="s">
        <v>960</v>
      </c>
      <c r="H1429" s="2" t="s">
        <v>74</v>
      </c>
      <c r="I1429" s="2" t="s">
        <v>4102</v>
      </c>
      <c r="J1429" s="3" t="str">
        <f>HYPERLINK("https://www.boe.es/gazeta/dias/1810/06/07/pdfs/GMD-1810-158.pdf#page=4","Abrir facsímil")</f>
        <v>Abrir facsímil</v>
      </c>
      <c r="K1429" s="3" t="s">
        <v>76</v>
      </c>
    </row>
    <row r="1430" spans="1:11" ht="42" customHeight="1">
      <c r="A1430" s="2" t="s">
        <v>4103</v>
      </c>
      <c r="B1430" s="2" t="s">
        <v>4103</v>
      </c>
      <c r="C1430" s="2" t="s">
        <v>88</v>
      </c>
      <c r="D1430" s="2" t="s">
        <v>117</v>
      </c>
      <c r="E1430" s="4">
        <v>-32767</v>
      </c>
      <c r="F1430" s="3" t="s">
        <v>1265</v>
      </c>
      <c r="G1430" s="3" t="s">
        <v>1266</v>
      </c>
      <c r="H1430" s="2" t="s">
        <v>74</v>
      </c>
      <c r="I1430" s="2" t="s">
        <v>4104</v>
      </c>
      <c r="J1430" s="3" t="str">
        <f>HYPERLINK("https://www.boe.es/gazeta/dias/1810/04/14/pdfs/GMD-1810-104.pdf#page=4","Abrir facsímil")</f>
        <v>Abrir facsímil</v>
      </c>
      <c r="K1430" s="3" t="s">
        <v>76</v>
      </c>
    </row>
    <row r="1431" spans="1:11" ht="42" customHeight="1">
      <c r="A1431" s="2" t="s">
        <v>4105</v>
      </c>
      <c r="B1431" s="2" t="s">
        <v>4105</v>
      </c>
      <c r="C1431" s="2" t="s">
        <v>88</v>
      </c>
      <c r="D1431" s="2" t="s">
        <v>117</v>
      </c>
      <c r="E1431" s="4">
        <v>-32723</v>
      </c>
      <c r="F1431" s="3" t="s">
        <v>464</v>
      </c>
      <c r="G1431" s="3" t="s">
        <v>469</v>
      </c>
      <c r="H1431" s="2" t="s">
        <v>74</v>
      </c>
      <c r="I1431" s="2" t="s">
        <v>4106</v>
      </c>
      <c r="J1431" s="3" t="str">
        <f>HYPERLINK("https://www.boe.es/gazeta/dias/1810/05/28/pdfs/GMD-1810-148.pdf#page=4","Abrir facsímil")</f>
        <v>Abrir facsímil</v>
      </c>
      <c r="K1431" s="3" t="s">
        <v>76</v>
      </c>
    </row>
    <row r="1432" spans="1:11" ht="42" customHeight="1">
      <c r="A1432" s="2" t="s">
        <v>4107</v>
      </c>
      <c r="B1432" s="2" t="s">
        <v>4108</v>
      </c>
      <c r="C1432" s="2" t="s">
        <v>26</v>
      </c>
      <c r="D1432" s="2" t="s">
        <v>27</v>
      </c>
      <c r="E1432" s="4">
        <v>-32738</v>
      </c>
      <c r="F1432" s="3" t="s">
        <v>321</v>
      </c>
      <c r="G1432" s="3" t="s">
        <v>140</v>
      </c>
      <c r="H1432" s="2" t="s">
        <v>74</v>
      </c>
      <c r="I1432" s="2" t="s">
        <v>4109</v>
      </c>
      <c r="J1432" s="3" t="str">
        <f>HYPERLINK("https://www.boe.es/gazeta/dias/1810/05/13/pdfs/GMD-1810-133.pdf#page=4","Abrir facsímil")</f>
        <v>Abrir facsímil</v>
      </c>
      <c r="K1432" s="3" t="s">
        <v>76</v>
      </c>
    </row>
    <row r="1433" spans="1:11" ht="42" customHeight="1">
      <c r="A1433" s="2" t="s">
        <v>4110</v>
      </c>
      <c r="B1433" s="2" t="s">
        <v>4110</v>
      </c>
      <c r="C1433" s="2" t="s">
        <v>26</v>
      </c>
      <c r="D1433" s="2" t="s">
        <v>27</v>
      </c>
      <c r="E1433" s="4">
        <v>-32560</v>
      </c>
      <c r="F1433" s="3" t="s">
        <v>4111</v>
      </c>
      <c r="G1433" s="3" t="s">
        <v>90</v>
      </c>
      <c r="H1433" s="2" t="s">
        <v>74</v>
      </c>
      <c r="I1433" s="2" t="s">
        <v>4112</v>
      </c>
      <c r="J1433" s="3" t="str">
        <f>HYPERLINK("https://www.boe.es/gazeta/dias/1810/11/07/pdfs/GMD-1810-311.pdf#page=4","Abrir facsímil")</f>
        <v>Abrir facsímil</v>
      </c>
      <c r="K1433" s="3" t="s">
        <v>76</v>
      </c>
    </row>
    <row r="1434" spans="1:11" ht="42" customHeight="1">
      <c r="A1434" s="2" t="s">
        <v>4110</v>
      </c>
      <c r="B1434" s="2" t="s">
        <v>4110</v>
      </c>
      <c r="C1434" s="2" t="s">
        <v>26</v>
      </c>
      <c r="D1434" s="2" t="s">
        <v>27</v>
      </c>
      <c r="E1434" s="4">
        <v>-32559</v>
      </c>
      <c r="F1434" s="3" t="s">
        <v>2260</v>
      </c>
      <c r="G1434" s="3" t="s">
        <v>4113</v>
      </c>
      <c r="H1434" s="2" t="s">
        <v>74</v>
      </c>
      <c r="I1434" s="2" t="s">
        <v>4114</v>
      </c>
      <c r="J1434" s="3" t="str">
        <f>HYPERLINK("https://www.boe.es/gazeta/dias/1810/11/08/pdfs/GMD-1810-312.pdf#page=4","Abrir facsímil")</f>
        <v>Abrir facsímil</v>
      </c>
      <c r="K1434" s="3" t="s">
        <v>76</v>
      </c>
    </row>
    <row r="1435" spans="1:11" ht="42" customHeight="1">
      <c r="A1435" s="2" t="s">
        <v>4115</v>
      </c>
      <c r="B1435" s="2" t="s">
        <v>4116</v>
      </c>
      <c r="C1435" s="2" t="s">
        <v>26</v>
      </c>
      <c r="D1435" s="2" t="s">
        <v>27</v>
      </c>
      <c r="E1435" s="4">
        <v>-32783</v>
      </c>
      <c r="F1435" s="3" t="s">
        <v>896</v>
      </c>
      <c r="G1435" s="3" t="s">
        <v>20</v>
      </c>
      <c r="H1435" s="2" t="s">
        <v>74</v>
      </c>
      <c r="I1435" s="2" t="s">
        <v>4117</v>
      </c>
      <c r="J1435" s="3" t="str">
        <f>HYPERLINK("https://www.boe.es/gazeta/dias/1810/03/29/pdfs/GMD-1810-88.pdf#page=4","Abrir facsímil")</f>
        <v>Abrir facsímil</v>
      </c>
      <c r="K1435" s="3" t="s">
        <v>76</v>
      </c>
    </row>
    <row r="1436" spans="1:11" ht="42" customHeight="1">
      <c r="A1436" s="2" t="s">
        <v>4118</v>
      </c>
      <c r="B1436" s="2" t="s">
        <v>4118</v>
      </c>
      <c r="C1436" s="2" t="s">
        <v>88</v>
      </c>
      <c r="D1436" s="2" t="s">
        <v>117</v>
      </c>
      <c r="E1436" s="4">
        <v>-32615</v>
      </c>
      <c r="F1436" s="3" t="s">
        <v>4119</v>
      </c>
      <c r="G1436" s="3" t="s">
        <v>1292</v>
      </c>
      <c r="H1436" s="2" t="s">
        <v>74</v>
      </c>
      <c r="I1436" s="2" t="s">
        <v>4120</v>
      </c>
      <c r="J1436" s="3" t="str">
        <f>HYPERLINK("https://www.boe.es/gazeta/dias/1810/09/13/pdfs/GMD-1810-256.pdf#page=3","Abrir facsímil")</f>
        <v>Abrir facsímil</v>
      </c>
      <c r="K1436" s="3" t="s">
        <v>76</v>
      </c>
    </row>
    <row r="1437" spans="1:11" ht="42" customHeight="1">
      <c r="A1437" s="2" t="s">
        <v>4121</v>
      </c>
      <c r="B1437" s="2" t="s">
        <v>4122</v>
      </c>
      <c r="C1437" s="2" t="s">
        <v>33</v>
      </c>
      <c r="D1437" s="2" t="s">
        <v>27</v>
      </c>
      <c r="E1437" s="4">
        <v>-32845</v>
      </c>
      <c r="F1437" s="3" t="s">
        <v>1454</v>
      </c>
      <c r="G1437" s="3" t="s">
        <v>213</v>
      </c>
      <c r="H1437" s="2" t="s">
        <v>74</v>
      </c>
      <c r="I1437" s="2" t="s">
        <v>4123</v>
      </c>
      <c r="J1437" s="3" t="str">
        <f>HYPERLINK("https://www.boe.es/gazeta/dias/1810/01/26/pdfs/GMD-1810-26.pdf#page=4","Abrir facsímil")</f>
        <v>Abrir facsímil</v>
      </c>
      <c r="K1437" s="3" t="s">
        <v>76</v>
      </c>
    </row>
    <row r="1438" spans="1:11" ht="42" customHeight="1">
      <c r="A1438" s="2" t="s">
        <v>4124</v>
      </c>
      <c r="B1438" s="2" t="s">
        <v>4124</v>
      </c>
      <c r="C1438" s="2" t="s">
        <v>88</v>
      </c>
      <c r="D1438" s="2" t="s">
        <v>18</v>
      </c>
      <c r="E1438" s="4">
        <v>-32545</v>
      </c>
      <c r="F1438" s="3" t="s">
        <v>2807</v>
      </c>
      <c r="G1438" s="3" t="s">
        <v>70</v>
      </c>
      <c r="H1438" s="2" t="s">
        <v>74</v>
      </c>
      <c r="I1438" s="2" t="s">
        <v>4125</v>
      </c>
      <c r="J1438" s="3" t="str">
        <f>HYPERLINK("https://www.boe.es/gazeta/dias/1810/11/22/pdfs/GMD-1810-326.pdf#page=3","Abrir facsímil")</f>
        <v>Abrir facsímil</v>
      </c>
      <c r="K1438" s="3" t="s">
        <v>76</v>
      </c>
    </row>
    <row r="1439" spans="1:11" ht="42" customHeight="1">
      <c r="A1439" s="2" t="s">
        <v>4126</v>
      </c>
      <c r="B1439" s="2" t="s">
        <v>4127</v>
      </c>
      <c r="C1439" s="2" t="s">
        <v>88</v>
      </c>
      <c r="D1439" s="2" t="s">
        <v>117</v>
      </c>
      <c r="E1439" s="4">
        <v>-32710</v>
      </c>
      <c r="F1439" s="3" t="s">
        <v>126</v>
      </c>
      <c r="G1439" s="3" t="s">
        <v>180</v>
      </c>
      <c r="H1439" s="2" t="s">
        <v>74</v>
      </c>
      <c r="I1439" s="2" t="s">
        <v>4128</v>
      </c>
      <c r="J1439" s="3" t="str">
        <f>HYPERLINK("https://www.boe.es/gazeta/dias/1810/06/10/pdfs/GMD-1810-161.pdf#page=1","Abrir facsímil")</f>
        <v>Abrir facsímil</v>
      </c>
      <c r="K1439" s="3" t="s">
        <v>76</v>
      </c>
    </row>
    <row r="1440" spans="1:11" ht="42" customHeight="1">
      <c r="A1440" s="2" t="s">
        <v>4129</v>
      </c>
      <c r="B1440" s="2" t="s">
        <v>4130</v>
      </c>
      <c r="C1440" s="2" t="s">
        <v>88</v>
      </c>
      <c r="D1440" s="2" t="s">
        <v>27</v>
      </c>
      <c r="E1440" s="4">
        <v>-32721</v>
      </c>
      <c r="F1440" s="3" t="s">
        <v>3437</v>
      </c>
      <c r="G1440" s="3" t="s">
        <v>20</v>
      </c>
      <c r="H1440" s="2" t="s">
        <v>74</v>
      </c>
      <c r="I1440" s="2" t="s">
        <v>4131</v>
      </c>
      <c r="J1440" s="3" t="str">
        <f>HYPERLINK("https://www.boe.es/gazeta/dias/1810/05/30/pdfs/GMD-1810-150.pdf#page=4","Abrir facsímil")</f>
        <v>Abrir facsímil</v>
      </c>
      <c r="K1440" s="3" t="s">
        <v>76</v>
      </c>
    </row>
    <row r="1441" spans="1:11" ht="42" customHeight="1">
      <c r="A1441" s="2" t="s">
        <v>4129</v>
      </c>
      <c r="B1441" s="2" t="s">
        <v>4130</v>
      </c>
      <c r="C1441" s="2" t="s">
        <v>26</v>
      </c>
      <c r="D1441" s="2" t="s">
        <v>27</v>
      </c>
      <c r="E1441" s="4">
        <v>-32647</v>
      </c>
      <c r="F1441" s="3" t="s">
        <v>118</v>
      </c>
      <c r="G1441" s="3" t="s">
        <v>119</v>
      </c>
      <c r="H1441" s="2" t="s">
        <v>74</v>
      </c>
      <c r="I1441" s="2" t="s">
        <v>4132</v>
      </c>
      <c r="J1441" s="3" t="str">
        <f>HYPERLINK("https://www.boe.es/gazeta/dias/1810/08/12/pdfs/GMD-1810-224.pdf#page=3","Abrir facsímil")</f>
        <v>Abrir facsímil</v>
      </c>
      <c r="K1441" s="3" t="s">
        <v>76</v>
      </c>
    </row>
    <row r="1442" spans="1:11" ht="42" customHeight="1">
      <c r="A1442" s="2" t="s">
        <v>4133</v>
      </c>
      <c r="B1442" s="2" t="s">
        <v>4134</v>
      </c>
      <c r="C1442" s="2" t="s">
        <v>88</v>
      </c>
      <c r="D1442" s="2" t="s">
        <v>27</v>
      </c>
      <c r="E1442" s="4">
        <v>-32730</v>
      </c>
      <c r="F1442" s="3" t="s">
        <v>50</v>
      </c>
      <c r="G1442" s="3" t="s">
        <v>20</v>
      </c>
      <c r="H1442" s="2" t="s">
        <v>74</v>
      </c>
      <c r="I1442" s="2" t="s">
        <v>4135</v>
      </c>
      <c r="J1442" s="3" t="str">
        <f>HYPERLINK("https://www.boe.es/gazeta/dias/1810/05/21/pdfs/GMD-1810-141.pdf#page=4","Abrir facsímil")</f>
        <v>Abrir facsímil</v>
      </c>
      <c r="K1442" s="3" t="s">
        <v>76</v>
      </c>
    </row>
    <row r="1443" spans="1:11" ht="42" customHeight="1">
      <c r="A1443" s="2" t="s">
        <v>4136</v>
      </c>
      <c r="B1443" s="2" t="s">
        <v>4137</v>
      </c>
      <c r="C1443" s="2" t="s">
        <v>26</v>
      </c>
      <c r="D1443" s="2" t="s">
        <v>27</v>
      </c>
      <c r="E1443" s="4">
        <v>-32845</v>
      </c>
      <c r="F1443" s="3" t="s">
        <v>1454</v>
      </c>
      <c r="G1443" s="3" t="s">
        <v>213</v>
      </c>
      <c r="H1443" s="2" t="s">
        <v>74</v>
      </c>
      <c r="I1443" s="2" t="s">
        <v>4138</v>
      </c>
      <c r="J1443" s="3" t="str">
        <f>HYPERLINK("https://www.boe.es/gazeta/dias/1810/01/26/pdfs/GMD-1810-26.pdf#page=4","Abrir facsímil")</f>
        <v>Abrir facsímil</v>
      </c>
      <c r="K1443" s="3" t="s">
        <v>76</v>
      </c>
    </row>
    <row r="1444" spans="1:11" ht="42" customHeight="1">
      <c r="A1444" s="2" t="s">
        <v>4139</v>
      </c>
      <c r="B1444" s="2" t="s">
        <v>4140</v>
      </c>
      <c r="C1444" s="2" t="s">
        <v>26</v>
      </c>
      <c r="D1444" s="2" t="s">
        <v>27</v>
      </c>
      <c r="E1444" s="4">
        <v>-32684</v>
      </c>
      <c r="F1444" s="3" t="s">
        <v>1373</v>
      </c>
      <c r="G1444" s="3" t="s">
        <v>1374</v>
      </c>
      <c r="H1444" s="2" t="s">
        <v>74</v>
      </c>
      <c r="I1444" s="2" t="s">
        <v>4141</v>
      </c>
      <c r="J1444" s="3" t="str">
        <f>HYPERLINK("https://www.boe.es/gazeta/dias/1810/07/06/pdfs/GEI-1810-42.pdf#page=8","Abrir facsímil")</f>
        <v>Abrir facsímil</v>
      </c>
      <c r="K1444" s="3" t="s">
        <v>76</v>
      </c>
    </row>
    <row r="1445" spans="1:11" ht="42" customHeight="1">
      <c r="A1445" s="2" t="s">
        <v>4142</v>
      </c>
      <c r="B1445" s="2" t="s">
        <v>4143</v>
      </c>
      <c r="C1445" s="2" t="s">
        <v>26</v>
      </c>
      <c r="D1445" s="2" t="s">
        <v>27</v>
      </c>
      <c r="E1445" s="4">
        <v>-32635</v>
      </c>
      <c r="F1445" s="3" t="s">
        <v>3132</v>
      </c>
      <c r="G1445" s="3" t="s">
        <v>3712</v>
      </c>
      <c r="H1445" s="2" t="s">
        <v>74</v>
      </c>
      <c r="I1445" s="2" t="s">
        <v>4144</v>
      </c>
      <c r="J1445" s="3" t="str">
        <f>HYPERLINK("https://www.boe.es/gazeta/dias/1810/08/24/pdfs/GEI-1810-59.pdf#page=5","Abrir facsímil")</f>
        <v>Abrir facsímil</v>
      </c>
      <c r="K1445" s="3" t="s">
        <v>76</v>
      </c>
    </row>
    <row r="1446" spans="1:11" ht="42" customHeight="1">
      <c r="A1446" s="2" t="s">
        <v>4145</v>
      </c>
      <c r="B1446" s="2" t="s">
        <v>4146</v>
      </c>
      <c r="C1446" s="2" t="s">
        <v>195</v>
      </c>
      <c r="D1446" s="2" t="s">
        <v>27</v>
      </c>
      <c r="E1446" s="4">
        <v>-32784</v>
      </c>
      <c r="F1446" s="3" t="s">
        <v>429</v>
      </c>
      <c r="G1446" s="3" t="s">
        <v>131</v>
      </c>
      <c r="H1446" s="2" t="s">
        <v>74</v>
      </c>
      <c r="I1446" s="2" t="s">
        <v>4147</v>
      </c>
      <c r="J1446" s="3" t="str">
        <f>HYPERLINK("https://www.boe.es/gazeta/dias/1810/03/28/pdfs/GMD-1810-87.pdf#page=3","Abrir facsímil")</f>
        <v>Abrir facsímil</v>
      </c>
      <c r="K1446" s="3" t="s">
        <v>76</v>
      </c>
    </row>
    <row r="1447" spans="1:11" ht="42" customHeight="1">
      <c r="A1447" s="2" t="s">
        <v>4148</v>
      </c>
      <c r="B1447" s="2" t="s">
        <v>4149</v>
      </c>
      <c r="C1447" s="2" t="s">
        <v>88</v>
      </c>
      <c r="D1447" s="2" t="s">
        <v>27</v>
      </c>
      <c r="E1447" s="4">
        <v>-32803</v>
      </c>
      <c r="F1447" s="3" t="s">
        <v>4052</v>
      </c>
      <c r="G1447" s="3" t="s">
        <v>695</v>
      </c>
      <c r="H1447" s="2" t="s">
        <v>74</v>
      </c>
      <c r="I1447" s="2" t="s">
        <v>4150</v>
      </c>
      <c r="J1447" s="3" t="str">
        <f>HYPERLINK("https://www.boe.es/gazeta/dias/1810/03/09/pdfs/GMD-1810-68.pdf#page=4","Abrir facsímil")</f>
        <v>Abrir facsímil</v>
      </c>
      <c r="K1447" s="3" t="s">
        <v>76</v>
      </c>
    </row>
    <row r="1448" spans="1:11" ht="42" customHeight="1">
      <c r="A1448" s="2" t="s">
        <v>4148</v>
      </c>
      <c r="B1448" s="2" t="s">
        <v>4149</v>
      </c>
      <c r="C1448" s="2" t="s">
        <v>26</v>
      </c>
      <c r="D1448" s="2" t="s">
        <v>27</v>
      </c>
      <c r="E1448" s="4">
        <v>-32798</v>
      </c>
      <c r="F1448" s="3" t="s">
        <v>2002</v>
      </c>
      <c r="G1448" s="3" t="s">
        <v>90</v>
      </c>
      <c r="H1448" s="2" t="s">
        <v>74</v>
      </c>
      <c r="I1448" s="2" t="s">
        <v>4151</v>
      </c>
      <c r="J1448" s="3" t="str">
        <f>HYPERLINK("https://www.boe.es/gazeta/dias/1810/03/14/pdfs/GMD-1810-73.pdf#page=4","Abrir facsímil")</f>
        <v>Abrir facsímil</v>
      </c>
      <c r="K1448" s="3" t="s">
        <v>76</v>
      </c>
    </row>
    <row r="1449" spans="1:11" ht="42" customHeight="1">
      <c r="A1449" s="2" t="s">
        <v>4152</v>
      </c>
      <c r="B1449" s="2" t="s">
        <v>4153</v>
      </c>
      <c r="C1449" s="2" t="s">
        <v>88</v>
      </c>
      <c r="D1449" s="2" t="s">
        <v>27</v>
      </c>
      <c r="E1449" s="4">
        <v>-32571</v>
      </c>
      <c r="F1449" s="3" t="s">
        <v>737</v>
      </c>
      <c r="G1449" s="3" t="s">
        <v>4154</v>
      </c>
      <c r="H1449" s="2" t="s">
        <v>74</v>
      </c>
      <c r="I1449" s="2" t="s">
        <v>4155</v>
      </c>
      <c r="J1449" s="3" t="str">
        <f>HYPERLINK("https://www.boe.es/gazeta/dias/1810/10/27/pdfs/GEI-1810-87.pdf#page=7","Abrir facsímil")</f>
        <v>Abrir facsímil</v>
      </c>
      <c r="K1449" s="3" t="s">
        <v>76</v>
      </c>
    </row>
    <row r="1450" spans="1:11" ht="42" customHeight="1">
      <c r="A1450" s="2" t="s">
        <v>4156</v>
      </c>
      <c r="B1450" s="2" t="s">
        <v>4157</v>
      </c>
      <c r="C1450" s="2" t="s">
        <v>26</v>
      </c>
      <c r="D1450" s="2" t="s">
        <v>18</v>
      </c>
      <c r="E1450" s="4">
        <v>-32689</v>
      </c>
      <c r="F1450" s="3" t="s">
        <v>571</v>
      </c>
      <c r="G1450" s="3" t="s">
        <v>29</v>
      </c>
      <c r="H1450" s="2" t="s">
        <v>74</v>
      </c>
      <c r="I1450" s="2" t="s">
        <v>4158</v>
      </c>
      <c r="J1450" s="3" t="str">
        <f>HYPERLINK("https://www.boe.es/gazeta/dias/1810/07/01/pdfs/GMD-1810-182.pdf#page=3","Abrir facsímil")</f>
        <v>Abrir facsímil</v>
      </c>
      <c r="K1450" s="3" t="s">
        <v>76</v>
      </c>
    </row>
    <row r="1451" spans="1:11" ht="42" customHeight="1">
      <c r="A1451" s="2" t="s">
        <v>4159</v>
      </c>
      <c r="B1451" s="2" t="s">
        <v>4160</v>
      </c>
      <c r="C1451" s="2" t="s">
        <v>26</v>
      </c>
      <c r="D1451" s="2" t="s">
        <v>27</v>
      </c>
      <c r="E1451" s="4">
        <v>-32549</v>
      </c>
      <c r="F1451" s="3" t="s">
        <v>1237</v>
      </c>
      <c r="G1451" s="3" t="s">
        <v>227</v>
      </c>
      <c r="H1451" s="2" t="s">
        <v>74</v>
      </c>
      <c r="I1451" s="2" t="s">
        <v>4161</v>
      </c>
      <c r="J1451" s="3" t="str">
        <f>HYPERLINK("https://www.boe.es/gazeta/dias/1810/11/18/pdfs/GMD-1810-322.pdf#page=3","Abrir facsímil")</f>
        <v>Abrir facsímil</v>
      </c>
      <c r="K1451" s="3" t="s">
        <v>76</v>
      </c>
    </row>
    <row r="1452" spans="1:11" ht="42" customHeight="1">
      <c r="A1452" s="2" t="s">
        <v>4162</v>
      </c>
      <c r="B1452" s="2" t="s">
        <v>4163</v>
      </c>
      <c r="C1452" s="2" t="s">
        <v>17</v>
      </c>
      <c r="D1452" s="2" t="s">
        <v>27</v>
      </c>
      <c r="E1452" s="4">
        <v>-32771</v>
      </c>
      <c r="F1452" s="3" t="s">
        <v>543</v>
      </c>
      <c r="G1452" s="3" t="s">
        <v>1488</v>
      </c>
      <c r="H1452" s="2" t="s">
        <v>74</v>
      </c>
      <c r="I1452" s="2" t="s">
        <v>4164</v>
      </c>
      <c r="J1452" s="3" t="str">
        <f>HYPERLINK("https://www.boe.es/gazeta/dias/1810/04/10/pdfs/GEI-1810-13.pdf#page=6","Abrir facsímil")</f>
        <v>Abrir facsímil</v>
      </c>
      <c r="K1452" s="3" t="s">
        <v>76</v>
      </c>
    </row>
    <row r="1453" spans="1:11" ht="42" customHeight="1">
      <c r="A1453" s="2" t="s">
        <v>4165</v>
      </c>
      <c r="B1453" s="2" t="s">
        <v>4166</v>
      </c>
      <c r="C1453" s="2" t="s">
        <v>26</v>
      </c>
      <c r="D1453" s="2" t="s">
        <v>27</v>
      </c>
      <c r="E1453" s="4">
        <v>-32543</v>
      </c>
      <c r="F1453" s="3" t="s">
        <v>69</v>
      </c>
      <c r="G1453" s="3" t="s">
        <v>84</v>
      </c>
      <c r="H1453" s="2" t="s">
        <v>74</v>
      </c>
      <c r="I1453" s="2" t="s">
        <v>4167</v>
      </c>
      <c r="J1453" s="3" t="str">
        <f>HYPERLINK("https://www.boe.es/gazeta/dias/1810/11/24/pdfs/GEI-1810-99.pdf#page=7","Abrir facsímil")</f>
        <v>Abrir facsímil</v>
      </c>
      <c r="K1453" s="3" t="s">
        <v>76</v>
      </c>
    </row>
    <row r="1454" spans="1:11" ht="42" customHeight="1">
      <c r="A1454" s="2" t="s">
        <v>4168</v>
      </c>
      <c r="B1454" s="2" t="s">
        <v>4169</v>
      </c>
      <c r="C1454" s="2" t="s">
        <v>111</v>
      </c>
      <c r="D1454" s="2" t="s">
        <v>220</v>
      </c>
      <c r="E1454" s="4">
        <v>-32800</v>
      </c>
      <c r="F1454" s="3" t="s">
        <v>388</v>
      </c>
      <c r="G1454" s="3" t="s">
        <v>90</v>
      </c>
      <c r="H1454" s="2" t="s">
        <v>74</v>
      </c>
      <c r="I1454" s="2" t="s">
        <v>4170</v>
      </c>
      <c r="J1454" s="3" t="str">
        <f>HYPERLINK("https://www.boe.es/gazeta/dias/1810/03/12/pdfs/GMD-1810-71.pdf#page=4","Abrir facsímil")</f>
        <v>Abrir facsímil</v>
      </c>
      <c r="K1454" s="3" t="s">
        <v>76</v>
      </c>
    </row>
    <row r="1455" spans="1:11" ht="42" customHeight="1">
      <c r="A1455" s="2" t="s">
        <v>4171</v>
      </c>
      <c r="B1455" s="2" t="s">
        <v>4172</v>
      </c>
      <c r="C1455" s="2" t="s">
        <v>26</v>
      </c>
      <c r="D1455" s="2" t="s">
        <v>39</v>
      </c>
      <c r="E1455" s="4">
        <v>-32702</v>
      </c>
      <c r="F1455" s="3" t="s">
        <v>179</v>
      </c>
      <c r="G1455" s="3" t="s">
        <v>517</v>
      </c>
      <c r="H1455" s="2" t="s">
        <v>74</v>
      </c>
      <c r="I1455" s="2" t="s">
        <v>4173</v>
      </c>
      <c r="J1455" s="3" t="str">
        <f>HYPERLINK("https://www.boe.es/gazeta/dias/1810/06/18/pdfs/GMD-C-1810-169.pdf#page=3","Abrir facsímil")</f>
        <v>Abrir facsímil</v>
      </c>
      <c r="K1455" s="3" t="s">
        <v>76</v>
      </c>
    </row>
    <row r="1456" spans="1:11" ht="42" customHeight="1">
      <c r="A1456" s="2" t="s">
        <v>4174</v>
      </c>
      <c r="B1456" s="2" t="s">
        <v>4175</v>
      </c>
      <c r="C1456" s="2" t="s">
        <v>88</v>
      </c>
      <c r="D1456" s="2" t="s">
        <v>117</v>
      </c>
      <c r="E1456" s="4">
        <v>-32842</v>
      </c>
      <c r="F1456" s="3" t="s">
        <v>1291</v>
      </c>
      <c r="G1456" s="3" t="s">
        <v>1292</v>
      </c>
      <c r="H1456" s="2" t="s">
        <v>74</v>
      </c>
      <c r="I1456" s="2" t="s">
        <v>4176</v>
      </c>
      <c r="J1456" s="3" t="str">
        <f>HYPERLINK("https://www.boe.es/gazeta/dias/1810/01/29/pdfs/GMD-1810-29.pdf#page=3","Abrir facsímil")</f>
        <v>Abrir facsímil</v>
      </c>
      <c r="K1456" s="3" t="s">
        <v>76</v>
      </c>
    </row>
    <row r="1457" spans="1:11" ht="42" customHeight="1">
      <c r="A1457" s="2" t="s">
        <v>4177</v>
      </c>
      <c r="B1457" s="2" t="s">
        <v>4178</v>
      </c>
      <c r="C1457" s="2" t="s">
        <v>26</v>
      </c>
      <c r="D1457" s="2" t="s">
        <v>27</v>
      </c>
      <c r="E1457" s="4">
        <v>-32563</v>
      </c>
      <c r="F1457" s="3" t="s">
        <v>535</v>
      </c>
      <c r="G1457" s="3" t="s">
        <v>210</v>
      </c>
      <c r="H1457" s="2" t="s">
        <v>74</v>
      </c>
      <c r="I1457" s="2" t="s">
        <v>4179</v>
      </c>
      <c r="J1457" s="3" t="str">
        <f>HYPERLINK("https://www.boe.es/gazeta/dias/1810/11/04/pdfs/GMD-1810-308.pdf#page=18","Abrir facsímil")</f>
        <v>Abrir facsímil</v>
      </c>
      <c r="K1457" s="3" t="s">
        <v>76</v>
      </c>
    </row>
    <row r="1458" spans="1:11" ht="42" customHeight="1">
      <c r="A1458" s="2" t="s">
        <v>4180</v>
      </c>
      <c r="B1458" s="2" t="s">
        <v>4181</v>
      </c>
      <c r="C1458" s="2" t="s">
        <v>88</v>
      </c>
      <c r="D1458" s="2" t="s">
        <v>27</v>
      </c>
      <c r="E1458" s="4">
        <v>-32858</v>
      </c>
      <c r="F1458" s="3" t="s">
        <v>4182</v>
      </c>
      <c r="G1458" s="3" t="s">
        <v>554</v>
      </c>
      <c r="H1458" s="2" t="s">
        <v>74</v>
      </c>
      <c r="I1458" s="2" t="s">
        <v>4183</v>
      </c>
      <c r="J1458" s="3" t="str">
        <f>HYPERLINK("https://www.boe.es/gazeta/dias/1810/01/13/pdfs/GGB-1810-6.pdf#page=12","Abrir facsímil")</f>
        <v>Abrir facsímil</v>
      </c>
      <c r="K1458" s="3" t="s">
        <v>76</v>
      </c>
    </row>
    <row r="1459" spans="1:11" ht="42" customHeight="1">
      <c r="A1459" s="2" t="s">
        <v>4184</v>
      </c>
      <c r="B1459" s="2" t="s">
        <v>4184</v>
      </c>
      <c r="C1459" s="2" t="s">
        <v>88</v>
      </c>
      <c r="D1459" s="2" t="s">
        <v>27</v>
      </c>
      <c r="E1459" s="4">
        <v>-32576</v>
      </c>
      <c r="F1459" s="3" t="s">
        <v>447</v>
      </c>
      <c r="G1459" s="3" t="s">
        <v>291</v>
      </c>
      <c r="H1459" s="2" t="s">
        <v>74</v>
      </c>
      <c r="I1459" s="2" t="s">
        <v>4185</v>
      </c>
      <c r="J1459" s="3" t="str">
        <f>HYPERLINK("https://www.boe.es/gazeta/dias/1810/10/22/pdfs/GMD-1810-295.pdf#page=3","Abrir facsímil")</f>
        <v>Abrir facsímil</v>
      </c>
      <c r="K1459" s="3" t="s">
        <v>76</v>
      </c>
    </row>
    <row r="1460" spans="1:11" ht="42" customHeight="1">
      <c r="A1460" s="2" t="s">
        <v>4186</v>
      </c>
      <c r="B1460" s="2" t="s">
        <v>4186</v>
      </c>
      <c r="C1460" s="2" t="s">
        <v>88</v>
      </c>
      <c r="D1460" s="2" t="s">
        <v>27</v>
      </c>
      <c r="E1460" s="4">
        <v>-32820</v>
      </c>
      <c r="F1460" s="3" t="s">
        <v>226</v>
      </c>
      <c r="G1460" s="3" t="s">
        <v>227</v>
      </c>
      <c r="H1460" s="2" t="s">
        <v>74</v>
      </c>
      <c r="I1460" s="2" t="s">
        <v>4187</v>
      </c>
      <c r="J1460" s="3" t="str">
        <f>HYPERLINK("https://www.boe.es/gazeta/dias/1810/02/20/pdfs/GMD-1810-51.pdf#page=4","Abrir facsímil")</f>
        <v>Abrir facsímil</v>
      </c>
      <c r="K1460" s="3" t="s">
        <v>76</v>
      </c>
    </row>
    <row r="1461" spans="1:11" ht="42" customHeight="1">
      <c r="A1461" s="2" t="s">
        <v>4186</v>
      </c>
      <c r="B1461" s="2" t="s">
        <v>4186</v>
      </c>
      <c r="C1461" s="2" t="s">
        <v>111</v>
      </c>
      <c r="D1461" s="2" t="s">
        <v>27</v>
      </c>
      <c r="E1461" s="4">
        <v>-32689</v>
      </c>
      <c r="F1461" s="3" t="s">
        <v>571</v>
      </c>
      <c r="G1461" s="3" t="s">
        <v>29</v>
      </c>
      <c r="H1461" s="2" t="s">
        <v>74</v>
      </c>
      <c r="I1461" s="2" t="s">
        <v>4188</v>
      </c>
      <c r="J1461" s="3" t="str">
        <f>HYPERLINK("https://www.boe.es/gazeta/dias/1810/07/01/pdfs/GMD-1810-182.pdf#page=3","Abrir facsímil")</f>
        <v>Abrir facsímil</v>
      </c>
      <c r="K1461" s="3" t="s">
        <v>76</v>
      </c>
    </row>
    <row r="1462" spans="1:11" ht="42" customHeight="1">
      <c r="A1462" s="2" t="s">
        <v>4186</v>
      </c>
      <c r="B1462" s="2" t="s">
        <v>4186</v>
      </c>
      <c r="C1462" s="2" t="s">
        <v>88</v>
      </c>
      <c r="D1462" s="2" t="s">
        <v>117</v>
      </c>
      <c r="E1462" s="4">
        <v>-32645</v>
      </c>
      <c r="F1462" s="3" t="s">
        <v>122</v>
      </c>
      <c r="G1462" s="3" t="s">
        <v>147</v>
      </c>
      <c r="H1462" s="2" t="s">
        <v>74</v>
      </c>
      <c r="I1462" s="2" t="s">
        <v>4189</v>
      </c>
      <c r="J1462" s="3" t="str">
        <f>HYPERLINK("https://www.boe.es/gazeta/dias/1810/08/14/pdfs/GEI-1810-56.pdf#page=16","Abrir facsímil")</f>
        <v>Abrir facsímil</v>
      </c>
      <c r="K1462" s="3" t="s">
        <v>76</v>
      </c>
    </row>
    <row r="1463" spans="1:11" ht="42" customHeight="1">
      <c r="A1463" s="2" t="s">
        <v>4190</v>
      </c>
      <c r="B1463" s="2" t="s">
        <v>4190</v>
      </c>
      <c r="C1463" s="2" t="s">
        <v>88</v>
      </c>
      <c r="D1463" s="2" t="s">
        <v>117</v>
      </c>
      <c r="E1463" s="4">
        <v>-32531</v>
      </c>
      <c r="F1463" s="3" t="s">
        <v>2483</v>
      </c>
      <c r="G1463" s="3" t="s">
        <v>2686</v>
      </c>
      <c r="H1463" s="2" t="s">
        <v>74</v>
      </c>
      <c r="I1463" s="2" t="s">
        <v>4191</v>
      </c>
      <c r="J1463" s="3" t="str">
        <f>HYPERLINK("https://www.boe.es/gazeta/dias/1810/12/06/pdfs/GEI-1810-104.pdf#page=8","Abrir facsímil")</f>
        <v>Abrir facsímil</v>
      </c>
      <c r="K1463" s="3" t="s">
        <v>76</v>
      </c>
    </row>
    <row r="1464" spans="1:11" ht="42" customHeight="1">
      <c r="A1464" s="2" t="s">
        <v>4192</v>
      </c>
      <c r="B1464" s="2" t="s">
        <v>4193</v>
      </c>
      <c r="C1464" s="2" t="s">
        <v>88</v>
      </c>
      <c r="D1464" s="2" t="s">
        <v>117</v>
      </c>
      <c r="E1464" s="4">
        <v>-32645</v>
      </c>
      <c r="F1464" s="3" t="s">
        <v>122</v>
      </c>
      <c r="G1464" s="3" t="s">
        <v>588</v>
      </c>
      <c r="H1464" s="2" t="s">
        <v>74</v>
      </c>
      <c r="I1464" s="2" t="s">
        <v>4194</v>
      </c>
      <c r="J1464" s="3" t="str">
        <f>HYPERLINK("https://www.boe.es/gazeta/dias/1810/08/14/pdfs/GEI-1810-56.pdf#page=15","Abrir facsímil")</f>
        <v>Abrir facsímil</v>
      </c>
      <c r="K1464" s="3" t="s">
        <v>76</v>
      </c>
    </row>
    <row r="1465" spans="1:11" ht="42" customHeight="1">
      <c r="A1465" s="2" t="s">
        <v>4195</v>
      </c>
      <c r="B1465" s="2" t="s">
        <v>4195</v>
      </c>
      <c r="C1465" s="2" t="s">
        <v>88</v>
      </c>
      <c r="D1465" s="2" t="s">
        <v>117</v>
      </c>
      <c r="E1465" s="4">
        <v>-32740</v>
      </c>
      <c r="F1465" s="3" t="s">
        <v>1207</v>
      </c>
      <c r="G1465" s="3" t="s">
        <v>29</v>
      </c>
      <c r="H1465" s="2" t="s">
        <v>74</v>
      </c>
      <c r="I1465" s="2" t="s">
        <v>4196</v>
      </c>
      <c r="J1465" s="3" t="str">
        <f>HYPERLINK("https://www.boe.es/gazeta/dias/1810/05/11/pdfs/GMD-1810-131.pdf#page=2","Abrir facsímil")</f>
        <v>Abrir facsímil</v>
      </c>
      <c r="K1465" s="3" t="s">
        <v>76</v>
      </c>
    </row>
    <row r="1466" spans="1:11" ht="42" customHeight="1">
      <c r="A1466" s="2" t="s">
        <v>4195</v>
      </c>
      <c r="B1466" s="2" t="s">
        <v>4195</v>
      </c>
      <c r="C1466" s="2" t="s">
        <v>26</v>
      </c>
      <c r="D1466" s="2" t="s">
        <v>27</v>
      </c>
      <c r="E1466" s="4">
        <v>-32713</v>
      </c>
      <c r="F1466" s="3" t="s">
        <v>959</v>
      </c>
      <c r="G1466" s="3" t="s">
        <v>960</v>
      </c>
      <c r="H1466" s="2" t="s">
        <v>74</v>
      </c>
      <c r="I1466" s="2" t="s">
        <v>4197</v>
      </c>
      <c r="J1466" s="3" t="str">
        <f>HYPERLINK("https://www.boe.es/gazeta/dias/1810/06/07/pdfs/GMD-1810-158.pdf#page=4","Abrir facsímil")</f>
        <v>Abrir facsímil</v>
      </c>
      <c r="K1466" s="3" t="s">
        <v>76</v>
      </c>
    </row>
    <row r="1467" spans="1:11" ht="42" customHeight="1">
      <c r="A1467" s="2" t="s">
        <v>4195</v>
      </c>
      <c r="B1467" s="2" t="s">
        <v>4195</v>
      </c>
      <c r="C1467" s="2" t="s">
        <v>17</v>
      </c>
      <c r="D1467" s="2" t="s">
        <v>27</v>
      </c>
      <c r="E1467" s="4">
        <v>-32669</v>
      </c>
      <c r="F1467" s="3" t="s">
        <v>217</v>
      </c>
      <c r="G1467" s="3" t="s">
        <v>20</v>
      </c>
      <c r="H1467" s="2" t="s">
        <v>74</v>
      </c>
      <c r="I1467" s="2" t="s">
        <v>4198</v>
      </c>
      <c r="J1467" s="3" t="str">
        <f>HYPERLINK("https://www.boe.es/gazeta/dias/1810/07/21/pdfs/GMD-1810-202.pdf#page=4","Abrir facsímil")</f>
        <v>Abrir facsímil</v>
      </c>
      <c r="K1467" s="3" t="s">
        <v>76</v>
      </c>
    </row>
    <row r="1468" spans="1:11" ht="42" customHeight="1">
      <c r="A1468" s="2" t="s">
        <v>4195</v>
      </c>
      <c r="B1468" s="2" t="s">
        <v>4195</v>
      </c>
      <c r="C1468" s="2" t="s">
        <v>26</v>
      </c>
      <c r="D1468" s="2" t="s">
        <v>27</v>
      </c>
      <c r="E1468" s="4">
        <v>-32666</v>
      </c>
      <c r="F1468" s="3" t="s">
        <v>1913</v>
      </c>
      <c r="G1468" s="3" t="s">
        <v>151</v>
      </c>
      <c r="H1468" s="2" t="s">
        <v>74</v>
      </c>
      <c r="I1468" s="2" t="s">
        <v>4199</v>
      </c>
      <c r="J1468" s="3" t="str">
        <f>HYPERLINK("https://www.boe.es/gazeta/dias/1810/07/24/pdfs/GMD-1810-205.pdf#page=3","Abrir facsímil")</f>
        <v>Abrir facsímil</v>
      </c>
      <c r="K1468" s="3" t="s">
        <v>76</v>
      </c>
    </row>
    <row r="1469" spans="1:11" ht="42" customHeight="1">
      <c r="A1469" s="2" t="s">
        <v>4195</v>
      </c>
      <c r="B1469" s="2" t="s">
        <v>4195</v>
      </c>
      <c r="C1469" s="2" t="s">
        <v>33</v>
      </c>
      <c r="D1469" s="2" t="s">
        <v>27</v>
      </c>
      <c r="E1469" s="4">
        <v>-32625</v>
      </c>
      <c r="F1469" s="3" t="s">
        <v>4200</v>
      </c>
      <c r="G1469" s="3" t="s">
        <v>465</v>
      </c>
      <c r="H1469" s="2" t="s">
        <v>74</v>
      </c>
      <c r="I1469" s="2" t="s">
        <v>4201</v>
      </c>
      <c r="J1469" s="3" t="str">
        <f>HYPERLINK("https://www.boe.es/gazeta/dias/1810/09/03/pdfs/GMD-1810-246.pdf#page=1","Abrir facsímil")</f>
        <v>Abrir facsímil</v>
      </c>
      <c r="K1469" s="3" t="s">
        <v>76</v>
      </c>
    </row>
    <row r="1470" spans="1:11" ht="42" customHeight="1">
      <c r="A1470" s="2" t="s">
        <v>4195</v>
      </c>
      <c r="B1470" s="2" t="s">
        <v>4195</v>
      </c>
      <c r="C1470" s="2" t="s">
        <v>26</v>
      </c>
      <c r="D1470" s="2" t="s">
        <v>220</v>
      </c>
      <c r="E1470" s="4">
        <v>-32513</v>
      </c>
      <c r="F1470" s="3" t="s">
        <v>3702</v>
      </c>
      <c r="G1470" s="3" t="s">
        <v>4202</v>
      </c>
      <c r="H1470" s="2" t="s">
        <v>74</v>
      </c>
      <c r="I1470" s="2" t="s">
        <v>4203</v>
      </c>
      <c r="J1470" s="3" t="str">
        <f>HYPERLINK("https://www.boe.es/gazeta/dias/1810/12/24/pdfs/GMD-1810-358.pdf#page=1","Abrir facsímil")</f>
        <v>Abrir facsímil</v>
      </c>
      <c r="K1470" s="3" t="s">
        <v>76</v>
      </c>
    </row>
    <row r="1471" spans="1:11" ht="42" customHeight="1">
      <c r="A1471" s="2" t="s">
        <v>4204</v>
      </c>
      <c r="B1471" s="2" t="s">
        <v>4205</v>
      </c>
      <c r="C1471" s="2" t="s">
        <v>17</v>
      </c>
      <c r="D1471" s="2" t="s">
        <v>27</v>
      </c>
      <c r="E1471" s="4">
        <v>-32676</v>
      </c>
      <c r="F1471" s="3" t="s">
        <v>2863</v>
      </c>
      <c r="G1471" s="3" t="s">
        <v>592</v>
      </c>
      <c r="H1471" s="2" t="s">
        <v>74</v>
      </c>
      <c r="I1471" s="2" t="s">
        <v>4206</v>
      </c>
      <c r="J1471" s="3" t="str">
        <f>HYPERLINK("https://www.boe.es/gazeta/dias/1810/07/14/pdfs/GMD-1810-195.pdf#page=4","Abrir facsímil")</f>
        <v>Abrir facsímil</v>
      </c>
      <c r="K1471" s="3" t="s">
        <v>76</v>
      </c>
    </row>
    <row r="1472" spans="1:11" ht="42" customHeight="1">
      <c r="A1472" s="2" t="s">
        <v>4207</v>
      </c>
      <c r="B1472" s="2" t="s">
        <v>4208</v>
      </c>
      <c r="C1472" s="2" t="s">
        <v>111</v>
      </c>
      <c r="D1472" s="2" t="s">
        <v>27</v>
      </c>
      <c r="E1472" s="4">
        <v>-32800</v>
      </c>
      <c r="F1472" s="3" t="s">
        <v>388</v>
      </c>
      <c r="G1472" s="3" t="s">
        <v>90</v>
      </c>
      <c r="H1472" s="2" t="s">
        <v>74</v>
      </c>
      <c r="I1472" s="2" t="s">
        <v>4209</v>
      </c>
      <c r="J1472" s="3" t="str">
        <f>HYPERLINK("https://www.boe.es/gazeta/dias/1810/03/12/pdfs/GMD-1810-71.pdf#page=4","Abrir facsímil")</f>
        <v>Abrir facsímil</v>
      </c>
      <c r="K1472" s="3" t="s">
        <v>76</v>
      </c>
    </row>
    <row r="1473" spans="1:11" ht="42" customHeight="1">
      <c r="A1473" s="2" t="s">
        <v>4207</v>
      </c>
      <c r="B1473" s="2" t="s">
        <v>4208</v>
      </c>
      <c r="C1473" s="2" t="s">
        <v>88</v>
      </c>
      <c r="D1473" s="2" t="s">
        <v>117</v>
      </c>
      <c r="E1473" s="4">
        <v>-32561</v>
      </c>
      <c r="F1473" s="3" t="s">
        <v>273</v>
      </c>
      <c r="G1473" s="3" t="s">
        <v>749</v>
      </c>
      <c r="H1473" s="2" t="s">
        <v>74</v>
      </c>
      <c r="I1473" s="2" t="s">
        <v>4210</v>
      </c>
      <c r="J1473" s="3" t="str">
        <f>HYPERLINK("https://www.boe.es/gazeta/dias/1810/11/06/pdfs/GEI-1810-91.pdf#page=7","Abrir facsímil")</f>
        <v>Abrir facsímil</v>
      </c>
      <c r="K1473" s="3" t="s">
        <v>76</v>
      </c>
    </row>
    <row r="1474" spans="1:11" ht="42" customHeight="1">
      <c r="A1474" s="2" t="s">
        <v>4211</v>
      </c>
      <c r="B1474" s="2" t="s">
        <v>4212</v>
      </c>
      <c r="C1474" s="2" t="s">
        <v>88</v>
      </c>
      <c r="D1474" s="2" t="s">
        <v>27</v>
      </c>
      <c r="E1474" s="4">
        <v>-32658</v>
      </c>
      <c r="F1474" s="3" t="s">
        <v>1224</v>
      </c>
      <c r="G1474" s="3" t="s">
        <v>140</v>
      </c>
      <c r="H1474" s="2" t="s">
        <v>74</v>
      </c>
      <c r="I1474" s="2" t="s">
        <v>4213</v>
      </c>
      <c r="J1474" s="3" t="str">
        <f>HYPERLINK("https://www.boe.es/gazeta/dias/1810/08/01/pdfs/GMD-1810-213.pdf#page=4","Abrir facsímil")</f>
        <v>Abrir facsímil</v>
      </c>
      <c r="K1474" s="3" t="s">
        <v>76</v>
      </c>
    </row>
    <row r="1475" spans="1:11" ht="42" customHeight="1">
      <c r="A1475" s="2" t="s">
        <v>4214</v>
      </c>
      <c r="B1475" s="2" t="s">
        <v>4215</v>
      </c>
      <c r="C1475" s="2" t="s">
        <v>26</v>
      </c>
      <c r="D1475" s="2" t="s">
        <v>27</v>
      </c>
      <c r="E1475" s="4">
        <v>-32693</v>
      </c>
      <c r="F1475" s="3" t="s">
        <v>54</v>
      </c>
      <c r="G1475" s="3" t="s">
        <v>20</v>
      </c>
      <c r="H1475" s="2" t="s">
        <v>74</v>
      </c>
      <c r="I1475" s="2" t="s">
        <v>4216</v>
      </c>
      <c r="J1475" s="3" t="str">
        <f>HYPERLINK("https://www.boe.es/gazeta/dias/1810/06/27/pdfs/GMD-1810-178.pdf#page=4","Abrir facsímil")</f>
        <v>Abrir facsímil</v>
      </c>
      <c r="K1475" s="3" t="s">
        <v>76</v>
      </c>
    </row>
    <row r="1476" spans="1:11" ht="42" customHeight="1">
      <c r="A1476" s="2" t="s">
        <v>4217</v>
      </c>
      <c r="B1476" s="2" t="s">
        <v>4218</v>
      </c>
      <c r="C1476" s="2" t="s">
        <v>33</v>
      </c>
      <c r="D1476" s="2" t="s">
        <v>18</v>
      </c>
      <c r="E1476" s="4">
        <v>-32805</v>
      </c>
      <c r="F1476" s="3" t="s">
        <v>2068</v>
      </c>
      <c r="G1476" s="3" t="s">
        <v>29</v>
      </c>
      <c r="H1476" s="2" t="s">
        <v>74</v>
      </c>
      <c r="I1476" s="2" t="s">
        <v>4219</v>
      </c>
      <c r="J1476" s="3" t="str">
        <f>HYPERLINK("https://www.boe.es/gazeta/dias/1810/03/07/pdfs/GMD-1810-66.pdf#page=4","Abrir facsímil")</f>
        <v>Abrir facsímil</v>
      </c>
      <c r="K1476" s="3" t="s">
        <v>76</v>
      </c>
    </row>
    <row r="1477" spans="1:11" ht="42" customHeight="1">
      <c r="A1477" s="2" t="s">
        <v>4217</v>
      </c>
      <c r="B1477" s="2" t="s">
        <v>4218</v>
      </c>
      <c r="C1477" s="2" t="s">
        <v>26</v>
      </c>
      <c r="D1477" s="2" t="s">
        <v>18</v>
      </c>
      <c r="E1477" s="4">
        <v>-32783</v>
      </c>
      <c r="F1477" s="3" t="s">
        <v>896</v>
      </c>
      <c r="G1477" s="3" t="s">
        <v>20</v>
      </c>
      <c r="H1477" s="2" t="s">
        <v>74</v>
      </c>
      <c r="I1477" s="2" t="s">
        <v>4220</v>
      </c>
      <c r="J1477" s="3" t="str">
        <f>HYPERLINK("https://www.boe.es/gazeta/dias/1810/03/29/pdfs/GMD-1810-88.pdf#page=4","Abrir facsímil")</f>
        <v>Abrir facsímil</v>
      </c>
      <c r="K1477" s="3" t="s">
        <v>76</v>
      </c>
    </row>
    <row r="1478" spans="1:11" ht="42" customHeight="1">
      <c r="A1478" s="2" t="s">
        <v>4221</v>
      </c>
      <c r="B1478" s="2" t="s">
        <v>4221</v>
      </c>
      <c r="C1478" s="2" t="s">
        <v>195</v>
      </c>
      <c r="D1478" s="2" t="s">
        <v>27</v>
      </c>
      <c r="E1478" s="4">
        <v>-32550</v>
      </c>
      <c r="F1478" s="3" t="s">
        <v>4222</v>
      </c>
      <c r="G1478" s="3" t="s">
        <v>735</v>
      </c>
      <c r="H1478" s="2" t="s">
        <v>74</v>
      </c>
      <c r="I1478" s="2" t="s">
        <v>4223</v>
      </c>
      <c r="J1478" s="3" t="str">
        <f>HYPERLINK("https://www.boe.es/gazeta/dias/1810/11/17/pdfs/GMD-1810-321.pdf#page=1","Abrir facsímil")</f>
        <v>Abrir facsímil</v>
      </c>
      <c r="K1478" s="3" t="s">
        <v>76</v>
      </c>
    </row>
    <row r="1479" spans="1:11" ht="42" customHeight="1">
      <c r="A1479" s="2" t="s">
        <v>4224</v>
      </c>
      <c r="B1479" s="2" t="s">
        <v>4224</v>
      </c>
      <c r="C1479" s="2" t="s">
        <v>26</v>
      </c>
      <c r="D1479" s="2" t="s">
        <v>27</v>
      </c>
      <c r="E1479" s="4">
        <v>-32815</v>
      </c>
      <c r="F1479" s="3" t="s">
        <v>1201</v>
      </c>
      <c r="G1479" s="3" t="s">
        <v>70</v>
      </c>
      <c r="H1479" s="2" t="s">
        <v>74</v>
      </c>
      <c r="I1479" s="2" t="s">
        <v>4225</v>
      </c>
      <c r="J1479" s="3" t="str">
        <f>HYPERLINK("https://www.boe.es/gazeta/dias/1810/02/25/pdfs/GMD-1810-56.pdf#page=3","Abrir facsímil")</f>
        <v>Abrir facsímil</v>
      </c>
      <c r="K1479" s="3" t="s">
        <v>76</v>
      </c>
    </row>
    <row r="1480" spans="1:11" ht="42" customHeight="1">
      <c r="A1480" s="2" t="s">
        <v>4226</v>
      </c>
      <c r="B1480" s="2" t="s">
        <v>4227</v>
      </c>
      <c r="C1480" s="2" t="s">
        <v>26</v>
      </c>
      <c r="D1480" s="2" t="s">
        <v>27</v>
      </c>
      <c r="E1480" s="4">
        <v>-32761</v>
      </c>
      <c r="F1480" s="3" t="s">
        <v>811</v>
      </c>
      <c r="G1480" s="3" t="s">
        <v>140</v>
      </c>
      <c r="H1480" s="2" t="s">
        <v>74</v>
      </c>
      <c r="I1480" s="2" t="s">
        <v>4228</v>
      </c>
      <c r="J1480" s="3" t="str">
        <f>HYPERLINK("https://www.boe.es/gazeta/dias/1810/04/20/pdfs/GEI-1810-16.pdf#page=8","Abrir facsímil")</f>
        <v>Abrir facsímil</v>
      </c>
      <c r="K1480" s="3" t="s">
        <v>76</v>
      </c>
    </row>
    <row r="1481" spans="1:11" ht="42" customHeight="1">
      <c r="A1481" s="2" t="s">
        <v>4229</v>
      </c>
      <c r="B1481" s="2" t="s">
        <v>4230</v>
      </c>
      <c r="C1481" s="2" t="s">
        <v>26</v>
      </c>
      <c r="D1481" s="2" t="s">
        <v>18</v>
      </c>
      <c r="E1481" s="4">
        <v>-32853</v>
      </c>
      <c r="F1481" s="3" t="s">
        <v>516</v>
      </c>
      <c r="G1481" s="3" t="s">
        <v>2035</v>
      </c>
      <c r="H1481" s="2" t="s">
        <v>74</v>
      </c>
      <c r="I1481" s="2" t="s">
        <v>4231</v>
      </c>
      <c r="J1481" s="3" t="str">
        <f>HYPERLINK("https://www.boe.es/gazeta/dias/1810/01/18/pdfs/GGB-1810-8.pdf#page=3","Abrir facsímil")</f>
        <v>Abrir facsímil</v>
      </c>
      <c r="K1481" s="3" t="s">
        <v>76</v>
      </c>
    </row>
    <row r="1482" spans="1:11" ht="42" customHeight="1">
      <c r="A1482" s="2" t="s">
        <v>4232</v>
      </c>
      <c r="B1482" s="2" t="s">
        <v>4233</v>
      </c>
      <c r="C1482" s="2" t="s">
        <v>26</v>
      </c>
      <c r="D1482" s="2" t="s">
        <v>27</v>
      </c>
      <c r="E1482" s="4">
        <v>-32691</v>
      </c>
      <c r="F1482" s="3" t="s">
        <v>727</v>
      </c>
      <c r="G1482" s="3" t="s">
        <v>807</v>
      </c>
      <c r="H1482" s="2" t="s">
        <v>74</v>
      </c>
      <c r="I1482" s="2" t="s">
        <v>4234</v>
      </c>
      <c r="J1482" s="3" t="str">
        <f>HYPERLINK("https://www.boe.es/gazeta/dias/1810/06/29/pdfs/GMD-1810-180.pdf#page=3","Abrir facsímil")</f>
        <v>Abrir facsímil</v>
      </c>
      <c r="K1482" s="3" t="s">
        <v>76</v>
      </c>
    </row>
    <row r="1483" spans="1:11" ht="42" customHeight="1">
      <c r="A1483" s="2" t="s">
        <v>4235</v>
      </c>
      <c r="B1483" s="2" t="s">
        <v>4235</v>
      </c>
      <c r="C1483" s="2" t="s">
        <v>88</v>
      </c>
      <c r="D1483" s="2" t="s">
        <v>220</v>
      </c>
      <c r="E1483" s="4">
        <v>-32768</v>
      </c>
      <c r="F1483" s="3" t="s">
        <v>4236</v>
      </c>
      <c r="G1483" s="3" t="s">
        <v>180</v>
      </c>
      <c r="H1483" s="2" t="s">
        <v>74</v>
      </c>
      <c r="I1483" s="2" t="s">
        <v>4237</v>
      </c>
      <c r="J1483" s="3" t="str">
        <f>HYPERLINK("https://www.boe.es/gazeta/dias/1810/04/13/pdfs/GMD-1810-103.pdf#page=3","Abrir facsímil")</f>
        <v>Abrir facsímil</v>
      </c>
      <c r="K1483" s="3" t="s">
        <v>76</v>
      </c>
    </row>
    <row r="1484" spans="1:11" ht="42" customHeight="1">
      <c r="A1484" s="2" t="s">
        <v>4238</v>
      </c>
      <c r="B1484" s="2" t="s">
        <v>4238</v>
      </c>
      <c r="C1484" s="2" t="s">
        <v>88</v>
      </c>
      <c r="D1484" s="2" t="s">
        <v>27</v>
      </c>
      <c r="E1484" s="4">
        <v>-32855</v>
      </c>
      <c r="F1484" s="3" t="s">
        <v>4239</v>
      </c>
      <c r="G1484" s="3" t="s">
        <v>632</v>
      </c>
      <c r="H1484" s="2" t="s">
        <v>74</v>
      </c>
      <c r="I1484" s="2" t="s">
        <v>4240</v>
      </c>
      <c r="J1484" s="3" t="str">
        <f>HYPERLINK("https://www.boe.es/gazeta/dias/1810/01/16/pdfs/GMD-1810-16.pdf#page=2","Abrir facsímil")</f>
        <v>Abrir facsímil</v>
      </c>
      <c r="K1484" s="3" t="s">
        <v>76</v>
      </c>
    </row>
    <row r="1485" spans="1:11" ht="42" customHeight="1">
      <c r="A1485" s="2" t="s">
        <v>4241</v>
      </c>
      <c r="B1485" s="2" t="s">
        <v>4242</v>
      </c>
      <c r="C1485" s="2" t="s">
        <v>88</v>
      </c>
      <c r="D1485" s="2" t="s">
        <v>27</v>
      </c>
      <c r="E1485" s="4">
        <v>-32851</v>
      </c>
      <c r="F1485" s="3" t="s">
        <v>4243</v>
      </c>
      <c r="G1485" s="3" t="s">
        <v>20</v>
      </c>
      <c r="H1485" s="2" t="s">
        <v>74</v>
      </c>
      <c r="I1485" s="2" t="s">
        <v>4244</v>
      </c>
      <c r="J1485" s="3" t="str">
        <f>HYPERLINK("https://www.boe.es/gazeta/dias/1810/01/20/pdfs/GMD-1810-20.pdf#page=4","Abrir facsímil")</f>
        <v>Abrir facsímil</v>
      </c>
      <c r="K1485" s="3" t="s">
        <v>76</v>
      </c>
    </row>
    <row r="1486" spans="1:11" ht="42" customHeight="1">
      <c r="A1486" s="2" t="s">
        <v>4245</v>
      </c>
      <c r="B1486" s="2" t="s">
        <v>4245</v>
      </c>
      <c r="C1486" s="2" t="s">
        <v>88</v>
      </c>
      <c r="D1486" s="2" t="s">
        <v>117</v>
      </c>
      <c r="E1486" s="4">
        <v>-32643</v>
      </c>
      <c r="F1486" s="3" t="s">
        <v>4246</v>
      </c>
      <c r="G1486" s="3" t="s">
        <v>99</v>
      </c>
      <c r="H1486" s="2" t="s">
        <v>74</v>
      </c>
      <c r="I1486" s="2" t="s">
        <v>4247</v>
      </c>
      <c r="J1486" s="3" t="str">
        <f>HYPERLINK("https://www.boe.es/gazeta/dias/1810/08/16/pdfs/GMD-1810-228.pdf#page=3","Abrir facsímil")</f>
        <v>Abrir facsímil</v>
      </c>
      <c r="K1486" s="3" t="s">
        <v>76</v>
      </c>
    </row>
    <row r="1487" spans="1:11" ht="42" customHeight="1">
      <c r="A1487" s="2" t="s">
        <v>4248</v>
      </c>
      <c r="B1487" s="2" t="s">
        <v>4248</v>
      </c>
      <c r="C1487" s="2" t="s">
        <v>88</v>
      </c>
      <c r="D1487" s="2" t="s">
        <v>117</v>
      </c>
      <c r="E1487" s="4">
        <v>-32861</v>
      </c>
      <c r="F1487" s="3" t="s">
        <v>796</v>
      </c>
      <c r="G1487" s="3" t="s">
        <v>29</v>
      </c>
      <c r="H1487" s="2" t="s">
        <v>74</v>
      </c>
      <c r="I1487" s="2" t="s">
        <v>4249</v>
      </c>
      <c r="J1487" s="3" t="str">
        <f>HYPERLINK("https://www.boe.es/gazeta/dias/1810/01/10/pdfs/GMD-1810-10.pdf#page=2","Abrir facsímil")</f>
        <v>Abrir facsímil</v>
      </c>
      <c r="K1487" s="3" t="s">
        <v>76</v>
      </c>
    </row>
    <row r="1488" spans="1:11" ht="42" customHeight="1">
      <c r="A1488" s="2" t="s">
        <v>4248</v>
      </c>
      <c r="B1488" s="2" t="s">
        <v>4248</v>
      </c>
      <c r="C1488" s="2" t="s">
        <v>26</v>
      </c>
      <c r="D1488" s="2" t="s">
        <v>27</v>
      </c>
      <c r="E1488" s="4">
        <v>-32823</v>
      </c>
      <c r="F1488" s="3" t="s">
        <v>4250</v>
      </c>
      <c r="G1488" s="3" t="s">
        <v>140</v>
      </c>
      <c r="H1488" s="2" t="s">
        <v>74</v>
      </c>
      <c r="I1488" s="2" t="s">
        <v>4251</v>
      </c>
      <c r="J1488" s="3" t="str">
        <f>HYPERLINK("https://www.boe.es/gazeta/dias/1810/02/17/pdfs/GMD-1810-48.pdf#page=2","Abrir facsímil")</f>
        <v>Abrir facsímil</v>
      </c>
      <c r="K1488" s="3" t="s">
        <v>76</v>
      </c>
    </row>
    <row r="1489" spans="1:11" ht="42" customHeight="1">
      <c r="A1489" s="2" t="s">
        <v>4248</v>
      </c>
      <c r="B1489" s="2" t="s">
        <v>4248</v>
      </c>
      <c r="C1489" s="2" t="s">
        <v>26</v>
      </c>
      <c r="D1489" s="2" t="s">
        <v>27</v>
      </c>
      <c r="E1489" s="4">
        <v>-32823</v>
      </c>
      <c r="F1489" s="3" t="s">
        <v>4250</v>
      </c>
      <c r="G1489" s="3" t="s">
        <v>732</v>
      </c>
      <c r="H1489" s="2" t="s">
        <v>74</v>
      </c>
      <c r="I1489" s="2" t="s">
        <v>4252</v>
      </c>
      <c r="J1489" s="3" t="str">
        <f>HYPERLINK("https://www.boe.es/gazeta/dias/1810/02/17/pdfs/GMD-1810-48.pdf#page=3","Abrir facsímil")</f>
        <v>Abrir facsímil</v>
      </c>
      <c r="K1489" s="3" t="s">
        <v>76</v>
      </c>
    </row>
    <row r="1490" spans="1:11" ht="42" customHeight="1">
      <c r="A1490" s="2" t="s">
        <v>4248</v>
      </c>
      <c r="B1490" s="2" t="s">
        <v>4248</v>
      </c>
      <c r="C1490" s="2" t="s">
        <v>26</v>
      </c>
      <c r="D1490" s="2" t="s">
        <v>27</v>
      </c>
      <c r="E1490" s="4">
        <v>-32823</v>
      </c>
      <c r="F1490" s="3" t="s">
        <v>4250</v>
      </c>
      <c r="G1490" s="3" t="s">
        <v>465</v>
      </c>
      <c r="H1490" s="2" t="s">
        <v>74</v>
      </c>
      <c r="I1490" s="2" t="s">
        <v>4253</v>
      </c>
      <c r="J1490" s="3" t="str">
        <f>HYPERLINK("https://www.boe.es/gazeta/dias/1810/02/17/pdfs/GMD-1810-48.pdf#page=4","Abrir facsímil")</f>
        <v>Abrir facsímil</v>
      </c>
      <c r="K1490" s="3" t="s">
        <v>76</v>
      </c>
    </row>
    <row r="1491" spans="1:11" ht="42" customHeight="1">
      <c r="A1491" s="2" t="s">
        <v>4248</v>
      </c>
      <c r="B1491" s="2" t="s">
        <v>4248</v>
      </c>
      <c r="C1491" s="2" t="s">
        <v>26</v>
      </c>
      <c r="D1491" s="2" t="s">
        <v>27</v>
      </c>
      <c r="E1491" s="4">
        <v>-32815</v>
      </c>
      <c r="F1491" s="3" t="s">
        <v>1201</v>
      </c>
      <c r="G1491" s="3" t="s">
        <v>70</v>
      </c>
      <c r="H1491" s="2" t="s">
        <v>74</v>
      </c>
      <c r="I1491" s="2" t="s">
        <v>4254</v>
      </c>
      <c r="J1491" s="3" t="str">
        <f>HYPERLINK("https://www.boe.es/gazeta/dias/1810/02/25/pdfs/GMD-1810-56.pdf#page=3","Abrir facsímil")</f>
        <v>Abrir facsímil</v>
      </c>
      <c r="K1491" s="3" t="s">
        <v>76</v>
      </c>
    </row>
    <row r="1492" spans="1:11" ht="42" customHeight="1">
      <c r="A1492" s="2" t="s">
        <v>4248</v>
      </c>
      <c r="B1492" s="2" t="s">
        <v>4248</v>
      </c>
      <c r="C1492" s="2" t="s">
        <v>88</v>
      </c>
      <c r="D1492" s="2" t="s">
        <v>117</v>
      </c>
      <c r="E1492" s="4">
        <v>-32778</v>
      </c>
      <c r="F1492" s="3" t="s">
        <v>4255</v>
      </c>
      <c r="G1492" s="3" t="s">
        <v>35</v>
      </c>
      <c r="H1492" s="2" t="s">
        <v>74</v>
      </c>
      <c r="I1492" s="2" t="s">
        <v>4256</v>
      </c>
      <c r="J1492" s="3" t="str">
        <f>HYPERLINK("https://www.boe.es/gazeta/dias/1810/04/03/pdfs/GMD-1810-93.pdf#page=2","Abrir facsímil")</f>
        <v>Abrir facsímil</v>
      </c>
      <c r="K1492" s="3" t="s">
        <v>76</v>
      </c>
    </row>
    <row r="1493" spans="1:11" ht="42" customHeight="1">
      <c r="A1493" s="2" t="s">
        <v>4248</v>
      </c>
      <c r="B1493" s="2" t="s">
        <v>4248</v>
      </c>
      <c r="C1493" s="2" t="s">
        <v>26</v>
      </c>
      <c r="D1493" s="2" t="s">
        <v>27</v>
      </c>
      <c r="E1493" s="4">
        <v>-32566</v>
      </c>
      <c r="F1493" s="3" t="s">
        <v>405</v>
      </c>
      <c r="G1493" s="3" t="s">
        <v>469</v>
      </c>
      <c r="H1493" s="2" t="s">
        <v>74</v>
      </c>
      <c r="I1493" s="2" t="s">
        <v>4257</v>
      </c>
      <c r="J1493" s="3" t="str">
        <f>HYPERLINK("https://www.boe.es/gazeta/dias/1810/11/01/pdfs/GMD-1810-305.pdf#page=2","Abrir facsímil")</f>
        <v>Abrir facsímil</v>
      </c>
      <c r="K1493" s="3" t="s">
        <v>76</v>
      </c>
    </row>
    <row r="1494" spans="1:11" ht="42" customHeight="1">
      <c r="A1494" s="2" t="s">
        <v>4248</v>
      </c>
      <c r="B1494" s="2" t="s">
        <v>4248</v>
      </c>
      <c r="C1494" s="2" t="s">
        <v>26</v>
      </c>
      <c r="D1494" s="2" t="s">
        <v>27</v>
      </c>
      <c r="E1494" s="4">
        <v>-32566</v>
      </c>
      <c r="F1494" s="3" t="s">
        <v>405</v>
      </c>
      <c r="G1494" s="3" t="s">
        <v>99</v>
      </c>
      <c r="H1494" s="2" t="s">
        <v>74</v>
      </c>
      <c r="I1494" s="2" t="s">
        <v>4258</v>
      </c>
      <c r="J1494" s="3" t="str">
        <f>HYPERLINK("https://www.boe.es/gazeta/dias/1810/11/01/pdfs/GMD-1810-305.pdf#page=3","Abrir facsímil")</f>
        <v>Abrir facsímil</v>
      </c>
      <c r="K1494" s="3" t="s">
        <v>76</v>
      </c>
    </row>
    <row r="1495" spans="1:11" ht="42" customHeight="1">
      <c r="A1495" s="2" t="s">
        <v>4259</v>
      </c>
      <c r="B1495" s="2" t="s">
        <v>4260</v>
      </c>
      <c r="C1495" s="2" t="s">
        <v>88</v>
      </c>
      <c r="D1495" s="2" t="s">
        <v>27</v>
      </c>
      <c r="E1495" s="4">
        <v>-32566</v>
      </c>
      <c r="F1495" s="3" t="s">
        <v>405</v>
      </c>
      <c r="G1495" s="3" t="s">
        <v>4261</v>
      </c>
      <c r="H1495" s="2" t="s">
        <v>74</v>
      </c>
      <c r="I1495" s="2" t="s">
        <v>4262</v>
      </c>
      <c r="J1495" s="3" t="str">
        <f>HYPERLINK("https://www.boe.es/gazeta/dias/1810/11/01/pdfs/GMD-1810-305.pdf#page=1","Abrir facsímil")</f>
        <v>Abrir facsímil</v>
      </c>
      <c r="K1495" s="3" t="s">
        <v>76</v>
      </c>
    </row>
    <row r="1496" spans="1:11" ht="42" customHeight="1">
      <c r="A1496" s="2" t="s">
        <v>4263</v>
      </c>
      <c r="B1496" s="2" t="s">
        <v>4264</v>
      </c>
      <c r="C1496" s="2" t="s">
        <v>88</v>
      </c>
      <c r="D1496" s="2" t="s">
        <v>117</v>
      </c>
      <c r="E1496" s="4">
        <v>-32566</v>
      </c>
      <c r="F1496" s="3" t="s">
        <v>405</v>
      </c>
      <c r="G1496" s="3" t="s">
        <v>469</v>
      </c>
      <c r="H1496" s="2" t="s">
        <v>74</v>
      </c>
      <c r="I1496" s="2" t="s">
        <v>4265</v>
      </c>
      <c r="J1496" s="3" t="str">
        <f>HYPERLINK("https://www.boe.es/gazeta/dias/1810/11/01/pdfs/GMD-1810-305.pdf#page=2","Abrir facsímil")</f>
        <v>Abrir facsímil</v>
      </c>
      <c r="K1496" s="3" t="s">
        <v>76</v>
      </c>
    </row>
    <row r="1497" spans="1:11" ht="42" customHeight="1">
      <c r="A1497" s="2" t="s">
        <v>4266</v>
      </c>
      <c r="B1497" s="2" t="s">
        <v>4267</v>
      </c>
      <c r="C1497" s="2" t="s">
        <v>88</v>
      </c>
      <c r="D1497" s="2" t="s">
        <v>27</v>
      </c>
      <c r="E1497" s="4">
        <v>-32566</v>
      </c>
      <c r="F1497" s="3" t="s">
        <v>405</v>
      </c>
      <c r="G1497" s="3" t="s">
        <v>469</v>
      </c>
      <c r="H1497" s="2" t="s">
        <v>74</v>
      </c>
      <c r="I1497" s="2" t="s">
        <v>4268</v>
      </c>
      <c r="J1497" s="3" t="str">
        <f>HYPERLINK("https://www.boe.es/gazeta/dias/1810/11/01/pdfs/GMD-1810-305.pdf#page=2","Abrir facsímil")</f>
        <v>Abrir facsímil</v>
      </c>
      <c r="K1497" s="3" t="s">
        <v>76</v>
      </c>
    </row>
    <row r="1498" spans="1:11" ht="42" customHeight="1">
      <c r="A1498" s="2" t="s">
        <v>4269</v>
      </c>
      <c r="B1498" s="2" t="s">
        <v>4269</v>
      </c>
      <c r="C1498" s="2" t="s">
        <v>26</v>
      </c>
      <c r="D1498" s="2" t="s">
        <v>27</v>
      </c>
      <c r="E1498" s="4">
        <v>-32815</v>
      </c>
      <c r="F1498" s="3" t="s">
        <v>1201</v>
      </c>
      <c r="G1498" s="3" t="s">
        <v>70</v>
      </c>
      <c r="H1498" s="2" t="s">
        <v>74</v>
      </c>
      <c r="I1498" s="2" t="s">
        <v>4270</v>
      </c>
      <c r="J1498" s="3" t="str">
        <f>HYPERLINK("https://www.boe.es/gazeta/dias/1810/02/25/pdfs/GMD-1810-56.pdf#page=3","Abrir facsímil")</f>
        <v>Abrir facsímil</v>
      </c>
      <c r="K1498" s="3" t="s">
        <v>76</v>
      </c>
    </row>
    <row r="1499" spans="1:11" ht="42" customHeight="1">
      <c r="A1499" s="2" t="s">
        <v>4271</v>
      </c>
      <c r="B1499" s="2" t="s">
        <v>4271</v>
      </c>
      <c r="C1499" s="2" t="s">
        <v>26</v>
      </c>
      <c r="D1499" s="2" t="s">
        <v>27</v>
      </c>
      <c r="E1499" s="4">
        <v>-32766</v>
      </c>
      <c r="F1499" s="3" t="s">
        <v>492</v>
      </c>
      <c r="G1499" s="3" t="s">
        <v>493</v>
      </c>
      <c r="H1499" s="2" t="s">
        <v>74</v>
      </c>
      <c r="I1499" s="2" t="s">
        <v>4272</v>
      </c>
      <c r="J1499" s="3" t="str">
        <f>HYPERLINK("https://www.boe.es/gazeta/dias/1810/04/15/pdfs/GMD-1810-105.pdf#page=4","Abrir facsímil")</f>
        <v>Abrir facsímil</v>
      </c>
      <c r="K1499" s="3" t="s">
        <v>76</v>
      </c>
    </row>
    <row r="1500" spans="1:11" ht="42" customHeight="1">
      <c r="A1500" s="2" t="s">
        <v>4273</v>
      </c>
      <c r="B1500" s="2" t="s">
        <v>4273</v>
      </c>
      <c r="C1500" s="2" t="s">
        <v>88</v>
      </c>
      <c r="D1500" s="2" t="s">
        <v>220</v>
      </c>
      <c r="E1500" s="4">
        <v>-32841</v>
      </c>
      <c r="F1500" s="3" t="s">
        <v>4274</v>
      </c>
      <c r="G1500" s="3" t="s">
        <v>29</v>
      </c>
      <c r="H1500" s="2" t="s">
        <v>74</v>
      </c>
      <c r="I1500" s="2" t="s">
        <v>4275</v>
      </c>
      <c r="J1500" s="3" t="str">
        <f>HYPERLINK("https://www.boe.es/gazeta/dias/1810/01/30/pdfs/GMD-1810-30.pdf#page=2","Abrir facsímil")</f>
        <v>Abrir facsímil</v>
      </c>
      <c r="K1500" s="3" t="s">
        <v>76</v>
      </c>
    </row>
    <row r="1501" spans="1:11" ht="42" customHeight="1">
      <c r="A1501" s="2" t="s">
        <v>4276</v>
      </c>
      <c r="B1501" s="2" t="s">
        <v>4277</v>
      </c>
      <c r="C1501" s="2" t="s">
        <v>26</v>
      </c>
      <c r="D1501" s="2" t="s">
        <v>39</v>
      </c>
      <c r="E1501" s="4">
        <v>-32702</v>
      </c>
      <c r="F1501" s="3" t="s">
        <v>179</v>
      </c>
      <c r="G1501" s="3" t="s">
        <v>119</v>
      </c>
      <c r="H1501" s="2" t="s">
        <v>74</v>
      </c>
      <c r="I1501" s="2" t="s">
        <v>4278</v>
      </c>
      <c r="J1501" s="3" t="str">
        <f>HYPERLINK("https://www.boe.es/gazeta/dias/1810/06/18/pdfs/GMD-C-1810-169.pdf#page=1","Abrir facsímil")</f>
        <v>Abrir facsímil</v>
      </c>
      <c r="K1501" s="3" t="s">
        <v>76</v>
      </c>
    </row>
    <row r="1502" spans="1:11" ht="42" customHeight="1">
      <c r="A1502" s="2" t="s">
        <v>4279</v>
      </c>
      <c r="B1502" s="2" t="s">
        <v>4279</v>
      </c>
      <c r="C1502" s="2" t="s">
        <v>88</v>
      </c>
      <c r="D1502" s="2" t="s">
        <v>117</v>
      </c>
      <c r="E1502" s="4">
        <v>-32517</v>
      </c>
      <c r="F1502" s="3" t="s">
        <v>979</v>
      </c>
      <c r="G1502" s="3" t="s">
        <v>29</v>
      </c>
      <c r="H1502" s="2" t="s">
        <v>74</v>
      </c>
      <c r="I1502" s="2" t="s">
        <v>4280</v>
      </c>
      <c r="J1502" s="3" t="str">
        <f>HYPERLINK("https://www.boe.es/gazeta/dias/1810/12/20/pdfs/GMD-1810-354.pdf#page=3","Abrir facsímil")</f>
        <v>Abrir facsímil</v>
      </c>
      <c r="K1502" s="3" t="s">
        <v>76</v>
      </c>
    </row>
    <row r="1503" spans="1:11" ht="42" customHeight="1">
      <c r="A1503" s="2" t="s">
        <v>4281</v>
      </c>
      <c r="B1503" s="2" t="s">
        <v>4282</v>
      </c>
      <c r="C1503" s="2" t="s">
        <v>88</v>
      </c>
      <c r="D1503" s="2" t="s">
        <v>27</v>
      </c>
      <c r="E1503" s="4">
        <v>-32590</v>
      </c>
      <c r="F1503" s="3" t="s">
        <v>4283</v>
      </c>
      <c r="G1503" s="3" t="s">
        <v>35</v>
      </c>
      <c r="H1503" s="2" t="s">
        <v>74</v>
      </c>
      <c r="I1503" s="2" t="s">
        <v>4284</v>
      </c>
      <c r="J1503" s="3" t="str">
        <f>HYPERLINK("https://www.boe.es/gazeta/dias/1810/10/08/pdfs/GMD-1810-281.pdf#page=2","Abrir facsímil")</f>
        <v>Abrir facsímil</v>
      </c>
      <c r="K1503" s="3" t="s">
        <v>76</v>
      </c>
    </row>
    <row r="1504" spans="1:11" ht="42" customHeight="1">
      <c r="A1504" s="2" t="s">
        <v>4285</v>
      </c>
      <c r="B1504" s="2" t="s">
        <v>4285</v>
      </c>
      <c r="C1504" s="2" t="s">
        <v>88</v>
      </c>
      <c r="D1504" s="2" t="s">
        <v>27</v>
      </c>
      <c r="E1504" s="4">
        <v>-32802</v>
      </c>
      <c r="F1504" s="3" t="s">
        <v>1075</v>
      </c>
      <c r="G1504" s="3" t="s">
        <v>213</v>
      </c>
      <c r="H1504" s="2" t="s">
        <v>74</v>
      </c>
      <c r="I1504" s="2" t="s">
        <v>4286</v>
      </c>
      <c r="J1504" s="3" t="str">
        <f>HYPERLINK("https://www.boe.es/gazeta/dias/1810/03/10/pdfs/GMD-1810-69.pdf#page=1","Abrir facsímil")</f>
        <v>Abrir facsímil</v>
      </c>
      <c r="K1504" s="3" t="s">
        <v>76</v>
      </c>
    </row>
    <row r="1505" spans="1:11" ht="42" customHeight="1">
      <c r="A1505" s="2" t="s">
        <v>4287</v>
      </c>
      <c r="B1505" s="2" t="s">
        <v>4287</v>
      </c>
      <c r="C1505" s="2" t="s">
        <v>88</v>
      </c>
      <c r="D1505" s="2" t="s">
        <v>117</v>
      </c>
      <c r="E1505" s="4">
        <v>-32515</v>
      </c>
      <c r="F1505" s="3" t="s">
        <v>351</v>
      </c>
      <c r="G1505" s="3" t="s">
        <v>1408</v>
      </c>
      <c r="H1505" s="2" t="s">
        <v>74</v>
      </c>
      <c r="I1505" s="2" t="s">
        <v>4288</v>
      </c>
      <c r="J1505" s="3" t="str">
        <f>HYPERLINK("https://www.boe.es/gazeta/dias/1810/12/22/pdfs/GEI-1810-111.pdf#page=6","Abrir facsímil")</f>
        <v>Abrir facsímil</v>
      </c>
      <c r="K1505" s="3" t="s">
        <v>76</v>
      </c>
    </row>
    <row r="1506" spans="1:11" ht="42" customHeight="1">
      <c r="A1506" s="2" t="s">
        <v>4289</v>
      </c>
      <c r="B1506" s="2" t="s">
        <v>4290</v>
      </c>
      <c r="C1506" s="2" t="s">
        <v>317</v>
      </c>
      <c r="D1506" s="2" t="s">
        <v>27</v>
      </c>
      <c r="E1506" s="4">
        <v>-32679</v>
      </c>
      <c r="F1506" s="3" t="s">
        <v>616</v>
      </c>
      <c r="G1506" s="3" t="s">
        <v>99</v>
      </c>
      <c r="H1506" s="2" t="s">
        <v>74</v>
      </c>
      <c r="I1506" s="2" t="s">
        <v>4291</v>
      </c>
      <c r="J1506" s="3" t="str">
        <f>HYPERLINK("https://www.boe.es/gazeta/dias/1810/07/11/pdfs/GMD-1810-192.pdf#page=3","Abrir facsímil")</f>
        <v>Abrir facsímil</v>
      </c>
      <c r="K1506" s="3" t="s">
        <v>76</v>
      </c>
    </row>
    <row r="1507" spans="1:11" ht="42" customHeight="1">
      <c r="A1507" s="2" t="s">
        <v>4292</v>
      </c>
      <c r="B1507" s="2" t="s">
        <v>4293</v>
      </c>
      <c r="C1507" s="2" t="s">
        <v>225</v>
      </c>
      <c r="D1507" s="2" t="s">
        <v>27</v>
      </c>
      <c r="E1507" s="4">
        <v>-32533</v>
      </c>
      <c r="F1507" s="3" t="s">
        <v>4294</v>
      </c>
      <c r="G1507" s="3" t="s">
        <v>1656</v>
      </c>
      <c r="H1507" s="2" t="s">
        <v>74</v>
      </c>
      <c r="I1507" s="2" t="s">
        <v>4295</v>
      </c>
      <c r="J1507" s="3" t="str">
        <f>HYPERLINK("https://www.boe.es/gazeta/dias/1810/12/04/pdfs/GMD-1810-338.pdf#page=2","Abrir facsímil")</f>
        <v>Abrir facsímil</v>
      </c>
      <c r="K1507" s="3" t="s">
        <v>76</v>
      </c>
    </row>
    <row r="1508" spans="1:11" ht="42" customHeight="1">
      <c r="A1508" s="2" t="s">
        <v>4296</v>
      </c>
      <c r="B1508" s="2" t="s">
        <v>4297</v>
      </c>
      <c r="C1508" s="2" t="s">
        <v>17</v>
      </c>
      <c r="D1508" s="2" t="s">
        <v>27</v>
      </c>
      <c r="E1508" s="4">
        <v>-32659</v>
      </c>
      <c r="F1508" s="3" t="s">
        <v>1684</v>
      </c>
      <c r="G1508" s="3" t="s">
        <v>29</v>
      </c>
      <c r="H1508" s="2" t="s">
        <v>74</v>
      </c>
      <c r="I1508" s="2" t="s">
        <v>4298</v>
      </c>
      <c r="J1508" s="3" t="str">
        <f>HYPERLINK("https://www.boe.es/gazeta/dias/1810/07/31/pdfs/GMD-1810-212.pdf#page=4","Abrir facsímil")</f>
        <v>Abrir facsímil</v>
      </c>
      <c r="K1508" s="3" t="s">
        <v>76</v>
      </c>
    </row>
    <row r="1509" spans="1:11" ht="42" customHeight="1">
      <c r="A1509" s="2" t="s">
        <v>4299</v>
      </c>
      <c r="B1509" s="2" t="s">
        <v>4299</v>
      </c>
      <c r="C1509" s="2" t="s">
        <v>88</v>
      </c>
      <c r="D1509" s="2" t="s">
        <v>117</v>
      </c>
      <c r="E1509" s="4">
        <v>-32809</v>
      </c>
      <c r="F1509" s="3" t="s">
        <v>1873</v>
      </c>
      <c r="G1509" s="3" t="s">
        <v>70</v>
      </c>
      <c r="H1509" s="2" t="s">
        <v>74</v>
      </c>
      <c r="I1509" s="2" t="s">
        <v>4300</v>
      </c>
      <c r="J1509" s="3" t="str">
        <f>HYPERLINK("https://www.boe.es/gazeta/dias/1810/03/03/pdfs/GMD-1810-62.pdf#page=3","Abrir facsímil")</f>
        <v>Abrir facsímil</v>
      </c>
      <c r="K1509" s="3" t="s">
        <v>76</v>
      </c>
    </row>
    <row r="1510" spans="1:11" ht="42" customHeight="1">
      <c r="A1510" s="2" t="s">
        <v>4301</v>
      </c>
      <c r="B1510" s="2" t="s">
        <v>4302</v>
      </c>
      <c r="C1510" s="2" t="s">
        <v>88</v>
      </c>
      <c r="D1510" s="2" t="s">
        <v>117</v>
      </c>
      <c r="E1510" s="4">
        <v>-32789</v>
      </c>
      <c r="F1510" s="3" t="s">
        <v>1468</v>
      </c>
      <c r="G1510" s="3" t="s">
        <v>140</v>
      </c>
      <c r="H1510" s="2" t="s">
        <v>74</v>
      </c>
      <c r="I1510" s="2" t="s">
        <v>4303</v>
      </c>
      <c r="J1510" s="3" t="str">
        <f>HYPERLINK("https://www.boe.es/gazeta/dias/1810/03/23/pdfs/GEI-1810-5.pdf#page=8","Abrir facsímil")</f>
        <v>Abrir facsímil</v>
      </c>
      <c r="K1510" s="3" t="s">
        <v>76</v>
      </c>
    </row>
    <row r="1511" spans="1:11" ht="42" customHeight="1">
      <c r="A1511" s="2" t="s">
        <v>4304</v>
      </c>
      <c r="B1511" s="2" t="s">
        <v>4305</v>
      </c>
      <c r="C1511" s="2" t="s">
        <v>88</v>
      </c>
      <c r="D1511" s="2" t="s">
        <v>27</v>
      </c>
      <c r="E1511" s="4">
        <v>-32789</v>
      </c>
      <c r="F1511" s="3" t="s">
        <v>1468</v>
      </c>
      <c r="G1511" s="3" t="s">
        <v>140</v>
      </c>
      <c r="H1511" s="2" t="s">
        <v>74</v>
      </c>
      <c r="I1511" s="2" t="s">
        <v>4306</v>
      </c>
      <c r="J1511" s="3" t="str">
        <f>HYPERLINK("https://www.boe.es/gazeta/dias/1810/03/23/pdfs/GEI-1810-5.pdf#page=8","Abrir facsímil")</f>
        <v>Abrir facsímil</v>
      </c>
      <c r="K1511" s="3" t="s">
        <v>76</v>
      </c>
    </row>
    <row r="1512" spans="1:11" ht="42" customHeight="1">
      <c r="A1512" s="2" t="s">
        <v>4307</v>
      </c>
      <c r="B1512" s="2" t="s">
        <v>4308</v>
      </c>
      <c r="C1512" s="2" t="s">
        <v>26</v>
      </c>
      <c r="D1512" s="2" t="s">
        <v>27</v>
      </c>
      <c r="E1512" s="4">
        <v>-32761</v>
      </c>
      <c r="F1512" s="3" t="s">
        <v>811</v>
      </c>
      <c r="G1512" s="3" t="s">
        <v>140</v>
      </c>
      <c r="H1512" s="2" t="s">
        <v>74</v>
      </c>
      <c r="I1512" s="2" t="s">
        <v>4309</v>
      </c>
      <c r="J1512" s="3" t="str">
        <f>HYPERLINK("https://www.boe.es/gazeta/dias/1810/04/20/pdfs/GEI-1810-16.pdf#page=8","Abrir facsímil")</f>
        <v>Abrir facsímil</v>
      </c>
      <c r="K1512" s="3" t="s">
        <v>76</v>
      </c>
    </row>
    <row r="1513" spans="1:11" ht="42" customHeight="1">
      <c r="A1513" s="2" t="s">
        <v>4310</v>
      </c>
      <c r="B1513" s="2" t="s">
        <v>4311</v>
      </c>
      <c r="C1513" s="2" t="s">
        <v>26</v>
      </c>
      <c r="D1513" s="2" t="s">
        <v>27</v>
      </c>
      <c r="E1513" s="4">
        <v>-32545</v>
      </c>
      <c r="F1513" s="3" t="s">
        <v>165</v>
      </c>
      <c r="G1513" s="3" t="s">
        <v>166</v>
      </c>
      <c r="H1513" s="2" t="s">
        <v>74</v>
      </c>
      <c r="I1513" s="2" t="s">
        <v>4312</v>
      </c>
      <c r="J1513" s="3" t="str">
        <f>HYPERLINK("https://www.boe.es/gazeta/dias/1810/11/22/pdfs/GEI-1810-98.pdf#page=8","Abrir facsímil")</f>
        <v>Abrir facsímil</v>
      </c>
      <c r="K1513" s="3" t="s">
        <v>76</v>
      </c>
    </row>
    <row r="1514" spans="1:11" ht="42" customHeight="1">
      <c r="A1514" s="2" t="s">
        <v>4313</v>
      </c>
      <c r="B1514" s="2" t="s">
        <v>4313</v>
      </c>
      <c r="C1514" s="2" t="s">
        <v>88</v>
      </c>
      <c r="D1514" s="2" t="s">
        <v>220</v>
      </c>
      <c r="E1514" s="4">
        <v>-32791</v>
      </c>
      <c r="F1514" s="3" t="s">
        <v>4314</v>
      </c>
      <c r="G1514" s="3" t="s">
        <v>99</v>
      </c>
      <c r="H1514" s="2" t="s">
        <v>74</v>
      </c>
      <c r="I1514" s="2" t="s">
        <v>4315</v>
      </c>
      <c r="J1514" s="3" t="str">
        <f>HYPERLINK("https://www.boe.es/gazeta/dias/1810/03/21/pdfs/GMD-1810-80.pdf#page=3","Abrir facsímil")</f>
        <v>Abrir facsímil</v>
      </c>
      <c r="K1514" s="3" t="s">
        <v>76</v>
      </c>
    </row>
    <row r="1515" spans="1:11" ht="42" customHeight="1">
      <c r="A1515" s="2" t="s">
        <v>4316</v>
      </c>
      <c r="B1515" s="2" t="s">
        <v>4316</v>
      </c>
      <c r="C1515" s="2" t="s">
        <v>88</v>
      </c>
      <c r="D1515" s="2" t="s">
        <v>27</v>
      </c>
      <c r="E1515" s="4">
        <v>-32564</v>
      </c>
      <c r="F1515" s="3" t="s">
        <v>1604</v>
      </c>
      <c r="G1515" s="3" t="s">
        <v>90</v>
      </c>
      <c r="H1515" s="2" t="s">
        <v>74</v>
      </c>
      <c r="I1515" s="2" t="s">
        <v>4317</v>
      </c>
      <c r="J1515" s="3" t="str">
        <f>HYPERLINK("https://www.boe.es/gazeta/dias/1810/11/03/pdfs/GMD-1810-307.pdf#page=1","Abrir facsímil")</f>
        <v>Abrir facsímil</v>
      </c>
      <c r="K1515" s="3" t="s">
        <v>76</v>
      </c>
    </row>
    <row r="1516" spans="1:11" ht="42" customHeight="1">
      <c r="A1516" s="2" t="s">
        <v>4318</v>
      </c>
      <c r="B1516" s="2" t="s">
        <v>4318</v>
      </c>
      <c r="C1516" s="2" t="s">
        <v>88</v>
      </c>
      <c r="D1516" s="2" t="s">
        <v>27</v>
      </c>
      <c r="E1516" s="4">
        <v>-32784</v>
      </c>
      <c r="F1516" s="3" t="s">
        <v>429</v>
      </c>
      <c r="G1516" s="3" t="s">
        <v>119</v>
      </c>
      <c r="H1516" s="2" t="s">
        <v>74</v>
      </c>
      <c r="I1516" s="2" t="s">
        <v>4319</v>
      </c>
      <c r="J1516" s="3" t="str">
        <f>HYPERLINK("https://www.boe.es/gazeta/dias/1810/03/28/pdfs/GMD-1810-87.pdf#page=1","Abrir facsímil")</f>
        <v>Abrir facsímil</v>
      </c>
      <c r="K1516" s="3" t="s">
        <v>76</v>
      </c>
    </row>
    <row r="1517" spans="1:11" ht="42" customHeight="1">
      <c r="A1517" s="2" t="s">
        <v>4318</v>
      </c>
      <c r="B1517" s="2" t="s">
        <v>4318</v>
      </c>
      <c r="C1517" s="2" t="s">
        <v>225</v>
      </c>
      <c r="D1517" s="2" t="s">
        <v>58</v>
      </c>
      <c r="E1517" s="4">
        <v>-32629</v>
      </c>
      <c r="F1517" s="3" t="s">
        <v>4320</v>
      </c>
      <c r="G1517" s="3" t="s">
        <v>4321</v>
      </c>
      <c r="H1517" s="2" t="s">
        <v>74</v>
      </c>
      <c r="I1517" s="2" t="s">
        <v>4322</v>
      </c>
      <c r="J1517" s="3" t="str">
        <f>HYPERLINK("https://www.boe.es/gazeta/dias/1810/08/30/pdfs/GEI-1810-61E.pdf#page=1","Abrir facsímil")</f>
        <v>Abrir facsímil</v>
      </c>
      <c r="K1517" s="3" t="s">
        <v>76</v>
      </c>
    </row>
    <row r="1518" spans="1:11" ht="42" customHeight="1">
      <c r="A1518" s="2" t="s">
        <v>4318</v>
      </c>
      <c r="B1518" s="2" t="s">
        <v>4318</v>
      </c>
      <c r="C1518" s="2" t="s">
        <v>88</v>
      </c>
      <c r="D1518" s="2" t="s">
        <v>58</v>
      </c>
      <c r="E1518" s="4">
        <v>-32629</v>
      </c>
      <c r="F1518" s="3" t="s">
        <v>4320</v>
      </c>
      <c r="G1518" s="3" t="s">
        <v>191</v>
      </c>
      <c r="H1518" s="2" t="s">
        <v>74</v>
      </c>
      <c r="I1518" s="2" t="s">
        <v>4323</v>
      </c>
      <c r="J1518" s="3" t="str">
        <f>HYPERLINK("https://www.boe.es/gazeta/dias/1810/08/30/pdfs/GEI-1810-61E.pdf#page=4","Abrir facsímil")</f>
        <v>Abrir facsímil</v>
      </c>
      <c r="K1518" s="3" t="s">
        <v>76</v>
      </c>
    </row>
    <row r="1519" spans="1:11" ht="42" customHeight="1">
      <c r="A1519" s="2" t="s">
        <v>4324</v>
      </c>
      <c r="B1519" s="2" t="s">
        <v>4324</v>
      </c>
      <c r="C1519" s="2" t="s">
        <v>88</v>
      </c>
      <c r="D1519" s="2" t="s">
        <v>27</v>
      </c>
      <c r="E1519" s="4">
        <v>-32578</v>
      </c>
      <c r="F1519" s="3" t="s">
        <v>2333</v>
      </c>
      <c r="G1519" s="3" t="s">
        <v>645</v>
      </c>
      <c r="H1519" s="2" t="s">
        <v>74</v>
      </c>
      <c r="I1519" s="2" t="s">
        <v>4325</v>
      </c>
      <c r="J1519" s="3" t="str">
        <f>HYPERLINK("https://www.boe.es/gazeta/dias/1810/10/20/pdfs/GEI-1810-84.pdf#page=7","Abrir facsímil")</f>
        <v>Abrir facsímil</v>
      </c>
      <c r="K1519" s="3" t="s">
        <v>76</v>
      </c>
    </row>
    <row r="1520" spans="1:11" ht="42" customHeight="1">
      <c r="A1520" s="2" t="s">
        <v>4326</v>
      </c>
      <c r="B1520" s="2" t="s">
        <v>4326</v>
      </c>
      <c r="C1520" s="2" t="s">
        <v>88</v>
      </c>
      <c r="D1520" s="2" t="s">
        <v>117</v>
      </c>
      <c r="E1520" s="4">
        <v>-32575</v>
      </c>
      <c r="F1520" s="3" t="s">
        <v>135</v>
      </c>
      <c r="G1520" s="3" t="s">
        <v>2560</v>
      </c>
      <c r="H1520" s="2" t="s">
        <v>74</v>
      </c>
      <c r="I1520" s="2" t="s">
        <v>4327</v>
      </c>
      <c r="J1520" s="3" t="str">
        <f>HYPERLINK("https://www.boe.es/gazeta/dias/1810/10/23/pdfs/GEI-1810-85.pdf#page=5","Abrir facsímil")</f>
        <v>Abrir facsímil</v>
      </c>
      <c r="K1520" s="3" t="s">
        <v>76</v>
      </c>
    </row>
    <row r="1521" spans="1:11" ht="42" customHeight="1">
      <c r="A1521" s="2" t="s">
        <v>4328</v>
      </c>
      <c r="B1521" s="2" t="s">
        <v>4329</v>
      </c>
      <c r="C1521" s="2" t="s">
        <v>26</v>
      </c>
      <c r="D1521" s="2" t="s">
        <v>27</v>
      </c>
      <c r="E1521" s="4">
        <v>-32696</v>
      </c>
      <c r="F1521" s="3" t="s">
        <v>1863</v>
      </c>
      <c r="G1521" s="3" t="s">
        <v>701</v>
      </c>
      <c r="H1521" s="2" t="s">
        <v>74</v>
      </c>
      <c r="I1521" s="2" t="s">
        <v>4330</v>
      </c>
      <c r="J1521" s="3" t="str">
        <f>HYPERLINK("https://www.boe.es/gazeta/dias/1810/06/24/pdfs/GMD-1810-175.pdf#page=4","Abrir facsímil")</f>
        <v>Abrir facsímil</v>
      </c>
      <c r="K1521" s="3" t="s">
        <v>76</v>
      </c>
    </row>
    <row r="1522" spans="1:11" ht="42" customHeight="1">
      <c r="A1522" s="2" t="s">
        <v>4331</v>
      </c>
      <c r="B1522" s="2" t="s">
        <v>4331</v>
      </c>
      <c r="C1522" s="2" t="s">
        <v>88</v>
      </c>
      <c r="D1522" s="2" t="s">
        <v>27</v>
      </c>
      <c r="E1522" s="4">
        <v>-32800</v>
      </c>
      <c r="F1522" s="3" t="s">
        <v>388</v>
      </c>
      <c r="G1522" s="3" t="s">
        <v>90</v>
      </c>
      <c r="H1522" s="2" t="s">
        <v>74</v>
      </c>
      <c r="I1522" s="2" t="s">
        <v>4332</v>
      </c>
      <c r="J1522" s="3" t="str">
        <f>HYPERLINK("https://www.boe.es/gazeta/dias/1810/03/12/pdfs/GMD-1810-71.pdf#page=2","Abrir facsímil")</f>
        <v>Abrir facsímil</v>
      </c>
      <c r="K1522" s="3" t="s">
        <v>76</v>
      </c>
    </row>
    <row r="1523" spans="1:11" ht="42" customHeight="1">
      <c r="A1523" s="2" t="s">
        <v>4333</v>
      </c>
      <c r="B1523" s="2" t="s">
        <v>4334</v>
      </c>
      <c r="C1523" s="2" t="s">
        <v>26</v>
      </c>
      <c r="D1523" s="2" t="s">
        <v>27</v>
      </c>
      <c r="E1523" s="4">
        <v>-32563</v>
      </c>
      <c r="F1523" s="3" t="s">
        <v>535</v>
      </c>
      <c r="G1523" s="3" t="s">
        <v>1335</v>
      </c>
      <c r="H1523" s="2" t="s">
        <v>74</v>
      </c>
      <c r="I1523" s="2" t="s">
        <v>4335</v>
      </c>
      <c r="J1523" s="3" t="str">
        <f>HYPERLINK("https://www.boe.es/gazeta/dias/1810/11/04/pdfs/GMD-1810-308.pdf#page=6","Abrir facsímil")</f>
        <v>Abrir facsímil</v>
      </c>
      <c r="K1523" s="3" t="s">
        <v>76</v>
      </c>
    </row>
    <row r="1524" spans="1:11" ht="42" customHeight="1">
      <c r="A1524" s="2" t="s">
        <v>4336</v>
      </c>
      <c r="B1524" s="2" t="s">
        <v>4337</v>
      </c>
      <c r="C1524" s="2" t="s">
        <v>225</v>
      </c>
      <c r="D1524" s="2" t="s">
        <v>27</v>
      </c>
      <c r="E1524" s="4">
        <v>-32771</v>
      </c>
      <c r="F1524" s="3" t="s">
        <v>543</v>
      </c>
      <c r="G1524" s="3" t="s">
        <v>65</v>
      </c>
      <c r="H1524" s="2" t="s">
        <v>74</v>
      </c>
      <c r="I1524" s="2" t="s">
        <v>4338</v>
      </c>
      <c r="J1524" s="3" t="str">
        <f>HYPERLINK("https://www.boe.es/gazeta/dias/1810/04/10/pdfs/GEI-1810-13.pdf#page=7","Abrir facsímil")</f>
        <v>Abrir facsímil</v>
      </c>
      <c r="K1524" s="3" t="s">
        <v>76</v>
      </c>
    </row>
    <row r="1525" spans="1:11" ht="42" customHeight="1">
      <c r="A1525" s="2" t="s">
        <v>4339</v>
      </c>
      <c r="B1525" s="2" t="s">
        <v>4339</v>
      </c>
      <c r="C1525" s="2" t="s">
        <v>88</v>
      </c>
      <c r="D1525" s="2" t="s">
        <v>117</v>
      </c>
      <c r="E1525" s="4">
        <v>-32526</v>
      </c>
      <c r="F1525" s="3" t="s">
        <v>4340</v>
      </c>
      <c r="G1525" s="3" t="s">
        <v>4341</v>
      </c>
      <c r="H1525" s="2" t="s">
        <v>74</v>
      </c>
      <c r="I1525" s="2" t="s">
        <v>4342</v>
      </c>
      <c r="J1525" s="3" t="str">
        <f>HYPERLINK("https://www.boe.es/gazeta/dias/1810/12/11/pdfs/GMD-1810-345.pdf#page=2","Abrir facsímil")</f>
        <v>Abrir facsímil</v>
      </c>
      <c r="K1525" s="3" t="s">
        <v>76</v>
      </c>
    </row>
    <row r="1526" spans="1:11" ht="42" customHeight="1">
      <c r="A1526" s="2" t="s">
        <v>4343</v>
      </c>
      <c r="B1526" s="2" t="s">
        <v>4344</v>
      </c>
      <c r="C1526" s="2" t="s">
        <v>88</v>
      </c>
      <c r="D1526" s="2" t="s">
        <v>27</v>
      </c>
      <c r="E1526" s="4">
        <v>-32729</v>
      </c>
      <c r="F1526" s="3" t="s">
        <v>174</v>
      </c>
      <c r="G1526" s="3" t="s">
        <v>274</v>
      </c>
      <c r="H1526" s="2" t="s">
        <v>74</v>
      </c>
      <c r="I1526" s="2" t="s">
        <v>4345</v>
      </c>
      <c r="J1526" s="3" t="str">
        <f>HYPERLINK("https://www.boe.es/gazeta/dias/1810/05/22/pdfs/GEI-1810-28.pdf#page=8","Abrir facsímil")</f>
        <v>Abrir facsímil</v>
      </c>
      <c r="K1526" s="3" t="s">
        <v>76</v>
      </c>
    </row>
    <row r="1527" spans="1:11" ht="42" customHeight="1">
      <c r="A1527" s="2" t="s">
        <v>4346</v>
      </c>
      <c r="B1527" s="2" t="s">
        <v>4347</v>
      </c>
      <c r="C1527" s="2" t="s">
        <v>88</v>
      </c>
      <c r="D1527" s="2" t="s">
        <v>117</v>
      </c>
      <c r="E1527" s="4">
        <v>-32729</v>
      </c>
      <c r="F1527" s="3" t="s">
        <v>174</v>
      </c>
      <c r="G1527" s="3" t="s">
        <v>70</v>
      </c>
      <c r="H1527" s="2" t="s">
        <v>74</v>
      </c>
      <c r="I1527" s="2" t="s">
        <v>4348</v>
      </c>
      <c r="J1527" s="3" t="str">
        <f>HYPERLINK("https://www.boe.es/gazeta/dias/1810/05/22/pdfs/GEI-1810-28.pdf#page=7","Abrir facsímil")</f>
        <v>Abrir facsímil</v>
      </c>
      <c r="K1527" s="3" t="s">
        <v>76</v>
      </c>
    </row>
    <row r="1528" spans="1:11" ht="42" customHeight="1">
      <c r="A1528" s="2" t="s">
        <v>4349</v>
      </c>
      <c r="B1528" s="2" t="s">
        <v>4350</v>
      </c>
      <c r="C1528" s="2" t="s">
        <v>88</v>
      </c>
      <c r="D1528" s="2" t="s">
        <v>27</v>
      </c>
      <c r="E1528" s="4">
        <v>-32729</v>
      </c>
      <c r="F1528" s="3" t="s">
        <v>174</v>
      </c>
      <c r="G1528" s="3" t="s">
        <v>274</v>
      </c>
      <c r="H1528" s="2" t="s">
        <v>74</v>
      </c>
      <c r="I1528" s="2" t="s">
        <v>4351</v>
      </c>
      <c r="J1528" s="3" t="str">
        <f>HYPERLINK("https://www.boe.es/gazeta/dias/1810/05/22/pdfs/GEI-1810-28.pdf#page=8","Abrir facsímil")</f>
        <v>Abrir facsímil</v>
      </c>
      <c r="K1528" s="3" t="s">
        <v>76</v>
      </c>
    </row>
    <row r="1529" spans="1:11" ht="42" customHeight="1">
      <c r="A1529" s="2" t="s">
        <v>4352</v>
      </c>
      <c r="B1529" s="2" t="s">
        <v>4352</v>
      </c>
      <c r="C1529" s="2" t="s">
        <v>88</v>
      </c>
      <c r="D1529" s="2" t="s">
        <v>27</v>
      </c>
      <c r="E1529" s="4">
        <v>-32571</v>
      </c>
      <c r="F1529" s="3" t="s">
        <v>737</v>
      </c>
      <c r="G1529" s="3" t="s">
        <v>785</v>
      </c>
      <c r="H1529" s="2" t="s">
        <v>74</v>
      </c>
      <c r="I1529" s="2" t="s">
        <v>4353</v>
      </c>
      <c r="J1529" s="3" t="str">
        <f>HYPERLINK("https://www.boe.es/gazeta/dias/1810/10/27/pdfs/GEI-1810-87.pdf#page=3","Abrir facsímil")</f>
        <v>Abrir facsímil</v>
      </c>
      <c r="K1529" s="3" t="s">
        <v>76</v>
      </c>
    </row>
    <row r="1530" spans="1:11" ht="42" customHeight="1">
      <c r="A1530" s="2" t="s">
        <v>4354</v>
      </c>
      <c r="B1530" s="2" t="s">
        <v>4355</v>
      </c>
      <c r="C1530" s="2" t="s">
        <v>930</v>
      </c>
      <c r="D1530" s="2" t="s">
        <v>18</v>
      </c>
      <c r="E1530" s="4">
        <v>-32743</v>
      </c>
      <c r="F1530" s="3" t="s">
        <v>2265</v>
      </c>
      <c r="G1530" s="3" t="s">
        <v>458</v>
      </c>
      <c r="H1530" s="2" t="s">
        <v>74</v>
      </c>
      <c r="I1530" s="2" t="s">
        <v>4356</v>
      </c>
      <c r="J1530" s="3" t="str">
        <f>HYPERLINK("https://www.boe.es/gazeta/dias/1810/05/08/pdfs/GEI-1810-22.pdf#page=7","Abrir facsímil")</f>
        <v>Abrir facsímil</v>
      </c>
      <c r="K1530" s="3" t="s">
        <v>76</v>
      </c>
    </row>
    <row r="1531" spans="1:11" ht="42" customHeight="1">
      <c r="A1531" s="2" t="s">
        <v>4357</v>
      </c>
      <c r="B1531" s="2" t="s">
        <v>4357</v>
      </c>
      <c r="C1531" s="2" t="s">
        <v>26</v>
      </c>
      <c r="D1531" s="2" t="s">
        <v>27</v>
      </c>
      <c r="E1531" s="4">
        <v>-32743</v>
      </c>
      <c r="F1531" s="3" t="s">
        <v>2265</v>
      </c>
      <c r="G1531" s="3" t="s">
        <v>1540</v>
      </c>
      <c r="H1531" s="2" t="s">
        <v>74</v>
      </c>
      <c r="I1531" s="2" t="s">
        <v>4358</v>
      </c>
      <c r="J1531" s="3" t="str">
        <f>HYPERLINK("https://www.boe.es/gazeta/dias/1810/05/08/pdfs/GEI-1810-22.pdf#page=4","Abrir facsímil")</f>
        <v>Abrir facsímil</v>
      </c>
      <c r="K1531" s="3" t="s">
        <v>76</v>
      </c>
    </row>
    <row r="1532" spans="1:11" ht="42" customHeight="1">
      <c r="A1532" s="2" t="s">
        <v>4359</v>
      </c>
      <c r="B1532" s="2" t="s">
        <v>4359</v>
      </c>
      <c r="C1532" s="2" t="s">
        <v>88</v>
      </c>
      <c r="D1532" s="2" t="s">
        <v>117</v>
      </c>
      <c r="E1532" s="4">
        <v>-32795</v>
      </c>
      <c r="F1532" s="3" t="s">
        <v>690</v>
      </c>
      <c r="G1532" s="3" t="s">
        <v>691</v>
      </c>
      <c r="H1532" s="2" t="s">
        <v>74</v>
      </c>
      <c r="I1532" s="2" t="s">
        <v>4360</v>
      </c>
      <c r="J1532" s="3" t="str">
        <f>HYPERLINK("https://www.boe.es/gazeta/dias/1810/03/17/pdfs/GMD-1810-76.pdf#page=3","Abrir facsímil")</f>
        <v>Abrir facsímil</v>
      </c>
      <c r="K1532" s="3" t="s">
        <v>76</v>
      </c>
    </row>
    <row r="1533" spans="1:11" ht="42" customHeight="1">
      <c r="A1533" s="2" t="s">
        <v>4359</v>
      </c>
      <c r="B1533" s="2" t="s">
        <v>4359</v>
      </c>
      <c r="C1533" s="2" t="s">
        <v>88</v>
      </c>
      <c r="D1533" s="2" t="s">
        <v>27</v>
      </c>
      <c r="E1533" s="4">
        <v>-32791</v>
      </c>
      <c r="F1533" s="3" t="s">
        <v>4314</v>
      </c>
      <c r="G1533" s="3" t="s">
        <v>99</v>
      </c>
      <c r="H1533" s="2" t="s">
        <v>74</v>
      </c>
      <c r="I1533" s="2" t="s">
        <v>4361</v>
      </c>
      <c r="J1533" s="3" t="str">
        <f>HYPERLINK("https://www.boe.es/gazeta/dias/1810/03/21/pdfs/GMD-1810-80.pdf#page=3","Abrir facsímil")</f>
        <v>Abrir facsímil</v>
      </c>
      <c r="K1533" s="3" t="s">
        <v>76</v>
      </c>
    </row>
    <row r="1534" spans="1:11" ht="42" customHeight="1">
      <c r="A1534" s="2" t="s">
        <v>4362</v>
      </c>
      <c r="B1534" s="2" t="s">
        <v>4362</v>
      </c>
      <c r="C1534" s="2" t="s">
        <v>33</v>
      </c>
      <c r="D1534" s="2" t="s">
        <v>27</v>
      </c>
      <c r="E1534" s="4">
        <v>-32676</v>
      </c>
      <c r="F1534" s="3" t="s">
        <v>2863</v>
      </c>
      <c r="G1534" s="3" t="s">
        <v>4363</v>
      </c>
      <c r="H1534" s="2" t="s">
        <v>74</v>
      </c>
      <c r="I1534" s="2" t="s">
        <v>4364</v>
      </c>
      <c r="J1534" s="3" t="str">
        <f>HYPERLINK("https://www.boe.es/gazeta/dias/1810/07/14/pdfs/GMD-1810-195.pdf#page=1","Abrir facsímil")</f>
        <v>Abrir facsímil</v>
      </c>
      <c r="K1534" s="3" t="s">
        <v>76</v>
      </c>
    </row>
    <row r="1535" spans="1:11" ht="42" customHeight="1">
      <c r="A1535" s="2" t="s">
        <v>4365</v>
      </c>
      <c r="B1535" s="2" t="s">
        <v>4365</v>
      </c>
      <c r="C1535" s="2" t="s">
        <v>88</v>
      </c>
      <c r="D1535" s="2" t="s">
        <v>117</v>
      </c>
      <c r="E1535" s="4">
        <v>-32578</v>
      </c>
      <c r="F1535" s="3" t="s">
        <v>2333</v>
      </c>
      <c r="G1535" s="3" t="s">
        <v>2334</v>
      </c>
      <c r="H1535" s="2" t="s">
        <v>74</v>
      </c>
      <c r="I1535" s="2" t="s">
        <v>4366</v>
      </c>
      <c r="J1535" s="3" t="str">
        <f>HYPERLINK("https://www.boe.es/gazeta/dias/1810/10/20/pdfs/GEI-1810-84.pdf#page=4","Abrir facsímil")</f>
        <v>Abrir facsímil</v>
      </c>
      <c r="K1535" s="3" t="s">
        <v>76</v>
      </c>
    </row>
    <row r="1536" spans="1:11" ht="42" customHeight="1">
      <c r="A1536" s="2" t="s">
        <v>4367</v>
      </c>
      <c r="B1536" s="2" t="s">
        <v>4367</v>
      </c>
      <c r="C1536" s="2" t="s">
        <v>225</v>
      </c>
      <c r="D1536" s="2" t="s">
        <v>27</v>
      </c>
      <c r="E1536" s="4">
        <v>-32606</v>
      </c>
      <c r="F1536" s="3" t="s">
        <v>1676</v>
      </c>
      <c r="G1536" s="3" t="s">
        <v>227</v>
      </c>
      <c r="H1536" s="2" t="s">
        <v>74</v>
      </c>
      <c r="I1536" s="2" t="s">
        <v>4368</v>
      </c>
      <c r="J1536" s="3" t="str">
        <f>HYPERLINK("https://www.boe.es/gazeta/dias/1810/09/22/pdfs/GMD-1810-265.pdf#page=3","Abrir facsímil")</f>
        <v>Abrir facsímil</v>
      </c>
      <c r="K1536" s="3" t="s">
        <v>76</v>
      </c>
    </row>
    <row r="1537" spans="1:11" ht="42" customHeight="1">
      <c r="A1537" s="2" t="s">
        <v>4367</v>
      </c>
      <c r="B1537" s="2" t="s">
        <v>4367</v>
      </c>
      <c r="C1537" s="2" t="s">
        <v>88</v>
      </c>
      <c r="D1537" s="2" t="s">
        <v>117</v>
      </c>
      <c r="E1537" s="4">
        <v>-32596</v>
      </c>
      <c r="F1537" s="3" t="s">
        <v>1311</v>
      </c>
      <c r="G1537" s="3" t="s">
        <v>29</v>
      </c>
      <c r="H1537" s="2" t="s">
        <v>74</v>
      </c>
      <c r="I1537" s="2" t="s">
        <v>4369</v>
      </c>
      <c r="J1537" s="3" t="str">
        <f>HYPERLINK("https://www.boe.es/gazeta/dias/1810/10/02/pdfs/GMD-1810-275.pdf#page=3","Abrir facsímil")</f>
        <v>Abrir facsímil</v>
      </c>
      <c r="K1537" s="3" t="s">
        <v>76</v>
      </c>
    </row>
    <row r="1538" spans="1:11" ht="42" customHeight="1">
      <c r="A1538" s="2" t="s">
        <v>4370</v>
      </c>
      <c r="B1538" s="2" t="s">
        <v>4371</v>
      </c>
      <c r="C1538" s="2" t="s">
        <v>26</v>
      </c>
      <c r="D1538" s="2" t="s">
        <v>27</v>
      </c>
      <c r="E1538" s="4">
        <v>-32743</v>
      </c>
      <c r="F1538" s="3" t="s">
        <v>2265</v>
      </c>
      <c r="G1538" s="3" t="s">
        <v>4372</v>
      </c>
      <c r="H1538" s="2" t="s">
        <v>74</v>
      </c>
      <c r="I1538" s="2" t="s">
        <v>4373</v>
      </c>
      <c r="J1538" s="3" t="str">
        <f>HYPERLINK("https://www.boe.es/gazeta/dias/1810/05/08/pdfs/GEI-1810-22.pdf#page=6","Abrir facsímil")</f>
        <v>Abrir facsímil</v>
      </c>
      <c r="K1538" s="3" t="s">
        <v>76</v>
      </c>
    </row>
    <row r="1539" spans="1:11" ht="42" customHeight="1">
      <c r="A1539" s="2" t="s">
        <v>4374</v>
      </c>
      <c r="B1539" s="2" t="s">
        <v>4375</v>
      </c>
      <c r="C1539" s="2" t="s">
        <v>26</v>
      </c>
      <c r="D1539" s="2" t="s">
        <v>27</v>
      </c>
      <c r="E1539" s="4">
        <v>-32543</v>
      </c>
      <c r="F1539" s="3" t="s">
        <v>69</v>
      </c>
      <c r="G1539" s="3" t="s">
        <v>70</v>
      </c>
      <c r="H1539" s="2" t="s">
        <v>74</v>
      </c>
      <c r="I1539" s="2" t="s">
        <v>4376</v>
      </c>
      <c r="J1539" s="3" t="str">
        <f>HYPERLINK("https://www.boe.es/gazeta/dias/1810/11/24/pdfs/GEI-1810-99.pdf#page=8","Abrir facsímil")</f>
        <v>Abrir facsímil</v>
      </c>
      <c r="K1539" s="3" t="s">
        <v>76</v>
      </c>
    </row>
    <row r="1540" spans="1:11" ht="42" customHeight="1">
      <c r="A1540" s="2" t="s">
        <v>4377</v>
      </c>
      <c r="B1540" s="2" t="s">
        <v>4377</v>
      </c>
      <c r="C1540" s="2" t="s">
        <v>88</v>
      </c>
      <c r="D1540" s="2" t="s">
        <v>117</v>
      </c>
      <c r="E1540" s="4">
        <v>-32522</v>
      </c>
      <c r="F1540" s="3" t="s">
        <v>3137</v>
      </c>
      <c r="G1540" s="3" t="s">
        <v>4378</v>
      </c>
      <c r="H1540" s="2" t="s">
        <v>74</v>
      </c>
      <c r="I1540" s="2" t="s">
        <v>4379</v>
      </c>
      <c r="J1540" s="3" t="str">
        <f>HYPERLINK("https://www.boe.es/gazeta/dias/1810/12/15/pdfs/GEI-1810-108.pdf#page=4","Abrir facsímil")</f>
        <v>Abrir facsímil</v>
      </c>
      <c r="K1540" s="3" t="s">
        <v>76</v>
      </c>
    </row>
    <row r="1541" spans="1:11" ht="42" customHeight="1">
      <c r="A1541" s="2" t="s">
        <v>4380</v>
      </c>
      <c r="B1541" s="2" t="s">
        <v>4381</v>
      </c>
      <c r="C1541" s="2" t="s">
        <v>88</v>
      </c>
      <c r="D1541" s="2" t="s">
        <v>117</v>
      </c>
      <c r="E1541" s="4">
        <v>-32775</v>
      </c>
      <c r="F1541" s="3" t="s">
        <v>308</v>
      </c>
      <c r="G1541" s="3" t="s">
        <v>140</v>
      </c>
      <c r="H1541" s="2" t="s">
        <v>74</v>
      </c>
      <c r="I1541" s="2" t="s">
        <v>4382</v>
      </c>
      <c r="J1541" s="3" t="str">
        <f>HYPERLINK("https://www.boe.es/gazeta/dias/1810/04/06/pdfs/GMD-1810-96.pdf#page=2","Abrir facsímil")</f>
        <v>Abrir facsímil</v>
      </c>
      <c r="K1541" s="3" t="s">
        <v>76</v>
      </c>
    </row>
    <row r="1542" spans="1:11" ht="42" customHeight="1">
      <c r="A1542" s="2" t="s">
        <v>4383</v>
      </c>
      <c r="B1542" s="2" t="s">
        <v>4384</v>
      </c>
      <c r="C1542" s="2" t="s">
        <v>26</v>
      </c>
      <c r="D1542" s="2" t="s">
        <v>27</v>
      </c>
      <c r="E1542" s="4">
        <v>-32684</v>
      </c>
      <c r="F1542" s="3" t="s">
        <v>1373</v>
      </c>
      <c r="G1542" s="3" t="s">
        <v>1374</v>
      </c>
      <c r="H1542" s="2" t="s">
        <v>74</v>
      </c>
      <c r="I1542" s="2" t="s">
        <v>4385</v>
      </c>
      <c r="J1542" s="3" t="str">
        <f>HYPERLINK("https://www.boe.es/gazeta/dias/1810/07/06/pdfs/GEI-1810-42.pdf#page=8","Abrir facsímil")</f>
        <v>Abrir facsímil</v>
      </c>
      <c r="K1542" s="3" t="s">
        <v>76</v>
      </c>
    </row>
    <row r="1543" spans="1:11" ht="42" customHeight="1">
      <c r="A1543" s="2" t="s">
        <v>4386</v>
      </c>
      <c r="B1543" s="2" t="s">
        <v>4386</v>
      </c>
      <c r="C1543" s="2" t="s">
        <v>26</v>
      </c>
      <c r="D1543" s="2" t="s">
        <v>27</v>
      </c>
      <c r="E1543" s="4">
        <v>-32738</v>
      </c>
      <c r="F1543" s="3" t="s">
        <v>321</v>
      </c>
      <c r="G1543" s="3" t="s">
        <v>90</v>
      </c>
      <c r="H1543" s="2" t="s">
        <v>74</v>
      </c>
      <c r="I1543" s="2" t="s">
        <v>4387</v>
      </c>
      <c r="J1543" s="3" t="str">
        <f>HYPERLINK("https://www.boe.es/gazeta/dias/1810/05/13/pdfs/GMD-1810-133.pdf#page=3","Abrir facsímil")</f>
        <v>Abrir facsímil</v>
      </c>
      <c r="K1543" s="3" t="s">
        <v>76</v>
      </c>
    </row>
    <row r="1544" spans="1:11" ht="42" customHeight="1">
      <c r="A1544" s="2" t="s">
        <v>4386</v>
      </c>
      <c r="B1544" s="2" t="s">
        <v>4386</v>
      </c>
      <c r="C1544" s="2" t="s">
        <v>88</v>
      </c>
      <c r="D1544" s="2" t="s">
        <v>27</v>
      </c>
      <c r="E1544" s="4">
        <v>-32575</v>
      </c>
      <c r="F1544" s="3" t="s">
        <v>135</v>
      </c>
      <c r="G1544" s="3" t="s">
        <v>3467</v>
      </c>
      <c r="H1544" s="2" t="s">
        <v>74</v>
      </c>
      <c r="I1544" s="2" t="s">
        <v>4388</v>
      </c>
      <c r="J1544" s="3" t="str">
        <f>HYPERLINK("https://www.boe.es/gazeta/dias/1810/10/23/pdfs/GEI-1810-85.pdf#page=2","Abrir facsímil")</f>
        <v>Abrir facsímil</v>
      </c>
      <c r="K1544" s="3" t="s">
        <v>76</v>
      </c>
    </row>
    <row r="1545" spans="1:11" ht="42" customHeight="1">
      <c r="A1545" s="2" t="s">
        <v>4389</v>
      </c>
      <c r="B1545" s="2" t="s">
        <v>4390</v>
      </c>
      <c r="C1545" s="2" t="s">
        <v>111</v>
      </c>
      <c r="D1545" s="2" t="s">
        <v>27</v>
      </c>
      <c r="E1545" s="4">
        <v>-32865</v>
      </c>
      <c r="F1545" s="3" t="s">
        <v>4391</v>
      </c>
      <c r="G1545" s="3" t="s">
        <v>451</v>
      </c>
      <c r="H1545" s="2" t="s">
        <v>74</v>
      </c>
      <c r="I1545" s="2" t="s">
        <v>4392</v>
      </c>
      <c r="J1545" s="3" t="str">
        <f>HYPERLINK("https://www.boe.es/gazeta/dias/1810/01/06/pdfs/GGB-1810-3.pdf#page=7","Abrir facsímil")</f>
        <v>Abrir facsímil</v>
      </c>
      <c r="K1545" s="3" t="s">
        <v>76</v>
      </c>
    </row>
    <row r="1546" spans="1:11" ht="42" customHeight="1">
      <c r="A1546" s="2" t="s">
        <v>4393</v>
      </c>
      <c r="B1546" s="2" t="s">
        <v>4394</v>
      </c>
      <c r="C1546" s="2" t="s">
        <v>26</v>
      </c>
      <c r="D1546" s="2" t="s">
        <v>27</v>
      </c>
      <c r="E1546" s="4">
        <v>-32710</v>
      </c>
      <c r="F1546" s="3" t="s">
        <v>126</v>
      </c>
      <c r="G1546" s="3" t="s">
        <v>184</v>
      </c>
      <c r="H1546" s="2" t="s">
        <v>74</v>
      </c>
      <c r="I1546" s="2" t="s">
        <v>4395</v>
      </c>
      <c r="J1546" s="3" t="str">
        <f>HYPERLINK("https://www.boe.es/gazeta/dias/1810/06/10/pdfs/GMD-1810-161.pdf#page=3","Abrir facsímil")</f>
        <v>Abrir facsímil</v>
      </c>
      <c r="K1546" s="3" t="s">
        <v>76</v>
      </c>
    </row>
    <row r="1547" spans="1:11" ht="42" customHeight="1">
      <c r="A1547" s="2" t="s">
        <v>4393</v>
      </c>
      <c r="B1547" s="2" t="s">
        <v>4394</v>
      </c>
      <c r="C1547" s="2" t="s">
        <v>26</v>
      </c>
      <c r="D1547" s="2" t="s">
        <v>27</v>
      </c>
      <c r="E1547" s="4">
        <v>-32647</v>
      </c>
      <c r="F1547" s="3" t="s">
        <v>118</v>
      </c>
      <c r="G1547" s="3" t="s">
        <v>119</v>
      </c>
      <c r="H1547" s="2" t="s">
        <v>74</v>
      </c>
      <c r="I1547" s="2" t="s">
        <v>4396</v>
      </c>
      <c r="J1547" s="3" t="str">
        <f>HYPERLINK("https://www.boe.es/gazeta/dias/1810/08/12/pdfs/GMD-1810-224.pdf#page=3","Abrir facsímil")</f>
        <v>Abrir facsímil</v>
      </c>
      <c r="K1547" s="3" t="s">
        <v>76</v>
      </c>
    </row>
    <row r="1548" spans="1:11" ht="42" customHeight="1">
      <c r="A1548" s="2" t="s">
        <v>4397</v>
      </c>
      <c r="B1548" s="2" t="s">
        <v>4398</v>
      </c>
      <c r="C1548" s="2" t="s">
        <v>26</v>
      </c>
      <c r="D1548" s="2" t="s">
        <v>27</v>
      </c>
      <c r="E1548" s="4">
        <v>-32647</v>
      </c>
      <c r="F1548" s="3" t="s">
        <v>118</v>
      </c>
      <c r="G1548" s="3" t="s">
        <v>119</v>
      </c>
      <c r="H1548" s="2" t="s">
        <v>74</v>
      </c>
      <c r="I1548" s="2" t="s">
        <v>4399</v>
      </c>
      <c r="J1548" s="3" t="str">
        <f>HYPERLINK("https://www.boe.es/gazeta/dias/1810/08/12/pdfs/GMD-1810-224.pdf#page=3","Abrir facsímil")</f>
        <v>Abrir facsímil</v>
      </c>
      <c r="K1548" s="3" t="s">
        <v>76</v>
      </c>
    </row>
    <row r="1549" spans="1:11" ht="42" customHeight="1">
      <c r="A1549" s="2" t="s">
        <v>4400</v>
      </c>
      <c r="B1549" s="2" t="s">
        <v>4401</v>
      </c>
      <c r="C1549" s="2" t="s">
        <v>26</v>
      </c>
      <c r="D1549" s="2" t="s">
        <v>39</v>
      </c>
      <c r="E1549" s="4">
        <v>-32599</v>
      </c>
      <c r="F1549" s="3" t="s">
        <v>662</v>
      </c>
      <c r="G1549" s="3" t="s">
        <v>3346</v>
      </c>
      <c r="H1549" s="2" t="s">
        <v>74</v>
      </c>
      <c r="I1549" s="2" t="s">
        <v>4402</v>
      </c>
      <c r="J1549" s="3" t="str">
        <f>HYPERLINK("https://www.boe.es/gazeta/dias/1810/09/29/pdfs/GMD-C-1810-272.pdf#page=5","Abrir facsímil")</f>
        <v>Abrir facsímil</v>
      </c>
      <c r="K1549" s="3" t="s">
        <v>76</v>
      </c>
    </row>
    <row r="1550" spans="1:11" ht="42" customHeight="1">
      <c r="A1550" s="2" t="s">
        <v>4403</v>
      </c>
      <c r="B1550" s="2" t="s">
        <v>4404</v>
      </c>
      <c r="C1550" s="2" t="s">
        <v>111</v>
      </c>
      <c r="D1550" s="2" t="s">
        <v>27</v>
      </c>
      <c r="E1550" s="4">
        <v>-32792</v>
      </c>
      <c r="F1550" s="3" t="s">
        <v>4405</v>
      </c>
      <c r="G1550" s="3" t="s">
        <v>4406</v>
      </c>
      <c r="H1550" s="2" t="s">
        <v>74</v>
      </c>
      <c r="I1550" s="2" t="s">
        <v>4407</v>
      </c>
      <c r="J1550" s="3" t="str">
        <f>HYPERLINK("https://www.boe.es/gazeta/dias/1810/03/20/pdfs/GMD-1810-79.pdf#page=1","Abrir facsímil")</f>
        <v>Abrir facsímil</v>
      </c>
      <c r="K1550" s="3" t="s">
        <v>76</v>
      </c>
    </row>
    <row r="1551" spans="1:11" ht="42" customHeight="1">
      <c r="A1551" s="2" t="s">
        <v>4408</v>
      </c>
      <c r="B1551" s="2" t="s">
        <v>4409</v>
      </c>
      <c r="C1551" s="2" t="s">
        <v>88</v>
      </c>
      <c r="D1551" s="2" t="s">
        <v>27</v>
      </c>
      <c r="E1551" s="4">
        <v>-32550</v>
      </c>
      <c r="F1551" s="3" t="s">
        <v>1472</v>
      </c>
      <c r="G1551" s="3" t="s">
        <v>1473</v>
      </c>
      <c r="H1551" s="2" t="s">
        <v>74</v>
      </c>
      <c r="I1551" s="2" t="s">
        <v>4410</v>
      </c>
      <c r="J1551" s="3" t="str">
        <f>HYPERLINK("https://www.boe.es/gazeta/dias/1810/11/17/pdfs/GEI-1810-96.pdf#page=8","Abrir facsímil")</f>
        <v>Abrir facsímil</v>
      </c>
      <c r="K1551" s="3" t="s">
        <v>76</v>
      </c>
    </row>
    <row r="1552" spans="1:11" ht="42" customHeight="1">
      <c r="A1552" s="2" t="s">
        <v>4411</v>
      </c>
      <c r="B1552" s="2" t="s">
        <v>4412</v>
      </c>
      <c r="C1552" s="2" t="s">
        <v>26</v>
      </c>
      <c r="D1552" s="2" t="s">
        <v>27</v>
      </c>
      <c r="E1552" s="4">
        <v>-32771</v>
      </c>
      <c r="F1552" s="3" t="s">
        <v>543</v>
      </c>
      <c r="G1552" s="3" t="s">
        <v>65</v>
      </c>
      <c r="H1552" s="2" t="s">
        <v>74</v>
      </c>
      <c r="I1552" s="2" t="s">
        <v>4413</v>
      </c>
      <c r="J1552" s="3" t="str">
        <f>HYPERLINK("https://www.boe.es/gazeta/dias/1810/04/10/pdfs/GEI-1810-13.pdf#page=7","Abrir facsímil")</f>
        <v>Abrir facsímil</v>
      </c>
      <c r="K1552" s="3" t="s">
        <v>76</v>
      </c>
    </row>
    <row r="1553" spans="1:11" ht="42" customHeight="1">
      <c r="A1553" s="2" t="s">
        <v>4414</v>
      </c>
      <c r="B1553" s="2" t="s">
        <v>4415</v>
      </c>
      <c r="C1553" s="2" t="s">
        <v>33</v>
      </c>
      <c r="D1553" s="2" t="s">
        <v>27</v>
      </c>
      <c r="E1553" s="4">
        <v>-32691</v>
      </c>
      <c r="F1553" s="3" t="s">
        <v>3021</v>
      </c>
      <c r="G1553" s="3" t="s">
        <v>3022</v>
      </c>
      <c r="H1553" s="2" t="s">
        <v>74</v>
      </c>
      <c r="I1553" s="2" t="s">
        <v>4416</v>
      </c>
      <c r="J1553" s="3" t="str">
        <f>HYPERLINK("https://www.boe.es/gazeta/dias/1810/06/29/pdfs/GEI-1810-40.pdf#page=7","Abrir facsímil")</f>
        <v>Abrir facsímil</v>
      </c>
      <c r="K1553" s="3" t="s">
        <v>76</v>
      </c>
    </row>
    <row r="1554" spans="1:11" ht="42" customHeight="1">
      <c r="A1554" s="2" t="s">
        <v>4417</v>
      </c>
      <c r="B1554" s="2" t="s">
        <v>4417</v>
      </c>
      <c r="C1554" s="2" t="s">
        <v>88</v>
      </c>
      <c r="D1554" s="2" t="s">
        <v>27</v>
      </c>
      <c r="E1554" s="4">
        <v>-32693</v>
      </c>
      <c r="F1554" s="3" t="s">
        <v>54</v>
      </c>
      <c r="G1554" s="3" t="s">
        <v>90</v>
      </c>
      <c r="H1554" s="2" t="s">
        <v>74</v>
      </c>
      <c r="I1554" s="2" t="s">
        <v>4418</v>
      </c>
      <c r="J1554" s="3" t="str">
        <f>HYPERLINK("https://www.boe.es/gazeta/dias/1810/06/27/pdfs/GMD-1810-178.pdf#page=2","Abrir facsímil")</f>
        <v>Abrir facsímil</v>
      </c>
      <c r="K1554" s="3" t="s">
        <v>76</v>
      </c>
    </row>
    <row r="1555" spans="1:11" ht="42" customHeight="1">
      <c r="A1555" s="2" t="s">
        <v>4417</v>
      </c>
      <c r="B1555" s="2" t="s">
        <v>4417</v>
      </c>
      <c r="C1555" s="2" t="s">
        <v>88</v>
      </c>
      <c r="D1555" s="2" t="s">
        <v>117</v>
      </c>
      <c r="E1555" s="4">
        <v>-32536</v>
      </c>
      <c r="F1555" s="3" t="s">
        <v>1150</v>
      </c>
      <c r="G1555" s="3" t="s">
        <v>849</v>
      </c>
      <c r="H1555" s="2" t="s">
        <v>74</v>
      </c>
      <c r="I1555" s="2" t="s">
        <v>4419</v>
      </c>
      <c r="J1555" s="3" t="str">
        <f>HYPERLINK("https://www.boe.es/gazeta/dias/1810/12/01/pdfs/GMD-1810-335.pdf#page=2","Abrir facsímil")</f>
        <v>Abrir facsímil</v>
      </c>
      <c r="K1555" s="3" t="s">
        <v>76</v>
      </c>
    </row>
    <row r="1556" spans="1:11" ht="42" customHeight="1">
      <c r="A1556" s="2" t="s">
        <v>4417</v>
      </c>
      <c r="B1556" s="2" t="s">
        <v>4417</v>
      </c>
      <c r="C1556" s="2" t="s">
        <v>88</v>
      </c>
      <c r="D1556" s="2" t="s">
        <v>27</v>
      </c>
      <c r="E1556" s="4">
        <v>-32529</v>
      </c>
      <c r="F1556" s="3" t="s">
        <v>3700</v>
      </c>
      <c r="G1556" s="3" t="s">
        <v>70</v>
      </c>
      <c r="H1556" s="2" t="s">
        <v>74</v>
      </c>
      <c r="I1556" s="2" t="s">
        <v>4420</v>
      </c>
      <c r="J1556" s="3" t="str">
        <f>HYPERLINK("https://www.boe.es/gazeta/dias/1810/12/08/pdfs/GMD-1810-342.pdf#page=3","Abrir facsímil")</f>
        <v>Abrir facsímil</v>
      </c>
      <c r="K1556" s="3" t="s">
        <v>76</v>
      </c>
    </row>
    <row r="1557" spans="1:11" ht="42" customHeight="1">
      <c r="A1557" s="2" t="s">
        <v>4421</v>
      </c>
      <c r="B1557" s="2" t="s">
        <v>4422</v>
      </c>
      <c r="C1557" s="2" t="s">
        <v>26</v>
      </c>
      <c r="D1557" s="2" t="s">
        <v>27</v>
      </c>
      <c r="E1557" s="4">
        <v>-32547</v>
      </c>
      <c r="F1557" s="3" t="s">
        <v>407</v>
      </c>
      <c r="G1557" s="3" t="s">
        <v>408</v>
      </c>
      <c r="H1557" s="2" t="s">
        <v>74</v>
      </c>
      <c r="I1557" s="2" t="s">
        <v>4423</v>
      </c>
      <c r="J1557" s="3" t="str">
        <f>HYPERLINK("https://www.boe.es/gazeta/dias/1810/11/20/pdfs/GEI-1810-97.pdf#page=8","Abrir facsímil")</f>
        <v>Abrir facsímil</v>
      </c>
      <c r="K1557" s="3" t="s">
        <v>76</v>
      </c>
    </row>
    <row r="1558" spans="1:11" ht="42" customHeight="1">
      <c r="A1558" s="2" t="s">
        <v>4424</v>
      </c>
      <c r="B1558" s="2" t="s">
        <v>4424</v>
      </c>
      <c r="C1558" s="2" t="s">
        <v>225</v>
      </c>
      <c r="D1558" s="2" t="s">
        <v>27</v>
      </c>
      <c r="E1558" s="4">
        <v>-32713</v>
      </c>
      <c r="F1558" s="3" t="s">
        <v>959</v>
      </c>
      <c r="G1558" s="3" t="s">
        <v>632</v>
      </c>
      <c r="H1558" s="2" t="s">
        <v>74</v>
      </c>
      <c r="I1558" s="2" t="s">
        <v>4425</v>
      </c>
      <c r="J1558" s="3" t="str">
        <f>HYPERLINK("https://www.boe.es/gazeta/dias/1810/06/07/pdfs/GMD-1810-158.pdf#page=3","Abrir facsímil")</f>
        <v>Abrir facsímil</v>
      </c>
      <c r="K1558" s="3" t="s">
        <v>76</v>
      </c>
    </row>
    <row r="1559" spans="1:11" ht="42" customHeight="1">
      <c r="A1559" s="2" t="s">
        <v>4424</v>
      </c>
      <c r="B1559" s="2" t="s">
        <v>4424</v>
      </c>
      <c r="C1559" s="2" t="s">
        <v>88</v>
      </c>
      <c r="D1559" s="2" t="s">
        <v>117</v>
      </c>
      <c r="E1559" s="4">
        <v>-32529</v>
      </c>
      <c r="F1559" s="3" t="s">
        <v>3700</v>
      </c>
      <c r="G1559" s="3" t="s">
        <v>70</v>
      </c>
      <c r="H1559" s="2" t="s">
        <v>74</v>
      </c>
      <c r="I1559" s="2" t="s">
        <v>4426</v>
      </c>
      <c r="J1559" s="3" t="str">
        <f>HYPERLINK("https://www.boe.es/gazeta/dias/1810/12/08/pdfs/GMD-1810-342.pdf#page=3","Abrir facsímil")</f>
        <v>Abrir facsímil</v>
      </c>
      <c r="K1559" s="3" t="s">
        <v>76</v>
      </c>
    </row>
    <row r="1560" spans="1:11" ht="42" customHeight="1">
      <c r="A1560" s="2" t="s">
        <v>4427</v>
      </c>
      <c r="B1560" s="2" t="s">
        <v>4428</v>
      </c>
      <c r="C1560" s="2" t="s">
        <v>26</v>
      </c>
      <c r="D1560" s="2" t="s">
        <v>27</v>
      </c>
      <c r="E1560" s="4">
        <v>-32783</v>
      </c>
      <c r="F1560" s="3" t="s">
        <v>896</v>
      </c>
      <c r="G1560" s="3" t="s">
        <v>20</v>
      </c>
      <c r="H1560" s="2" t="s">
        <v>74</v>
      </c>
      <c r="I1560" s="2" t="s">
        <v>4429</v>
      </c>
      <c r="J1560" s="3" t="str">
        <f>HYPERLINK("https://www.boe.es/gazeta/dias/1810/03/29/pdfs/GMD-1810-88.pdf#page=4","Abrir facsímil")</f>
        <v>Abrir facsímil</v>
      </c>
      <c r="K1560" s="3" t="s">
        <v>76</v>
      </c>
    </row>
    <row r="1561" spans="1:11" ht="42" customHeight="1">
      <c r="A1561" s="2" t="s">
        <v>4430</v>
      </c>
      <c r="B1561" s="2" t="s">
        <v>4431</v>
      </c>
      <c r="C1561" s="2" t="s">
        <v>88</v>
      </c>
      <c r="D1561" s="2" t="s">
        <v>117</v>
      </c>
      <c r="E1561" s="4">
        <v>-32673</v>
      </c>
      <c r="F1561" s="3" t="s">
        <v>472</v>
      </c>
      <c r="G1561" s="3" t="s">
        <v>35</v>
      </c>
      <c r="H1561" s="2" t="s">
        <v>74</v>
      </c>
      <c r="I1561" s="2" t="s">
        <v>4432</v>
      </c>
      <c r="J1561" s="3" t="str">
        <f>HYPERLINK("https://www.boe.es/gazeta/dias/1810/07/17/pdfs/GMD-1810-198.pdf#page=2","Abrir facsímil")</f>
        <v>Abrir facsímil</v>
      </c>
      <c r="K1561" s="3" t="s">
        <v>76</v>
      </c>
    </row>
    <row r="1562" spans="1:11" ht="42" customHeight="1">
      <c r="A1562" s="2" t="s">
        <v>4433</v>
      </c>
      <c r="B1562" s="2" t="s">
        <v>4434</v>
      </c>
      <c r="C1562" s="2" t="s">
        <v>17</v>
      </c>
      <c r="D1562" s="2" t="s">
        <v>27</v>
      </c>
      <c r="E1562" s="4">
        <v>-32704</v>
      </c>
      <c r="F1562" s="3" t="s">
        <v>94</v>
      </c>
      <c r="G1562" s="3" t="s">
        <v>20</v>
      </c>
      <c r="H1562" s="2" t="s">
        <v>74</v>
      </c>
      <c r="I1562" s="2" t="s">
        <v>4435</v>
      </c>
      <c r="J1562" s="3" t="str">
        <f>HYPERLINK("https://www.boe.es/gazeta/dias/1810/06/16/pdfs/GMD-1810-167.pdf#page=4","Abrir facsímil")</f>
        <v>Abrir facsímil</v>
      </c>
      <c r="K1562" s="3" t="s">
        <v>76</v>
      </c>
    </row>
    <row r="1563" spans="1:11" ht="42" customHeight="1">
      <c r="A1563" s="2" t="s">
        <v>4436</v>
      </c>
      <c r="B1563" s="2" t="s">
        <v>4437</v>
      </c>
      <c r="C1563" s="2" t="s">
        <v>26</v>
      </c>
      <c r="D1563" s="2" t="s">
        <v>39</v>
      </c>
      <c r="E1563" s="4">
        <v>-32701</v>
      </c>
      <c r="F1563" s="3" t="s">
        <v>40</v>
      </c>
      <c r="G1563" s="3" t="s">
        <v>333</v>
      </c>
      <c r="H1563" s="2" t="s">
        <v>74</v>
      </c>
      <c r="I1563" s="2" t="s">
        <v>4438</v>
      </c>
      <c r="J1563" s="3" t="str">
        <f>HYPERLINK("https://www.boe.es/gazeta/dias/1810/06/19/pdfs/GMD-C-1810-170.pdf#page=4","Abrir facsímil")</f>
        <v>Abrir facsímil</v>
      </c>
      <c r="K1563" s="3" t="s">
        <v>76</v>
      </c>
    </row>
    <row r="1564" spans="1:11" ht="42" customHeight="1">
      <c r="A1564" s="2" t="s">
        <v>4439</v>
      </c>
      <c r="B1564" s="2" t="s">
        <v>4440</v>
      </c>
      <c r="C1564" s="2" t="s">
        <v>26</v>
      </c>
      <c r="D1564" s="2" t="s">
        <v>220</v>
      </c>
      <c r="E1564" s="4">
        <v>-32738</v>
      </c>
      <c r="F1564" s="3" t="s">
        <v>321</v>
      </c>
      <c r="G1564" s="3" t="s">
        <v>140</v>
      </c>
      <c r="H1564" s="2" t="s">
        <v>74</v>
      </c>
      <c r="I1564" s="2" t="s">
        <v>4441</v>
      </c>
      <c r="J1564" s="3" t="str">
        <f>HYPERLINK("https://www.boe.es/gazeta/dias/1810/05/13/pdfs/GMD-1810-133.pdf#page=4","Abrir facsímil")</f>
        <v>Abrir facsímil</v>
      </c>
      <c r="K1564" s="3" t="s">
        <v>76</v>
      </c>
    </row>
    <row r="1565" spans="1:11" ht="42" customHeight="1">
      <c r="A1565" s="2" t="s">
        <v>4442</v>
      </c>
      <c r="B1565" s="2" t="s">
        <v>4443</v>
      </c>
      <c r="C1565" s="2" t="s">
        <v>225</v>
      </c>
      <c r="D1565" s="2" t="s">
        <v>27</v>
      </c>
      <c r="E1565" s="4">
        <v>-32616</v>
      </c>
      <c r="F1565" s="3" t="s">
        <v>4444</v>
      </c>
      <c r="G1565" s="3" t="s">
        <v>4445</v>
      </c>
      <c r="H1565" s="2" t="s">
        <v>74</v>
      </c>
      <c r="I1565" s="2" t="s">
        <v>4446</v>
      </c>
      <c r="J1565" s="3" t="str">
        <f>HYPERLINK("https://www.boe.es/gazeta/dias/1810/09/12/pdfs/GMD-1810-255.pdf#page=4","Abrir facsímil")</f>
        <v>Abrir facsímil</v>
      </c>
      <c r="K1565" s="3" t="s">
        <v>76</v>
      </c>
    </row>
    <row r="1566" spans="1:11" ht="42" customHeight="1">
      <c r="A1566" s="2" t="s">
        <v>4447</v>
      </c>
      <c r="B1566" s="2" t="s">
        <v>4448</v>
      </c>
      <c r="C1566" s="2" t="s">
        <v>88</v>
      </c>
      <c r="D1566" s="2" t="s">
        <v>117</v>
      </c>
      <c r="E1566" s="4">
        <v>-32789</v>
      </c>
      <c r="F1566" s="3" t="s">
        <v>1468</v>
      </c>
      <c r="G1566" s="3" t="s">
        <v>140</v>
      </c>
      <c r="H1566" s="2" t="s">
        <v>74</v>
      </c>
      <c r="I1566" s="2" t="s">
        <v>4449</v>
      </c>
      <c r="J1566" s="3" t="str">
        <f>HYPERLINK("https://www.boe.es/gazeta/dias/1810/03/23/pdfs/GEI-1810-5.pdf#page=8","Abrir facsímil")</f>
        <v>Abrir facsímil</v>
      </c>
      <c r="K1566" s="3" t="s">
        <v>76</v>
      </c>
    </row>
    <row r="1567" spans="1:11" ht="42" customHeight="1">
      <c r="A1567" s="2" t="s">
        <v>4450</v>
      </c>
      <c r="B1567" s="2" t="s">
        <v>4451</v>
      </c>
      <c r="C1567" s="2" t="s">
        <v>88</v>
      </c>
      <c r="D1567" s="2" t="s">
        <v>117</v>
      </c>
      <c r="E1567" s="4">
        <v>-32697</v>
      </c>
      <c r="F1567" s="3" t="s">
        <v>1859</v>
      </c>
      <c r="G1567" s="3" t="s">
        <v>70</v>
      </c>
      <c r="H1567" s="2" t="s">
        <v>74</v>
      </c>
      <c r="I1567" s="2" t="s">
        <v>4452</v>
      </c>
      <c r="J1567" s="3" t="str">
        <f>HYPERLINK("https://www.boe.es/gazeta/dias/1810/06/23/pdfs/GMD-1810-174.pdf#page=4","Abrir facsímil")</f>
        <v>Abrir facsímil</v>
      </c>
      <c r="K1567" s="3" t="s">
        <v>76</v>
      </c>
    </row>
    <row r="1568" spans="1:11" ht="42" customHeight="1">
      <c r="A1568" s="2" t="s">
        <v>4453</v>
      </c>
      <c r="B1568" s="2" t="s">
        <v>4454</v>
      </c>
      <c r="C1568" s="2" t="s">
        <v>88</v>
      </c>
      <c r="D1568" s="2" t="s">
        <v>27</v>
      </c>
      <c r="E1568" s="4">
        <v>-32697</v>
      </c>
      <c r="F1568" s="3" t="s">
        <v>1859</v>
      </c>
      <c r="G1568" s="3" t="s">
        <v>140</v>
      </c>
      <c r="H1568" s="2" t="s">
        <v>74</v>
      </c>
      <c r="I1568" s="2" t="s">
        <v>4455</v>
      </c>
      <c r="J1568" s="3" t="str">
        <f>HYPERLINK("https://www.boe.es/gazeta/dias/1810/06/23/pdfs/GMD-1810-174.pdf#page=3","Abrir facsímil")</f>
        <v>Abrir facsímil</v>
      </c>
      <c r="K1568" s="3" t="s">
        <v>76</v>
      </c>
    </row>
    <row r="1569" spans="1:11" ht="42" customHeight="1">
      <c r="A1569" s="2" t="s">
        <v>4453</v>
      </c>
      <c r="B1569" s="2" t="s">
        <v>4454</v>
      </c>
      <c r="C1569" s="2" t="s">
        <v>88</v>
      </c>
      <c r="D1569" s="2" t="s">
        <v>117</v>
      </c>
      <c r="E1569" s="4">
        <v>-32696</v>
      </c>
      <c r="F1569" s="3" t="s">
        <v>1863</v>
      </c>
      <c r="G1569" s="3" t="s">
        <v>701</v>
      </c>
      <c r="H1569" s="2" t="s">
        <v>74</v>
      </c>
      <c r="I1569" s="2" t="s">
        <v>4456</v>
      </c>
      <c r="J1569" s="3" t="str">
        <f>HYPERLINK("https://www.boe.es/gazeta/dias/1810/06/24/pdfs/GMD-1810-175.pdf#page=4","Abrir facsímil")</f>
        <v>Abrir facsímil</v>
      </c>
      <c r="K1569" s="3" t="s">
        <v>76</v>
      </c>
    </row>
    <row r="1570" spans="1:11" ht="42" customHeight="1">
      <c r="A1570" s="2" t="s">
        <v>4457</v>
      </c>
      <c r="B1570" s="2" t="s">
        <v>4458</v>
      </c>
      <c r="C1570" s="2" t="s">
        <v>26</v>
      </c>
      <c r="D1570" s="2" t="s">
        <v>27</v>
      </c>
      <c r="E1570" s="4">
        <v>-32669</v>
      </c>
      <c r="F1570" s="3" t="s">
        <v>217</v>
      </c>
      <c r="G1570" s="3" t="s">
        <v>29</v>
      </c>
      <c r="H1570" s="2" t="s">
        <v>74</v>
      </c>
      <c r="I1570" s="2" t="s">
        <v>4459</v>
      </c>
      <c r="J1570" s="3" t="str">
        <f>HYPERLINK("https://www.boe.es/gazeta/dias/1810/07/21/pdfs/GMD-1810-202.pdf#page=3","Abrir facsímil")</f>
        <v>Abrir facsímil</v>
      </c>
      <c r="K1570" s="3" t="s">
        <v>76</v>
      </c>
    </row>
    <row r="1571" spans="1:11" ht="42" customHeight="1">
      <c r="A1571" s="2" t="s">
        <v>4460</v>
      </c>
      <c r="B1571" s="2" t="s">
        <v>4461</v>
      </c>
      <c r="C1571" s="2" t="s">
        <v>26</v>
      </c>
      <c r="D1571" s="2" t="s">
        <v>27</v>
      </c>
      <c r="E1571" s="4">
        <v>-32761</v>
      </c>
      <c r="F1571" s="3" t="s">
        <v>811</v>
      </c>
      <c r="G1571" s="3" t="s">
        <v>140</v>
      </c>
      <c r="H1571" s="2" t="s">
        <v>74</v>
      </c>
      <c r="I1571" s="2" t="s">
        <v>4462</v>
      </c>
      <c r="J1571" s="3" t="str">
        <f>HYPERLINK("https://www.boe.es/gazeta/dias/1810/04/20/pdfs/GEI-1810-16.pdf#page=8","Abrir facsímil")</f>
        <v>Abrir facsímil</v>
      </c>
      <c r="K1571" s="3" t="s">
        <v>76</v>
      </c>
    </row>
    <row r="1572" spans="1:11" ht="42" customHeight="1">
      <c r="A1572" s="2" t="s">
        <v>4463</v>
      </c>
      <c r="B1572" s="2" t="s">
        <v>4464</v>
      </c>
      <c r="C1572" s="2" t="s">
        <v>26</v>
      </c>
      <c r="D1572" s="2" t="s">
        <v>39</v>
      </c>
      <c r="E1572" s="4">
        <v>-32708</v>
      </c>
      <c r="F1572" s="3" t="s">
        <v>1601</v>
      </c>
      <c r="G1572" s="3" t="s">
        <v>180</v>
      </c>
      <c r="H1572" s="2" t="s">
        <v>74</v>
      </c>
      <c r="I1572" s="2" t="s">
        <v>4465</v>
      </c>
      <c r="J1572" s="3" t="str">
        <f>HYPERLINK("https://www.boe.es/gazeta/dias/1810/06/12/pdfs/GEI-D-1810-35.pdf#page=8","Abrir facsímil")</f>
        <v>Abrir facsímil</v>
      </c>
      <c r="K1572" s="3" t="s">
        <v>76</v>
      </c>
    </row>
    <row r="1573" spans="1:11" ht="42" customHeight="1">
      <c r="A1573" s="2" t="s">
        <v>4466</v>
      </c>
      <c r="B1573" s="2" t="s">
        <v>4467</v>
      </c>
      <c r="C1573" s="2" t="s">
        <v>26</v>
      </c>
      <c r="D1573" s="2" t="s">
        <v>18</v>
      </c>
      <c r="E1573" s="4">
        <v>-32827</v>
      </c>
      <c r="F1573" s="3" t="s">
        <v>290</v>
      </c>
      <c r="G1573" s="3" t="s">
        <v>291</v>
      </c>
      <c r="H1573" s="2" t="s">
        <v>74</v>
      </c>
      <c r="I1573" s="2" t="s">
        <v>4468</v>
      </c>
      <c r="J1573" s="3" t="str">
        <f>HYPERLINK("https://www.boe.es/gazeta/dias/1810/02/13/pdfs/GMD-1810-44.pdf#page=4","Abrir facsímil")</f>
        <v>Abrir facsímil</v>
      </c>
      <c r="K1573" s="3" t="s">
        <v>76</v>
      </c>
    </row>
    <row r="1574" spans="1:11" ht="42" customHeight="1">
      <c r="A1574" s="2" t="s">
        <v>4466</v>
      </c>
      <c r="B1574" s="2" t="s">
        <v>4467</v>
      </c>
      <c r="C1574" s="2" t="s">
        <v>88</v>
      </c>
      <c r="D1574" s="2" t="s">
        <v>39</v>
      </c>
      <c r="E1574" s="4">
        <v>-32702</v>
      </c>
      <c r="F1574" s="3" t="s">
        <v>179</v>
      </c>
      <c r="G1574" s="3" t="s">
        <v>213</v>
      </c>
      <c r="H1574" s="2" t="s">
        <v>74</v>
      </c>
      <c r="I1574" s="2" t="s">
        <v>4469</v>
      </c>
      <c r="J1574" s="3" t="str">
        <f>HYPERLINK("https://www.boe.es/gazeta/dias/1810/06/18/pdfs/GMD-C-1810-169.pdf#page=4","Abrir facsímil")</f>
        <v>Abrir facsímil</v>
      </c>
      <c r="K1574" s="3" t="s">
        <v>76</v>
      </c>
    </row>
    <row r="1575" spans="1:11" ht="42" customHeight="1">
      <c r="A1575" s="2" t="s">
        <v>4470</v>
      </c>
      <c r="B1575" s="2" t="s">
        <v>4471</v>
      </c>
      <c r="C1575" s="2" t="s">
        <v>26</v>
      </c>
      <c r="D1575" s="2" t="s">
        <v>27</v>
      </c>
      <c r="E1575" s="4">
        <v>-32634</v>
      </c>
      <c r="F1575" s="3" t="s">
        <v>4472</v>
      </c>
      <c r="G1575" s="3" t="s">
        <v>213</v>
      </c>
      <c r="H1575" s="2" t="s">
        <v>74</v>
      </c>
      <c r="I1575" s="2" t="s">
        <v>4473</v>
      </c>
      <c r="J1575" s="3" t="str">
        <f>HYPERLINK("https://www.boe.es/gazeta/dias/1810/08/25/pdfs/GMD-1810-237.pdf#page=2","Abrir facsímil")</f>
        <v>Abrir facsímil</v>
      </c>
      <c r="K1575" s="3" t="s">
        <v>76</v>
      </c>
    </row>
    <row r="1576" spans="1:11" ht="42" customHeight="1">
      <c r="A1576" s="2" t="s">
        <v>4474</v>
      </c>
      <c r="B1576" s="2" t="s">
        <v>4475</v>
      </c>
      <c r="C1576" s="2" t="s">
        <v>88</v>
      </c>
      <c r="D1576" s="2" t="s">
        <v>27</v>
      </c>
      <c r="E1576" s="4">
        <v>-32673</v>
      </c>
      <c r="F1576" s="3" t="s">
        <v>472</v>
      </c>
      <c r="G1576" s="3" t="s">
        <v>20</v>
      </c>
      <c r="H1576" s="2" t="s">
        <v>74</v>
      </c>
      <c r="I1576" s="2" t="s">
        <v>4476</v>
      </c>
      <c r="J1576" s="3" t="str">
        <f>HYPERLINK("https://www.boe.es/gazeta/dias/1810/07/17/pdfs/GMD-1810-198.pdf#page=4","Abrir facsímil")</f>
        <v>Abrir facsímil</v>
      </c>
      <c r="K1576" s="3" t="s">
        <v>76</v>
      </c>
    </row>
    <row r="1577" spans="1:11" ht="42" customHeight="1">
      <c r="A1577" s="2" t="s">
        <v>4477</v>
      </c>
      <c r="B1577" s="2" t="s">
        <v>4478</v>
      </c>
      <c r="C1577" s="2" t="s">
        <v>26</v>
      </c>
      <c r="D1577" s="2" t="s">
        <v>27</v>
      </c>
      <c r="E1577" s="4">
        <v>-32654</v>
      </c>
      <c r="F1577" s="3" t="s">
        <v>1226</v>
      </c>
      <c r="G1577" s="3" t="s">
        <v>732</v>
      </c>
      <c r="H1577" s="2" t="s">
        <v>74</v>
      </c>
      <c r="I1577" s="2" t="s">
        <v>4479</v>
      </c>
      <c r="J1577" s="3" t="str">
        <f>HYPERLINK("https://www.boe.es/gazeta/dias/1810/08/05/pdfs/GMD-1810-217.pdf#page=3","Abrir facsímil")</f>
        <v>Abrir facsímil</v>
      </c>
      <c r="K1577" s="3" t="s">
        <v>76</v>
      </c>
    </row>
    <row r="1578" spans="1:11" ht="42" customHeight="1">
      <c r="A1578" s="2" t="s">
        <v>4480</v>
      </c>
      <c r="B1578" s="2" t="s">
        <v>4480</v>
      </c>
      <c r="C1578" s="2" t="s">
        <v>17</v>
      </c>
      <c r="D1578" s="2" t="s">
        <v>27</v>
      </c>
      <c r="E1578" s="4">
        <v>-32532</v>
      </c>
      <c r="F1578" s="3" t="s">
        <v>4481</v>
      </c>
      <c r="G1578" s="3" t="s">
        <v>227</v>
      </c>
      <c r="H1578" s="2" t="s">
        <v>74</v>
      </c>
      <c r="I1578" s="2" t="s">
        <v>4482</v>
      </c>
      <c r="J1578" s="3" t="str">
        <f>HYPERLINK("https://www.boe.es/gazeta/dias/1810/12/05/pdfs/GMD-1810-339.pdf#page=4","Abrir facsímil")</f>
        <v>Abrir facsímil</v>
      </c>
      <c r="K1578" s="3" t="s">
        <v>76</v>
      </c>
    </row>
    <row r="1579" spans="1:11" ht="42" customHeight="1">
      <c r="A1579" s="2" t="s">
        <v>4483</v>
      </c>
      <c r="B1579" s="2" t="s">
        <v>4484</v>
      </c>
      <c r="C1579" s="2" t="s">
        <v>17</v>
      </c>
      <c r="D1579" s="2" t="s">
        <v>27</v>
      </c>
      <c r="E1579" s="4">
        <v>-32704</v>
      </c>
      <c r="F1579" s="3" t="s">
        <v>94</v>
      </c>
      <c r="G1579" s="3" t="s">
        <v>20</v>
      </c>
      <c r="H1579" s="2" t="s">
        <v>74</v>
      </c>
      <c r="I1579" s="2" t="s">
        <v>4485</v>
      </c>
      <c r="J1579" s="3" t="str">
        <f>HYPERLINK("https://www.boe.es/gazeta/dias/1810/06/16/pdfs/GMD-1810-167.pdf#page=4","Abrir facsímil")</f>
        <v>Abrir facsímil</v>
      </c>
      <c r="K1579" s="3" t="s">
        <v>76</v>
      </c>
    </row>
    <row r="1580" spans="1:11" ht="42" customHeight="1">
      <c r="A1580" s="2" t="s">
        <v>4486</v>
      </c>
      <c r="B1580" s="2" t="s">
        <v>4486</v>
      </c>
      <c r="C1580" s="2" t="s">
        <v>17</v>
      </c>
      <c r="D1580" s="2" t="s">
        <v>27</v>
      </c>
      <c r="E1580" s="4">
        <v>-32672</v>
      </c>
      <c r="F1580" s="3" t="s">
        <v>1663</v>
      </c>
      <c r="G1580" s="3" t="s">
        <v>119</v>
      </c>
      <c r="H1580" s="2" t="s">
        <v>74</v>
      </c>
      <c r="I1580" s="2" t="s">
        <v>4487</v>
      </c>
      <c r="J1580" s="3" t="str">
        <f>HYPERLINK("https://www.boe.es/gazeta/dias/1810/07/18/pdfs/GMD-1810-199.pdf#page=3","Abrir facsímil")</f>
        <v>Abrir facsímil</v>
      </c>
      <c r="K1580" s="3" t="s">
        <v>76</v>
      </c>
    </row>
    <row r="1581" spans="1:11" ht="42" customHeight="1">
      <c r="A1581" s="2" t="s">
        <v>4488</v>
      </c>
      <c r="B1581" s="2" t="s">
        <v>4488</v>
      </c>
      <c r="C1581" s="2" t="s">
        <v>26</v>
      </c>
      <c r="D1581" s="2" t="s">
        <v>27</v>
      </c>
      <c r="E1581" s="4">
        <v>-32668</v>
      </c>
      <c r="F1581" s="3" t="s">
        <v>1012</v>
      </c>
      <c r="G1581" s="3" t="s">
        <v>191</v>
      </c>
      <c r="H1581" s="2" t="s">
        <v>74</v>
      </c>
      <c r="I1581" s="2" t="s">
        <v>4489</v>
      </c>
      <c r="J1581" s="3" t="str">
        <f>HYPERLINK("https://www.boe.es/gazeta/dias/1810/07/22/pdfs/GMD-1810-203.pdf#page=3","Abrir facsímil")</f>
        <v>Abrir facsímil</v>
      </c>
      <c r="K1581" s="3" t="s">
        <v>76</v>
      </c>
    </row>
    <row r="1582" spans="1:11" ht="42" customHeight="1">
      <c r="A1582" s="2" t="s">
        <v>4490</v>
      </c>
      <c r="B1582" s="2" t="s">
        <v>4490</v>
      </c>
      <c r="C1582" s="2" t="s">
        <v>26</v>
      </c>
      <c r="D1582" s="2" t="s">
        <v>220</v>
      </c>
      <c r="E1582" s="4">
        <v>-32655</v>
      </c>
      <c r="F1582" s="3" t="s">
        <v>1040</v>
      </c>
      <c r="G1582" s="3" t="s">
        <v>180</v>
      </c>
      <c r="H1582" s="2" t="s">
        <v>74</v>
      </c>
      <c r="I1582" s="2" t="s">
        <v>4491</v>
      </c>
      <c r="J1582" s="3" t="str">
        <f>HYPERLINK("https://www.boe.es/gazeta/dias/1810/08/04/pdfs/GMD-1810-216.pdf#page=3","Abrir facsímil")</f>
        <v>Abrir facsímil</v>
      </c>
      <c r="K1582" s="3" t="s">
        <v>76</v>
      </c>
    </row>
    <row r="1583" spans="1:11" ht="42" customHeight="1">
      <c r="A1583" s="2" t="s">
        <v>4492</v>
      </c>
      <c r="B1583" s="2" t="s">
        <v>4492</v>
      </c>
      <c r="C1583" s="2" t="s">
        <v>26</v>
      </c>
      <c r="D1583" s="2" t="s">
        <v>27</v>
      </c>
      <c r="E1583" s="4">
        <v>-32694</v>
      </c>
      <c r="F1583" s="3" t="s">
        <v>2166</v>
      </c>
      <c r="G1583" s="3" t="s">
        <v>1464</v>
      </c>
      <c r="H1583" s="2" t="s">
        <v>74</v>
      </c>
      <c r="I1583" s="2" t="s">
        <v>4493</v>
      </c>
      <c r="J1583" s="3" t="str">
        <f>HYPERLINK("https://www.boe.es/gazeta/dias/1810/06/26/pdfs/GMD-1810-177.pdf#page=1","Abrir facsímil")</f>
        <v>Abrir facsímil</v>
      </c>
      <c r="K1583" s="3" t="s">
        <v>76</v>
      </c>
    </row>
    <row r="1584" spans="1:11" ht="42" customHeight="1">
      <c r="A1584" s="2" t="s">
        <v>4492</v>
      </c>
      <c r="B1584" s="2" t="s">
        <v>4492</v>
      </c>
      <c r="C1584" s="2" t="s">
        <v>33</v>
      </c>
      <c r="D1584" s="2" t="s">
        <v>27</v>
      </c>
      <c r="E1584" s="4">
        <v>-32672</v>
      </c>
      <c r="F1584" s="3" t="s">
        <v>1663</v>
      </c>
      <c r="G1584" s="3" t="s">
        <v>465</v>
      </c>
      <c r="H1584" s="2" t="s">
        <v>74</v>
      </c>
      <c r="I1584" s="2" t="s">
        <v>4494</v>
      </c>
      <c r="J1584" s="3" t="str">
        <f>HYPERLINK("https://www.boe.es/gazeta/dias/1810/07/18/pdfs/GMD-1810-199.pdf#page=1","Abrir facsímil")</f>
        <v>Abrir facsímil</v>
      </c>
      <c r="K1584" s="3" t="s">
        <v>76</v>
      </c>
    </row>
    <row r="1585" spans="1:11" ht="42" customHeight="1">
      <c r="A1585" s="2" t="s">
        <v>4492</v>
      </c>
      <c r="B1585" s="2" t="s">
        <v>4492</v>
      </c>
      <c r="C1585" s="2" t="s">
        <v>88</v>
      </c>
      <c r="D1585" s="2" t="s">
        <v>27</v>
      </c>
      <c r="E1585" s="4">
        <v>-32664</v>
      </c>
      <c r="F1585" s="3" t="s">
        <v>618</v>
      </c>
      <c r="G1585" s="3" t="s">
        <v>35</v>
      </c>
      <c r="H1585" s="2" t="s">
        <v>74</v>
      </c>
      <c r="I1585" s="2" t="s">
        <v>4495</v>
      </c>
      <c r="J1585" s="3" t="str">
        <f>HYPERLINK("https://www.boe.es/gazeta/dias/1810/07/26/pdfs/GMD-1810-207.pdf#page=2","Abrir facsímil")</f>
        <v>Abrir facsímil</v>
      </c>
      <c r="K1585" s="3" t="s">
        <v>76</v>
      </c>
    </row>
    <row r="1586" spans="1:11" ht="42" customHeight="1">
      <c r="A1586" s="2" t="s">
        <v>4492</v>
      </c>
      <c r="B1586" s="2" t="s">
        <v>4492</v>
      </c>
      <c r="C1586" s="2" t="s">
        <v>33</v>
      </c>
      <c r="D1586" s="2" t="s">
        <v>27</v>
      </c>
      <c r="E1586" s="4">
        <v>-32569</v>
      </c>
      <c r="F1586" s="3" t="s">
        <v>421</v>
      </c>
      <c r="G1586" s="3" t="s">
        <v>119</v>
      </c>
      <c r="H1586" s="2" t="s">
        <v>74</v>
      </c>
      <c r="I1586" s="2" t="s">
        <v>4496</v>
      </c>
      <c r="J1586" s="3" t="str">
        <f>HYPERLINK("https://www.boe.es/gazeta/dias/1810/10/29/pdfs/GMD-1810-302.pdf#page=2","Abrir facsímil")</f>
        <v>Abrir facsímil</v>
      </c>
      <c r="K1586" s="3" t="s">
        <v>76</v>
      </c>
    </row>
    <row r="1587" spans="1:11" ht="42" customHeight="1">
      <c r="A1587" s="2" t="s">
        <v>4497</v>
      </c>
      <c r="B1587" s="2" t="s">
        <v>4497</v>
      </c>
      <c r="C1587" s="2" t="s">
        <v>111</v>
      </c>
      <c r="D1587" s="2" t="s">
        <v>18</v>
      </c>
      <c r="E1587" s="4">
        <v>-32617</v>
      </c>
      <c r="F1587" s="3" t="s">
        <v>1459</v>
      </c>
      <c r="G1587" s="3" t="s">
        <v>4498</v>
      </c>
      <c r="H1587" s="2" t="s">
        <v>74</v>
      </c>
      <c r="I1587" s="2" t="s">
        <v>4499</v>
      </c>
      <c r="J1587" s="3" t="str">
        <f>HYPERLINK("https://www.boe.es/gazeta/dias/1810/09/11/pdfs/GEI-1810-66.pdf#page=7","Abrir facsímil")</f>
        <v>Abrir facsímil</v>
      </c>
      <c r="K1587" s="3" t="s">
        <v>76</v>
      </c>
    </row>
    <row r="1588" spans="1:11" ht="42" customHeight="1">
      <c r="A1588" s="2" t="s">
        <v>4500</v>
      </c>
      <c r="B1588" s="2" t="s">
        <v>4501</v>
      </c>
      <c r="C1588" s="2" t="s">
        <v>33</v>
      </c>
      <c r="D1588" s="2" t="s">
        <v>220</v>
      </c>
      <c r="E1588" s="4">
        <v>-32807</v>
      </c>
      <c r="F1588" s="3" t="s">
        <v>1338</v>
      </c>
      <c r="G1588" s="3" t="s">
        <v>4502</v>
      </c>
      <c r="H1588" s="2" t="s">
        <v>74</v>
      </c>
      <c r="I1588" s="2" t="s">
        <v>4503</v>
      </c>
      <c r="J1588" s="3" t="str">
        <f>HYPERLINK("https://www.boe.es/gazeta/dias/1810/03/05/pdfs/GMD-1810-64.pdf#page=2","Abrir facsímil")</f>
        <v>Abrir facsímil</v>
      </c>
      <c r="K1588" s="3" t="s">
        <v>76</v>
      </c>
    </row>
    <row r="1589" spans="1:11" ht="42" customHeight="1">
      <c r="A1589" s="2" t="s">
        <v>4504</v>
      </c>
      <c r="B1589" s="2" t="s">
        <v>4504</v>
      </c>
      <c r="C1589" s="2" t="s">
        <v>26</v>
      </c>
      <c r="D1589" s="2" t="s">
        <v>220</v>
      </c>
      <c r="E1589" s="4">
        <v>-32671</v>
      </c>
      <c r="F1589" s="3" t="s">
        <v>3682</v>
      </c>
      <c r="G1589" s="3" t="s">
        <v>90</v>
      </c>
      <c r="H1589" s="2" t="s">
        <v>74</v>
      </c>
      <c r="I1589" s="2" t="s">
        <v>4505</v>
      </c>
      <c r="J1589" s="3" t="str">
        <f>HYPERLINK("https://www.boe.es/gazeta/dias/1810/07/19/pdfs/GMD-1810-200.pdf#page=2","Abrir facsímil")</f>
        <v>Abrir facsímil</v>
      </c>
      <c r="K1589" s="3" t="s">
        <v>76</v>
      </c>
    </row>
    <row r="1590" spans="1:11" ht="42" customHeight="1">
      <c r="A1590" s="2" t="s">
        <v>4506</v>
      </c>
      <c r="B1590" s="2" t="s">
        <v>4507</v>
      </c>
      <c r="C1590" s="2" t="s">
        <v>33</v>
      </c>
      <c r="D1590" s="2" t="s">
        <v>18</v>
      </c>
      <c r="E1590" s="4">
        <v>-32820</v>
      </c>
      <c r="F1590" s="3" t="s">
        <v>226</v>
      </c>
      <c r="G1590" s="3" t="s">
        <v>356</v>
      </c>
      <c r="H1590" s="2" t="s">
        <v>74</v>
      </c>
      <c r="I1590" s="2" t="s">
        <v>4508</v>
      </c>
      <c r="J1590" s="3" t="str">
        <f>HYPERLINK("https://www.boe.es/gazeta/dias/1810/02/20/pdfs/GMD-1810-51.pdf#page=3","Abrir facsímil")</f>
        <v>Abrir facsímil</v>
      </c>
      <c r="K1590" s="3" t="s">
        <v>76</v>
      </c>
    </row>
    <row r="1591" spans="1:11" ht="42" customHeight="1">
      <c r="A1591" s="2" t="s">
        <v>4509</v>
      </c>
      <c r="B1591" s="2" t="s">
        <v>4510</v>
      </c>
      <c r="C1591" s="2" t="s">
        <v>88</v>
      </c>
      <c r="D1591" s="2" t="s">
        <v>27</v>
      </c>
      <c r="E1591" s="4">
        <v>-32509</v>
      </c>
      <c r="F1591" s="3" t="s">
        <v>212</v>
      </c>
      <c r="G1591" s="3" t="s">
        <v>213</v>
      </c>
      <c r="H1591" s="2" t="s">
        <v>74</v>
      </c>
      <c r="I1591" s="2" t="s">
        <v>4511</v>
      </c>
      <c r="J1591" s="3" t="str">
        <f>HYPERLINK("https://www.boe.es/gazeta/dias/1810/12/28/pdfs/GMD-1810-362.pdf#page=4","Abrir facsímil")</f>
        <v>Abrir facsímil</v>
      </c>
      <c r="K1591" s="3" t="s">
        <v>76</v>
      </c>
    </row>
    <row r="1592" spans="1:11" ht="42" customHeight="1">
      <c r="A1592" s="2" t="s">
        <v>4512</v>
      </c>
      <c r="B1592" s="2" t="s">
        <v>4513</v>
      </c>
      <c r="C1592" s="2" t="s">
        <v>88</v>
      </c>
      <c r="D1592" s="2" t="s">
        <v>27</v>
      </c>
      <c r="E1592" s="4">
        <v>-32515</v>
      </c>
      <c r="F1592" s="3" t="s">
        <v>351</v>
      </c>
      <c r="G1592" s="3" t="s">
        <v>352</v>
      </c>
      <c r="H1592" s="2" t="s">
        <v>74</v>
      </c>
      <c r="I1592" s="2" t="s">
        <v>4514</v>
      </c>
      <c r="J1592" s="3" t="str">
        <f>HYPERLINK("https://www.boe.es/gazeta/dias/1810/12/22/pdfs/GEI-1810-111.pdf#page=8","Abrir facsímil")</f>
        <v>Abrir facsímil</v>
      </c>
      <c r="K1592" s="3" t="s">
        <v>76</v>
      </c>
    </row>
    <row r="1593" spans="1:11" ht="42" customHeight="1">
      <c r="A1593" s="2" t="s">
        <v>4515</v>
      </c>
      <c r="B1593" s="2" t="s">
        <v>4515</v>
      </c>
      <c r="C1593" s="2" t="s">
        <v>26</v>
      </c>
      <c r="D1593" s="2" t="s">
        <v>220</v>
      </c>
      <c r="E1593" s="4">
        <v>-32537</v>
      </c>
      <c r="F1593" s="3" t="s">
        <v>1091</v>
      </c>
      <c r="G1593" s="3" t="s">
        <v>140</v>
      </c>
      <c r="H1593" s="2" t="s">
        <v>74</v>
      </c>
      <c r="I1593" s="2" t="s">
        <v>4516</v>
      </c>
      <c r="J1593" s="3" t="str">
        <f>HYPERLINK("https://www.boe.es/gazeta/dias/1810/11/30/pdfs/GMD-1810-334.pdf#page=3","Abrir facsímil")</f>
        <v>Abrir facsímil</v>
      </c>
      <c r="K1593" s="3" t="s">
        <v>76</v>
      </c>
    </row>
    <row r="1594" spans="1:11" ht="42" customHeight="1">
      <c r="A1594" s="2" t="s">
        <v>4517</v>
      </c>
      <c r="B1594" s="2" t="s">
        <v>4517</v>
      </c>
      <c r="C1594" s="2" t="s">
        <v>88</v>
      </c>
      <c r="D1594" s="2" t="s">
        <v>27</v>
      </c>
      <c r="E1594" s="4">
        <v>-32698</v>
      </c>
      <c r="F1594" s="3" t="s">
        <v>2705</v>
      </c>
      <c r="G1594" s="3" t="s">
        <v>4518</v>
      </c>
      <c r="H1594" s="2" t="s">
        <v>74</v>
      </c>
      <c r="I1594" s="2" t="s">
        <v>4519</v>
      </c>
      <c r="J1594" s="3" t="str">
        <f>HYPERLINK("https://www.boe.es/gazeta/dias/1810/06/22/pdfs/GEI-1810-38.pdf#page=6","Abrir facsímil")</f>
        <v>Abrir facsímil</v>
      </c>
      <c r="K1594" s="3" t="s">
        <v>76</v>
      </c>
    </row>
    <row r="1595" spans="1:11" ht="42" customHeight="1">
      <c r="A1595" s="2" t="s">
        <v>4520</v>
      </c>
      <c r="B1595" s="2" t="s">
        <v>4520</v>
      </c>
      <c r="C1595" s="2" t="s">
        <v>88</v>
      </c>
      <c r="D1595" s="2" t="s">
        <v>27</v>
      </c>
      <c r="E1595" s="4">
        <v>-32663</v>
      </c>
      <c r="F1595" s="3" t="s">
        <v>1945</v>
      </c>
      <c r="G1595" s="3" t="s">
        <v>1946</v>
      </c>
      <c r="H1595" s="2" t="s">
        <v>74</v>
      </c>
      <c r="I1595" s="2" t="s">
        <v>4521</v>
      </c>
      <c r="J1595" s="3" t="str">
        <f>HYPERLINK("https://www.boe.es/gazeta/dias/1810/07/27/pdfs/GEI-1810-48.pdf#page=7","Abrir facsímil")</f>
        <v>Abrir facsímil</v>
      </c>
      <c r="K1595" s="3" t="s">
        <v>76</v>
      </c>
    </row>
    <row r="1596" spans="1:11" ht="42" customHeight="1">
      <c r="A1596" s="2" t="s">
        <v>4522</v>
      </c>
      <c r="B1596" s="2" t="s">
        <v>4523</v>
      </c>
      <c r="C1596" s="2" t="s">
        <v>88</v>
      </c>
      <c r="D1596" s="2" t="s">
        <v>27</v>
      </c>
      <c r="E1596" s="4">
        <v>-32601</v>
      </c>
      <c r="F1596" s="3" t="s">
        <v>2181</v>
      </c>
      <c r="G1596" s="3" t="s">
        <v>2182</v>
      </c>
      <c r="H1596" s="2" t="s">
        <v>21</v>
      </c>
      <c r="I1596" s="2" t="s">
        <v>4524</v>
      </c>
      <c r="J1596" s="3" t="str">
        <f>HYPERLINK("https://www.boe.es/gazeta/dias/1810/09/27/pdfs/GEI-1810-73.pdf#page=4","Abrir facsímil")</f>
        <v>Abrir facsímil</v>
      </c>
      <c r="K1596" s="3" t="s">
        <v>23</v>
      </c>
    </row>
    <row r="1597" spans="1:11" ht="42" customHeight="1">
      <c r="A1597" s="2" t="s">
        <v>4525</v>
      </c>
      <c r="B1597" s="2" t="s">
        <v>4525</v>
      </c>
      <c r="C1597" s="2" t="s">
        <v>88</v>
      </c>
      <c r="D1597" s="2" t="s">
        <v>117</v>
      </c>
      <c r="E1597" s="4">
        <v>-32515</v>
      </c>
      <c r="F1597" s="3" t="s">
        <v>351</v>
      </c>
      <c r="G1597" s="3" t="s">
        <v>4526</v>
      </c>
      <c r="H1597" s="2" t="s">
        <v>74</v>
      </c>
      <c r="I1597" s="2" t="s">
        <v>4527</v>
      </c>
      <c r="J1597" s="3" t="str">
        <f>HYPERLINK("https://www.boe.es/gazeta/dias/1810/12/22/pdfs/GEI-1810-111.pdf#page=7","Abrir facsímil")</f>
        <v>Abrir facsímil</v>
      </c>
      <c r="K1597" s="3" t="s">
        <v>76</v>
      </c>
    </row>
    <row r="1598" spans="1:11" ht="42" customHeight="1">
      <c r="A1598" s="2" t="s">
        <v>4528</v>
      </c>
      <c r="B1598" s="2" t="s">
        <v>4528</v>
      </c>
      <c r="C1598" s="2" t="s">
        <v>88</v>
      </c>
      <c r="D1598" s="2" t="s">
        <v>27</v>
      </c>
      <c r="E1598" s="4">
        <v>-32705</v>
      </c>
      <c r="F1598" s="3" t="s">
        <v>678</v>
      </c>
      <c r="G1598" s="3" t="s">
        <v>2886</v>
      </c>
      <c r="H1598" s="2" t="s">
        <v>74</v>
      </c>
      <c r="I1598" s="2" t="s">
        <v>4529</v>
      </c>
      <c r="J1598" s="3" t="str">
        <f>HYPERLINK("https://www.boe.es/gazeta/dias/1810/06/15/pdfs/GEI-1810-36.pdf#page=7","Abrir facsímil")</f>
        <v>Abrir facsímil</v>
      </c>
      <c r="K1598" s="3" t="s">
        <v>76</v>
      </c>
    </row>
    <row r="1599" spans="1:11" ht="42" customHeight="1">
      <c r="A1599" s="2" t="s">
        <v>4528</v>
      </c>
      <c r="B1599" s="2" t="s">
        <v>4528</v>
      </c>
      <c r="C1599" s="2" t="s">
        <v>88</v>
      </c>
      <c r="D1599" s="2" t="s">
        <v>18</v>
      </c>
      <c r="E1599" s="4">
        <v>-32629</v>
      </c>
      <c r="F1599" s="3" t="s">
        <v>4320</v>
      </c>
      <c r="G1599" s="3" t="s">
        <v>104</v>
      </c>
      <c r="H1599" s="2" t="s">
        <v>74</v>
      </c>
      <c r="I1599" s="2" t="s">
        <v>4530</v>
      </c>
      <c r="J1599" s="3" t="str">
        <f>HYPERLINK("https://www.boe.es/gazeta/dias/1810/08/30/pdfs/GEI-1810-61E.pdf#page=3","Abrir facsímil")</f>
        <v>Abrir facsímil</v>
      </c>
      <c r="K1599" s="3" t="s">
        <v>76</v>
      </c>
    </row>
    <row r="1600" spans="1:11" ht="42" customHeight="1">
      <c r="A1600" s="2" t="s">
        <v>4528</v>
      </c>
      <c r="B1600" s="2" t="s">
        <v>4528</v>
      </c>
      <c r="C1600" s="2" t="s">
        <v>88</v>
      </c>
      <c r="D1600" s="2" t="s">
        <v>18</v>
      </c>
      <c r="E1600" s="4">
        <v>-32621</v>
      </c>
      <c r="F1600" s="3" t="s">
        <v>674</v>
      </c>
      <c r="G1600" s="3" t="s">
        <v>1084</v>
      </c>
      <c r="H1600" s="2" t="s">
        <v>74</v>
      </c>
      <c r="I1600" s="2" t="s">
        <v>4531</v>
      </c>
      <c r="J1600" s="3" t="str">
        <f>HYPERLINK("https://www.boe.es/gazeta/dias/1810/09/07/pdfs/GEI-1810-65.pdf#page=8","Abrir facsímil")</f>
        <v>Abrir facsímil</v>
      </c>
      <c r="K1600" s="3" t="s">
        <v>76</v>
      </c>
    </row>
    <row r="1601" spans="1:11" ht="42" customHeight="1">
      <c r="A1601" s="2" t="s">
        <v>4528</v>
      </c>
      <c r="B1601" s="2" t="s">
        <v>4528</v>
      </c>
      <c r="C1601" s="2" t="s">
        <v>88</v>
      </c>
      <c r="D1601" s="2" t="s">
        <v>27</v>
      </c>
      <c r="E1601" s="4">
        <v>-32538</v>
      </c>
      <c r="F1601" s="3" t="s">
        <v>1949</v>
      </c>
      <c r="G1601" s="3" t="s">
        <v>2895</v>
      </c>
      <c r="H1601" s="2" t="s">
        <v>74</v>
      </c>
      <c r="I1601" s="2" t="s">
        <v>4532</v>
      </c>
      <c r="J1601" s="3" t="str">
        <f>HYPERLINK("https://www.boe.es/gazeta/dias/1810/11/29/pdfs/GEI-1810-101.pdf#page=4","Abrir facsímil")</f>
        <v>Abrir facsímil</v>
      </c>
      <c r="K1601" s="3" t="s">
        <v>76</v>
      </c>
    </row>
    <row r="1602" spans="1:11" ht="42" customHeight="1">
      <c r="A1602" s="2" t="s">
        <v>4528</v>
      </c>
      <c r="B1602" s="2" t="s">
        <v>4528</v>
      </c>
      <c r="C1602" s="2" t="s">
        <v>88</v>
      </c>
      <c r="D1602" s="2" t="s">
        <v>27</v>
      </c>
      <c r="E1602" s="4">
        <v>-32524</v>
      </c>
      <c r="F1602" s="3" t="s">
        <v>281</v>
      </c>
      <c r="G1602" s="3" t="s">
        <v>373</v>
      </c>
      <c r="H1602" s="2" t="s">
        <v>74</v>
      </c>
      <c r="I1602" s="2" t="s">
        <v>4533</v>
      </c>
      <c r="J1602" s="3" t="str">
        <f>HYPERLINK("https://www.boe.es/gazeta/dias/1810/12/13/pdfs/GEI-1810-107.pdf#page=8","Abrir facsímil")</f>
        <v>Abrir facsímil</v>
      </c>
      <c r="K1602" s="3" t="s">
        <v>76</v>
      </c>
    </row>
    <row r="1603" spans="1:11" ht="42" customHeight="1">
      <c r="A1603" s="2" t="s">
        <v>4528</v>
      </c>
      <c r="B1603" s="2" t="s">
        <v>4528</v>
      </c>
      <c r="C1603" s="2" t="s">
        <v>88</v>
      </c>
      <c r="D1603" s="2" t="s">
        <v>27</v>
      </c>
      <c r="E1603" s="4">
        <v>-32512</v>
      </c>
      <c r="F1603" s="3" t="s">
        <v>1920</v>
      </c>
      <c r="G1603" s="3" t="s">
        <v>90</v>
      </c>
      <c r="H1603" s="2" t="s">
        <v>74</v>
      </c>
      <c r="I1603" s="2" t="s">
        <v>4534</v>
      </c>
      <c r="J1603" s="3" t="str">
        <f>HYPERLINK("https://www.boe.es/gazeta/dias/1810/12/25/pdfs/GEI-1810-112.pdf#page=8","Abrir facsímil")</f>
        <v>Abrir facsímil</v>
      </c>
      <c r="K1603" s="3" t="s">
        <v>76</v>
      </c>
    </row>
    <row r="1604" spans="1:11" ht="42" customHeight="1">
      <c r="A1604" s="2" t="s">
        <v>4535</v>
      </c>
      <c r="B1604" s="2" t="s">
        <v>4536</v>
      </c>
      <c r="C1604" s="2" t="s">
        <v>26</v>
      </c>
      <c r="D1604" s="2" t="s">
        <v>27</v>
      </c>
      <c r="E1604" s="4">
        <v>-32543</v>
      </c>
      <c r="F1604" s="3" t="s">
        <v>69</v>
      </c>
      <c r="G1604" s="3" t="s">
        <v>70</v>
      </c>
      <c r="H1604" s="2" t="s">
        <v>74</v>
      </c>
      <c r="I1604" s="2" t="s">
        <v>4537</v>
      </c>
      <c r="J1604" s="3" t="str">
        <f>HYPERLINK("https://www.boe.es/gazeta/dias/1810/11/24/pdfs/GEI-1810-99.pdf#page=8","Abrir facsímil")</f>
        <v>Abrir facsímil</v>
      </c>
      <c r="K1604" s="3" t="s">
        <v>76</v>
      </c>
    </row>
    <row r="1605" spans="1:11" ht="42" customHeight="1">
      <c r="A1605" s="2" t="s">
        <v>4538</v>
      </c>
      <c r="B1605" s="2" t="s">
        <v>4538</v>
      </c>
      <c r="C1605" s="2" t="s">
        <v>88</v>
      </c>
      <c r="D1605" s="2" t="s">
        <v>27</v>
      </c>
      <c r="E1605" s="4">
        <v>-32659</v>
      </c>
      <c r="F1605" s="3" t="s">
        <v>328</v>
      </c>
      <c r="G1605" s="3" t="s">
        <v>4539</v>
      </c>
      <c r="H1605" s="2" t="s">
        <v>74</v>
      </c>
      <c r="I1605" s="2" t="s">
        <v>4540</v>
      </c>
      <c r="J1605" s="3" t="str">
        <f>HYPERLINK("https://www.boe.es/gazeta/dias/1810/07/31/pdfs/GEI-1810-49.pdf#page=4","Abrir facsímil")</f>
        <v>Abrir facsímil</v>
      </c>
      <c r="K1605" s="3" t="s">
        <v>76</v>
      </c>
    </row>
    <row r="1606" spans="1:11" ht="42" customHeight="1">
      <c r="A1606" s="2" t="s">
        <v>4541</v>
      </c>
      <c r="B1606" s="2" t="s">
        <v>4542</v>
      </c>
      <c r="C1606" s="2" t="s">
        <v>26</v>
      </c>
      <c r="D1606" s="2" t="s">
        <v>27</v>
      </c>
      <c r="E1606" s="4">
        <v>-32545</v>
      </c>
      <c r="F1606" s="3" t="s">
        <v>165</v>
      </c>
      <c r="G1606" s="3" t="s">
        <v>166</v>
      </c>
      <c r="H1606" s="2" t="s">
        <v>74</v>
      </c>
      <c r="I1606" s="2" t="s">
        <v>4543</v>
      </c>
      <c r="J1606" s="3" t="str">
        <f>HYPERLINK("https://www.boe.es/gazeta/dias/1810/11/22/pdfs/GEI-1810-98.pdf#page=8","Abrir facsímil")</f>
        <v>Abrir facsímil</v>
      </c>
      <c r="K1606" s="3" t="s">
        <v>76</v>
      </c>
    </row>
    <row r="1607" spans="1:11" ht="42" customHeight="1">
      <c r="A1607" s="2" t="s">
        <v>4544</v>
      </c>
      <c r="B1607" s="2" t="s">
        <v>4545</v>
      </c>
      <c r="C1607" s="2" t="s">
        <v>111</v>
      </c>
      <c r="D1607" s="2" t="s">
        <v>18</v>
      </c>
      <c r="E1607" s="4">
        <v>-32603</v>
      </c>
      <c r="F1607" s="3" t="s">
        <v>2163</v>
      </c>
      <c r="G1607" s="3" t="s">
        <v>29</v>
      </c>
      <c r="H1607" s="2" t="s">
        <v>74</v>
      </c>
      <c r="I1607" s="2" t="s">
        <v>4546</v>
      </c>
      <c r="J1607" s="3" t="str">
        <f>HYPERLINK("https://www.boe.es/gazeta/dias/1810/09/25/pdfs/GEI-1810-72.pdf#page=8","Abrir facsímil")</f>
        <v>Abrir facsímil</v>
      </c>
      <c r="K1607" s="3" t="s">
        <v>76</v>
      </c>
    </row>
    <row r="1608" spans="1:11" ht="42" customHeight="1">
      <c r="A1608" s="2" t="s">
        <v>4547</v>
      </c>
      <c r="B1608" s="2" t="s">
        <v>4548</v>
      </c>
      <c r="C1608" s="2" t="s">
        <v>26</v>
      </c>
      <c r="D1608" s="2" t="s">
        <v>39</v>
      </c>
      <c r="E1608" s="4">
        <v>-32702</v>
      </c>
      <c r="F1608" s="3" t="s">
        <v>179</v>
      </c>
      <c r="G1608" s="3" t="s">
        <v>517</v>
      </c>
      <c r="H1608" s="2" t="s">
        <v>74</v>
      </c>
      <c r="I1608" s="2" t="s">
        <v>4549</v>
      </c>
      <c r="J1608" s="3" t="str">
        <f>HYPERLINK("https://www.boe.es/gazeta/dias/1810/06/18/pdfs/GMD-C-1810-169.pdf#page=3","Abrir facsímil")</f>
        <v>Abrir facsímil</v>
      </c>
      <c r="K1608" s="3" t="s">
        <v>76</v>
      </c>
    </row>
    <row r="1609" spans="1:11" ht="42" customHeight="1">
      <c r="A1609" s="2" t="s">
        <v>4550</v>
      </c>
      <c r="B1609" s="2" t="s">
        <v>4551</v>
      </c>
      <c r="C1609" s="2" t="s">
        <v>195</v>
      </c>
      <c r="D1609" s="2" t="s">
        <v>27</v>
      </c>
      <c r="E1609" s="4">
        <v>-32562</v>
      </c>
      <c r="F1609" s="3" t="s">
        <v>1186</v>
      </c>
      <c r="G1609" s="3" t="s">
        <v>90</v>
      </c>
      <c r="H1609" s="2" t="s">
        <v>74</v>
      </c>
      <c r="I1609" s="2" t="s">
        <v>4552</v>
      </c>
      <c r="J1609" s="3" t="str">
        <f>HYPERLINK("https://www.boe.es/gazeta/dias/1810/11/05/pdfs/GMD-1810-309.pdf#page=3","Abrir facsímil")</f>
        <v>Abrir facsímil</v>
      </c>
      <c r="K1609" s="3" t="s">
        <v>76</v>
      </c>
    </row>
    <row r="1610" spans="1:11" ht="42" customHeight="1">
      <c r="A1610" s="2" t="s">
        <v>4553</v>
      </c>
      <c r="B1610" s="2" t="s">
        <v>4554</v>
      </c>
      <c r="C1610" s="2" t="s">
        <v>17</v>
      </c>
      <c r="D1610" s="2" t="s">
        <v>27</v>
      </c>
      <c r="E1610" s="4">
        <v>-32647</v>
      </c>
      <c r="F1610" s="3" t="s">
        <v>118</v>
      </c>
      <c r="G1610" s="3" t="s">
        <v>20</v>
      </c>
      <c r="H1610" s="2" t="s">
        <v>74</v>
      </c>
      <c r="I1610" s="2" t="s">
        <v>4555</v>
      </c>
      <c r="J1610" s="3" t="str">
        <f>HYPERLINK("https://www.boe.es/gazeta/dias/1810/08/12/pdfs/GMD-1810-224.pdf#page=4","Abrir facsímil")</f>
        <v>Abrir facsímil</v>
      </c>
      <c r="K1610" s="3" t="s">
        <v>76</v>
      </c>
    </row>
    <row r="1611" spans="1:11" ht="42" customHeight="1">
      <c r="A1611" s="2" t="s">
        <v>4556</v>
      </c>
      <c r="B1611" s="2" t="s">
        <v>4557</v>
      </c>
      <c r="C1611" s="2" t="s">
        <v>33</v>
      </c>
      <c r="D1611" s="2" t="s">
        <v>27</v>
      </c>
      <c r="E1611" s="4">
        <v>-32515</v>
      </c>
      <c r="F1611" s="3" t="s">
        <v>351</v>
      </c>
      <c r="G1611" s="3" t="s">
        <v>352</v>
      </c>
      <c r="H1611" s="2" t="s">
        <v>74</v>
      </c>
      <c r="I1611" s="2" t="s">
        <v>4558</v>
      </c>
      <c r="J1611" s="3" t="str">
        <f>HYPERLINK("https://www.boe.es/gazeta/dias/1810/12/22/pdfs/GEI-1810-111.pdf#page=8","Abrir facsímil")</f>
        <v>Abrir facsímil</v>
      </c>
      <c r="K1611" s="3" t="s">
        <v>76</v>
      </c>
    </row>
    <row r="1612" spans="1:11" ht="42" customHeight="1">
      <c r="A1612" s="2" t="s">
        <v>4559</v>
      </c>
      <c r="B1612" s="2" t="s">
        <v>4560</v>
      </c>
      <c r="C1612" s="2" t="s">
        <v>26</v>
      </c>
      <c r="D1612" s="2" t="s">
        <v>27</v>
      </c>
      <c r="E1612" s="4">
        <v>-32839</v>
      </c>
      <c r="F1612" s="3" t="s">
        <v>28</v>
      </c>
      <c r="G1612" s="3" t="s">
        <v>29</v>
      </c>
      <c r="H1612" s="2" t="s">
        <v>74</v>
      </c>
      <c r="I1612" s="2" t="s">
        <v>4561</v>
      </c>
      <c r="J1612" s="3" t="str">
        <f>HYPERLINK("https://www.boe.es/gazeta/dias/1810/02/01/pdfs/GMD-1810-32.pdf#page=3","Abrir facsímil")</f>
        <v>Abrir facsímil</v>
      </c>
      <c r="K1612" s="3" t="s">
        <v>76</v>
      </c>
    </row>
    <row r="1613" spans="1:11" ht="42" customHeight="1">
      <c r="A1613" s="2" t="s">
        <v>4562</v>
      </c>
      <c r="B1613" s="2" t="s">
        <v>4563</v>
      </c>
      <c r="C1613" s="2" t="s">
        <v>26</v>
      </c>
      <c r="D1613" s="2" t="s">
        <v>39</v>
      </c>
      <c r="E1613" s="4">
        <v>-32702</v>
      </c>
      <c r="F1613" s="3" t="s">
        <v>179</v>
      </c>
      <c r="G1613" s="3" t="s">
        <v>180</v>
      </c>
      <c r="H1613" s="2" t="s">
        <v>74</v>
      </c>
      <c r="I1613" s="2" t="s">
        <v>4564</v>
      </c>
      <c r="J1613" s="3" t="str">
        <f>HYPERLINK("https://www.boe.es/gazeta/dias/1810/06/18/pdfs/GMD-C-1810-169.pdf#page=2","Abrir facsímil")</f>
        <v>Abrir facsímil</v>
      </c>
      <c r="K1613" s="3" t="s">
        <v>76</v>
      </c>
    </row>
    <row r="1614" spans="1:11" ht="42" customHeight="1">
      <c r="A1614" s="2" t="s">
        <v>4565</v>
      </c>
      <c r="B1614" s="2" t="s">
        <v>4566</v>
      </c>
      <c r="C1614" s="2" t="s">
        <v>26</v>
      </c>
      <c r="D1614" s="2" t="s">
        <v>27</v>
      </c>
      <c r="E1614" s="4">
        <v>-32562</v>
      </c>
      <c r="F1614" s="3" t="s">
        <v>1186</v>
      </c>
      <c r="G1614" s="3" t="s">
        <v>29</v>
      </c>
      <c r="H1614" s="2" t="s">
        <v>74</v>
      </c>
      <c r="I1614" s="2" t="s">
        <v>4567</v>
      </c>
      <c r="J1614" s="3" t="str">
        <f>HYPERLINK("https://www.boe.es/gazeta/dias/1810/11/05/pdfs/GMD-1810-309.pdf#page=2","Abrir facsímil")</f>
        <v>Abrir facsímil</v>
      </c>
      <c r="K1614" s="3" t="s">
        <v>76</v>
      </c>
    </row>
    <row r="1615" spans="1:11" ht="42" customHeight="1">
      <c r="A1615" s="2" t="s">
        <v>4568</v>
      </c>
      <c r="B1615" s="2" t="s">
        <v>4569</v>
      </c>
      <c r="C1615" s="2" t="s">
        <v>26</v>
      </c>
      <c r="D1615" s="2" t="s">
        <v>39</v>
      </c>
      <c r="E1615" s="4">
        <v>-32661</v>
      </c>
      <c r="F1615" s="3" t="s">
        <v>157</v>
      </c>
      <c r="G1615" s="3" t="s">
        <v>592</v>
      </c>
      <c r="H1615" s="2" t="s">
        <v>74</v>
      </c>
      <c r="I1615" s="2" t="s">
        <v>4570</v>
      </c>
      <c r="J1615" s="3" t="str">
        <f>HYPERLINK("https://www.boe.es/gazeta/dias/1810/07/29/pdfs/GMD-C-1810-210.pdf#page=2","Abrir facsímil")</f>
        <v>Abrir facsímil</v>
      </c>
      <c r="K1615" s="3" t="s">
        <v>76</v>
      </c>
    </row>
    <row r="1616" spans="1:11" ht="42" customHeight="1">
      <c r="A1616" s="2" t="s">
        <v>4571</v>
      </c>
      <c r="B1616" s="2" t="s">
        <v>4572</v>
      </c>
      <c r="C1616" s="2" t="s">
        <v>26</v>
      </c>
      <c r="D1616" s="2" t="s">
        <v>27</v>
      </c>
      <c r="E1616" s="4">
        <v>-32729</v>
      </c>
      <c r="F1616" s="3" t="s">
        <v>174</v>
      </c>
      <c r="G1616" s="3" t="s">
        <v>70</v>
      </c>
      <c r="H1616" s="2" t="s">
        <v>74</v>
      </c>
      <c r="I1616" s="2" t="s">
        <v>4573</v>
      </c>
      <c r="J1616" s="3" t="str">
        <f>HYPERLINK("https://www.boe.es/gazeta/dias/1810/05/22/pdfs/GEI-1810-28.pdf#page=7","Abrir facsímil")</f>
        <v>Abrir facsímil</v>
      </c>
      <c r="K1616" s="3" t="s">
        <v>76</v>
      </c>
    </row>
    <row r="1617" spans="1:11" ht="42" customHeight="1">
      <c r="A1617" s="2" t="s">
        <v>4574</v>
      </c>
      <c r="B1617" s="2" t="s">
        <v>4575</v>
      </c>
      <c r="C1617" s="2" t="s">
        <v>17</v>
      </c>
      <c r="D1617" s="2" t="s">
        <v>27</v>
      </c>
      <c r="E1617" s="4">
        <v>-32704</v>
      </c>
      <c r="F1617" s="3" t="s">
        <v>94</v>
      </c>
      <c r="G1617" s="3" t="s">
        <v>20</v>
      </c>
      <c r="H1617" s="2" t="s">
        <v>74</v>
      </c>
      <c r="I1617" s="2" t="s">
        <v>4576</v>
      </c>
      <c r="J1617" s="3" t="str">
        <f>HYPERLINK("https://www.boe.es/gazeta/dias/1810/06/16/pdfs/GMD-1810-167.pdf#page=4","Abrir facsímil")</f>
        <v>Abrir facsímil</v>
      </c>
      <c r="K1617" s="3" t="s">
        <v>76</v>
      </c>
    </row>
    <row r="1618" spans="1:11" ht="42" customHeight="1">
      <c r="A1618" s="2" t="s">
        <v>4577</v>
      </c>
      <c r="B1618" s="2" t="s">
        <v>4578</v>
      </c>
      <c r="C1618" s="2" t="s">
        <v>26</v>
      </c>
      <c r="D1618" s="2" t="s">
        <v>27</v>
      </c>
      <c r="E1618" s="4">
        <v>-32526</v>
      </c>
      <c r="F1618" s="3" t="s">
        <v>530</v>
      </c>
      <c r="G1618" s="3" t="s">
        <v>531</v>
      </c>
      <c r="H1618" s="2" t="s">
        <v>74</v>
      </c>
      <c r="I1618" s="2" t="s">
        <v>4579</v>
      </c>
      <c r="J1618" s="3" t="str">
        <f>HYPERLINK("https://www.boe.es/gazeta/dias/1810/12/11/pdfs/GEI-1810-106.pdf#page=2","Abrir facsímil")</f>
        <v>Abrir facsímil</v>
      </c>
      <c r="K1618" s="3" t="s">
        <v>76</v>
      </c>
    </row>
    <row r="1619" spans="1:11" ht="42" customHeight="1">
      <c r="A1619" s="2" t="s">
        <v>4580</v>
      </c>
      <c r="B1619" s="2" t="s">
        <v>4581</v>
      </c>
      <c r="C1619" s="2" t="s">
        <v>26</v>
      </c>
      <c r="D1619" s="2" t="s">
        <v>27</v>
      </c>
      <c r="E1619" s="4">
        <v>-32735</v>
      </c>
      <c r="F1619" s="3" t="s">
        <v>612</v>
      </c>
      <c r="G1619" s="3" t="s">
        <v>359</v>
      </c>
      <c r="H1619" s="2" t="s">
        <v>74</v>
      </c>
      <c r="I1619" s="2" t="s">
        <v>4582</v>
      </c>
      <c r="J1619" s="3" t="str">
        <f>HYPERLINK("https://www.boe.es/gazeta/dias/1810/05/16/pdfs/GMD-1810-136.pdf#page=3","Abrir facsímil")</f>
        <v>Abrir facsímil</v>
      </c>
      <c r="K1619" s="3" t="s">
        <v>76</v>
      </c>
    </row>
    <row r="1620" spans="1:11" ht="42" customHeight="1">
      <c r="A1620" s="2" t="s">
        <v>4583</v>
      </c>
      <c r="B1620" s="2" t="s">
        <v>4584</v>
      </c>
      <c r="C1620" s="2" t="s">
        <v>26</v>
      </c>
      <c r="D1620" s="2" t="s">
        <v>27</v>
      </c>
      <c r="E1620" s="4">
        <v>-32729</v>
      </c>
      <c r="F1620" s="3" t="s">
        <v>174</v>
      </c>
      <c r="G1620" s="3" t="s">
        <v>70</v>
      </c>
      <c r="H1620" s="2" t="s">
        <v>74</v>
      </c>
      <c r="I1620" s="2" t="s">
        <v>4585</v>
      </c>
      <c r="J1620" s="3" t="str">
        <f>HYPERLINK("https://www.boe.es/gazeta/dias/1810/05/22/pdfs/GEI-1810-28.pdf#page=7","Abrir facsímil")</f>
        <v>Abrir facsímil</v>
      </c>
      <c r="K1620" s="3" t="s">
        <v>76</v>
      </c>
    </row>
    <row r="1621" spans="1:11" ht="42" customHeight="1">
      <c r="A1621" s="2" t="s">
        <v>4586</v>
      </c>
      <c r="B1621" s="2" t="s">
        <v>4587</v>
      </c>
      <c r="C1621" s="2" t="s">
        <v>88</v>
      </c>
      <c r="D1621" s="2" t="s">
        <v>117</v>
      </c>
      <c r="E1621" s="4">
        <v>-32768</v>
      </c>
      <c r="F1621" s="3" t="s">
        <v>1930</v>
      </c>
      <c r="G1621" s="3" t="s">
        <v>1931</v>
      </c>
      <c r="H1621" s="2" t="s">
        <v>74</v>
      </c>
      <c r="I1621" s="2" t="s">
        <v>4588</v>
      </c>
      <c r="J1621" s="3" t="str">
        <f>HYPERLINK("https://www.boe.es/gazeta/dias/1810/04/13/pdfs/GEI-1810-14.pdf#page=11","Abrir facsímil")</f>
        <v>Abrir facsímil</v>
      </c>
      <c r="K1621" s="3" t="s">
        <v>76</v>
      </c>
    </row>
    <row r="1622" spans="1:11" ht="42" customHeight="1">
      <c r="A1622" s="2" t="s">
        <v>4589</v>
      </c>
      <c r="B1622" s="2" t="s">
        <v>4590</v>
      </c>
      <c r="C1622" s="2" t="s">
        <v>88</v>
      </c>
      <c r="D1622" s="2" t="s">
        <v>117</v>
      </c>
      <c r="E1622" s="4">
        <v>-32705</v>
      </c>
      <c r="F1622" s="3" t="s">
        <v>678</v>
      </c>
      <c r="G1622" s="3" t="s">
        <v>4591</v>
      </c>
      <c r="H1622" s="2" t="s">
        <v>74</v>
      </c>
      <c r="I1622" s="2" t="s">
        <v>4592</v>
      </c>
      <c r="J1622" s="3" t="str">
        <f>HYPERLINK("https://www.boe.es/gazeta/dias/1810/06/15/pdfs/GEI-1810-36.pdf#page=4","Abrir facsímil")</f>
        <v>Abrir facsímil</v>
      </c>
      <c r="K1622" s="3" t="s">
        <v>76</v>
      </c>
    </row>
    <row r="1623" spans="1:11" ht="42" customHeight="1">
      <c r="A1623" s="2" t="s">
        <v>4593</v>
      </c>
      <c r="B1623" s="2" t="s">
        <v>4594</v>
      </c>
      <c r="C1623" s="2" t="s">
        <v>26</v>
      </c>
      <c r="D1623" s="2" t="s">
        <v>39</v>
      </c>
      <c r="E1623" s="4">
        <v>-32661</v>
      </c>
      <c r="F1623" s="3" t="s">
        <v>157</v>
      </c>
      <c r="G1623" s="3" t="s">
        <v>158</v>
      </c>
      <c r="H1623" s="2" t="s">
        <v>74</v>
      </c>
      <c r="I1623" s="2" t="s">
        <v>4595</v>
      </c>
      <c r="J1623" s="3" t="str">
        <f>HYPERLINK("https://www.boe.es/gazeta/dias/1810/07/29/pdfs/GMD-C-1810-210.pdf#page=1","Abrir facsímil")</f>
        <v>Abrir facsímil</v>
      </c>
      <c r="K1623" s="3" t="s">
        <v>76</v>
      </c>
    </row>
    <row r="1624" spans="1:11" ht="42" customHeight="1">
      <c r="A1624" s="2" t="s">
        <v>4596</v>
      </c>
      <c r="B1624" s="2" t="s">
        <v>4597</v>
      </c>
      <c r="C1624" s="2" t="s">
        <v>225</v>
      </c>
      <c r="D1624" s="2" t="s">
        <v>18</v>
      </c>
      <c r="E1624" s="4">
        <v>-32509</v>
      </c>
      <c r="F1624" s="3" t="s">
        <v>212</v>
      </c>
      <c r="G1624" s="3" t="s">
        <v>213</v>
      </c>
      <c r="H1624" s="2" t="s">
        <v>74</v>
      </c>
      <c r="I1624" s="2" t="s">
        <v>4598</v>
      </c>
      <c r="J1624" s="3" t="str">
        <f>HYPERLINK("https://www.boe.es/gazeta/dias/1810/12/28/pdfs/GMD-1810-362.pdf#page=4","Abrir facsímil")</f>
        <v>Abrir facsímil</v>
      </c>
      <c r="K1624" s="3" t="s">
        <v>76</v>
      </c>
    </row>
    <row r="1625" spans="1:11" ht="42" customHeight="1">
      <c r="A1625" s="2" t="s">
        <v>4599</v>
      </c>
      <c r="B1625" s="2" t="s">
        <v>4600</v>
      </c>
      <c r="C1625" s="2" t="s">
        <v>88</v>
      </c>
      <c r="D1625" s="2" t="s">
        <v>27</v>
      </c>
      <c r="E1625" s="4">
        <v>-32603</v>
      </c>
      <c r="F1625" s="3" t="s">
        <v>2163</v>
      </c>
      <c r="G1625" s="3" t="s">
        <v>4601</v>
      </c>
      <c r="H1625" s="2" t="s">
        <v>74</v>
      </c>
      <c r="I1625" s="2" t="s">
        <v>4602</v>
      </c>
      <c r="J1625" s="3" t="str">
        <f>HYPERLINK("https://www.boe.es/gazeta/dias/1810/09/25/pdfs/GEI-1810-72.pdf#page=7","Abrir facsímil")</f>
        <v>Abrir facsímil</v>
      </c>
      <c r="K1625" s="3" t="s">
        <v>76</v>
      </c>
    </row>
    <row r="1626" spans="1:11" ht="42" customHeight="1">
      <c r="A1626" s="2" t="s">
        <v>4603</v>
      </c>
      <c r="B1626" s="2" t="s">
        <v>4604</v>
      </c>
      <c r="C1626" s="2" t="s">
        <v>111</v>
      </c>
      <c r="D1626" s="2" t="s">
        <v>27</v>
      </c>
      <c r="E1626" s="4">
        <v>-32684</v>
      </c>
      <c r="F1626" s="3" t="s">
        <v>1373</v>
      </c>
      <c r="G1626" s="3" t="s">
        <v>1374</v>
      </c>
      <c r="H1626" s="2" t="s">
        <v>74</v>
      </c>
      <c r="I1626" s="2" t="s">
        <v>4605</v>
      </c>
      <c r="J1626" s="3" t="str">
        <f>HYPERLINK("https://www.boe.es/gazeta/dias/1810/07/06/pdfs/GEI-1810-42.pdf#page=8","Abrir facsímil")</f>
        <v>Abrir facsímil</v>
      </c>
      <c r="K1626" s="3" t="s">
        <v>76</v>
      </c>
    </row>
    <row r="1627" spans="1:11" ht="42" customHeight="1">
      <c r="A1627" s="2" t="s">
        <v>4606</v>
      </c>
      <c r="B1627" s="2" t="s">
        <v>4606</v>
      </c>
      <c r="C1627" s="2" t="s">
        <v>88</v>
      </c>
      <c r="D1627" s="2" t="s">
        <v>117</v>
      </c>
      <c r="E1627" s="4">
        <v>-32587</v>
      </c>
      <c r="F1627" s="3" t="s">
        <v>103</v>
      </c>
      <c r="G1627" s="3" t="s">
        <v>4607</v>
      </c>
      <c r="H1627" s="2" t="s">
        <v>74</v>
      </c>
      <c r="I1627" s="2" t="s">
        <v>4608</v>
      </c>
      <c r="J1627" s="3" t="str">
        <f>HYPERLINK("https://www.boe.es/gazeta/dias/1810/10/11/pdfs/GEI-1810-80.pdf#page=1","Abrir facsímil")</f>
        <v>Abrir facsímil</v>
      </c>
      <c r="K1627" s="3" t="s">
        <v>76</v>
      </c>
    </row>
    <row r="1628" spans="1:11" ht="42" customHeight="1">
      <c r="A1628" s="2" t="s">
        <v>4609</v>
      </c>
      <c r="B1628" s="2" t="s">
        <v>4610</v>
      </c>
      <c r="C1628" s="2" t="s">
        <v>26</v>
      </c>
      <c r="D1628" s="2" t="s">
        <v>18</v>
      </c>
      <c r="E1628" s="4">
        <v>-32654</v>
      </c>
      <c r="F1628" s="3" t="s">
        <v>1226</v>
      </c>
      <c r="G1628" s="3" t="s">
        <v>732</v>
      </c>
      <c r="H1628" s="2" t="s">
        <v>74</v>
      </c>
      <c r="I1628" s="2" t="s">
        <v>4611</v>
      </c>
      <c r="J1628" s="3" t="str">
        <f>HYPERLINK("https://www.boe.es/gazeta/dias/1810/08/05/pdfs/GMD-1810-217.pdf#page=3","Abrir facsímil")</f>
        <v>Abrir facsímil</v>
      </c>
      <c r="K1628" s="3" t="s">
        <v>76</v>
      </c>
    </row>
    <row r="1629" spans="1:11" ht="42" customHeight="1">
      <c r="A1629" s="2" t="s">
        <v>4612</v>
      </c>
      <c r="B1629" s="2" t="s">
        <v>4613</v>
      </c>
      <c r="C1629" s="2" t="s">
        <v>195</v>
      </c>
      <c r="D1629" s="2" t="s">
        <v>27</v>
      </c>
      <c r="E1629" s="4">
        <v>-32741</v>
      </c>
      <c r="F1629" s="3" t="s">
        <v>98</v>
      </c>
      <c r="G1629" s="3" t="s">
        <v>90</v>
      </c>
      <c r="H1629" s="2" t="s">
        <v>74</v>
      </c>
      <c r="I1629" s="2" t="s">
        <v>4614</v>
      </c>
      <c r="J1629" s="3" t="str">
        <f>HYPERLINK("https://www.boe.es/gazeta/dias/1810/05/10/pdfs/GMD-1810-130.pdf#page=4","Abrir facsímil")</f>
        <v>Abrir facsímil</v>
      </c>
      <c r="K1629" s="3" t="s">
        <v>76</v>
      </c>
    </row>
    <row r="1630" spans="1:11" ht="42" customHeight="1">
      <c r="A1630" s="2" t="s">
        <v>4615</v>
      </c>
      <c r="B1630" s="2" t="s">
        <v>4616</v>
      </c>
      <c r="C1630" s="2" t="s">
        <v>26</v>
      </c>
      <c r="D1630" s="2" t="s">
        <v>27</v>
      </c>
      <c r="E1630" s="4">
        <v>-32621</v>
      </c>
      <c r="F1630" s="3" t="s">
        <v>674</v>
      </c>
      <c r="G1630" s="3" t="s">
        <v>235</v>
      </c>
      <c r="H1630" s="2" t="s">
        <v>74</v>
      </c>
      <c r="I1630" s="2" t="s">
        <v>4617</v>
      </c>
      <c r="J1630" s="3" t="str">
        <f>HYPERLINK("https://www.boe.es/gazeta/dias/1810/09/07/pdfs/GEI-1810-65.pdf#page=7","Abrir facsímil")</f>
        <v>Abrir facsímil</v>
      </c>
      <c r="K1630" s="3" t="s">
        <v>76</v>
      </c>
    </row>
    <row r="1631" spans="1:11" ht="42" customHeight="1">
      <c r="A1631" s="2" t="s">
        <v>4618</v>
      </c>
      <c r="B1631" s="2" t="s">
        <v>4619</v>
      </c>
      <c r="C1631" s="2" t="s">
        <v>26</v>
      </c>
      <c r="D1631" s="2" t="s">
        <v>58</v>
      </c>
      <c r="E1631" s="4">
        <v>-32651</v>
      </c>
      <c r="F1631" s="3" t="s">
        <v>59</v>
      </c>
      <c r="G1631" s="3" t="s">
        <v>60</v>
      </c>
      <c r="H1631" s="2" t="s">
        <v>74</v>
      </c>
      <c r="I1631" s="2" t="s">
        <v>4620</v>
      </c>
      <c r="J1631" s="3" t="str">
        <f>HYPERLINK("https://www.boe.es/gazeta/dias/1810/08/08/pdfs/GEI-1810-53E.pdf#page=3","Abrir facsímil")</f>
        <v>Abrir facsímil</v>
      </c>
      <c r="K1631" s="3" t="s">
        <v>76</v>
      </c>
    </row>
    <row r="1632" spans="1:11" ht="42" customHeight="1">
      <c r="A1632" s="2" t="s">
        <v>4621</v>
      </c>
      <c r="B1632" s="2" t="s">
        <v>4622</v>
      </c>
      <c r="C1632" s="2" t="s">
        <v>26</v>
      </c>
      <c r="D1632" s="2" t="s">
        <v>27</v>
      </c>
      <c r="E1632" s="4">
        <v>-32682</v>
      </c>
      <c r="F1632" s="3" t="s">
        <v>4623</v>
      </c>
      <c r="G1632" s="3" t="s">
        <v>113</v>
      </c>
      <c r="H1632" s="2" t="s">
        <v>74</v>
      </c>
      <c r="I1632" s="2" t="s">
        <v>4624</v>
      </c>
      <c r="J1632" s="3" t="str">
        <f>HYPERLINK("https://www.boe.es/gazeta/dias/1810/07/08/pdfs/GMD-1810-189.pdf#page=4","Abrir facsímil")</f>
        <v>Abrir facsímil</v>
      </c>
      <c r="K1632" s="3" t="s">
        <v>76</v>
      </c>
    </row>
    <row r="1633" spans="1:11" ht="42" customHeight="1">
      <c r="A1633" s="2" t="s">
        <v>4625</v>
      </c>
      <c r="B1633" s="2" t="s">
        <v>4626</v>
      </c>
      <c r="C1633" s="2" t="s">
        <v>26</v>
      </c>
      <c r="D1633" s="2" t="s">
        <v>27</v>
      </c>
      <c r="E1633" s="4">
        <v>-32704</v>
      </c>
      <c r="F1633" s="3" t="s">
        <v>94</v>
      </c>
      <c r="G1633" s="3" t="s">
        <v>20</v>
      </c>
      <c r="H1633" s="2" t="s">
        <v>74</v>
      </c>
      <c r="I1633" s="2" t="s">
        <v>4627</v>
      </c>
      <c r="J1633" s="3" t="str">
        <f>HYPERLINK("https://www.boe.es/gazeta/dias/1810/06/16/pdfs/GMD-1810-167.pdf#page=4","Abrir facsímil")</f>
        <v>Abrir facsímil</v>
      </c>
      <c r="K1633" s="3" t="s">
        <v>76</v>
      </c>
    </row>
    <row r="1634" spans="1:11" ht="42" customHeight="1">
      <c r="A1634" s="2" t="s">
        <v>4628</v>
      </c>
      <c r="B1634" s="2" t="s">
        <v>4629</v>
      </c>
      <c r="C1634" s="2" t="s">
        <v>33</v>
      </c>
      <c r="D1634" s="2" t="s">
        <v>58</v>
      </c>
      <c r="E1634" s="4">
        <v>-32601</v>
      </c>
      <c r="F1634" s="3" t="s">
        <v>392</v>
      </c>
      <c r="G1634" s="3" t="s">
        <v>35</v>
      </c>
      <c r="H1634" s="2" t="s">
        <v>74</v>
      </c>
      <c r="I1634" s="2" t="s">
        <v>4630</v>
      </c>
      <c r="J1634" s="3" t="str">
        <f>HYPERLINK("https://www.boe.es/gazeta/dias/1810/09/27/pdfs/GEI-1810-74E.pdf#page=2","Abrir facsímil")</f>
        <v>Abrir facsímil</v>
      </c>
      <c r="K1634" s="3" t="s">
        <v>76</v>
      </c>
    </row>
    <row r="1635" spans="1:11" ht="42" customHeight="1">
      <c r="A1635" s="2" t="s">
        <v>4631</v>
      </c>
      <c r="B1635" s="2" t="s">
        <v>4632</v>
      </c>
      <c r="C1635" s="2" t="s">
        <v>33</v>
      </c>
      <c r="D1635" s="2" t="s">
        <v>27</v>
      </c>
      <c r="E1635" s="4">
        <v>-32707</v>
      </c>
      <c r="F1635" s="3" t="s">
        <v>1753</v>
      </c>
      <c r="G1635" s="3" t="s">
        <v>227</v>
      </c>
      <c r="H1635" s="2" t="s">
        <v>74</v>
      </c>
      <c r="I1635" s="2" t="s">
        <v>4633</v>
      </c>
      <c r="J1635" s="3" t="str">
        <f>HYPERLINK("https://www.boe.es/gazeta/dias/1810/06/13/pdfs/GMD-1810-164.pdf#page=4","Abrir facsímil")</f>
        <v>Abrir facsímil</v>
      </c>
      <c r="K1635" s="3" t="s">
        <v>76</v>
      </c>
    </row>
    <row r="1636" spans="1:11" ht="42" customHeight="1">
      <c r="A1636" s="2" t="s">
        <v>4634</v>
      </c>
      <c r="B1636" s="2" t="s">
        <v>4634</v>
      </c>
      <c r="C1636" s="2" t="s">
        <v>88</v>
      </c>
      <c r="D1636" s="2" t="s">
        <v>18</v>
      </c>
      <c r="E1636" s="4">
        <v>-32589</v>
      </c>
      <c r="F1636" s="3" t="s">
        <v>3026</v>
      </c>
      <c r="G1636" s="3" t="s">
        <v>1894</v>
      </c>
      <c r="H1636" s="2" t="s">
        <v>74</v>
      </c>
      <c r="I1636" s="2" t="s">
        <v>4635</v>
      </c>
      <c r="J1636" s="3" t="str">
        <f>HYPERLINK("https://www.boe.es/gazeta/dias/1810/10/09/pdfs/GEI-1810-79.pdf#page=3","Abrir facsímil")</f>
        <v>Abrir facsímil</v>
      </c>
      <c r="K1636" s="3" t="s">
        <v>76</v>
      </c>
    </row>
    <row r="1637" spans="1:11" ht="42" customHeight="1">
      <c r="A1637" s="2" t="s">
        <v>4636</v>
      </c>
      <c r="B1637" s="2" t="s">
        <v>4637</v>
      </c>
      <c r="C1637" s="2" t="s">
        <v>26</v>
      </c>
      <c r="D1637" s="2" t="s">
        <v>27</v>
      </c>
      <c r="E1637" s="4">
        <v>-32684</v>
      </c>
      <c r="F1637" s="3" t="s">
        <v>1373</v>
      </c>
      <c r="G1637" s="3" t="s">
        <v>1374</v>
      </c>
      <c r="H1637" s="2" t="s">
        <v>74</v>
      </c>
      <c r="I1637" s="2" t="s">
        <v>4638</v>
      </c>
      <c r="J1637" s="3" t="str">
        <f>HYPERLINK("https://www.boe.es/gazeta/dias/1810/07/06/pdfs/GEI-1810-42.pdf#page=8","Abrir facsímil")</f>
        <v>Abrir facsímil</v>
      </c>
      <c r="K1637" s="3" t="s">
        <v>76</v>
      </c>
    </row>
    <row r="1638" spans="1:11" ht="42" customHeight="1">
      <c r="A1638" s="2" t="s">
        <v>4639</v>
      </c>
      <c r="B1638" s="2" t="s">
        <v>4640</v>
      </c>
      <c r="C1638" s="2" t="s">
        <v>88</v>
      </c>
      <c r="D1638" s="2" t="s">
        <v>27</v>
      </c>
      <c r="E1638" s="4">
        <v>-32782</v>
      </c>
      <c r="F1638" s="3" t="s">
        <v>79</v>
      </c>
      <c r="G1638" s="3" t="s">
        <v>80</v>
      </c>
      <c r="H1638" s="2" t="s">
        <v>74</v>
      </c>
      <c r="I1638" s="2" t="s">
        <v>4641</v>
      </c>
      <c r="J1638" s="3" t="str">
        <f>HYPERLINK("https://www.boe.es/gazeta/dias/1810/03/30/pdfs/GEI-1810-9.pdf#page=7","Abrir facsímil")</f>
        <v>Abrir facsímil</v>
      </c>
      <c r="K1638" s="3" t="s">
        <v>76</v>
      </c>
    </row>
    <row r="1639" spans="1:11" ht="42" customHeight="1">
      <c r="A1639" s="2" t="s">
        <v>4642</v>
      </c>
      <c r="B1639" s="2" t="s">
        <v>4642</v>
      </c>
      <c r="C1639" s="2" t="s">
        <v>88</v>
      </c>
      <c r="D1639" s="2" t="s">
        <v>27</v>
      </c>
      <c r="E1639" s="4">
        <v>-32656</v>
      </c>
      <c r="F1639" s="3" t="s">
        <v>4643</v>
      </c>
      <c r="G1639" s="3" t="s">
        <v>29</v>
      </c>
      <c r="H1639" s="2" t="s">
        <v>74</v>
      </c>
      <c r="I1639" s="2" t="s">
        <v>4644</v>
      </c>
      <c r="J1639" s="3" t="str">
        <f>HYPERLINK("https://www.boe.es/gazeta/dias/1810/08/03/pdfs/GMD-1810-215.pdf#page=2","Abrir facsímil")</f>
        <v>Abrir facsímil</v>
      </c>
      <c r="K1639" s="3" t="s">
        <v>76</v>
      </c>
    </row>
    <row r="1640" spans="1:11" ht="42" customHeight="1">
      <c r="A1640" s="2" t="s">
        <v>4645</v>
      </c>
      <c r="B1640" s="2" t="s">
        <v>4646</v>
      </c>
      <c r="C1640" s="2" t="s">
        <v>88</v>
      </c>
      <c r="D1640" s="2" t="s">
        <v>27</v>
      </c>
      <c r="E1640" s="4">
        <v>-32575</v>
      </c>
      <c r="F1640" s="3" t="s">
        <v>135</v>
      </c>
      <c r="G1640" s="3" t="s">
        <v>2560</v>
      </c>
      <c r="H1640" s="2" t="s">
        <v>74</v>
      </c>
      <c r="I1640" s="2" t="s">
        <v>4647</v>
      </c>
      <c r="J1640" s="3" t="str">
        <f>HYPERLINK("https://www.boe.es/gazeta/dias/1810/10/23/pdfs/GEI-1810-85.pdf#page=5","Abrir facsímil")</f>
        <v>Abrir facsímil</v>
      </c>
      <c r="K1640" s="3" t="s">
        <v>76</v>
      </c>
    </row>
    <row r="1641" spans="1:11" ht="42" customHeight="1">
      <c r="A1641" s="2" t="s">
        <v>4645</v>
      </c>
      <c r="B1641" s="2" t="s">
        <v>4646</v>
      </c>
      <c r="C1641" s="2" t="s">
        <v>88</v>
      </c>
      <c r="D1641" s="2" t="s">
        <v>27</v>
      </c>
      <c r="E1641" s="4">
        <v>-32575</v>
      </c>
      <c r="F1641" s="3" t="s">
        <v>135</v>
      </c>
      <c r="G1641" s="3" t="s">
        <v>1408</v>
      </c>
      <c r="H1641" s="2" t="s">
        <v>74</v>
      </c>
      <c r="I1641" s="2" t="s">
        <v>4648</v>
      </c>
      <c r="J1641" s="3" t="str">
        <f>HYPERLINK("https://www.boe.es/gazeta/dias/1810/10/23/pdfs/GEI-1810-85.pdf#page=6","Abrir facsímil")</f>
        <v>Abrir facsímil</v>
      </c>
      <c r="K1641" s="3" t="s">
        <v>76</v>
      </c>
    </row>
    <row r="1642" spans="1:11" ht="42" customHeight="1">
      <c r="A1642" s="2" t="s">
        <v>4649</v>
      </c>
      <c r="B1642" s="2" t="s">
        <v>4650</v>
      </c>
      <c r="C1642" s="2" t="s">
        <v>88</v>
      </c>
      <c r="D1642" s="2" t="s">
        <v>27</v>
      </c>
      <c r="E1642" s="4">
        <v>-32608</v>
      </c>
      <c r="F1642" s="3" t="s">
        <v>781</v>
      </c>
      <c r="G1642" s="3" t="s">
        <v>2504</v>
      </c>
      <c r="H1642" s="2" t="s">
        <v>74</v>
      </c>
      <c r="I1642" s="2" t="s">
        <v>4651</v>
      </c>
      <c r="J1642" s="3" t="str">
        <f>HYPERLINK("https://www.boe.es/gazeta/dias/1810/09/20/pdfs/GEI-1810-70.pdf#page=1","Abrir facsímil")</f>
        <v>Abrir facsímil</v>
      </c>
      <c r="K1642" s="3" t="s">
        <v>76</v>
      </c>
    </row>
    <row r="1643" spans="1:11" ht="42" customHeight="1">
      <c r="A1643" s="2" t="s">
        <v>4652</v>
      </c>
      <c r="B1643" s="2" t="s">
        <v>4652</v>
      </c>
      <c r="C1643" s="2" t="s">
        <v>88</v>
      </c>
      <c r="D1643" s="2" t="s">
        <v>27</v>
      </c>
      <c r="E1643" s="4">
        <v>-32639</v>
      </c>
      <c r="F1643" s="3" t="s">
        <v>3411</v>
      </c>
      <c r="G1643" s="3" t="s">
        <v>3412</v>
      </c>
      <c r="H1643" s="2" t="s">
        <v>74</v>
      </c>
      <c r="I1643" s="2" t="s">
        <v>4653</v>
      </c>
      <c r="J1643" s="3" t="str">
        <f>HYPERLINK("https://www.boe.es/gazeta/dias/1810/08/20/pdfs/GMD-1810-232.pdf#page=4","Abrir facsímil")</f>
        <v>Abrir facsímil</v>
      </c>
      <c r="K1643" s="3" t="s">
        <v>76</v>
      </c>
    </row>
    <row r="1644" spans="1:11" ht="42" customHeight="1">
      <c r="A1644" s="2" t="s">
        <v>4654</v>
      </c>
      <c r="B1644" s="2" t="s">
        <v>4654</v>
      </c>
      <c r="C1644" s="2" t="s">
        <v>26</v>
      </c>
      <c r="D1644" s="2" t="s">
        <v>27</v>
      </c>
      <c r="E1644" s="4">
        <v>-32655</v>
      </c>
      <c r="F1644" s="3" t="s">
        <v>1040</v>
      </c>
      <c r="G1644" s="3" t="s">
        <v>180</v>
      </c>
      <c r="H1644" s="2" t="s">
        <v>74</v>
      </c>
      <c r="I1644" s="2" t="s">
        <v>4655</v>
      </c>
      <c r="J1644" s="3" t="str">
        <f>HYPERLINK("https://www.boe.es/gazeta/dias/1810/08/04/pdfs/GMD-1810-216.pdf#page=3","Abrir facsímil")</f>
        <v>Abrir facsímil</v>
      </c>
      <c r="K1644" s="3" t="s">
        <v>76</v>
      </c>
    </row>
    <row r="1645" spans="1:11" ht="42" customHeight="1">
      <c r="A1645" s="2" t="s">
        <v>4656</v>
      </c>
      <c r="B1645" s="2" t="s">
        <v>4657</v>
      </c>
      <c r="C1645" s="2" t="s">
        <v>33</v>
      </c>
      <c r="D1645" s="2" t="s">
        <v>58</v>
      </c>
      <c r="E1645" s="4">
        <v>-32601</v>
      </c>
      <c r="F1645" s="3" t="s">
        <v>392</v>
      </c>
      <c r="G1645" s="3" t="s">
        <v>1430</v>
      </c>
      <c r="H1645" s="2" t="s">
        <v>74</v>
      </c>
      <c r="I1645" s="2" t="s">
        <v>4658</v>
      </c>
      <c r="J1645" s="3" t="str">
        <f>HYPERLINK("https://www.boe.es/gazeta/dias/1810/09/27/pdfs/GEI-1810-74E.pdf#page=3","Abrir facsímil")</f>
        <v>Abrir facsímil</v>
      </c>
      <c r="K1645" s="3" t="s">
        <v>76</v>
      </c>
    </row>
    <row r="1646" spans="1:11" ht="42" customHeight="1">
      <c r="A1646" s="2" t="s">
        <v>4659</v>
      </c>
      <c r="B1646" s="2" t="s">
        <v>4660</v>
      </c>
      <c r="C1646" s="2" t="s">
        <v>26</v>
      </c>
      <c r="D1646" s="2" t="s">
        <v>58</v>
      </c>
      <c r="E1646" s="4">
        <v>-32601</v>
      </c>
      <c r="F1646" s="3" t="s">
        <v>392</v>
      </c>
      <c r="G1646" s="3" t="s">
        <v>35</v>
      </c>
      <c r="H1646" s="2" t="s">
        <v>74</v>
      </c>
      <c r="I1646" s="2" t="s">
        <v>4661</v>
      </c>
      <c r="J1646" s="3" t="str">
        <f>HYPERLINK("https://www.boe.es/gazeta/dias/1810/09/27/pdfs/GEI-1810-74E.pdf#page=2","Abrir facsímil")</f>
        <v>Abrir facsímil</v>
      </c>
      <c r="K1646" s="3" t="s">
        <v>76</v>
      </c>
    </row>
    <row r="1647" spans="1:11" ht="42" customHeight="1">
      <c r="A1647" s="2" t="s">
        <v>4662</v>
      </c>
      <c r="B1647" s="2" t="s">
        <v>4662</v>
      </c>
      <c r="C1647" s="2" t="s">
        <v>317</v>
      </c>
      <c r="D1647" s="2" t="s">
        <v>220</v>
      </c>
      <c r="E1647" s="4">
        <v>-32565</v>
      </c>
      <c r="F1647" s="3" t="s">
        <v>743</v>
      </c>
      <c r="G1647" s="3" t="s">
        <v>915</v>
      </c>
      <c r="H1647" s="2" t="s">
        <v>74</v>
      </c>
      <c r="I1647" s="2" t="s">
        <v>4663</v>
      </c>
      <c r="J1647" s="3" t="str">
        <f>HYPERLINK("https://www.boe.es/gazeta/dias/1810/11/02/pdfs/GMD-1810-306.pdf#page=1","Abrir facsímil")</f>
        <v>Abrir facsímil</v>
      </c>
      <c r="K1647" s="3" t="s">
        <v>76</v>
      </c>
    </row>
    <row r="1648" spans="1:11" ht="42" customHeight="1">
      <c r="A1648" s="2" t="s">
        <v>4664</v>
      </c>
      <c r="B1648" s="2" t="s">
        <v>4664</v>
      </c>
      <c r="C1648" s="2" t="s">
        <v>225</v>
      </c>
      <c r="D1648" s="2" t="s">
        <v>117</v>
      </c>
      <c r="E1648" s="4">
        <v>-32575</v>
      </c>
      <c r="F1648" s="3" t="s">
        <v>734</v>
      </c>
      <c r="G1648" s="3" t="s">
        <v>735</v>
      </c>
      <c r="H1648" s="2" t="s">
        <v>74</v>
      </c>
      <c r="I1648" s="2" t="s">
        <v>4665</v>
      </c>
      <c r="J1648" s="3" t="str">
        <f>HYPERLINK("https://www.boe.es/gazeta/dias/1810/10/23/pdfs/GMD-1810-296.pdf#page=3","Abrir facsímil")</f>
        <v>Abrir facsímil</v>
      </c>
      <c r="K1648" s="3" t="s">
        <v>76</v>
      </c>
    </row>
    <row r="1649" spans="1:11" ht="42" customHeight="1">
      <c r="A1649" s="2" t="s">
        <v>4666</v>
      </c>
      <c r="B1649" s="2" t="s">
        <v>4667</v>
      </c>
      <c r="C1649" s="2" t="s">
        <v>26</v>
      </c>
      <c r="D1649" s="2" t="s">
        <v>27</v>
      </c>
      <c r="E1649" s="4">
        <v>-32595</v>
      </c>
      <c r="F1649" s="3" t="s">
        <v>700</v>
      </c>
      <c r="G1649" s="3" t="s">
        <v>29</v>
      </c>
      <c r="H1649" s="2" t="s">
        <v>74</v>
      </c>
      <c r="I1649" s="2" t="s">
        <v>4668</v>
      </c>
      <c r="J1649" s="3" t="str">
        <f>HYPERLINK("https://www.boe.es/gazeta/dias/1810/10/03/pdfs/GMD-1810-276.pdf#page=4","Abrir facsímil")</f>
        <v>Abrir facsímil</v>
      </c>
      <c r="K1649" s="3" t="s">
        <v>76</v>
      </c>
    </row>
    <row r="1650" spans="1:11" ht="42" customHeight="1">
      <c r="A1650" s="2" t="s">
        <v>4669</v>
      </c>
      <c r="B1650" s="2" t="s">
        <v>4670</v>
      </c>
      <c r="C1650" s="2" t="s">
        <v>26</v>
      </c>
      <c r="D1650" s="2" t="s">
        <v>18</v>
      </c>
      <c r="E1650" s="4">
        <v>-32659</v>
      </c>
      <c r="F1650" s="3" t="s">
        <v>328</v>
      </c>
      <c r="G1650" s="3" t="s">
        <v>119</v>
      </c>
      <c r="H1650" s="2" t="s">
        <v>74</v>
      </c>
      <c r="I1650" s="2" t="s">
        <v>4671</v>
      </c>
      <c r="J1650" s="3" t="str">
        <f>HYPERLINK("https://www.boe.es/gazeta/dias/1810/07/31/pdfs/GEI-1810-49.pdf#page=8","Abrir facsímil")</f>
        <v>Abrir facsímil</v>
      </c>
      <c r="K1650" s="3" t="s">
        <v>76</v>
      </c>
    </row>
    <row r="1651" spans="1:11" ht="42" customHeight="1">
      <c r="A1651" s="2" t="s">
        <v>4672</v>
      </c>
      <c r="B1651" s="2" t="s">
        <v>4673</v>
      </c>
      <c r="C1651" s="2" t="s">
        <v>26</v>
      </c>
      <c r="D1651" s="2" t="s">
        <v>27</v>
      </c>
      <c r="E1651" s="4">
        <v>-32684</v>
      </c>
      <c r="F1651" s="3" t="s">
        <v>1373</v>
      </c>
      <c r="G1651" s="3" t="s">
        <v>1374</v>
      </c>
      <c r="H1651" s="2" t="s">
        <v>74</v>
      </c>
      <c r="I1651" s="2" t="s">
        <v>4674</v>
      </c>
      <c r="J1651" s="3" t="str">
        <f>HYPERLINK("https://www.boe.es/gazeta/dias/1810/07/06/pdfs/GEI-1810-42.pdf#page=8","Abrir facsímil")</f>
        <v>Abrir facsímil</v>
      </c>
      <c r="K1651" s="3" t="s">
        <v>76</v>
      </c>
    </row>
    <row r="1652" spans="1:11" ht="42" customHeight="1">
      <c r="A1652" s="2" t="s">
        <v>4675</v>
      </c>
      <c r="B1652" s="2" t="s">
        <v>4675</v>
      </c>
      <c r="C1652" s="2" t="s">
        <v>88</v>
      </c>
      <c r="D1652" s="2" t="s">
        <v>117</v>
      </c>
      <c r="E1652" s="4">
        <v>-32621</v>
      </c>
      <c r="F1652" s="3" t="s">
        <v>1897</v>
      </c>
      <c r="G1652" s="3" t="s">
        <v>4676</v>
      </c>
      <c r="H1652" s="2" t="s">
        <v>74</v>
      </c>
      <c r="I1652" s="2" t="s">
        <v>4677</v>
      </c>
      <c r="J1652" s="3" t="str">
        <f>HYPERLINK("https://www.boe.es/gazeta/dias/1810/09/07/pdfs/GMD-1810-250.pdf#page=3","Abrir facsímil")</f>
        <v>Abrir facsímil</v>
      </c>
      <c r="K1652" s="3" t="s">
        <v>76</v>
      </c>
    </row>
    <row r="1653" spans="1:11" ht="42" customHeight="1">
      <c r="A1653" s="2" t="s">
        <v>4678</v>
      </c>
      <c r="B1653" s="2" t="s">
        <v>4678</v>
      </c>
      <c r="C1653" s="2" t="s">
        <v>88</v>
      </c>
      <c r="D1653" s="2" t="s">
        <v>27</v>
      </c>
      <c r="E1653" s="4">
        <v>-32629</v>
      </c>
      <c r="F1653" s="3" t="s">
        <v>1494</v>
      </c>
      <c r="G1653" s="3" t="s">
        <v>1711</v>
      </c>
      <c r="H1653" s="2" t="s">
        <v>74</v>
      </c>
      <c r="I1653" s="2" t="s">
        <v>4679</v>
      </c>
      <c r="J1653" s="3" t="str">
        <f>HYPERLINK("https://www.boe.es/gazeta/dias/1810/08/30/pdfs/GMD-1810-242.pdf#page=1","Abrir facsímil")</f>
        <v>Abrir facsímil</v>
      </c>
      <c r="K1653" s="3" t="s">
        <v>76</v>
      </c>
    </row>
    <row r="1654" spans="1:11" ht="42" customHeight="1">
      <c r="A1654" s="2" t="s">
        <v>4680</v>
      </c>
      <c r="B1654" s="2" t="s">
        <v>4680</v>
      </c>
      <c r="C1654" s="2" t="s">
        <v>88</v>
      </c>
      <c r="D1654" s="2" t="s">
        <v>27</v>
      </c>
      <c r="E1654" s="4">
        <v>-32659</v>
      </c>
      <c r="F1654" s="3" t="s">
        <v>328</v>
      </c>
      <c r="G1654" s="3" t="s">
        <v>4539</v>
      </c>
      <c r="H1654" s="2" t="s">
        <v>74</v>
      </c>
      <c r="I1654" s="2" t="s">
        <v>4681</v>
      </c>
      <c r="J1654" s="3" t="str">
        <f>HYPERLINK("https://www.boe.es/gazeta/dias/1810/07/31/pdfs/GEI-1810-49.pdf#page=4","Abrir facsímil")</f>
        <v>Abrir facsímil</v>
      </c>
      <c r="K1654" s="3" t="s">
        <v>76</v>
      </c>
    </row>
    <row r="1655" spans="1:11" ht="42" customHeight="1">
      <c r="A1655" s="2" t="s">
        <v>4682</v>
      </c>
      <c r="B1655" s="2" t="s">
        <v>4682</v>
      </c>
      <c r="C1655" s="2" t="s">
        <v>88</v>
      </c>
      <c r="D1655" s="2" t="s">
        <v>39</v>
      </c>
      <c r="E1655" s="4">
        <v>-32645</v>
      </c>
      <c r="F1655" s="3" t="s">
        <v>2492</v>
      </c>
      <c r="G1655" s="3" t="s">
        <v>29</v>
      </c>
      <c r="H1655" s="2" t="s">
        <v>74</v>
      </c>
      <c r="I1655" s="2" t="s">
        <v>4683</v>
      </c>
      <c r="J1655" s="3" t="str">
        <f>HYPERLINK("https://www.boe.es/gazeta/dias/1810/08/14/pdfs/GEI-D-1810-56.pdf#page=1","Abrir facsímil")</f>
        <v>Abrir facsímil</v>
      </c>
      <c r="K1655" s="3" t="s">
        <v>76</v>
      </c>
    </row>
    <row r="1656" spans="1:11" ht="42" customHeight="1">
      <c r="A1656" s="2" t="s">
        <v>4680</v>
      </c>
      <c r="B1656" s="2" t="s">
        <v>4680</v>
      </c>
      <c r="C1656" s="2" t="s">
        <v>88</v>
      </c>
      <c r="D1656" s="2" t="s">
        <v>117</v>
      </c>
      <c r="E1656" s="4">
        <v>-32580</v>
      </c>
      <c r="F1656" s="3" t="s">
        <v>2508</v>
      </c>
      <c r="G1656" s="3" t="s">
        <v>227</v>
      </c>
      <c r="H1656" s="2" t="s">
        <v>74</v>
      </c>
      <c r="I1656" s="2" t="s">
        <v>4684</v>
      </c>
      <c r="J1656" s="3" t="str">
        <f>HYPERLINK("https://www.boe.es/gazeta/dias/1810/10/18/pdfs/GEI-1810-83.pdf#page=5","Abrir facsímil")</f>
        <v>Abrir facsímil</v>
      </c>
      <c r="K1656" s="3" t="s">
        <v>76</v>
      </c>
    </row>
    <row r="1657" spans="1:11" ht="42" customHeight="1">
      <c r="A1657" s="2" t="s">
        <v>4680</v>
      </c>
      <c r="B1657" s="2" t="s">
        <v>4680</v>
      </c>
      <c r="C1657" s="2" t="s">
        <v>88</v>
      </c>
      <c r="D1657" s="2" t="s">
        <v>117</v>
      </c>
      <c r="E1657" s="4">
        <v>-32578</v>
      </c>
      <c r="F1657" s="3" t="s">
        <v>2333</v>
      </c>
      <c r="G1657" s="3" t="s">
        <v>2334</v>
      </c>
      <c r="H1657" s="2" t="s">
        <v>74</v>
      </c>
      <c r="I1657" s="2" t="s">
        <v>4685</v>
      </c>
      <c r="J1657" s="3" t="str">
        <f>HYPERLINK("https://www.boe.es/gazeta/dias/1810/10/20/pdfs/GEI-1810-84.pdf#page=4","Abrir facsímil")</f>
        <v>Abrir facsímil</v>
      </c>
      <c r="K1657" s="3" t="s">
        <v>76</v>
      </c>
    </row>
    <row r="1658" spans="1:11" ht="42" customHeight="1">
      <c r="A1658" s="2" t="s">
        <v>4686</v>
      </c>
      <c r="B1658" s="2" t="s">
        <v>4686</v>
      </c>
      <c r="C1658" s="2" t="s">
        <v>88</v>
      </c>
      <c r="D1658" s="2" t="s">
        <v>117</v>
      </c>
      <c r="E1658" s="4">
        <v>-32599</v>
      </c>
      <c r="F1658" s="3" t="s">
        <v>1586</v>
      </c>
      <c r="G1658" s="3" t="s">
        <v>1638</v>
      </c>
      <c r="H1658" s="2" t="s">
        <v>74</v>
      </c>
      <c r="I1658" s="2" t="s">
        <v>4687</v>
      </c>
      <c r="J1658" s="3" t="str">
        <f>HYPERLINK("https://www.boe.es/gazeta/dias/1810/09/29/pdfs/GMD-1810-272.pdf#page=2","Abrir facsímil")</f>
        <v>Abrir facsímil</v>
      </c>
      <c r="K1658" s="3" t="s">
        <v>76</v>
      </c>
    </row>
    <row r="1659" spans="1:11" ht="42" customHeight="1">
      <c r="A1659" s="2" t="s">
        <v>4688</v>
      </c>
      <c r="B1659" s="2" t="s">
        <v>4688</v>
      </c>
      <c r="C1659" s="2" t="s">
        <v>88</v>
      </c>
      <c r="D1659" s="2" t="s">
        <v>27</v>
      </c>
      <c r="E1659" s="4">
        <v>-32629</v>
      </c>
      <c r="F1659" s="3" t="s">
        <v>1494</v>
      </c>
      <c r="G1659" s="3" t="s">
        <v>1711</v>
      </c>
      <c r="H1659" s="2" t="s">
        <v>74</v>
      </c>
      <c r="I1659" s="2" t="s">
        <v>4689</v>
      </c>
      <c r="J1659" s="3" t="str">
        <f>HYPERLINK("https://www.boe.es/gazeta/dias/1810/08/30/pdfs/GMD-1810-242.pdf#page=1","Abrir facsímil")</f>
        <v>Abrir facsímil</v>
      </c>
      <c r="K1659" s="3" t="s">
        <v>76</v>
      </c>
    </row>
    <row r="1660" spans="1:11" ht="42" customHeight="1">
      <c r="A1660" s="2" t="s">
        <v>4690</v>
      </c>
      <c r="B1660" s="2" t="s">
        <v>4690</v>
      </c>
      <c r="C1660" s="2" t="s">
        <v>88</v>
      </c>
      <c r="D1660" s="2" t="s">
        <v>27</v>
      </c>
      <c r="E1660" s="4">
        <v>-32597</v>
      </c>
      <c r="F1660" s="3" t="s">
        <v>2506</v>
      </c>
      <c r="G1660" s="3" t="s">
        <v>35</v>
      </c>
      <c r="H1660" s="2" t="s">
        <v>74</v>
      </c>
      <c r="I1660" s="2" t="s">
        <v>4691</v>
      </c>
      <c r="J1660" s="3" t="str">
        <f>HYPERLINK("https://www.boe.es/gazeta/dias/1810/10/01/pdfs/GMD-1810-274.pdf#page=2","Abrir facsímil")</f>
        <v>Abrir facsímil</v>
      </c>
      <c r="K1660" s="3" t="s">
        <v>76</v>
      </c>
    </row>
    <row r="1661" spans="1:11" ht="42" customHeight="1">
      <c r="A1661" s="2" t="s">
        <v>4690</v>
      </c>
      <c r="B1661" s="2" t="s">
        <v>4690</v>
      </c>
      <c r="C1661" s="2" t="s">
        <v>88</v>
      </c>
      <c r="D1661" s="2" t="s">
        <v>27</v>
      </c>
      <c r="E1661" s="4">
        <v>-32596</v>
      </c>
      <c r="F1661" s="3" t="s">
        <v>1311</v>
      </c>
      <c r="G1661" s="3" t="s">
        <v>29</v>
      </c>
      <c r="H1661" s="2" t="s">
        <v>74</v>
      </c>
      <c r="I1661" s="2" t="s">
        <v>4692</v>
      </c>
      <c r="J1661" s="3" t="str">
        <f>HYPERLINK("https://www.boe.es/gazeta/dias/1810/10/02/pdfs/GMD-1810-275.pdf#page=3","Abrir facsímil")</f>
        <v>Abrir facsímil</v>
      </c>
      <c r="K1661" s="3" t="s">
        <v>76</v>
      </c>
    </row>
    <row r="1662" spans="1:11" ht="42" customHeight="1">
      <c r="A1662" s="2" t="s">
        <v>4693</v>
      </c>
      <c r="B1662" s="2" t="s">
        <v>4693</v>
      </c>
      <c r="C1662" s="2" t="s">
        <v>88</v>
      </c>
      <c r="D1662" s="2" t="s">
        <v>27</v>
      </c>
      <c r="E1662" s="4">
        <v>-32603</v>
      </c>
      <c r="F1662" s="3" t="s">
        <v>2163</v>
      </c>
      <c r="G1662" s="3" t="s">
        <v>592</v>
      </c>
      <c r="H1662" s="2" t="s">
        <v>74</v>
      </c>
      <c r="I1662" s="2" t="s">
        <v>4694</v>
      </c>
      <c r="J1662" s="3" t="str">
        <f>HYPERLINK("https://www.boe.es/gazeta/dias/1810/09/25/pdfs/GEI-1810-72.pdf#page=4","Abrir facsímil")</f>
        <v>Abrir facsímil</v>
      </c>
      <c r="K1662" s="3" t="s">
        <v>76</v>
      </c>
    </row>
    <row r="1663" spans="1:11" ht="42" customHeight="1">
      <c r="A1663" s="2" t="s">
        <v>4695</v>
      </c>
      <c r="B1663" s="2" t="s">
        <v>4696</v>
      </c>
      <c r="C1663" s="2" t="s">
        <v>26</v>
      </c>
      <c r="D1663" s="2" t="s">
        <v>27</v>
      </c>
      <c r="E1663" s="4">
        <v>-32537</v>
      </c>
      <c r="F1663" s="3" t="s">
        <v>1091</v>
      </c>
      <c r="G1663" s="3" t="s">
        <v>20</v>
      </c>
      <c r="H1663" s="2" t="s">
        <v>74</v>
      </c>
      <c r="I1663" s="2" t="s">
        <v>4697</v>
      </c>
      <c r="J1663" s="3" t="str">
        <f>HYPERLINK("https://www.boe.es/gazeta/dias/1810/11/30/pdfs/GMD-1810-334.pdf#page=4","Abrir facsímil")</f>
        <v>Abrir facsímil</v>
      </c>
      <c r="K1663" s="3" t="s">
        <v>76</v>
      </c>
    </row>
    <row r="1664" spans="1:11" ht="42" customHeight="1">
      <c r="A1664" s="2" t="s">
        <v>4698</v>
      </c>
      <c r="B1664" s="2" t="s">
        <v>4699</v>
      </c>
      <c r="C1664" s="2" t="s">
        <v>26</v>
      </c>
      <c r="D1664" s="2" t="s">
        <v>27</v>
      </c>
      <c r="E1664" s="4">
        <v>-32528</v>
      </c>
      <c r="F1664" s="3" t="s">
        <v>3058</v>
      </c>
      <c r="G1664" s="3" t="s">
        <v>359</v>
      </c>
      <c r="H1664" s="2" t="s">
        <v>74</v>
      </c>
      <c r="I1664" s="2" t="s">
        <v>4700</v>
      </c>
      <c r="J1664" s="3" t="str">
        <f>HYPERLINK("https://www.boe.es/gazeta/dias/1810/12/09/pdfs/GMD-1810-343.pdf#page=3","Abrir facsímil")</f>
        <v>Abrir facsímil</v>
      </c>
      <c r="K1664" s="3" t="s">
        <v>76</v>
      </c>
    </row>
    <row r="1665" spans="1:11" ht="42" customHeight="1">
      <c r="A1665" s="2" t="s">
        <v>4701</v>
      </c>
      <c r="B1665" s="2" t="s">
        <v>4702</v>
      </c>
      <c r="C1665" s="2" t="s">
        <v>26</v>
      </c>
      <c r="D1665" s="2" t="s">
        <v>27</v>
      </c>
      <c r="E1665" s="4">
        <v>-32730</v>
      </c>
      <c r="F1665" s="3" t="s">
        <v>50</v>
      </c>
      <c r="G1665" s="3" t="s">
        <v>20</v>
      </c>
      <c r="H1665" s="2" t="s">
        <v>74</v>
      </c>
      <c r="I1665" s="2" t="s">
        <v>4703</v>
      </c>
      <c r="J1665" s="3" t="str">
        <f>HYPERLINK("https://www.boe.es/gazeta/dias/1810/05/21/pdfs/GMD-1810-141.pdf#page=4","Abrir facsímil")</f>
        <v>Abrir facsímil</v>
      </c>
      <c r="K1665" s="3" t="s">
        <v>76</v>
      </c>
    </row>
    <row r="1666" spans="1:11" ht="42" customHeight="1">
      <c r="A1666" s="2" t="s">
        <v>4704</v>
      </c>
      <c r="B1666" s="2" t="s">
        <v>4705</v>
      </c>
      <c r="C1666" s="2" t="s">
        <v>88</v>
      </c>
      <c r="D1666" s="2" t="s">
        <v>27</v>
      </c>
      <c r="E1666" s="4">
        <v>-32763</v>
      </c>
      <c r="F1666" s="3" t="s">
        <v>1146</v>
      </c>
      <c r="G1666" s="3" t="s">
        <v>140</v>
      </c>
      <c r="H1666" s="2" t="s">
        <v>74</v>
      </c>
      <c r="I1666" s="2" t="s">
        <v>4706</v>
      </c>
      <c r="J1666" s="3" t="str">
        <f>HYPERLINK("https://www.boe.es/gazeta/dias/1810/04/18/pdfs/GMD-1810-108.pdf#page=3","Abrir facsímil")</f>
        <v>Abrir facsímil</v>
      </c>
      <c r="K1666" s="3" t="s">
        <v>76</v>
      </c>
    </row>
    <row r="1667" spans="1:11" ht="42" customHeight="1">
      <c r="A1667" s="2" t="s">
        <v>4707</v>
      </c>
      <c r="B1667" s="2" t="s">
        <v>4708</v>
      </c>
      <c r="C1667" s="2" t="s">
        <v>33</v>
      </c>
      <c r="D1667" s="2" t="s">
        <v>27</v>
      </c>
      <c r="E1667" s="4">
        <v>-32710</v>
      </c>
      <c r="F1667" s="3" t="s">
        <v>126</v>
      </c>
      <c r="G1667" s="3" t="s">
        <v>184</v>
      </c>
      <c r="H1667" s="2" t="s">
        <v>74</v>
      </c>
      <c r="I1667" s="2" t="s">
        <v>4709</v>
      </c>
      <c r="J1667" s="3" t="str">
        <f>HYPERLINK("https://www.boe.es/gazeta/dias/1810/06/10/pdfs/GMD-1810-161.pdf#page=3","Abrir facsímil")</f>
        <v>Abrir facsímil</v>
      </c>
      <c r="K1667" s="3" t="s">
        <v>76</v>
      </c>
    </row>
    <row r="1668" spans="1:11" ht="42" customHeight="1">
      <c r="A1668" s="2" t="s">
        <v>4707</v>
      </c>
      <c r="B1668" s="2" t="s">
        <v>4708</v>
      </c>
      <c r="C1668" s="2" t="s">
        <v>26</v>
      </c>
      <c r="D1668" s="2" t="s">
        <v>27</v>
      </c>
      <c r="E1668" s="4">
        <v>-32647</v>
      </c>
      <c r="F1668" s="3" t="s">
        <v>118</v>
      </c>
      <c r="G1668" s="3" t="s">
        <v>20</v>
      </c>
      <c r="H1668" s="2" t="s">
        <v>74</v>
      </c>
      <c r="I1668" s="2" t="s">
        <v>4710</v>
      </c>
      <c r="J1668" s="3" t="str">
        <f>HYPERLINK("https://www.boe.es/gazeta/dias/1810/08/12/pdfs/GMD-1810-224.pdf#page=4","Abrir facsímil")</f>
        <v>Abrir facsímil</v>
      </c>
      <c r="K1668" s="3" t="s">
        <v>76</v>
      </c>
    </row>
    <row r="1669" spans="1:11" ht="42" customHeight="1">
      <c r="A1669" s="2" t="s">
        <v>4711</v>
      </c>
      <c r="B1669" s="2" t="s">
        <v>4712</v>
      </c>
      <c r="C1669" s="2" t="s">
        <v>317</v>
      </c>
      <c r="D1669" s="2" t="s">
        <v>27</v>
      </c>
      <c r="E1669" s="4">
        <v>-32639</v>
      </c>
      <c r="F1669" s="3" t="s">
        <v>3411</v>
      </c>
      <c r="G1669" s="3" t="s">
        <v>3412</v>
      </c>
      <c r="H1669" s="2" t="s">
        <v>74</v>
      </c>
      <c r="I1669" s="2" t="s">
        <v>4713</v>
      </c>
      <c r="J1669" s="3" t="str">
        <f>HYPERLINK("https://www.boe.es/gazeta/dias/1810/08/20/pdfs/GMD-1810-232.pdf#page=4","Abrir facsímil")</f>
        <v>Abrir facsímil</v>
      </c>
      <c r="K1669" s="3" t="s">
        <v>76</v>
      </c>
    </row>
    <row r="1670" spans="1:11" ht="42" customHeight="1">
      <c r="A1670" s="2" t="s">
        <v>4714</v>
      </c>
      <c r="B1670" s="2" t="s">
        <v>4715</v>
      </c>
      <c r="C1670" s="2" t="s">
        <v>26</v>
      </c>
      <c r="D1670" s="2" t="s">
        <v>58</v>
      </c>
      <c r="E1670" s="4">
        <v>-32601</v>
      </c>
      <c r="F1670" s="3" t="s">
        <v>392</v>
      </c>
      <c r="G1670" s="3" t="s">
        <v>35</v>
      </c>
      <c r="H1670" s="2" t="s">
        <v>74</v>
      </c>
      <c r="I1670" s="2" t="s">
        <v>4716</v>
      </c>
      <c r="J1670" s="3" t="str">
        <f>HYPERLINK("https://www.boe.es/gazeta/dias/1810/09/27/pdfs/GEI-1810-74E.pdf#page=2","Abrir facsímil")</f>
        <v>Abrir facsímil</v>
      </c>
      <c r="K1670" s="3" t="s">
        <v>76</v>
      </c>
    </row>
    <row r="1671" spans="1:11" ht="42" customHeight="1">
      <c r="A1671" s="2" t="s">
        <v>4717</v>
      </c>
      <c r="B1671" s="2" t="s">
        <v>4718</v>
      </c>
      <c r="C1671" s="2" t="s">
        <v>26</v>
      </c>
      <c r="D1671" s="2" t="s">
        <v>39</v>
      </c>
      <c r="E1671" s="4">
        <v>-32702</v>
      </c>
      <c r="F1671" s="3" t="s">
        <v>179</v>
      </c>
      <c r="G1671" s="3" t="s">
        <v>180</v>
      </c>
      <c r="H1671" s="2" t="s">
        <v>74</v>
      </c>
      <c r="I1671" s="2" t="s">
        <v>4719</v>
      </c>
      <c r="J1671" s="3" t="str">
        <f>HYPERLINK("https://www.boe.es/gazeta/dias/1810/06/18/pdfs/GMD-C-1810-169.pdf#page=2","Abrir facsímil")</f>
        <v>Abrir facsímil</v>
      </c>
      <c r="K1671" s="3" t="s">
        <v>76</v>
      </c>
    </row>
    <row r="1672" spans="1:11" ht="42" customHeight="1">
      <c r="A1672" s="2" t="s">
        <v>4720</v>
      </c>
      <c r="B1672" s="2" t="s">
        <v>4721</v>
      </c>
      <c r="C1672" s="2" t="s">
        <v>26</v>
      </c>
      <c r="D1672" s="2" t="s">
        <v>39</v>
      </c>
      <c r="E1672" s="4">
        <v>-32701</v>
      </c>
      <c r="F1672" s="3" t="s">
        <v>40</v>
      </c>
      <c r="G1672" s="3" t="s">
        <v>170</v>
      </c>
      <c r="H1672" s="2" t="s">
        <v>74</v>
      </c>
      <c r="I1672" s="2" t="s">
        <v>4722</v>
      </c>
      <c r="J1672" s="3" t="str">
        <f>HYPERLINK("https://www.boe.es/gazeta/dias/1810/06/19/pdfs/GMD-C-1810-170.pdf#page=1","Abrir facsímil")</f>
        <v>Abrir facsímil</v>
      </c>
      <c r="K1672" s="3" t="s">
        <v>76</v>
      </c>
    </row>
    <row r="1673" spans="1:11" ht="42" customHeight="1">
      <c r="A1673" s="2" t="s">
        <v>4723</v>
      </c>
      <c r="B1673" s="2" t="s">
        <v>4724</v>
      </c>
      <c r="C1673" s="2" t="s">
        <v>88</v>
      </c>
      <c r="D1673" s="2" t="s">
        <v>117</v>
      </c>
      <c r="E1673" s="4">
        <v>-32842</v>
      </c>
      <c r="F1673" s="3" t="s">
        <v>1291</v>
      </c>
      <c r="G1673" s="3" t="s">
        <v>1292</v>
      </c>
      <c r="H1673" s="2" t="s">
        <v>74</v>
      </c>
      <c r="I1673" s="2" t="s">
        <v>4725</v>
      </c>
      <c r="J1673" s="3" t="str">
        <f>HYPERLINK("https://www.boe.es/gazeta/dias/1810/01/29/pdfs/GMD-1810-29.pdf#page=3","Abrir facsímil")</f>
        <v>Abrir facsímil</v>
      </c>
      <c r="K1673" s="3" t="s">
        <v>76</v>
      </c>
    </row>
    <row r="1674" spans="1:11" ht="42" customHeight="1">
      <c r="A1674" s="2" t="s">
        <v>4726</v>
      </c>
      <c r="B1674" s="2" t="s">
        <v>4727</v>
      </c>
      <c r="C1674" s="2" t="s">
        <v>317</v>
      </c>
      <c r="D1674" s="2" t="s">
        <v>27</v>
      </c>
      <c r="E1674" s="4">
        <v>-32732</v>
      </c>
      <c r="F1674" s="3" t="s">
        <v>545</v>
      </c>
      <c r="G1674" s="3" t="s">
        <v>140</v>
      </c>
      <c r="H1674" s="2" t="s">
        <v>74</v>
      </c>
      <c r="I1674" s="2" t="s">
        <v>4728</v>
      </c>
      <c r="J1674" s="3" t="str">
        <f>HYPERLINK("https://www.boe.es/gazeta/dias/1810/05/19/pdfs/GMD-1810-139.pdf#page=3","Abrir facsímil")</f>
        <v>Abrir facsímil</v>
      </c>
      <c r="K1674" s="3" t="s">
        <v>76</v>
      </c>
    </row>
    <row r="1675" spans="1:11" ht="42" customHeight="1">
      <c r="A1675" s="2" t="s">
        <v>4729</v>
      </c>
      <c r="B1675" s="2" t="s">
        <v>4729</v>
      </c>
      <c r="C1675" s="2" t="s">
        <v>26</v>
      </c>
      <c r="D1675" s="2" t="s">
        <v>27</v>
      </c>
      <c r="E1675" s="4">
        <v>-32844</v>
      </c>
      <c r="F1675" s="3" t="s">
        <v>4730</v>
      </c>
      <c r="G1675" s="3" t="s">
        <v>35</v>
      </c>
      <c r="H1675" s="2" t="s">
        <v>74</v>
      </c>
      <c r="I1675" s="2" t="s">
        <v>4731</v>
      </c>
      <c r="J1675" s="3" t="str">
        <f>HYPERLINK("https://www.boe.es/gazeta/dias/1810/01/27/pdfs/GMD-1810-27.pdf#page=2","Abrir facsímil")</f>
        <v>Abrir facsímil</v>
      </c>
      <c r="K1675" s="3" t="s">
        <v>76</v>
      </c>
    </row>
    <row r="1676" spans="1:11" ht="42" customHeight="1">
      <c r="A1676" s="2" t="s">
        <v>4732</v>
      </c>
      <c r="B1676" s="2" t="s">
        <v>4732</v>
      </c>
      <c r="C1676" s="2" t="s">
        <v>26</v>
      </c>
      <c r="D1676" s="2" t="s">
        <v>27</v>
      </c>
      <c r="E1676" s="4">
        <v>-32654</v>
      </c>
      <c r="F1676" s="3" t="s">
        <v>1226</v>
      </c>
      <c r="G1676" s="3" t="s">
        <v>732</v>
      </c>
      <c r="H1676" s="2" t="s">
        <v>74</v>
      </c>
      <c r="I1676" s="2" t="s">
        <v>4733</v>
      </c>
      <c r="J1676" s="3" t="str">
        <f>HYPERLINK("https://www.boe.es/gazeta/dias/1810/08/05/pdfs/GMD-1810-217.pdf#page=3","Abrir facsímil")</f>
        <v>Abrir facsímil</v>
      </c>
      <c r="K1676" s="3" t="s">
        <v>76</v>
      </c>
    </row>
    <row r="1677" spans="1:11" ht="42" customHeight="1">
      <c r="A1677" s="2" t="s">
        <v>4734</v>
      </c>
      <c r="B1677" s="2" t="s">
        <v>4735</v>
      </c>
      <c r="C1677" s="2" t="s">
        <v>88</v>
      </c>
      <c r="D1677" s="2" t="s">
        <v>27</v>
      </c>
      <c r="E1677" s="4">
        <v>-32566</v>
      </c>
      <c r="F1677" s="3" t="s">
        <v>405</v>
      </c>
      <c r="G1677" s="3" t="s">
        <v>99</v>
      </c>
      <c r="H1677" s="2" t="s">
        <v>74</v>
      </c>
      <c r="I1677" s="2" t="s">
        <v>4736</v>
      </c>
      <c r="J1677" s="3" t="str">
        <f>HYPERLINK("https://www.boe.es/gazeta/dias/1810/11/01/pdfs/GMD-1810-305.pdf#page=3","Abrir facsímil")</f>
        <v>Abrir facsímil</v>
      </c>
      <c r="K1677" s="3" t="s">
        <v>76</v>
      </c>
    </row>
    <row r="1678" spans="1:11" ht="42" customHeight="1">
      <c r="A1678" s="2" t="s">
        <v>4737</v>
      </c>
      <c r="B1678" s="2" t="s">
        <v>4737</v>
      </c>
      <c r="C1678" s="2" t="s">
        <v>225</v>
      </c>
      <c r="D1678" s="2" t="s">
        <v>27</v>
      </c>
      <c r="E1678" s="4">
        <v>-32715</v>
      </c>
      <c r="F1678" s="3" t="s">
        <v>1029</v>
      </c>
      <c r="G1678" s="3" t="s">
        <v>119</v>
      </c>
      <c r="H1678" s="2" t="s">
        <v>74</v>
      </c>
      <c r="I1678" s="2" t="s">
        <v>4738</v>
      </c>
      <c r="J1678" s="3" t="str">
        <f>HYPERLINK("https://www.boe.es/gazeta/dias/1810/06/05/pdfs/GEI-1810-33.pdf#page=1","Abrir facsímil")</f>
        <v>Abrir facsímil</v>
      </c>
      <c r="K1678" s="3" t="s">
        <v>76</v>
      </c>
    </row>
    <row r="1679" spans="1:11" ht="42" customHeight="1">
      <c r="A1679" s="2" t="s">
        <v>4737</v>
      </c>
      <c r="B1679" s="2" t="s">
        <v>4737</v>
      </c>
      <c r="C1679" s="2" t="s">
        <v>26</v>
      </c>
      <c r="D1679" s="2" t="s">
        <v>27</v>
      </c>
      <c r="E1679" s="4">
        <v>-32687</v>
      </c>
      <c r="F1679" s="3" t="s">
        <v>221</v>
      </c>
      <c r="G1679" s="3" t="s">
        <v>4739</v>
      </c>
      <c r="H1679" s="2" t="s">
        <v>74</v>
      </c>
      <c r="I1679" s="2" t="s">
        <v>4740</v>
      </c>
      <c r="J1679" s="3" t="str">
        <f>HYPERLINK("https://www.boe.es/gazeta/dias/1810/07/03/pdfs/GMD-1810-184.pdf#page=3","Abrir facsímil")</f>
        <v>Abrir facsímil</v>
      </c>
      <c r="K1679" s="3" t="s">
        <v>76</v>
      </c>
    </row>
    <row r="1680" spans="1:11" ht="42" customHeight="1">
      <c r="A1680" s="2" t="s">
        <v>4737</v>
      </c>
      <c r="B1680" s="2" t="s">
        <v>4737</v>
      </c>
      <c r="C1680" s="2" t="s">
        <v>317</v>
      </c>
      <c r="D1680" s="2" t="s">
        <v>27</v>
      </c>
      <c r="E1680" s="4">
        <v>-32684</v>
      </c>
      <c r="F1680" s="3" t="s">
        <v>4741</v>
      </c>
      <c r="G1680" s="3" t="s">
        <v>70</v>
      </c>
      <c r="H1680" s="2" t="s">
        <v>74</v>
      </c>
      <c r="I1680" s="2" t="s">
        <v>4742</v>
      </c>
      <c r="J1680" s="3" t="str">
        <f>HYPERLINK("https://www.boe.es/gazeta/dias/1810/07/06/pdfs/GMD-1810-187.pdf#page=1","Abrir facsímil")</f>
        <v>Abrir facsímil</v>
      </c>
      <c r="K1680" s="3" t="s">
        <v>76</v>
      </c>
    </row>
    <row r="1681" spans="1:11" ht="42" customHeight="1">
      <c r="A1681" s="2" t="s">
        <v>4737</v>
      </c>
      <c r="B1681" s="2" t="s">
        <v>4737</v>
      </c>
      <c r="C1681" s="2" t="s">
        <v>111</v>
      </c>
      <c r="D1681" s="2" t="s">
        <v>220</v>
      </c>
      <c r="E1681" s="4">
        <v>-32677</v>
      </c>
      <c r="F1681" s="3" t="s">
        <v>1940</v>
      </c>
      <c r="G1681" s="3" t="s">
        <v>592</v>
      </c>
      <c r="H1681" s="2" t="s">
        <v>74</v>
      </c>
      <c r="I1681" s="2" t="s">
        <v>4743</v>
      </c>
      <c r="J1681" s="3" t="str">
        <f>HYPERLINK("https://www.boe.es/gazeta/dias/1810/07/13/pdfs/GEI-1810-44.pdf#page=1","Abrir facsímil")</f>
        <v>Abrir facsímil</v>
      </c>
      <c r="K1681" s="3" t="s">
        <v>76</v>
      </c>
    </row>
    <row r="1682" spans="1:11" ht="42" customHeight="1">
      <c r="A1682" s="2" t="s">
        <v>4744</v>
      </c>
      <c r="B1682" s="2" t="s">
        <v>4744</v>
      </c>
      <c r="C1682" s="2" t="s">
        <v>111</v>
      </c>
      <c r="D1682" s="2" t="s">
        <v>220</v>
      </c>
      <c r="E1682" s="4">
        <v>-32757</v>
      </c>
      <c r="F1682" s="3" t="s">
        <v>1136</v>
      </c>
      <c r="G1682" s="3" t="s">
        <v>2307</v>
      </c>
      <c r="H1682" s="2" t="s">
        <v>74</v>
      </c>
      <c r="I1682" s="2" t="s">
        <v>4745</v>
      </c>
      <c r="J1682" s="3" t="str">
        <f>HYPERLINK("https://www.boe.es/gazeta/dias/1810/04/24/pdfs/GEI-1810-17.pdf#page=3","Abrir facsímil")</f>
        <v>Abrir facsímil</v>
      </c>
      <c r="K1682" s="3" t="s">
        <v>76</v>
      </c>
    </row>
    <row r="1683" spans="1:11" ht="42" customHeight="1">
      <c r="A1683" s="2" t="s">
        <v>4746</v>
      </c>
      <c r="B1683" s="2" t="s">
        <v>4746</v>
      </c>
      <c r="C1683" s="2" t="s">
        <v>88</v>
      </c>
      <c r="D1683" s="2" t="s">
        <v>220</v>
      </c>
      <c r="E1683" s="4">
        <v>-32759</v>
      </c>
      <c r="F1683" s="3" t="s">
        <v>4747</v>
      </c>
      <c r="G1683" s="3" t="s">
        <v>4748</v>
      </c>
      <c r="H1683" s="2" t="s">
        <v>74</v>
      </c>
      <c r="I1683" s="2" t="s">
        <v>4749</v>
      </c>
      <c r="J1683" s="3" t="str">
        <f>HYPERLINK("https://www.boe.es/gazeta/dias/1810/04/22/pdfs/GMD-1810-112.pdf#page=1","Abrir facsímil")</f>
        <v>Abrir facsímil</v>
      </c>
      <c r="K1683" s="3" t="s">
        <v>76</v>
      </c>
    </row>
    <row r="1684" spans="1:11" ht="42" customHeight="1">
      <c r="A1684" s="2" t="s">
        <v>4750</v>
      </c>
      <c r="B1684" s="2" t="s">
        <v>4750</v>
      </c>
      <c r="C1684" s="2" t="s">
        <v>26</v>
      </c>
      <c r="D1684" s="2" t="s">
        <v>27</v>
      </c>
      <c r="E1684" s="4">
        <v>-32804</v>
      </c>
      <c r="F1684" s="3" t="s">
        <v>583</v>
      </c>
      <c r="G1684" s="3" t="s">
        <v>99</v>
      </c>
      <c r="H1684" s="2" t="s">
        <v>74</v>
      </c>
      <c r="I1684" s="2" t="s">
        <v>4751</v>
      </c>
      <c r="J1684" s="3" t="str">
        <f>HYPERLINK("https://www.boe.es/gazeta/dias/1810/03/08/pdfs/GMD-1810-67.pdf#page=3","Abrir facsímil")</f>
        <v>Abrir facsímil</v>
      </c>
      <c r="K1684" s="3" t="s">
        <v>76</v>
      </c>
    </row>
    <row r="1685" spans="1:11" ht="42" customHeight="1">
      <c r="A1685" s="2" t="s">
        <v>4750</v>
      </c>
      <c r="B1685" s="2" t="s">
        <v>4750</v>
      </c>
      <c r="C1685" s="2" t="s">
        <v>88</v>
      </c>
      <c r="D1685" s="2" t="s">
        <v>117</v>
      </c>
      <c r="E1685" s="4">
        <v>-32784</v>
      </c>
      <c r="F1685" s="3" t="s">
        <v>429</v>
      </c>
      <c r="G1685" s="3" t="s">
        <v>1821</v>
      </c>
      <c r="H1685" s="2" t="s">
        <v>74</v>
      </c>
      <c r="I1685" s="2" t="s">
        <v>4752</v>
      </c>
      <c r="J1685" s="3" t="str">
        <f>HYPERLINK("https://www.boe.es/gazeta/dias/1810/03/28/pdfs/GMD-1810-87.pdf#page=4","Abrir facsímil")</f>
        <v>Abrir facsímil</v>
      </c>
      <c r="K1685" s="3" t="s">
        <v>76</v>
      </c>
    </row>
    <row r="1686" spans="1:11" ht="42" customHeight="1">
      <c r="A1686" s="2" t="s">
        <v>4750</v>
      </c>
      <c r="B1686" s="2" t="s">
        <v>4750</v>
      </c>
      <c r="C1686" s="2" t="s">
        <v>88</v>
      </c>
      <c r="D1686" s="2" t="s">
        <v>117</v>
      </c>
      <c r="E1686" s="4">
        <v>-32776</v>
      </c>
      <c r="F1686" s="3" t="s">
        <v>752</v>
      </c>
      <c r="G1686" s="3" t="s">
        <v>213</v>
      </c>
      <c r="H1686" s="2" t="s">
        <v>74</v>
      </c>
      <c r="I1686" s="2" t="s">
        <v>4753</v>
      </c>
      <c r="J1686" s="3" t="str">
        <f>HYPERLINK("https://www.boe.es/gazeta/dias/1810/04/05/pdfs/GMD-1810-95.pdf#page=3","Abrir facsímil")</f>
        <v>Abrir facsímil</v>
      </c>
      <c r="K1686" s="3" t="s">
        <v>76</v>
      </c>
    </row>
    <row r="1687" spans="1:11" ht="42" customHeight="1">
      <c r="A1687" s="2" t="s">
        <v>4750</v>
      </c>
      <c r="B1687" s="2" t="s">
        <v>4750</v>
      </c>
      <c r="C1687" s="2" t="s">
        <v>26</v>
      </c>
      <c r="D1687" s="2" t="s">
        <v>39</v>
      </c>
      <c r="E1687" s="4">
        <v>-32701</v>
      </c>
      <c r="F1687" s="3" t="s">
        <v>40</v>
      </c>
      <c r="G1687" s="3" t="s">
        <v>170</v>
      </c>
      <c r="H1687" s="2" t="s">
        <v>74</v>
      </c>
      <c r="I1687" s="2" t="s">
        <v>4754</v>
      </c>
      <c r="J1687" s="3" t="str">
        <f>HYPERLINK("https://www.boe.es/gazeta/dias/1810/06/19/pdfs/GMD-C-1810-170.pdf#page=1","Abrir facsímil")</f>
        <v>Abrir facsímil</v>
      </c>
      <c r="K1687" s="3" t="s">
        <v>76</v>
      </c>
    </row>
    <row r="1688" spans="1:11" ht="42" customHeight="1">
      <c r="A1688" s="2" t="s">
        <v>4755</v>
      </c>
      <c r="B1688" s="2" t="s">
        <v>4756</v>
      </c>
      <c r="C1688" s="2" t="s">
        <v>26</v>
      </c>
      <c r="D1688" s="2" t="s">
        <v>27</v>
      </c>
      <c r="E1688" s="4">
        <v>-32543</v>
      </c>
      <c r="F1688" s="3" t="s">
        <v>69</v>
      </c>
      <c r="G1688" s="3" t="s">
        <v>84</v>
      </c>
      <c r="H1688" s="2" t="s">
        <v>74</v>
      </c>
      <c r="I1688" s="2" t="s">
        <v>4757</v>
      </c>
      <c r="J1688" s="3" t="str">
        <f>HYPERLINK("https://www.boe.es/gazeta/dias/1810/11/24/pdfs/GEI-1810-99.pdf#page=7","Abrir facsímil")</f>
        <v>Abrir facsímil</v>
      </c>
      <c r="K1688" s="3" t="s">
        <v>76</v>
      </c>
    </row>
    <row r="1689" spans="1:11" ht="42" customHeight="1">
      <c r="A1689" s="2" t="s">
        <v>4758</v>
      </c>
      <c r="B1689" s="2" t="s">
        <v>4758</v>
      </c>
      <c r="C1689" s="2" t="s">
        <v>88</v>
      </c>
      <c r="D1689" s="2" t="s">
        <v>27</v>
      </c>
      <c r="E1689" s="4">
        <v>-32541</v>
      </c>
      <c r="F1689" s="3" t="s">
        <v>748</v>
      </c>
      <c r="G1689" s="3" t="s">
        <v>3125</v>
      </c>
      <c r="H1689" s="2" t="s">
        <v>74</v>
      </c>
      <c r="I1689" s="2" t="s">
        <v>4759</v>
      </c>
      <c r="J1689" s="3" t="str">
        <f>HYPERLINK("https://www.boe.es/gazeta/dias/1810/11/26/pdfs/GMD-1810-330.pdf#page=3","Abrir facsímil")</f>
        <v>Abrir facsímil</v>
      </c>
      <c r="K1689" s="3" t="s">
        <v>76</v>
      </c>
    </row>
    <row r="1690" spans="1:11" ht="42" customHeight="1">
      <c r="A1690" s="2" t="s">
        <v>4760</v>
      </c>
      <c r="B1690" s="2" t="s">
        <v>4761</v>
      </c>
      <c r="C1690" s="2" t="s">
        <v>26</v>
      </c>
      <c r="D1690" s="2" t="s">
        <v>27</v>
      </c>
      <c r="E1690" s="4">
        <v>-32624</v>
      </c>
      <c r="F1690" s="3" t="s">
        <v>2176</v>
      </c>
      <c r="G1690" s="3" t="s">
        <v>213</v>
      </c>
      <c r="H1690" s="2" t="s">
        <v>74</v>
      </c>
      <c r="I1690" s="2" t="s">
        <v>4762</v>
      </c>
      <c r="J1690" s="3" t="str">
        <f>HYPERLINK("https://www.boe.es/gazeta/dias/1810/09/04/pdfs/GEI-1810-64.pdf#page=7","Abrir facsímil")</f>
        <v>Abrir facsímil</v>
      </c>
      <c r="K1690" s="3" t="s">
        <v>76</v>
      </c>
    </row>
    <row r="1691" spans="1:11" ht="42" customHeight="1">
      <c r="A1691" s="2" t="s">
        <v>4763</v>
      </c>
      <c r="B1691" s="2" t="s">
        <v>4764</v>
      </c>
      <c r="C1691" s="2" t="s">
        <v>88</v>
      </c>
      <c r="D1691" s="2" t="s">
        <v>27</v>
      </c>
      <c r="E1691" s="4">
        <v>-32716</v>
      </c>
      <c r="F1691" s="3" t="s">
        <v>624</v>
      </c>
      <c r="G1691" s="3" t="s">
        <v>227</v>
      </c>
      <c r="H1691" s="2" t="s">
        <v>74</v>
      </c>
      <c r="I1691" s="2" t="s">
        <v>4765</v>
      </c>
      <c r="J1691" s="3" t="str">
        <f>HYPERLINK("https://www.boe.es/gazeta/dias/1810/06/04/pdfs/GMD-1810-155.pdf#page=2","Abrir facsímil")</f>
        <v>Abrir facsímil</v>
      </c>
      <c r="K1691" s="3" t="s">
        <v>76</v>
      </c>
    </row>
    <row r="1692" spans="1:11" ht="42" customHeight="1">
      <c r="A1692" s="2" t="s">
        <v>4766</v>
      </c>
      <c r="B1692" s="2" t="s">
        <v>4767</v>
      </c>
      <c r="C1692" s="2" t="s">
        <v>195</v>
      </c>
      <c r="D1692" s="2" t="s">
        <v>27</v>
      </c>
      <c r="E1692" s="4">
        <v>-32837</v>
      </c>
      <c r="F1692" s="3" t="s">
        <v>196</v>
      </c>
      <c r="G1692" s="3" t="s">
        <v>140</v>
      </c>
      <c r="H1692" s="2" t="s">
        <v>74</v>
      </c>
      <c r="I1692" s="2" t="s">
        <v>4768</v>
      </c>
      <c r="J1692" s="3" t="str">
        <f>HYPERLINK("https://www.boe.es/gazeta/dias/1810/02/03/pdfs/GMD-1810-34.pdf#page=4","Abrir facsímil")</f>
        <v>Abrir facsímil</v>
      </c>
      <c r="K1692" s="3" t="s">
        <v>76</v>
      </c>
    </row>
    <row r="1693" spans="1:11" ht="42" customHeight="1">
      <c r="A1693" s="2" t="s">
        <v>4769</v>
      </c>
      <c r="B1693" s="2" t="s">
        <v>4770</v>
      </c>
      <c r="C1693" s="2" t="s">
        <v>33</v>
      </c>
      <c r="D1693" s="2" t="s">
        <v>58</v>
      </c>
      <c r="E1693" s="4">
        <v>-32601</v>
      </c>
      <c r="F1693" s="3" t="s">
        <v>392</v>
      </c>
      <c r="G1693" s="3" t="s">
        <v>1430</v>
      </c>
      <c r="H1693" s="2" t="s">
        <v>74</v>
      </c>
      <c r="I1693" s="2" t="s">
        <v>4771</v>
      </c>
      <c r="J1693" s="3" t="str">
        <f>HYPERLINK("https://www.boe.es/gazeta/dias/1810/09/27/pdfs/GEI-1810-74E.pdf#page=3","Abrir facsímil")</f>
        <v>Abrir facsímil</v>
      </c>
      <c r="K1693" s="3" t="s">
        <v>76</v>
      </c>
    </row>
    <row r="1694" spans="1:11" ht="42" customHeight="1">
      <c r="A1694" s="2" t="s">
        <v>4772</v>
      </c>
      <c r="B1694" s="2" t="s">
        <v>4773</v>
      </c>
      <c r="C1694" s="2" t="s">
        <v>88</v>
      </c>
      <c r="D1694" s="2" t="s">
        <v>18</v>
      </c>
      <c r="E1694" s="4">
        <v>-32764</v>
      </c>
      <c r="F1694" s="3" t="s">
        <v>640</v>
      </c>
      <c r="G1694" s="3" t="s">
        <v>641</v>
      </c>
      <c r="H1694" s="2" t="s">
        <v>74</v>
      </c>
      <c r="I1694" s="2" t="s">
        <v>4774</v>
      </c>
      <c r="J1694" s="3" t="str">
        <f>HYPERLINK("https://www.boe.es/gazeta/dias/1810/04/17/pdfs/GEI-1810-15.pdf#page=8","Abrir facsímil")</f>
        <v>Abrir facsímil</v>
      </c>
      <c r="K1694" s="3" t="s">
        <v>76</v>
      </c>
    </row>
    <row r="1695" spans="1:11" ht="42" customHeight="1">
      <c r="A1695" s="2" t="s">
        <v>4775</v>
      </c>
      <c r="B1695" s="2" t="s">
        <v>4776</v>
      </c>
      <c r="C1695" s="2" t="s">
        <v>317</v>
      </c>
      <c r="D1695" s="2" t="s">
        <v>27</v>
      </c>
      <c r="E1695" s="4">
        <v>-32648</v>
      </c>
      <c r="F1695" s="3" t="s">
        <v>575</v>
      </c>
      <c r="G1695" s="3" t="s">
        <v>140</v>
      </c>
      <c r="H1695" s="2" t="s">
        <v>74</v>
      </c>
      <c r="I1695" s="2" t="s">
        <v>4777</v>
      </c>
      <c r="J1695" s="3" t="str">
        <f>HYPERLINK("https://www.boe.es/gazeta/dias/1810/08/11/pdfs/GMD-1810-223.pdf#page=4","Abrir facsímil")</f>
        <v>Abrir facsímil</v>
      </c>
      <c r="K1695" s="3" t="s">
        <v>76</v>
      </c>
    </row>
    <row r="1696" spans="1:11" ht="42" customHeight="1">
      <c r="A1696" s="2" t="s">
        <v>4778</v>
      </c>
      <c r="B1696" s="2" t="s">
        <v>4779</v>
      </c>
      <c r="C1696" s="2" t="s">
        <v>26</v>
      </c>
      <c r="D1696" s="2" t="s">
        <v>27</v>
      </c>
      <c r="E1696" s="4">
        <v>-32556</v>
      </c>
      <c r="F1696" s="3" t="s">
        <v>799</v>
      </c>
      <c r="G1696" s="3" t="s">
        <v>70</v>
      </c>
      <c r="H1696" s="2" t="s">
        <v>74</v>
      </c>
      <c r="I1696" s="2" t="s">
        <v>4780</v>
      </c>
      <c r="J1696" s="3" t="str">
        <f>HYPERLINK("https://www.boe.es/gazeta/dias/1810/11/11/pdfs/GMD-1810-315.pdf#page=4","Abrir facsímil")</f>
        <v>Abrir facsímil</v>
      </c>
      <c r="K1696" s="3" t="s">
        <v>76</v>
      </c>
    </row>
    <row r="1697" spans="1:11" ht="42" customHeight="1">
      <c r="A1697" s="2" t="s">
        <v>4781</v>
      </c>
      <c r="B1697" s="2" t="s">
        <v>4782</v>
      </c>
      <c r="C1697" s="2" t="s">
        <v>26</v>
      </c>
      <c r="D1697" s="2" t="s">
        <v>27</v>
      </c>
      <c r="E1697" s="4">
        <v>-32718</v>
      </c>
      <c r="F1697" s="3" t="s">
        <v>2566</v>
      </c>
      <c r="G1697" s="3" t="s">
        <v>213</v>
      </c>
      <c r="H1697" s="2" t="s">
        <v>74</v>
      </c>
      <c r="I1697" s="2" t="s">
        <v>4783</v>
      </c>
      <c r="J1697" s="3" t="str">
        <f>HYPERLINK("https://www.boe.es/gazeta/dias/1810/06/02/pdfs/GMD-1810-153.pdf#page=1","Abrir facsímil")</f>
        <v>Abrir facsímil</v>
      </c>
      <c r="K1697" s="3" t="s">
        <v>76</v>
      </c>
    </row>
    <row r="1698" spans="1:11" ht="42" customHeight="1">
      <c r="A1698" s="2" t="s">
        <v>4784</v>
      </c>
      <c r="B1698" s="2" t="s">
        <v>4785</v>
      </c>
      <c r="C1698" s="2" t="s">
        <v>26</v>
      </c>
      <c r="D1698" s="2" t="s">
        <v>27</v>
      </c>
      <c r="E1698" s="4">
        <v>-32543</v>
      </c>
      <c r="F1698" s="3" t="s">
        <v>69</v>
      </c>
      <c r="G1698" s="3" t="s">
        <v>70</v>
      </c>
      <c r="H1698" s="2" t="s">
        <v>74</v>
      </c>
      <c r="I1698" s="2" t="s">
        <v>4786</v>
      </c>
      <c r="J1698" s="3" t="str">
        <f>HYPERLINK("https://www.boe.es/gazeta/dias/1810/11/24/pdfs/GEI-1810-99.pdf#page=8","Abrir facsímil")</f>
        <v>Abrir facsímil</v>
      </c>
      <c r="K1698" s="3" t="s">
        <v>76</v>
      </c>
    </row>
    <row r="1699" spans="1:11" ht="42" customHeight="1">
      <c r="A1699" s="2" t="s">
        <v>4787</v>
      </c>
      <c r="B1699" s="2" t="s">
        <v>4788</v>
      </c>
      <c r="C1699" s="2" t="s">
        <v>111</v>
      </c>
      <c r="D1699" s="2" t="s">
        <v>27</v>
      </c>
      <c r="E1699" s="4">
        <v>-32632</v>
      </c>
      <c r="F1699" s="3" t="s">
        <v>358</v>
      </c>
      <c r="G1699" s="3" t="s">
        <v>359</v>
      </c>
      <c r="H1699" s="2" t="s">
        <v>74</v>
      </c>
      <c r="I1699" s="2" t="s">
        <v>4789</v>
      </c>
      <c r="J1699" s="3" t="str">
        <f>HYPERLINK("https://www.boe.es/gazeta/dias/1810/08/27/pdfs/GMD-1810-239.pdf#page=3","Abrir facsímil")</f>
        <v>Abrir facsímil</v>
      </c>
      <c r="K1699" s="3" t="s">
        <v>76</v>
      </c>
    </row>
    <row r="1700" spans="1:11" ht="42" customHeight="1">
      <c r="A1700" s="2" t="s">
        <v>4790</v>
      </c>
      <c r="B1700" s="2" t="s">
        <v>4791</v>
      </c>
      <c r="C1700" s="2" t="s">
        <v>26</v>
      </c>
      <c r="D1700" s="2" t="s">
        <v>39</v>
      </c>
      <c r="E1700" s="4">
        <v>-32701</v>
      </c>
      <c r="F1700" s="3" t="s">
        <v>40</v>
      </c>
      <c r="G1700" s="3" t="s">
        <v>333</v>
      </c>
      <c r="H1700" s="2" t="s">
        <v>74</v>
      </c>
      <c r="I1700" s="2" t="s">
        <v>4792</v>
      </c>
      <c r="J1700" s="3" t="str">
        <f>HYPERLINK("https://www.boe.es/gazeta/dias/1810/06/19/pdfs/GMD-C-1810-170.pdf#page=4","Abrir facsímil")</f>
        <v>Abrir facsímil</v>
      </c>
      <c r="K1700" s="3" t="s">
        <v>76</v>
      </c>
    </row>
    <row r="1701" spans="1:11" ht="42" customHeight="1">
      <c r="A1701" s="2" t="s">
        <v>4793</v>
      </c>
      <c r="B1701" s="2" t="s">
        <v>4794</v>
      </c>
      <c r="C1701" s="2" t="s">
        <v>17</v>
      </c>
      <c r="D1701" s="2" t="s">
        <v>27</v>
      </c>
      <c r="E1701" s="4">
        <v>-32741</v>
      </c>
      <c r="F1701" s="3" t="s">
        <v>98</v>
      </c>
      <c r="G1701" s="3" t="s">
        <v>90</v>
      </c>
      <c r="H1701" s="2" t="s">
        <v>74</v>
      </c>
      <c r="I1701" s="2" t="s">
        <v>4795</v>
      </c>
      <c r="J1701" s="3" t="str">
        <f>HYPERLINK("https://www.boe.es/gazeta/dias/1810/05/10/pdfs/GMD-1810-130.pdf#page=4","Abrir facsímil")</f>
        <v>Abrir facsímil</v>
      </c>
      <c r="K1701" s="3" t="s">
        <v>76</v>
      </c>
    </row>
    <row r="1702" spans="1:11" ht="42" customHeight="1">
      <c r="A1702" s="2" t="s">
        <v>4796</v>
      </c>
      <c r="B1702" s="2" t="s">
        <v>4796</v>
      </c>
      <c r="C1702" s="2" t="s">
        <v>88</v>
      </c>
      <c r="D1702" s="2" t="s">
        <v>27</v>
      </c>
      <c r="E1702" s="4">
        <v>-32787</v>
      </c>
      <c r="F1702" s="3" t="s">
        <v>4797</v>
      </c>
      <c r="G1702" s="3" t="s">
        <v>4798</v>
      </c>
      <c r="H1702" s="2" t="s">
        <v>74</v>
      </c>
      <c r="I1702" s="2" t="s">
        <v>4799</v>
      </c>
      <c r="J1702" s="3" t="str">
        <f>HYPERLINK("https://www.boe.es/gazeta/dias/1810/03/25/pdfs/GMD-1810-84.pdf#page=2","Abrir facsímil")</f>
        <v>Abrir facsímil</v>
      </c>
      <c r="K1702" s="3" t="s">
        <v>76</v>
      </c>
    </row>
    <row r="1703" spans="1:11" ht="42" customHeight="1">
      <c r="A1703" s="2" t="s">
        <v>4800</v>
      </c>
      <c r="B1703" s="2" t="s">
        <v>4800</v>
      </c>
      <c r="C1703" s="2" t="s">
        <v>88</v>
      </c>
      <c r="D1703" s="2" t="s">
        <v>18</v>
      </c>
      <c r="E1703" s="4">
        <v>-32787</v>
      </c>
      <c r="F1703" s="3" t="s">
        <v>4797</v>
      </c>
      <c r="G1703" s="3" t="s">
        <v>4798</v>
      </c>
      <c r="H1703" s="2" t="s">
        <v>74</v>
      </c>
      <c r="I1703" s="2" t="s">
        <v>4801</v>
      </c>
      <c r="J1703" s="3" t="str">
        <f>HYPERLINK("https://www.boe.es/gazeta/dias/1810/03/25/pdfs/GMD-1810-84.pdf#page=2","Abrir facsímil")</f>
        <v>Abrir facsímil</v>
      </c>
      <c r="K1703" s="3" t="s">
        <v>76</v>
      </c>
    </row>
    <row r="1704" spans="1:11" ht="42" customHeight="1">
      <c r="A1704" s="2" t="s">
        <v>4800</v>
      </c>
      <c r="B1704" s="2" t="s">
        <v>4800</v>
      </c>
      <c r="C1704" s="2" t="s">
        <v>88</v>
      </c>
      <c r="D1704" s="2" t="s">
        <v>117</v>
      </c>
      <c r="E1704" s="4">
        <v>-32673</v>
      </c>
      <c r="F1704" s="3" t="s">
        <v>2174</v>
      </c>
      <c r="G1704" s="3" t="s">
        <v>4802</v>
      </c>
      <c r="H1704" s="2" t="s">
        <v>74</v>
      </c>
      <c r="I1704" s="2" t="s">
        <v>4803</v>
      </c>
      <c r="J1704" s="3" t="str">
        <f>HYPERLINK("https://www.boe.es/gazeta/dias/1810/07/17/pdfs/GEI-1810-45.pdf#page=1","Abrir facsímil")</f>
        <v>Abrir facsímil</v>
      </c>
      <c r="K1704" s="3" t="s">
        <v>76</v>
      </c>
    </row>
    <row r="1705" spans="1:11" ht="42" customHeight="1">
      <c r="A1705" s="2" t="s">
        <v>4804</v>
      </c>
      <c r="B1705" s="2" t="s">
        <v>4805</v>
      </c>
      <c r="C1705" s="2" t="s">
        <v>26</v>
      </c>
      <c r="D1705" s="2" t="s">
        <v>27</v>
      </c>
      <c r="E1705" s="4">
        <v>-32647</v>
      </c>
      <c r="F1705" s="3" t="s">
        <v>118</v>
      </c>
      <c r="G1705" s="3" t="s">
        <v>119</v>
      </c>
      <c r="H1705" s="2" t="s">
        <v>74</v>
      </c>
      <c r="I1705" s="2" t="s">
        <v>4806</v>
      </c>
      <c r="J1705" s="3" t="str">
        <f>HYPERLINK("https://www.boe.es/gazeta/dias/1810/08/12/pdfs/GMD-1810-224.pdf#page=3","Abrir facsímil")</f>
        <v>Abrir facsímil</v>
      </c>
      <c r="K1705" s="3" t="s">
        <v>76</v>
      </c>
    </row>
    <row r="1706" spans="1:11" ht="42" customHeight="1">
      <c r="A1706" s="2" t="s">
        <v>4807</v>
      </c>
      <c r="B1706" s="2" t="s">
        <v>4808</v>
      </c>
      <c r="C1706" s="2" t="s">
        <v>26</v>
      </c>
      <c r="D1706" s="2" t="s">
        <v>27</v>
      </c>
      <c r="E1706" s="4">
        <v>-32557</v>
      </c>
      <c r="F1706" s="3" t="s">
        <v>837</v>
      </c>
      <c r="G1706" s="3" t="s">
        <v>2073</v>
      </c>
      <c r="H1706" s="2" t="s">
        <v>74</v>
      </c>
      <c r="I1706" s="2" t="s">
        <v>4809</v>
      </c>
      <c r="J1706" s="3" t="str">
        <f>HYPERLINK("https://www.boe.es/gazeta/dias/1810/11/10/pdfs/GEI-1810-93.pdf#page=7","Abrir facsímil")</f>
        <v>Abrir facsímil</v>
      </c>
      <c r="K1706" s="3" t="s">
        <v>76</v>
      </c>
    </row>
    <row r="1707" spans="1:11" ht="42" customHeight="1">
      <c r="A1707" s="2" t="s">
        <v>4810</v>
      </c>
      <c r="B1707" s="2" t="s">
        <v>4810</v>
      </c>
      <c r="C1707" s="2" t="s">
        <v>26</v>
      </c>
      <c r="D1707" s="2" t="s">
        <v>27</v>
      </c>
      <c r="E1707" s="4">
        <v>-32701</v>
      </c>
      <c r="F1707" s="3" t="s">
        <v>1019</v>
      </c>
      <c r="G1707" s="3" t="s">
        <v>180</v>
      </c>
      <c r="H1707" s="2" t="s">
        <v>74</v>
      </c>
      <c r="I1707" s="2" t="s">
        <v>4811</v>
      </c>
      <c r="J1707" s="3" t="str">
        <f>HYPERLINK("https://www.boe.es/gazeta/dias/1810/06/19/pdfs/GMD-1810-170.pdf#page=1","Abrir facsímil")</f>
        <v>Abrir facsímil</v>
      </c>
      <c r="K1707" s="3" t="s">
        <v>76</v>
      </c>
    </row>
    <row r="1708" spans="1:11" ht="42" customHeight="1">
      <c r="A1708" s="2" t="s">
        <v>4812</v>
      </c>
      <c r="B1708" s="2" t="s">
        <v>4812</v>
      </c>
      <c r="C1708" s="2" t="s">
        <v>88</v>
      </c>
      <c r="D1708" s="2" t="s">
        <v>27</v>
      </c>
      <c r="E1708" s="4">
        <v>-32621</v>
      </c>
      <c r="F1708" s="3" t="s">
        <v>674</v>
      </c>
      <c r="G1708" s="3" t="s">
        <v>20</v>
      </c>
      <c r="H1708" s="2" t="s">
        <v>74</v>
      </c>
      <c r="I1708" s="2" t="s">
        <v>4813</v>
      </c>
      <c r="J1708" s="3" t="str">
        <f>HYPERLINK("https://www.boe.es/gazeta/dias/1810/09/07/pdfs/GEI-1810-65.pdf#page=4","Abrir facsímil")</f>
        <v>Abrir facsímil</v>
      </c>
      <c r="K1708" s="3" t="s">
        <v>76</v>
      </c>
    </row>
    <row r="1709" spans="1:11" ht="42" customHeight="1">
      <c r="A1709" s="2" t="s">
        <v>4814</v>
      </c>
      <c r="B1709" s="2" t="s">
        <v>4814</v>
      </c>
      <c r="C1709" s="2" t="s">
        <v>88</v>
      </c>
      <c r="D1709" s="2" t="s">
        <v>27</v>
      </c>
      <c r="E1709" s="4">
        <v>-32648</v>
      </c>
      <c r="F1709" s="3" t="s">
        <v>575</v>
      </c>
      <c r="G1709" s="3" t="s">
        <v>70</v>
      </c>
      <c r="H1709" s="2" t="s">
        <v>74</v>
      </c>
      <c r="I1709" s="2" t="s">
        <v>4815</v>
      </c>
      <c r="J1709" s="3" t="str">
        <f>HYPERLINK("https://www.boe.es/gazeta/dias/1810/08/11/pdfs/GMD-1810-223.pdf#page=2","Abrir facsímil")</f>
        <v>Abrir facsímil</v>
      </c>
      <c r="K1709" s="3" t="s">
        <v>76</v>
      </c>
    </row>
    <row r="1710" spans="1:11" ht="42" customHeight="1">
      <c r="A1710" s="2" t="s">
        <v>4816</v>
      </c>
      <c r="B1710" s="2" t="s">
        <v>4817</v>
      </c>
      <c r="C1710" s="2" t="s">
        <v>88</v>
      </c>
      <c r="D1710" s="2" t="s">
        <v>220</v>
      </c>
      <c r="E1710" s="4">
        <v>-32761</v>
      </c>
      <c r="F1710" s="3" t="s">
        <v>2093</v>
      </c>
      <c r="G1710" s="3" t="s">
        <v>140</v>
      </c>
      <c r="H1710" s="2" t="s">
        <v>74</v>
      </c>
      <c r="I1710" s="2" t="s">
        <v>4818</v>
      </c>
      <c r="J1710" s="3" t="str">
        <f>HYPERLINK("https://www.boe.es/gazeta/dias/1810/04/20/pdfs/GMD-1810-110.pdf#page=1","Abrir facsímil")</f>
        <v>Abrir facsímil</v>
      </c>
      <c r="K1710" s="3" t="s">
        <v>76</v>
      </c>
    </row>
    <row r="1711" spans="1:11" ht="42" customHeight="1">
      <c r="A1711" s="2" t="s">
        <v>4816</v>
      </c>
      <c r="B1711" s="2" t="s">
        <v>4817</v>
      </c>
      <c r="C1711" s="2" t="s">
        <v>26</v>
      </c>
      <c r="D1711" s="2" t="s">
        <v>18</v>
      </c>
      <c r="E1711" s="4">
        <v>-32645</v>
      </c>
      <c r="F1711" s="3" t="s">
        <v>4819</v>
      </c>
      <c r="G1711" s="3" t="s">
        <v>4820</v>
      </c>
      <c r="H1711" s="2" t="s">
        <v>74</v>
      </c>
      <c r="I1711" s="2" t="s">
        <v>4821</v>
      </c>
      <c r="J1711" s="3" t="str">
        <f>HYPERLINK("https://www.boe.es/gazeta/dias/1810/08/14/pdfs/GMD-1810-226.pdf#page=1","Abrir facsímil")</f>
        <v>Abrir facsímil</v>
      </c>
      <c r="K1711" s="3" t="s">
        <v>76</v>
      </c>
    </row>
    <row r="1712" spans="1:11" ht="42" customHeight="1">
      <c r="A1712" s="2" t="s">
        <v>4822</v>
      </c>
      <c r="B1712" s="2" t="s">
        <v>4822</v>
      </c>
      <c r="C1712" s="2" t="s">
        <v>88</v>
      </c>
      <c r="D1712" s="2" t="s">
        <v>117</v>
      </c>
      <c r="E1712" s="4">
        <v>-32605</v>
      </c>
      <c r="F1712" s="3" t="s">
        <v>4823</v>
      </c>
      <c r="G1712" s="3" t="s">
        <v>749</v>
      </c>
      <c r="H1712" s="2" t="s">
        <v>74</v>
      </c>
      <c r="I1712" s="2" t="s">
        <v>4824</v>
      </c>
      <c r="J1712" s="3" t="str">
        <f>HYPERLINK("https://www.boe.es/gazeta/dias/1810/09/23/pdfs/GMD-1810-266.pdf#page=1","Abrir facsímil")</f>
        <v>Abrir facsímil</v>
      </c>
      <c r="K1712" s="3" t="s">
        <v>76</v>
      </c>
    </row>
    <row r="1713" spans="1:11" ht="42" customHeight="1">
      <c r="A1713" s="2" t="s">
        <v>4825</v>
      </c>
      <c r="B1713" s="2" t="s">
        <v>4826</v>
      </c>
      <c r="C1713" s="2" t="s">
        <v>26</v>
      </c>
      <c r="D1713" s="2" t="s">
        <v>39</v>
      </c>
      <c r="E1713" s="4">
        <v>-32701</v>
      </c>
      <c r="F1713" s="3" t="s">
        <v>40</v>
      </c>
      <c r="G1713" s="3" t="s">
        <v>170</v>
      </c>
      <c r="H1713" s="2" t="s">
        <v>21</v>
      </c>
      <c r="I1713" s="2" t="s">
        <v>4827</v>
      </c>
      <c r="J1713" s="3" t="str">
        <f>HYPERLINK("https://www.boe.es/gazeta/dias/1810/06/19/pdfs/GMD-C-1810-170.pdf#page=1","Abrir facsímil")</f>
        <v>Abrir facsímil</v>
      </c>
      <c r="K1713" s="3" t="s">
        <v>23</v>
      </c>
    </row>
    <row r="1714" spans="1:11" ht="42" customHeight="1">
      <c r="A1714" s="2" t="s">
        <v>4828</v>
      </c>
      <c r="B1714" s="2" t="s">
        <v>4829</v>
      </c>
      <c r="C1714" s="2" t="s">
        <v>26</v>
      </c>
      <c r="D1714" s="2" t="s">
        <v>39</v>
      </c>
      <c r="E1714" s="4">
        <v>-32661</v>
      </c>
      <c r="F1714" s="3" t="s">
        <v>157</v>
      </c>
      <c r="G1714" s="3" t="s">
        <v>592</v>
      </c>
      <c r="H1714" s="2" t="s">
        <v>21</v>
      </c>
      <c r="I1714" s="2" t="s">
        <v>4830</v>
      </c>
      <c r="J1714" s="3" t="str">
        <f>HYPERLINK("https://www.boe.es/gazeta/dias/1810/07/29/pdfs/GMD-C-1810-210.pdf#page=2","Abrir facsímil")</f>
        <v>Abrir facsímil</v>
      </c>
      <c r="K1714" s="3" t="s">
        <v>23</v>
      </c>
    </row>
    <row r="1715" spans="1:11" ht="42" customHeight="1">
      <c r="A1715" s="2" t="s">
        <v>4831</v>
      </c>
      <c r="B1715" s="2" t="s">
        <v>4832</v>
      </c>
      <c r="C1715" s="2" t="s">
        <v>26</v>
      </c>
      <c r="D1715" s="2" t="s">
        <v>39</v>
      </c>
      <c r="E1715" s="4">
        <v>-32661</v>
      </c>
      <c r="F1715" s="3" t="s">
        <v>157</v>
      </c>
      <c r="G1715" s="3" t="s">
        <v>158</v>
      </c>
      <c r="H1715" s="2" t="s">
        <v>21</v>
      </c>
      <c r="I1715" s="2" t="s">
        <v>4833</v>
      </c>
      <c r="J1715" s="3" t="str">
        <f>HYPERLINK("https://www.boe.es/gazeta/dias/1810/07/29/pdfs/GMD-C-1810-210.pdf#page=1","Abrir facsímil")</f>
        <v>Abrir facsímil</v>
      </c>
      <c r="K1715" s="3" t="s">
        <v>23</v>
      </c>
    </row>
    <row r="1716" spans="1:11" ht="42" customHeight="1">
      <c r="A1716" s="2" t="s">
        <v>4834</v>
      </c>
      <c r="B1716" s="2" t="s">
        <v>4835</v>
      </c>
      <c r="C1716" s="2" t="s">
        <v>26</v>
      </c>
      <c r="D1716" s="2" t="s">
        <v>27</v>
      </c>
      <c r="E1716" s="4">
        <v>-32647</v>
      </c>
      <c r="F1716" s="3" t="s">
        <v>118</v>
      </c>
      <c r="G1716" s="3" t="s">
        <v>20</v>
      </c>
      <c r="H1716" s="2" t="s">
        <v>21</v>
      </c>
      <c r="I1716" s="2" t="s">
        <v>4836</v>
      </c>
      <c r="J1716" s="3" t="str">
        <f>HYPERLINK("https://www.boe.es/gazeta/dias/1810/08/12/pdfs/GMD-1810-224.pdf#page=4","Abrir facsímil")</f>
        <v>Abrir facsímil</v>
      </c>
      <c r="K1716" s="3" t="s">
        <v>23</v>
      </c>
    </row>
    <row r="1717" spans="1:11" ht="42" customHeight="1">
      <c r="A1717" s="2" t="s">
        <v>4837</v>
      </c>
      <c r="B1717" s="2" t="s">
        <v>4838</v>
      </c>
      <c r="C1717" s="2" t="s">
        <v>26</v>
      </c>
      <c r="D1717" s="2" t="s">
        <v>27</v>
      </c>
      <c r="E1717" s="4">
        <v>-32509</v>
      </c>
      <c r="F1717" s="3" t="s">
        <v>212</v>
      </c>
      <c r="G1717" s="3" t="s">
        <v>213</v>
      </c>
      <c r="H1717" s="2" t="s">
        <v>21</v>
      </c>
      <c r="I1717" s="2" t="s">
        <v>4839</v>
      </c>
      <c r="J1717" s="3" t="str">
        <f>HYPERLINK("https://www.boe.es/gazeta/dias/1810/12/28/pdfs/GMD-1810-362.pdf#page=4","Abrir facsímil")</f>
        <v>Abrir facsímil</v>
      </c>
      <c r="K1717" s="3" t="s">
        <v>23</v>
      </c>
    </row>
    <row r="1718" spans="1:11" ht="42" customHeight="1">
      <c r="A1718" s="2" t="s">
        <v>4840</v>
      </c>
      <c r="B1718" s="2" t="s">
        <v>4841</v>
      </c>
      <c r="C1718" s="2" t="s">
        <v>26</v>
      </c>
      <c r="D1718" s="2" t="s">
        <v>27</v>
      </c>
      <c r="E1718" s="4">
        <v>-32547</v>
      </c>
      <c r="F1718" s="3" t="s">
        <v>407</v>
      </c>
      <c r="G1718" s="3" t="s">
        <v>408</v>
      </c>
      <c r="H1718" s="2" t="s">
        <v>21</v>
      </c>
      <c r="I1718" s="2" t="s">
        <v>4842</v>
      </c>
      <c r="J1718" s="3" t="str">
        <f>HYPERLINK("https://www.boe.es/gazeta/dias/1810/11/20/pdfs/GEI-1810-97.pdf#page=8","Abrir facsímil")</f>
        <v>Abrir facsímil</v>
      </c>
      <c r="K1718" s="3" t="s">
        <v>23</v>
      </c>
    </row>
    <row r="1719" spans="1:11" ht="42" customHeight="1">
      <c r="A1719" s="2" t="s">
        <v>4843</v>
      </c>
      <c r="B1719" s="2" t="s">
        <v>4844</v>
      </c>
      <c r="C1719" s="2" t="s">
        <v>26</v>
      </c>
      <c r="D1719" s="2" t="s">
        <v>27</v>
      </c>
      <c r="E1719" s="4">
        <v>-32678</v>
      </c>
      <c r="F1719" s="3" t="s">
        <v>3679</v>
      </c>
      <c r="G1719" s="3" t="s">
        <v>971</v>
      </c>
      <c r="H1719" s="2" t="s">
        <v>21</v>
      </c>
      <c r="I1719" s="2" t="s">
        <v>4845</v>
      </c>
      <c r="J1719" s="3" t="str">
        <f>HYPERLINK("https://www.boe.es/gazeta/dias/1810/07/12/pdfs/GMD-1810-193.pdf#page=1","Abrir facsímil")</f>
        <v>Abrir facsímil</v>
      </c>
      <c r="K1719" s="3" t="s">
        <v>23</v>
      </c>
    </row>
    <row r="1720" spans="1:11" ht="42" customHeight="1">
      <c r="A1720" s="2" t="s">
        <v>4846</v>
      </c>
      <c r="B1720" s="2" t="s">
        <v>4847</v>
      </c>
      <c r="C1720" s="2" t="s">
        <v>26</v>
      </c>
      <c r="D1720" s="2" t="s">
        <v>27</v>
      </c>
      <c r="E1720" s="4">
        <v>-32669</v>
      </c>
      <c r="F1720" s="3" t="s">
        <v>217</v>
      </c>
      <c r="G1720" s="3" t="s">
        <v>20</v>
      </c>
      <c r="H1720" s="2" t="s">
        <v>21</v>
      </c>
      <c r="I1720" s="2" t="s">
        <v>4848</v>
      </c>
      <c r="J1720" s="3" t="str">
        <f>HYPERLINK("https://www.boe.es/gazeta/dias/1810/07/21/pdfs/GMD-1810-202.pdf#page=4","Abrir facsímil")</f>
        <v>Abrir facsímil</v>
      </c>
      <c r="K1720" s="3" t="s">
        <v>23</v>
      </c>
    </row>
    <row r="1721" spans="1:11" ht="42" customHeight="1">
      <c r="A1721" s="2" t="s">
        <v>4849</v>
      </c>
      <c r="B1721" s="2" t="s">
        <v>4850</v>
      </c>
      <c r="C1721" s="2" t="s">
        <v>26</v>
      </c>
      <c r="D1721" s="2" t="s">
        <v>27</v>
      </c>
      <c r="E1721" s="4">
        <v>-32710</v>
      </c>
      <c r="F1721" s="3" t="s">
        <v>126</v>
      </c>
      <c r="G1721" s="3" t="s">
        <v>20</v>
      </c>
      <c r="H1721" s="2" t="s">
        <v>21</v>
      </c>
      <c r="I1721" s="2" t="s">
        <v>4851</v>
      </c>
      <c r="J1721" s="3" t="str">
        <f>HYPERLINK("https://www.boe.es/gazeta/dias/1810/06/10/pdfs/GMD-1810-161.pdf#page=4","Abrir facsímil")</f>
        <v>Abrir facsímil</v>
      </c>
      <c r="K1721" s="3" t="s">
        <v>23</v>
      </c>
    </row>
    <row r="1722" spans="1:11" ht="42" customHeight="1">
      <c r="A1722" s="2" t="s">
        <v>4852</v>
      </c>
      <c r="B1722" s="2" t="s">
        <v>4853</v>
      </c>
      <c r="C1722" s="2" t="s">
        <v>26</v>
      </c>
      <c r="D1722" s="2" t="s">
        <v>39</v>
      </c>
      <c r="E1722" s="4">
        <v>-32702</v>
      </c>
      <c r="F1722" s="3" t="s">
        <v>179</v>
      </c>
      <c r="G1722" s="3" t="s">
        <v>119</v>
      </c>
      <c r="H1722" s="2" t="s">
        <v>21</v>
      </c>
      <c r="I1722" s="2" t="s">
        <v>4854</v>
      </c>
      <c r="J1722" s="3" t="str">
        <f>HYPERLINK("https://www.boe.es/gazeta/dias/1810/06/18/pdfs/GMD-C-1810-169.pdf#page=1","Abrir facsímil")</f>
        <v>Abrir facsímil</v>
      </c>
      <c r="K1722" s="3" t="s">
        <v>23</v>
      </c>
    </row>
    <row r="1723" spans="1:11" ht="42" customHeight="1">
      <c r="A1723" s="2" t="s">
        <v>4855</v>
      </c>
      <c r="B1723" s="2" t="s">
        <v>4856</v>
      </c>
      <c r="C1723" s="2" t="s">
        <v>26</v>
      </c>
      <c r="D1723" s="2" t="s">
        <v>27</v>
      </c>
      <c r="E1723" s="4">
        <v>-32839</v>
      </c>
      <c r="F1723" s="3" t="s">
        <v>28</v>
      </c>
      <c r="G1723" s="3" t="s">
        <v>29</v>
      </c>
      <c r="H1723" s="2" t="s">
        <v>21</v>
      </c>
      <c r="I1723" s="2" t="s">
        <v>4857</v>
      </c>
      <c r="J1723" s="3" t="str">
        <f>HYPERLINK("https://www.boe.es/gazeta/dias/1810/02/01/pdfs/GMD-1810-32.pdf#page=3","Abrir facsímil")</f>
        <v>Abrir facsímil</v>
      </c>
      <c r="K1723" s="3" t="s">
        <v>23</v>
      </c>
    </row>
    <row r="1724" spans="1:11" ht="42" customHeight="1">
      <c r="A1724" s="2" t="s">
        <v>4858</v>
      </c>
      <c r="B1724" s="2" t="s">
        <v>4859</v>
      </c>
      <c r="C1724" s="2" t="s">
        <v>26</v>
      </c>
      <c r="D1724" s="2" t="s">
        <v>27</v>
      </c>
      <c r="E1724" s="4">
        <v>-32589</v>
      </c>
      <c r="F1724" s="3" t="s">
        <v>3026</v>
      </c>
      <c r="G1724" s="3" t="s">
        <v>3027</v>
      </c>
      <c r="H1724" s="2" t="s">
        <v>21</v>
      </c>
      <c r="I1724" s="2" t="s">
        <v>4860</v>
      </c>
      <c r="J1724" s="3" t="str">
        <f>HYPERLINK("https://www.boe.es/gazeta/dias/1810/10/09/pdfs/GEI-1810-79.pdf#page=4","Abrir facsímil")</f>
        <v>Abrir facsímil</v>
      </c>
      <c r="K1724" s="3" t="s">
        <v>23</v>
      </c>
    </row>
    <row r="1725" spans="1:11" ht="42" customHeight="1">
      <c r="A1725" s="2" t="s">
        <v>4861</v>
      </c>
      <c r="B1725" s="2" t="s">
        <v>4862</v>
      </c>
      <c r="C1725" s="2" t="s">
        <v>26</v>
      </c>
      <c r="D1725" s="2" t="s">
        <v>27</v>
      </c>
      <c r="E1725" s="4">
        <v>-32704</v>
      </c>
      <c r="F1725" s="3" t="s">
        <v>94</v>
      </c>
      <c r="G1725" s="3" t="s">
        <v>20</v>
      </c>
      <c r="H1725" s="2" t="s">
        <v>21</v>
      </c>
      <c r="I1725" s="2" t="s">
        <v>4863</v>
      </c>
      <c r="J1725" s="3" t="str">
        <f>HYPERLINK("https://www.boe.es/gazeta/dias/1810/06/16/pdfs/GMD-1810-167.pdf#page=4","Abrir facsímil")</f>
        <v>Abrir facsímil</v>
      </c>
      <c r="K1725" s="3" t="s">
        <v>23</v>
      </c>
    </row>
    <row r="1726" spans="1:11" ht="42" customHeight="1">
      <c r="A1726" s="2" t="s">
        <v>4864</v>
      </c>
      <c r="B1726" s="2" t="s">
        <v>4865</v>
      </c>
      <c r="C1726" s="2" t="s">
        <v>26</v>
      </c>
      <c r="D1726" s="2" t="s">
        <v>27</v>
      </c>
      <c r="E1726" s="4">
        <v>-32647</v>
      </c>
      <c r="F1726" s="3" t="s">
        <v>118</v>
      </c>
      <c r="G1726" s="3" t="s">
        <v>20</v>
      </c>
      <c r="H1726" s="2" t="s">
        <v>21</v>
      </c>
      <c r="I1726" s="2" t="s">
        <v>4866</v>
      </c>
      <c r="J1726" s="3" t="str">
        <f>HYPERLINK("https://www.boe.es/gazeta/dias/1810/08/12/pdfs/GMD-1810-224.pdf#page=4","Abrir facsímil")</f>
        <v>Abrir facsímil</v>
      </c>
      <c r="K1726" s="3" t="s">
        <v>23</v>
      </c>
    </row>
    <row r="1727" spans="1:11" ht="42" customHeight="1">
      <c r="A1727" s="2" t="s">
        <v>4867</v>
      </c>
      <c r="B1727" s="2" t="s">
        <v>4868</v>
      </c>
      <c r="C1727" s="2" t="s">
        <v>33</v>
      </c>
      <c r="D1727" s="2" t="s">
        <v>27</v>
      </c>
      <c r="E1727" s="4">
        <v>-32784</v>
      </c>
      <c r="F1727" s="3" t="s">
        <v>429</v>
      </c>
      <c r="G1727" s="3" t="s">
        <v>1821</v>
      </c>
      <c r="H1727" s="2" t="s">
        <v>21</v>
      </c>
      <c r="I1727" s="2" t="s">
        <v>4869</v>
      </c>
      <c r="J1727" s="3" t="str">
        <f>HYPERLINK("https://www.boe.es/gazeta/dias/1810/03/28/pdfs/GMD-1810-87.pdf#page=4","Abrir facsímil")</f>
        <v>Abrir facsímil</v>
      </c>
      <c r="K1727" s="3" t="s">
        <v>23</v>
      </c>
    </row>
    <row r="1728" spans="1:11" ht="42" customHeight="1">
      <c r="A1728" s="2" t="s">
        <v>4870</v>
      </c>
      <c r="B1728" s="2" t="s">
        <v>4871</v>
      </c>
      <c r="C1728" s="2" t="s">
        <v>26</v>
      </c>
      <c r="D1728" s="2" t="s">
        <v>39</v>
      </c>
      <c r="E1728" s="4">
        <v>-32702</v>
      </c>
      <c r="F1728" s="3" t="s">
        <v>179</v>
      </c>
      <c r="G1728" s="3" t="s">
        <v>119</v>
      </c>
      <c r="H1728" s="2" t="s">
        <v>21</v>
      </c>
      <c r="I1728" s="2" t="s">
        <v>4872</v>
      </c>
      <c r="J1728" s="3" t="str">
        <f>HYPERLINK("https://www.boe.es/gazeta/dias/1810/06/18/pdfs/GMD-C-1810-169.pdf#page=1","Abrir facsímil")</f>
        <v>Abrir facsímil</v>
      </c>
      <c r="K1728" s="3" t="s">
        <v>23</v>
      </c>
    </row>
    <row r="1729" spans="1:11" ht="42" customHeight="1">
      <c r="A1729" s="2" t="s">
        <v>4873</v>
      </c>
      <c r="B1729" s="2" t="s">
        <v>4874</v>
      </c>
      <c r="C1729" s="2" t="s">
        <v>88</v>
      </c>
      <c r="D1729" s="2" t="s">
        <v>18</v>
      </c>
      <c r="E1729" s="4">
        <v>-32820</v>
      </c>
      <c r="F1729" s="3" t="s">
        <v>226</v>
      </c>
      <c r="G1729" s="3" t="s">
        <v>356</v>
      </c>
      <c r="H1729" s="2" t="s">
        <v>21</v>
      </c>
      <c r="I1729" s="2" t="s">
        <v>4875</v>
      </c>
      <c r="J1729" s="3" t="str">
        <f>HYPERLINK("https://www.boe.es/gazeta/dias/1810/02/20/pdfs/GMD-1810-51.pdf#page=3","Abrir facsímil")</f>
        <v>Abrir facsímil</v>
      </c>
      <c r="K1729" s="3" t="s">
        <v>23</v>
      </c>
    </row>
    <row r="1730" spans="1:11" ht="42" customHeight="1">
      <c r="A1730" s="2" t="s">
        <v>4876</v>
      </c>
      <c r="B1730" s="2" t="s">
        <v>4877</v>
      </c>
      <c r="C1730" s="2" t="s">
        <v>26</v>
      </c>
      <c r="D1730" s="2" t="s">
        <v>27</v>
      </c>
      <c r="E1730" s="4">
        <v>-32756</v>
      </c>
      <c r="F1730" s="3" t="s">
        <v>203</v>
      </c>
      <c r="G1730" s="3" t="s">
        <v>180</v>
      </c>
      <c r="H1730" s="2" t="s">
        <v>21</v>
      </c>
      <c r="I1730" s="2" t="s">
        <v>4878</v>
      </c>
      <c r="J1730" s="3" t="str">
        <f>HYPERLINK("https://www.boe.es/gazeta/dias/1810/04/25/pdfs/GMD-1810-115.pdf#page=4","Abrir facsímil")</f>
        <v>Abrir facsímil</v>
      </c>
      <c r="K1730" s="3" t="s">
        <v>23</v>
      </c>
    </row>
    <row r="1731" spans="1:11" ht="42" customHeight="1">
      <c r="A1731" s="2" t="s">
        <v>4879</v>
      </c>
      <c r="B1731" s="2" t="s">
        <v>4880</v>
      </c>
      <c r="C1731" s="2" t="s">
        <v>26</v>
      </c>
      <c r="D1731" s="2" t="s">
        <v>220</v>
      </c>
      <c r="E1731" s="4">
        <v>-32762</v>
      </c>
      <c r="F1731" s="3" t="s">
        <v>231</v>
      </c>
      <c r="G1731" s="3" t="s">
        <v>29</v>
      </c>
      <c r="H1731" s="2" t="s">
        <v>21</v>
      </c>
      <c r="I1731" s="2" t="s">
        <v>4881</v>
      </c>
      <c r="J1731" s="3" t="str">
        <f>HYPERLINK("https://www.boe.es/gazeta/dias/1810/04/19/pdfs/GMD-1810-109.pdf#page=2","Abrir facsímil")</f>
        <v>Abrir facsímil</v>
      </c>
      <c r="K1731" s="3" t="s">
        <v>23</v>
      </c>
    </row>
    <row r="1732" spans="1:11" ht="42" customHeight="1">
      <c r="A1732" s="2" t="s">
        <v>4882</v>
      </c>
      <c r="B1732" s="2" t="s">
        <v>4883</v>
      </c>
      <c r="C1732" s="2" t="s">
        <v>88</v>
      </c>
      <c r="D1732" s="2" t="s">
        <v>27</v>
      </c>
      <c r="E1732" s="4">
        <v>-32735</v>
      </c>
      <c r="F1732" s="3" t="s">
        <v>612</v>
      </c>
      <c r="G1732" s="3" t="s">
        <v>359</v>
      </c>
      <c r="H1732" s="2" t="s">
        <v>21</v>
      </c>
      <c r="I1732" s="2" t="s">
        <v>4884</v>
      </c>
      <c r="J1732" s="3" t="str">
        <f>HYPERLINK("https://www.boe.es/gazeta/dias/1810/05/16/pdfs/GMD-1810-136.pdf#page=3","Abrir facsímil")</f>
        <v>Abrir facsímil</v>
      </c>
      <c r="K1732" s="3" t="s">
        <v>23</v>
      </c>
    </row>
    <row r="1733" spans="1:11" ht="42" customHeight="1">
      <c r="A1733" s="2" t="s">
        <v>4885</v>
      </c>
      <c r="B1733" s="2" t="s">
        <v>4886</v>
      </c>
      <c r="C1733" s="2" t="s">
        <v>26</v>
      </c>
      <c r="D1733" s="2" t="s">
        <v>39</v>
      </c>
      <c r="E1733" s="4">
        <v>-32661</v>
      </c>
      <c r="F1733" s="3" t="s">
        <v>157</v>
      </c>
      <c r="G1733" s="3" t="s">
        <v>592</v>
      </c>
      <c r="H1733" s="2" t="s">
        <v>21</v>
      </c>
      <c r="I1733" s="2" t="s">
        <v>4887</v>
      </c>
      <c r="J1733" s="3" t="str">
        <f>HYPERLINK("https://www.boe.es/gazeta/dias/1810/07/29/pdfs/GMD-C-1810-210.pdf#page=2","Abrir facsímil")</f>
        <v>Abrir facsímil</v>
      </c>
      <c r="K1733" s="3" t="s">
        <v>23</v>
      </c>
    </row>
    <row r="1734" spans="1:11" ht="42" customHeight="1">
      <c r="A1734" s="2" t="s">
        <v>4888</v>
      </c>
      <c r="B1734" s="2" t="s">
        <v>4889</v>
      </c>
      <c r="C1734" s="2" t="s">
        <v>26</v>
      </c>
      <c r="D1734" s="2" t="s">
        <v>27</v>
      </c>
      <c r="E1734" s="4">
        <v>-32647</v>
      </c>
      <c r="F1734" s="3" t="s">
        <v>118</v>
      </c>
      <c r="G1734" s="3" t="s">
        <v>119</v>
      </c>
      <c r="H1734" s="2" t="s">
        <v>21</v>
      </c>
      <c r="I1734" s="2" t="s">
        <v>4890</v>
      </c>
      <c r="J1734" s="3" t="str">
        <f>HYPERLINK("https://www.boe.es/gazeta/dias/1810/08/12/pdfs/GMD-1810-224.pdf#page=3","Abrir facsímil")</f>
        <v>Abrir facsímil</v>
      </c>
      <c r="K1734" s="3" t="s">
        <v>23</v>
      </c>
    </row>
    <row r="1735" spans="1:11" ht="42" customHeight="1">
      <c r="A1735" s="2" t="s">
        <v>4891</v>
      </c>
      <c r="B1735" s="2" t="s">
        <v>4892</v>
      </c>
      <c r="C1735" s="2" t="s">
        <v>225</v>
      </c>
      <c r="D1735" s="2" t="s">
        <v>27</v>
      </c>
      <c r="E1735" s="4">
        <v>-32509</v>
      </c>
      <c r="F1735" s="3" t="s">
        <v>212</v>
      </c>
      <c r="G1735" s="3" t="s">
        <v>213</v>
      </c>
      <c r="H1735" s="2" t="s">
        <v>21</v>
      </c>
      <c r="I1735" s="2" t="s">
        <v>4893</v>
      </c>
      <c r="J1735" s="3" t="str">
        <f>HYPERLINK("https://www.boe.es/gazeta/dias/1810/12/28/pdfs/GMD-1810-362.pdf#page=4","Abrir facsímil")</f>
        <v>Abrir facsímil</v>
      </c>
      <c r="K1735" s="3" t="s">
        <v>23</v>
      </c>
    </row>
    <row r="1736" spans="1:11" ht="42" customHeight="1">
      <c r="A1736" s="2" t="s">
        <v>4894</v>
      </c>
      <c r="B1736" s="2" t="s">
        <v>4895</v>
      </c>
      <c r="C1736" s="2" t="s">
        <v>26</v>
      </c>
      <c r="D1736" s="2" t="s">
        <v>39</v>
      </c>
      <c r="E1736" s="4">
        <v>-32702</v>
      </c>
      <c r="F1736" s="3" t="s">
        <v>179</v>
      </c>
      <c r="G1736" s="3" t="s">
        <v>517</v>
      </c>
      <c r="H1736" s="2" t="s">
        <v>21</v>
      </c>
      <c r="I1736" s="2" t="s">
        <v>4896</v>
      </c>
      <c r="J1736" s="3" t="str">
        <f>HYPERLINK("https://www.boe.es/gazeta/dias/1810/06/18/pdfs/GMD-C-1810-169.pdf#page=3","Abrir facsímil")</f>
        <v>Abrir facsímil</v>
      </c>
      <c r="K1736" s="3" t="s">
        <v>23</v>
      </c>
    </row>
    <row r="1737" spans="1:11" ht="42" customHeight="1">
      <c r="A1737" s="2" t="s">
        <v>4897</v>
      </c>
      <c r="B1737" s="2" t="s">
        <v>4898</v>
      </c>
      <c r="C1737" s="2" t="s">
        <v>317</v>
      </c>
      <c r="D1737" s="2" t="s">
        <v>27</v>
      </c>
      <c r="E1737" s="4">
        <v>-32537</v>
      </c>
      <c r="F1737" s="3" t="s">
        <v>1091</v>
      </c>
      <c r="G1737" s="3" t="s">
        <v>20</v>
      </c>
      <c r="H1737" s="2" t="s">
        <v>21</v>
      </c>
      <c r="I1737" s="2" t="s">
        <v>4899</v>
      </c>
      <c r="J1737" s="3" t="str">
        <f>HYPERLINK("https://www.boe.es/gazeta/dias/1810/11/30/pdfs/GMD-1810-334.pdf#page=4","Abrir facsímil")</f>
        <v>Abrir facsímil</v>
      </c>
      <c r="K1737" s="3" t="s">
        <v>23</v>
      </c>
    </row>
    <row r="1738" spans="1:11" ht="42" customHeight="1">
      <c r="A1738" s="2" t="s">
        <v>4900</v>
      </c>
      <c r="B1738" s="2" t="s">
        <v>4901</v>
      </c>
      <c r="C1738" s="2" t="s">
        <v>26</v>
      </c>
      <c r="D1738" s="2" t="s">
        <v>27</v>
      </c>
      <c r="E1738" s="4">
        <v>-32647</v>
      </c>
      <c r="F1738" s="3" t="s">
        <v>118</v>
      </c>
      <c r="G1738" s="3" t="s">
        <v>140</v>
      </c>
      <c r="H1738" s="2" t="s">
        <v>21</v>
      </c>
      <c r="I1738" s="2" t="s">
        <v>4902</v>
      </c>
      <c r="J1738" s="3" t="str">
        <f>HYPERLINK("https://www.boe.es/gazeta/dias/1810/08/12/pdfs/GMD-1810-224.pdf#page=2","Abrir facsímil")</f>
        <v>Abrir facsímil</v>
      </c>
      <c r="K1738" s="3" t="s">
        <v>23</v>
      </c>
    </row>
    <row r="1739" spans="1:11" ht="42" customHeight="1">
      <c r="A1739" s="2" t="s">
        <v>4903</v>
      </c>
      <c r="B1739" s="2" t="s">
        <v>4904</v>
      </c>
      <c r="C1739" s="2" t="s">
        <v>88</v>
      </c>
      <c r="D1739" s="2" t="s">
        <v>117</v>
      </c>
      <c r="E1739" s="4">
        <v>-32784</v>
      </c>
      <c r="F1739" s="3" t="s">
        <v>429</v>
      </c>
      <c r="G1739" s="3" t="s">
        <v>131</v>
      </c>
      <c r="H1739" s="2" t="s">
        <v>21</v>
      </c>
      <c r="I1739" s="2" t="s">
        <v>4905</v>
      </c>
      <c r="J1739" s="3" t="str">
        <f>HYPERLINK("https://www.boe.es/gazeta/dias/1810/03/28/pdfs/GMD-1810-87.pdf#page=3","Abrir facsímil")</f>
        <v>Abrir facsímil</v>
      </c>
      <c r="K1739" s="3" t="s">
        <v>23</v>
      </c>
    </row>
    <row r="1740" spans="1:11" ht="42" customHeight="1">
      <c r="A1740" s="2" t="s">
        <v>4906</v>
      </c>
      <c r="B1740" s="2" t="s">
        <v>4907</v>
      </c>
      <c r="C1740" s="2" t="s">
        <v>26</v>
      </c>
      <c r="D1740" s="2" t="s">
        <v>27</v>
      </c>
      <c r="E1740" s="4">
        <v>-32756</v>
      </c>
      <c r="F1740" s="3" t="s">
        <v>203</v>
      </c>
      <c r="G1740" s="3" t="s">
        <v>180</v>
      </c>
      <c r="H1740" s="2" t="s">
        <v>21</v>
      </c>
      <c r="I1740" s="2" t="s">
        <v>4908</v>
      </c>
      <c r="J1740" s="3" t="str">
        <f>HYPERLINK("https://www.boe.es/gazeta/dias/1810/04/25/pdfs/GMD-1810-115.pdf#page=4","Abrir facsímil")</f>
        <v>Abrir facsímil</v>
      </c>
      <c r="K1740" s="3" t="s">
        <v>23</v>
      </c>
    </row>
    <row r="1741" spans="1:11" ht="42" customHeight="1">
      <c r="A1741" s="2" t="s">
        <v>4909</v>
      </c>
      <c r="B1741" s="2" t="s">
        <v>4910</v>
      </c>
      <c r="C1741" s="2" t="s">
        <v>88</v>
      </c>
      <c r="D1741" s="2" t="s">
        <v>27</v>
      </c>
      <c r="E1741" s="4">
        <v>-32700</v>
      </c>
      <c r="F1741" s="3" t="s">
        <v>89</v>
      </c>
      <c r="G1741" s="3" t="s">
        <v>29</v>
      </c>
      <c r="H1741" s="2" t="s">
        <v>21</v>
      </c>
      <c r="I1741" s="2" t="s">
        <v>4911</v>
      </c>
      <c r="J1741" s="3" t="str">
        <f>HYPERLINK("https://www.boe.es/gazeta/dias/1810/06/20/pdfs/GMD-1810-171.pdf#page=3","Abrir facsímil")</f>
        <v>Abrir facsímil</v>
      </c>
      <c r="K1741" s="3" t="s">
        <v>23</v>
      </c>
    </row>
    <row r="1742" spans="1:11" ht="42" customHeight="1">
      <c r="A1742" s="2" t="s">
        <v>4912</v>
      </c>
      <c r="B1742" s="2" t="s">
        <v>4913</v>
      </c>
      <c r="C1742" s="2" t="s">
        <v>317</v>
      </c>
      <c r="D1742" s="2" t="s">
        <v>39</v>
      </c>
      <c r="E1742" s="4">
        <v>-32702</v>
      </c>
      <c r="F1742" s="3" t="s">
        <v>179</v>
      </c>
      <c r="G1742" s="3" t="s">
        <v>180</v>
      </c>
      <c r="H1742" s="2" t="s">
        <v>21</v>
      </c>
      <c r="I1742" s="2" t="s">
        <v>4914</v>
      </c>
      <c r="J1742" s="3" t="str">
        <f>HYPERLINK("https://www.boe.es/gazeta/dias/1810/06/18/pdfs/GMD-C-1810-169.pdf#page=2","Abrir facsímil")</f>
        <v>Abrir facsímil</v>
      </c>
      <c r="K1742" s="3" t="s">
        <v>23</v>
      </c>
    </row>
    <row r="1743" spans="1:11" ht="42" customHeight="1">
      <c r="A1743" s="2" t="s">
        <v>4915</v>
      </c>
      <c r="B1743" s="2" t="s">
        <v>4916</v>
      </c>
      <c r="C1743" s="2" t="s">
        <v>26</v>
      </c>
      <c r="D1743" s="2" t="s">
        <v>39</v>
      </c>
      <c r="E1743" s="4">
        <v>-32702</v>
      </c>
      <c r="F1743" s="3" t="s">
        <v>179</v>
      </c>
      <c r="G1743" s="3" t="s">
        <v>213</v>
      </c>
      <c r="H1743" s="2" t="s">
        <v>21</v>
      </c>
      <c r="I1743" s="2" t="s">
        <v>4917</v>
      </c>
      <c r="J1743" s="3" t="str">
        <f>HYPERLINK("https://www.boe.es/gazeta/dias/1810/06/18/pdfs/GMD-C-1810-169.pdf#page=4","Abrir facsímil")</f>
        <v>Abrir facsímil</v>
      </c>
      <c r="K1743" s="3" t="s">
        <v>23</v>
      </c>
    </row>
    <row r="1744" spans="1:11" ht="42" customHeight="1">
      <c r="A1744" s="2" t="s">
        <v>4918</v>
      </c>
      <c r="B1744" s="2" t="s">
        <v>4919</v>
      </c>
      <c r="C1744" s="2" t="s">
        <v>88</v>
      </c>
      <c r="D1744" s="2" t="s">
        <v>27</v>
      </c>
      <c r="E1744" s="4">
        <v>-32764</v>
      </c>
      <c r="F1744" s="3" t="s">
        <v>640</v>
      </c>
      <c r="G1744" s="3" t="s">
        <v>641</v>
      </c>
      <c r="H1744" s="2" t="s">
        <v>21</v>
      </c>
      <c r="I1744" s="2" t="s">
        <v>4920</v>
      </c>
      <c r="J1744" s="3" t="str">
        <f>HYPERLINK("https://www.boe.es/gazeta/dias/1810/04/17/pdfs/GEI-1810-15.pdf#page=8","Abrir facsímil")</f>
        <v>Abrir facsímil</v>
      </c>
      <c r="K1744" s="3" t="s">
        <v>23</v>
      </c>
    </row>
    <row r="1745" spans="1:11" ht="42" customHeight="1">
      <c r="A1745" s="2" t="s">
        <v>4921</v>
      </c>
      <c r="B1745" s="2" t="s">
        <v>4922</v>
      </c>
      <c r="C1745" s="2" t="s">
        <v>26</v>
      </c>
      <c r="D1745" s="2" t="s">
        <v>39</v>
      </c>
      <c r="E1745" s="4">
        <v>-32701</v>
      </c>
      <c r="F1745" s="3" t="s">
        <v>40</v>
      </c>
      <c r="G1745" s="3" t="s">
        <v>41</v>
      </c>
      <c r="H1745" s="2" t="s">
        <v>21</v>
      </c>
      <c r="I1745" s="2" t="s">
        <v>4923</v>
      </c>
      <c r="J1745" s="3" t="str">
        <f>HYPERLINK("https://www.boe.es/gazeta/dias/1810/06/19/pdfs/GMD-C-1810-170.pdf#page=3","Abrir facsímil")</f>
        <v>Abrir facsímil</v>
      </c>
      <c r="K1745" s="3" t="s">
        <v>23</v>
      </c>
    </row>
    <row r="1746" spans="1:11" ht="42" customHeight="1">
      <c r="A1746" s="2" t="s">
        <v>4924</v>
      </c>
      <c r="B1746" s="2" t="s">
        <v>4925</v>
      </c>
      <c r="C1746" s="2" t="s">
        <v>26</v>
      </c>
      <c r="D1746" s="2" t="s">
        <v>27</v>
      </c>
      <c r="E1746" s="4">
        <v>-32788</v>
      </c>
      <c r="F1746" s="3" t="s">
        <v>1254</v>
      </c>
      <c r="G1746" s="3" t="s">
        <v>90</v>
      </c>
      <c r="H1746" s="2" t="s">
        <v>21</v>
      </c>
      <c r="I1746" s="2" t="s">
        <v>4926</v>
      </c>
      <c r="J1746" s="3" t="str">
        <f>HYPERLINK("https://www.boe.es/gazeta/dias/1810/03/24/pdfs/GMD-1810-83.pdf#page=4","Abrir facsímil")</f>
        <v>Abrir facsímil</v>
      </c>
      <c r="K1746" s="3" t="s">
        <v>23</v>
      </c>
    </row>
    <row r="1747" spans="1:11" ht="42" customHeight="1">
      <c r="A1747" s="2" t="s">
        <v>4927</v>
      </c>
      <c r="B1747" s="2" t="s">
        <v>4928</v>
      </c>
      <c r="C1747" s="2" t="s">
        <v>26</v>
      </c>
      <c r="D1747" s="2" t="s">
        <v>27</v>
      </c>
      <c r="E1747" s="4">
        <v>-32563</v>
      </c>
      <c r="F1747" s="3" t="s">
        <v>535</v>
      </c>
      <c r="G1747" s="3" t="s">
        <v>140</v>
      </c>
      <c r="H1747" s="2" t="s">
        <v>21</v>
      </c>
      <c r="I1747" s="2" t="s">
        <v>4929</v>
      </c>
      <c r="J1747" s="3" t="str">
        <f>HYPERLINK("https://www.boe.es/gazeta/dias/1810/11/04/pdfs/GMD-1810-308.pdf#page=8","Abrir facsímil")</f>
        <v>Abrir facsímil</v>
      </c>
      <c r="K1747" s="3" t="s">
        <v>23</v>
      </c>
    </row>
    <row r="1748" spans="1:11" ht="42" customHeight="1">
      <c r="A1748" s="2" t="s">
        <v>4930</v>
      </c>
      <c r="B1748" s="2" t="s">
        <v>4931</v>
      </c>
      <c r="C1748" s="2" t="s">
        <v>26</v>
      </c>
      <c r="D1748" s="2" t="s">
        <v>39</v>
      </c>
      <c r="E1748" s="4">
        <v>-32702</v>
      </c>
      <c r="F1748" s="3" t="s">
        <v>179</v>
      </c>
      <c r="G1748" s="3" t="s">
        <v>180</v>
      </c>
      <c r="H1748" s="2" t="s">
        <v>21</v>
      </c>
      <c r="I1748" s="2" t="s">
        <v>4932</v>
      </c>
      <c r="J1748" s="3" t="str">
        <f>HYPERLINK("https://www.boe.es/gazeta/dias/1810/06/18/pdfs/GMD-C-1810-169.pdf#page=2","Abrir facsímil")</f>
        <v>Abrir facsímil</v>
      </c>
      <c r="K1748" s="3" t="s">
        <v>23</v>
      </c>
    </row>
    <row r="1749" spans="1:11" ht="42" customHeight="1">
      <c r="A1749" s="2" t="s">
        <v>4933</v>
      </c>
      <c r="B1749" s="2" t="s">
        <v>4934</v>
      </c>
      <c r="C1749" s="2" t="s">
        <v>26</v>
      </c>
      <c r="D1749" s="2" t="s">
        <v>27</v>
      </c>
      <c r="E1749" s="4">
        <v>-32837</v>
      </c>
      <c r="F1749" s="3" t="s">
        <v>196</v>
      </c>
      <c r="G1749" s="3" t="s">
        <v>213</v>
      </c>
      <c r="H1749" s="2" t="s">
        <v>21</v>
      </c>
      <c r="I1749" s="2" t="s">
        <v>4935</v>
      </c>
      <c r="J1749" s="3" t="str">
        <f>HYPERLINK("https://www.boe.es/gazeta/dias/1810/02/03/pdfs/GMD-1810-34.pdf#page=2","Abrir facsímil")</f>
        <v>Abrir facsímil</v>
      </c>
      <c r="K1749" s="3" t="s">
        <v>23</v>
      </c>
    </row>
    <row r="1750" spans="1:11" ht="42" customHeight="1">
      <c r="A1750" s="2" t="s">
        <v>4936</v>
      </c>
      <c r="B1750" s="2" t="s">
        <v>4937</v>
      </c>
      <c r="C1750" s="2" t="s">
        <v>26</v>
      </c>
      <c r="D1750" s="2" t="s">
        <v>39</v>
      </c>
      <c r="E1750" s="4">
        <v>-32702</v>
      </c>
      <c r="F1750" s="3" t="s">
        <v>179</v>
      </c>
      <c r="G1750" s="3" t="s">
        <v>213</v>
      </c>
      <c r="H1750" s="2" t="s">
        <v>21</v>
      </c>
      <c r="I1750" s="2" t="s">
        <v>4938</v>
      </c>
      <c r="J1750" s="3" t="str">
        <f>HYPERLINK("https://www.boe.es/gazeta/dias/1810/06/18/pdfs/GMD-C-1810-169.pdf#page=4","Abrir facsímil")</f>
        <v>Abrir facsímil</v>
      </c>
      <c r="K1750" s="3" t="s">
        <v>23</v>
      </c>
    </row>
    <row r="1751" spans="1:11" ht="42" customHeight="1">
      <c r="A1751" s="2" t="s">
        <v>4939</v>
      </c>
      <c r="B1751" s="2" t="s">
        <v>4940</v>
      </c>
      <c r="C1751" s="2" t="s">
        <v>26</v>
      </c>
      <c r="D1751" s="2" t="s">
        <v>39</v>
      </c>
      <c r="E1751" s="4">
        <v>-32661</v>
      </c>
      <c r="F1751" s="3" t="s">
        <v>157</v>
      </c>
      <c r="G1751" s="3" t="s">
        <v>158</v>
      </c>
      <c r="H1751" s="2" t="s">
        <v>21</v>
      </c>
      <c r="I1751" s="2" t="s">
        <v>4941</v>
      </c>
      <c r="J1751" s="3" t="str">
        <f>HYPERLINK("https://www.boe.es/gazeta/dias/1810/07/29/pdfs/GMD-C-1810-210.pdf#page=1","Abrir facsímil")</f>
        <v>Abrir facsímil</v>
      </c>
      <c r="K1751" s="3" t="s">
        <v>23</v>
      </c>
    </row>
    <row r="1752" spans="1:11" ht="42" customHeight="1">
      <c r="A1752" s="2" t="s">
        <v>4942</v>
      </c>
      <c r="B1752" s="2" t="s">
        <v>4943</v>
      </c>
      <c r="C1752" s="2" t="s">
        <v>26</v>
      </c>
      <c r="D1752" s="2" t="s">
        <v>39</v>
      </c>
      <c r="E1752" s="4">
        <v>-32701</v>
      </c>
      <c r="F1752" s="3" t="s">
        <v>40</v>
      </c>
      <c r="G1752" s="3" t="s">
        <v>333</v>
      </c>
      <c r="H1752" s="2" t="s">
        <v>21</v>
      </c>
      <c r="I1752" s="2" t="s">
        <v>4944</v>
      </c>
      <c r="J1752" s="3" t="str">
        <f>HYPERLINK("https://www.boe.es/gazeta/dias/1810/06/19/pdfs/GMD-C-1810-170.pdf#page=4","Abrir facsímil")</f>
        <v>Abrir facsímil</v>
      </c>
      <c r="K1752" s="3" t="s">
        <v>23</v>
      </c>
    </row>
    <row r="1753" spans="1:11" ht="42" customHeight="1">
      <c r="A1753" s="2" t="s">
        <v>4945</v>
      </c>
      <c r="B1753" s="2" t="s">
        <v>4946</v>
      </c>
      <c r="C1753" s="2" t="s">
        <v>317</v>
      </c>
      <c r="D1753" s="2" t="s">
        <v>27</v>
      </c>
      <c r="E1753" s="4">
        <v>-32537</v>
      </c>
      <c r="F1753" s="3" t="s">
        <v>1091</v>
      </c>
      <c r="G1753" s="3" t="s">
        <v>20</v>
      </c>
      <c r="H1753" s="2" t="s">
        <v>21</v>
      </c>
      <c r="I1753" s="2" t="s">
        <v>4947</v>
      </c>
      <c r="J1753" s="3" t="str">
        <f>HYPERLINK("https://www.boe.es/gazeta/dias/1810/11/30/pdfs/GMD-1810-334.pdf#page=4","Abrir facsímil")</f>
        <v>Abrir facsímil</v>
      </c>
      <c r="K1753" s="3" t="s">
        <v>23</v>
      </c>
    </row>
    <row r="1754" spans="1:11" ht="42" customHeight="1">
      <c r="A1754" s="2" t="s">
        <v>4948</v>
      </c>
      <c r="B1754" s="2" t="s">
        <v>4949</v>
      </c>
      <c r="C1754" s="2" t="s">
        <v>17</v>
      </c>
      <c r="D1754" s="2" t="s">
        <v>27</v>
      </c>
      <c r="E1754" s="4">
        <v>-32738</v>
      </c>
      <c r="F1754" s="3" t="s">
        <v>321</v>
      </c>
      <c r="G1754" s="3" t="s">
        <v>140</v>
      </c>
      <c r="H1754" s="2" t="s">
        <v>21</v>
      </c>
      <c r="I1754" s="2" t="s">
        <v>4950</v>
      </c>
      <c r="J1754" s="3" t="str">
        <f>HYPERLINK("https://www.boe.es/gazeta/dias/1810/05/13/pdfs/GMD-1810-133.pdf#page=4","Abrir facsímil")</f>
        <v>Abrir facsímil</v>
      </c>
      <c r="K1754" s="3" t="s">
        <v>23</v>
      </c>
    </row>
    <row r="1755" spans="1:11" ht="42" customHeight="1">
      <c r="A1755" s="2" t="s">
        <v>4951</v>
      </c>
      <c r="B1755" s="2" t="s">
        <v>4952</v>
      </c>
      <c r="C1755" s="2" t="s">
        <v>26</v>
      </c>
      <c r="D1755" s="2" t="s">
        <v>39</v>
      </c>
      <c r="E1755" s="4">
        <v>-32701</v>
      </c>
      <c r="F1755" s="3" t="s">
        <v>40</v>
      </c>
      <c r="G1755" s="3" t="s">
        <v>170</v>
      </c>
      <c r="H1755" s="2" t="s">
        <v>21</v>
      </c>
      <c r="I1755" s="2" t="s">
        <v>4953</v>
      </c>
      <c r="J1755" s="3" t="str">
        <f>HYPERLINK("https://www.boe.es/gazeta/dias/1810/06/19/pdfs/GMD-C-1810-170.pdf#page=1","Abrir facsímil")</f>
        <v>Abrir facsímil</v>
      </c>
      <c r="K1755" s="3" t="s">
        <v>23</v>
      </c>
    </row>
    <row r="1756" spans="1:11" ht="42" customHeight="1">
      <c r="A1756" s="2" t="s">
        <v>4954</v>
      </c>
      <c r="B1756" s="2" t="s">
        <v>4955</v>
      </c>
      <c r="C1756" s="2" t="s">
        <v>88</v>
      </c>
      <c r="D1756" s="2" t="s">
        <v>117</v>
      </c>
      <c r="E1756" s="4">
        <v>-32647</v>
      </c>
      <c r="F1756" s="3" t="s">
        <v>118</v>
      </c>
      <c r="G1756" s="3" t="s">
        <v>119</v>
      </c>
      <c r="H1756" s="2" t="s">
        <v>21</v>
      </c>
      <c r="I1756" s="2" t="s">
        <v>4956</v>
      </c>
      <c r="J1756" s="3" t="str">
        <f>HYPERLINK("https://www.boe.es/gazeta/dias/1810/08/12/pdfs/GMD-1810-224.pdf#page=3","Abrir facsímil")</f>
        <v>Abrir facsímil</v>
      </c>
      <c r="K1756" s="3" t="s">
        <v>23</v>
      </c>
    </row>
    <row r="1757" spans="1:11" ht="42" customHeight="1">
      <c r="A1757" s="2" t="s">
        <v>4957</v>
      </c>
      <c r="B1757" s="2" t="s">
        <v>4958</v>
      </c>
      <c r="C1757" s="2" t="s">
        <v>26</v>
      </c>
      <c r="D1757" s="2" t="s">
        <v>27</v>
      </c>
      <c r="E1757" s="4">
        <v>-32827</v>
      </c>
      <c r="F1757" s="3" t="s">
        <v>290</v>
      </c>
      <c r="G1757" s="3" t="s">
        <v>291</v>
      </c>
      <c r="H1757" s="2" t="s">
        <v>21</v>
      </c>
      <c r="I1757" s="2" t="s">
        <v>4959</v>
      </c>
      <c r="J1757" s="3" t="str">
        <f>HYPERLINK("https://www.boe.es/gazeta/dias/1810/02/13/pdfs/GMD-1810-44.pdf#page=4","Abrir facsímil")</f>
        <v>Abrir facsímil</v>
      </c>
      <c r="K1757" s="3" t="s">
        <v>23</v>
      </c>
    </row>
    <row r="1758" spans="1:11" ht="42" customHeight="1">
      <c r="A1758" s="2" t="s">
        <v>4960</v>
      </c>
      <c r="B1758" s="2" t="s">
        <v>4961</v>
      </c>
      <c r="C1758" s="2" t="s">
        <v>26</v>
      </c>
      <c r="D1758" s="2" t="s">
        <v>27</v>
      </c>
      <c r="E1758" s="4">
        <v>-32647</v>
      </c>
      <c r="F1758" s="3" t="s">
        <v>118</v>
      </c>
      <c r="G1758" s="3" t="s">
        <v>20</v>
      </c>
      <c r="H1758" s="2" t="s">
        <v>21</v>
      </c>
      <c r="I1758" s="2" t="s">
        <v>4962</v>
      </c>
      <c r="J1758" s="3" t="str">
        <f>HYPERLINK("https://www.boe.es/gazeta/dias/1810/08/12/pdfs/GMD-1810-224.pdf#page=4","Abrir facsímil")</f>
        <v>Abrir facsímil</v>
      </c>
      <c r="K1758" s="3" t="s">
        <v>23</v>
      </c>
    </row>
    <row r="1759" spans="1:11" ht="42" customHeight="1">
      <c r="A1759" s="2" t="s">
        <v>4963</v>
      </c>
      <c r="B1759" s="2" t="s">
        <v>4964</v>
      </c>
      <c r="C1759" s="2" t="s">
        <v>26</v>
      </c>
      <c r="D1759" s="2" t="s">
        <v>39</v>
      </c>
      <c r="E1759" s="4">
        <v>-32661</v>
      </c>
      <c r="F1759" s="3" t="s">
        <v>157</v>
      </c>
      <c r="G1759" s="3" t="s">
        <v>592</v>
      </c>
      <c r="H1759" s="2" t="s">
        <v>21</v>
      </c>
      <c r="I1759" s="2" t="s">
        <v>4965</v>
      </c>
      <c r="J1759" s="3" t="str">
        <f>HYPERLINK("https://www.boe.es/gazeta/dias/1810/07/29/pdfs/GMD-C-1810-210.pdf#page=2","Abrir facsímil")</f>
        <v>Abrir facsímil</v>
      </c>
      <c r="K1759" s="3" t="s">
        <v>23</v>
      </c>
    </row>
    <row r="1760" spans="1:11" ht="42" customHeight="1">
      <c r="A1760" s="2" t="s">
        <v>4966</v>
      </c>
      <c r="B1760" s="2" t="s">
        <v>4967</v>
      </c>
      <c r="C1760" s="2" t="s">
        <v>225</v>
      </c>
      <c r="D1760" s="2" t="s">
        <v>27</v>
      </c>
      <c r="E1760" s="4">
        <v>-32802</v>
      </c>
      <c r="F1760" s="3" t="s">
        <v>1075</v>
      </c>
      <c r="G1760" s="3" t="s">
        <v>90</v>
      </c>
      <c r="H1760" s="2" t="s">
        <v>21</v>
      </c>
      <c r="I1760" s="2" t="s">
        <v>4968</v>
      </c>
      <c r="J1760" s="3" t="str">
        <f>HYPERLINK("https://www.boe.es/gazeta/dias/1810/03/10/pdfs/GMD-1810-69.pdf#page=3","Abrir facsímil")</f>
        <v>Abrir facsímil</v>
      </c>
      <c r="K1760" s="3" t="s">
        <v>23</v>
      </c>
    </row>
    <row r="1761" spans="1:11" ht="42" customHeight="1">
      <c r="A1761" s="2" t="s">
        <v>4969</v>
      </c>
      <c r="B1761" s="2" t="s">
        <v>4970</v>
      </c>
      <c r="C1761" s="2" t="s">
        <v>26</v>
      </c>
      <c r="D1761" s="2" t="s">
        <v>27</v>
      </c>
      <c r="E1761" s="4">
        <v>-32647</v>
      </c>
      <c r="F1761" s="3" t="s">
        <v>118</v>
      </c>
      <c r="G1761" s="3" t="s">
        <v>140</v>
      </c>
      <c r="H1761" s="2" t="s">
        <v>21</v>
      </c>
      <c r="I1761" s="2" t="s">
        <v>4971</v>
      </c>
      <c r="J1761" s="3" t="str">
        <f>HYPERLINK("https://www.boe.es/gazeta/dias/1810/08/12/pdfs/GMD-1810-224.pdf#page=2","Abrir facsímil")</f>
        <v>Abrir facsímil</v>
      </c>
      <c r="K1761" s="3" t="s">
        <v>23</v>
      </c>
    </row>
    <row r="1762" spans="1:11" ht="42" customHeight="1">
      <c r="A1762" s="2" t="s">
        <v>4972</v>
      </c>
      <c r="B1762" s="2" t="s">
        <v>4973</v>
      </c>
      <c r="C1762" s="2" t="s">
        <v>26</v>
      </c>
      <c r="D1762" s="2" t="s">
        <v>39</v>
      </c>
      <c r="E1762" s="4">
        <v>-32669</v>
      </c>
      <c r="F1762" s="3" t="s">
        <v>1110</v>
      </c>
      <c r="G1762" s="3" t="s">
        <v>213</v>
      </c>
      <c r="H1762" s="2" t="s">
        <v>74</v>
      </c>
      <c r="I1762" s="2" t="s">
        <v>4974</v>
      </c>
      <c r="J1762" s="3" t="str">
        <f>HYPERLINK("https://www.boe.es/gazeta/dias/1810/07/21/pdfs/GMD-C-1810-202.pdf#page=1","Abrir facsímil")</f>
        <v>Abrir facsímil</v>
      </c>
      <c r="K1762" s="3" t="s">
        <v>76</v>
      </c>
    </row>
    <row r="1763" spans="1:11" ht="42" customHeight="1">
      <c r="A1763" s="2" t="s">
        <v>4975</v>
      </c>
      <c r="B1763" s="2" t="s">
        <v>4976</v>
      </c>
      <c r="C1763" s="2" t="s">
        <v>317</v>
      </c>
      <c r="D1763" s="2" t="s">
        <v>39</v>
      </c>
      <c r="E1763" s="4">
        <v>-32642</v>
      </c>
      <c r="F1763" s="3" t="s">
        <v>2273</v>
      </c>
      <c r="G1763" s="3" t="s">
        <v>140</v>
      </c>
      <c r="H1763" s="2" t="s">
        <v>74</v>
      </c>
      <c r="I1763" s="2" t="s">
        <v>4977</v>
      </c>
      <c r="J1763" s="3" t="str">
        <f>HYPERLINK("https://www.boe.es/gazeta/dias/1810/08/17/pdfs/GEI-D-1810-57.pdf#page=1","Abrir facsímil")</f>
        <v>Abrir facsímil</v>
      </c>
      <c r="K1763" s="3" t="s">
        <v>76</v>
      </c>
    </row>
    <row r="1764" spans="1:11" ht="42" customHeight="1">
      <c r="A1764" s="2" t="s">
        <v>4978</v>
      </c>
      <c r="B1764" s="2" t="s">
        <v>4978</v>
      </c>
      <c r="C1764" s="2" t="s">
        <v>26</v>
      </c>
      <c r="D1764" s="2" t="s">
        <v>27</v>
      </c>
      <c r="E1764" s="4">
        <v>-32728</v>
      </c>
      <c r="F1764" s="3" t="s">
        <v>269</v>
      </c>
      <c r="G1764" s="3" t="s">
        <v>227</v>
      </c>
      <c r="H1764" s="2" t="s">
        <v>74</v>
      </c>
      <c r="I1764" s="2" t="s">
        <v>4979</v>
      </c>
      <c r="J1764" s="3" t="str">
        <f>HYPERLINK("https://www.boe.es/gazeta/dias/1810/05/23/pdfs/GMD-1810-143.pdf#page=2","Abrir facsímil")</f>
        <v>Abrir facsímil</v>
      </c>
      <c r="K1764" s="3" t="s">
        <v>76</v>
      </c>
    </row>
    <row r="1765" spans="1:11" ht="42" customHeight="1">
      <c r="A1765" s="2" t="s">
        <v>4980</v>
      </c>
      <c r="B1765" s="2" t="s">
        <v>4981</v>
      </c>
      <c r="C1765" s="2" t="s">
        <v>26</v>
      </c>
      <c r="D1765" s="2" t="s">
        <v>27</v>
      </c>
      <c r="E1765" s="4">
        <v>-32747</v>
      </c>
      <c r="F1765" s="3" t="s">
        <v>2337</v>
      </c>
      <c r="G1765" s="3" t="s">
        <v>4982</v>
      </c>
      <c r="H1765" s="2" t="s">
        <v>74</v>
      </c>
      <c r="I1765" s="2" t="s">
        <v>4983</v>
      </c>
      <c r="J1765" s="3" t="str">
        <f>HYPERLINK("https://www.boe.es/gazeta/dias/1810/05/04/pdfs/GEI-1810-21.pdf#page=3","Abrir facsímil")</f>
        <v>Abrir facsímil</v>
      </c>
      <c r="K1765" s="3" t="s">
        <v>76</v>
      </c>
    </row>
    <row r="1766" spans="1:11" ht="42" customHeight="1">
      <c r="A1766" s="2" t="s">
        <v>4984</v>
      </c>
      <c r="B1766" s="2" t="s">
        <v>4985</v>
      </c>
      <c r="C1766" s="2" t="s">
        <v>26</v>
      </c>
      <c r="D1766" s="2" t="s">
        <v>27</v>
      </c>
      <c r="E1766" s="4">
        <v>-32647</v>
      </c>
      <c r="F1766" s="3" t="s">
        <v>118</v>
      </c>
      <c r="G1766" s="3" t="s">
        <v>119</v>
      </c>
      <c r="H1766" s="2" t="s">
        <v>74</v>
      </c>
      <c r="I1766" s="2" t="s">
        <v>4986</v>
      </c>
      <c r="J1766" s="3" t="str">
        <f>HYPERLINK("https://www.boe.es/gazeta/dias/1810/08/12/pdfs/GMD-1810-224.pdf#page=3","Abrir facsímil")</f>
        <v>Abrir facsímil</v>
      </c>
      <c r="K1766" s="3" t="s">
        <v>76</v>
      </c>
    </row>
    <row r="1767" spans="1:11" ht="42" customHeight="1">
      <c r="A1767" s="2" t="s">
        <v>4987</v>
      </c>
      <c r="B1767" s="2" t="s">
        <v>4988</v>
      </c>
      <c r="C1767" s="2" t="s">
        <v>26</v>
      </c>
      <c r="D1767" s="2" t="s">
        <v>27</v>
      </c>
      <c r="E1767" s="4">
        <v>-32782</v>
      </c>
      <c r="F1767" s="3" t="s">
        <v>79</v>
      </c>
      <c r="G1767" s="3" t="s">
        <v>80</v>
      </c>
      <c r="H1767" s="2" t="s">
        <v>74</v>
      </c>
      <c r="I1767" s="2" t="s">
        <v>4989</v>
      </c>
      <c r="J1767" s="3" t="str">
        <f>HYPERLINK("https://www.boe.es/gazeta/dias/1810/03/30/pdfs/GEI-1810-9.pdf#page=7","Abrir facsímil")</f>
        <v>Abrir facsímil</v>
      </c>
      <c r="K1767" s="3" t="s">
        <v>76</v>
      </c>
    </row>
    <row r="1768" spans="1:11" ht="42" customHeight="1">
      <c r="A1768" s="2" t="s">
        <v>4990</v>
      </c>
      <c r="B1768" s="2" t="s">
        <v>4990</v>
      </c>
      <c r="C1768" s="2" t="s">
        <v>111</v>
      </c>
      <c r="D1768" s="2" t="s">
        <v>27</v>
      </c>
      <c r="E1768" s="4">
        <v>-32610</v>
      </c>
      <c r="F1768" s="3" t="s">
        <v>4991</v>
      </c>
      <c r="G1768" s="3" t="s">
        <v>180</v>
      </c>
      <c r="H1768" s="2" t="s">
        <v>74</v>
      </c>
      <c r="I1768" s="2" t="s">
        <v>4992</v>
      </c>
      <c r="J1768" s="3" t="str">
        <f>HYPERLINK("https://www.boe.es/gazeta/dias/1810/09/18/pdfs/GEI-1810-69.pdf#page=6","Abrir facsímil")</f>
        <v>Abrir facsímil</v>
      </c>
      <c r="K1768" s="3" t="s">
        <v>76</v>
      </c>
    </row>
    <row r="1769" spans="1:11" ht="42" customHeight="1">
      <c r="A1769" s="2" t="s">
        <v>4993</v>
      </c>
      <c r="B1769" s="2" t="s">
        <v>4994</v>
      </c>
      <c r="C1769" s="2" t="s">
        <v>26</v>
      </c>
      <c r="D1769" s="2" t="s">
        <v>27</v>
      </c>
      <c r="E1769" s="4">
        <v>-32762</v>
      </c>
      <c r="F1769" s="3" t="s">
        <v>231</v>
      </c>
      <c r="G1769" s="3" t="s">
        <v>29</v>
      </c>
      <c r="H1769" s="2" t="s">
        <v>74</v>
      </c>
      <c r="I1769" s="2" t="s">
        <v>4995</v>
      </c>
      <c r="J1769" s="3" t="str">
        <f>HYPERLINK("https://www.boe.es/gazeta/dias/1810/04/19/pdfs/GMD-1810-109.pdf#page=2","Abrir facsímil")</f>
        <v>Abrir facsímil</v>
      </c>
      <c r="K1769" s="3" t="s">
        <v>76</v>
      </c>
    </row>
    <row r="1770" spans="1:11" ht="42" customHeight="1">
      <c r="A1770" s="2" t="s">
        <v>4996</v>
      </c>
      <c r="B1770" s="2" t="s">
        <v>4997</v>
      </c>
      <c r="C1770" s="2" t="s">
        <v>88</v>
      </c>
      <c r="D1770" s="2" t="s">
        <v>18</v>
      </c>
      <c r="E1770" s="4">
        <v>-32591</v>
      </c>
      <c r="F1770" s="3" t="s">
        <v>377</v>
      </c>
      <c r="G1770" s="3" t="s">
        <v>136</v>
      </c>
      <c r="H1770" s="2" t="s">
        <v>74</v>
      </c>
      <c r="I1770" s="2" t="s">
        <v>4998</v>
      </c>
      <c r="J1770" s="3" t="str">
        <f>HYPERLINK("https://www.boe.es/gazeta/dias/1810/10/07/pdfs/GMD-1810-280.pdf#page=3","Abrir facsímil")</f>
        <v>Abrir facsímil</v>
      </c>
      <c r="K1770" s="3" t="s">
        <v>76</v>
      </c>
    </row>
    <row r="1771" spans="1:11" ht="42" customHeight="1">
      <c r="A1771" s="2" t="s">
        <v>4999</v>
      </c>
      <c r="B1771" s="2" t="s">
        <v>4999</v>
      </c>
      <c r="C1771" s="2" t="s">
        <v>317</v>
      </c>
      <c r="D1771" s="2" t="s">
        <v>117</v>
      </c>
      <c r="E1771" s="4">
        <v>-32693</v>
      </c>
      <c r="F1771" s="3" t="s">
        <v>54</v>
      </c>
      <c r="G1771" s="3" t="s">
        <v>20</v>
      </c>
      <c r="H1771" s="2" t="s">
        <v>74</v>
      </c>
      <c r="I1771" s="2" t="s">
        <v>5000</v>
      </c>
      <c r="J1771" s="3" t="str">
        <f>HYPERLINK("https://www.boe.es/gazeta/dias/1810/06/27/pdfs/GMD-1810-178.pdf#page=4","Abrir facsímil")</f>
        <v>Abrir facsímil</v>
      </c>
      <c r="K1771" s="3" t="s">
        <v>76</v>
      </c>
    </row>
    <row r="1772" spans="1:11" ht="42" customHeight="1">
      <c r="A1772" s="2" t="s">
        <v>5001</v>
      </c>
      <c r="B1772" s="2" t="s">
        <v>5002</v>
      </c>
      <c r="C1772" s="2" t="s">
        <v>88</v>
      </c>
      <c r="D1772" s="2" t="s">
        <v>27</v>
      </c>
      <c r="E1772" s="4">
        <v>-32824</v>
      </c>
      <c r="F1772" s="3" t="s">
        <v>2193</v>
      </c>
      <c r="G1772" s="3" t="s">
        <v>70</v>
      </c>
      <c r="H1772" s="2" t="s">
        <v>74</v>
      </c>
      <c r="I1772" s="2" t="s">
        <v>5003</v>
      </c>
      <c r="J1772" s="3" t="str">
        <f>HYPERLINK("https://www.boe.es/gazeta/dias/1810/02/16/pdfs/GMD-1810-47.pdf#page=1","Abrir facsímil")</f>
        <v>Abrir facsímil</v>
      </c>
      <c r="K1772" s="3" t="s">
        <v>76</v>
      </c>
    </row>
    <row r="1773" spans="1:11" ht="42" customHeight="1">
      <c r="A1773" s="2" t="s">
        <v>5004</v>
      </c>
      <c r="B1773" s="2" t="s">
        <v>5004</v>
      </c>
      <c r="C1773" s="2" t="s">
        <v>26</v>
      </c>
      <c r="D1773" s="2" t="s">
        <v>39</v>
      </c>
      <c r="E1773" s="4">
        <v>-32702</v>
      </c>
      <c r="F1773" s="3" t="s">
        <v>179</v>
      </c>
      <c r="G1773" s="3" t="s">
        <v>180</v>
      </c>
      <c r="H1773" s="2" t="s">
        <v>74</v>
      </c>
      <c r="I1773" s="2" t="s">
        <v>5005</v>
      </c>
      <c r="J1773" s="3" t="str">
        <f>HYPERLINK("https://www.boe.es/gazeta/dias/1810/06/18/pdfs/GMD-C-1810-169.pdf#page=2","Abrir facsímil")</f>
        <v>Abrir facsímil</v>
      </c>
      <c r="K1773" s="3" t="s">
        <v>76</v>
      </c>
    </row>
    <row r="1774" spans="1:11" ht="42" customHeight="1">
      <c r="A1774" s="2" t="s">
        <v>5006</v>
      </c>
      <c r="B1774" s="2" t="s">
        <v>5006</v>
      </c>
      <c r="C1774" s="2" t="s">
        <v>88</v>
      </c>
      <c r="D1774" s="2" t="s">
        <v>27</v>
      </c>
      <c r="E1774" s="4">
        <v>-32643</v>
      </c>
      <c r="F1774" s="3" t="s">
        <v>4246</v>
      </c>
      <c r="G1774" s="3" t="s">
        <v>99</v>
      </c>
      <c r="H1774" s="2" t="s">
        <v>74</v>
      </c>
      <c r="I1774" s="2" t="s">
        <v>5007</v>
      </c>
      <c r="J1774" s="3" t="str">
        <f>HYPERLINK("https://www.boe.es/gazeta/dias/1810/08/16/pdfs/GMD-1810-228.pdf#page=3","Abrir facsímil")</f>
        <v>Abrir facsímil</v>
      </c>
      <c r="K1774" s="3" t="s">
        <v>76</v>
      </c>
    </row>
    <row r="1775" spans="1:11" ht="42" customHeight="1">
      <c r="A1775" s="2" t="s">
        <v>5008</v>
      </c>
      <c r="B1775" s="2" t="s">
        <v>5008</v>
      </c>
      <c r="C1775" s="2" t="s">
        <v>88</v>
      </c>
      <c r="D1775" s="2" t="s">
        <v>27</v>
      </c>
      <c r="E1775" s="4">
        <v>-32566</v>
      </c>
      <c r="F1775" s="3" t="s">
        <v>405</v>
      </c>
      <c r="G1775" s="3" t="s">
        <v>469</v>
      </c>
      <c r="H1775" s="2" t="s">
        <v>74</v>
      </c>
      <c r="I1775" s="2" t="s">
        <v>5009</v>
      </c>
      <c r="J1775" s="3" t="str">
        <f>HYPERLINK("https://www.boe.es/gazeta/dias/1810/11/01/pdfs/GMD-1810-305.pdf#page=2","Abrir facsímil")</f>
        <v>Abrir facsímil</v>
      </c>
      <c r="K1775" s="3" t="s">
        <v>76</v>
      </c>
    </row>
    <row r="1776" spans="1:11" ht="42" customHeight="1">
      <c r="A1776" s="2" t="s">
        <v>5010</v>
      </c>
      <c r="B1776" s="2" t="s">
        <v>5010</v>
      </c>
      <c r="C1776" s="2" t="s">
        <v>88</v>
      </c>
      <c r="D1776" s="2" t="s">
        <v>117</v>
      </c>
      <c r="E1776" s="4">
        <v>-32578</v>
      </c>
      <c r="F1776" s="3" t="s">
        <v>2333</v>
      </c>
      <c r="G1776" s="3" t="s">
        <v>2334</v>
      </c>
      <c r="H1776" s="2" t="s">
        <v>74</v>
      </c>
      <c r="I1776" s="2" t="s">
        <v>5011</v>
      </c>
      <c r="J1776" s="3" t="str">
        <f>HYPERLINK("https://www.boe.es/gazeta/dias/1810/10/20/pdfs/GEI-1810-84.pdf#page=4","Abrir facsímil")</f>
        <v>Abrir facsímil</v>
      </c>
      <c r="K1776" s="3" t="s">
        <v>76</v>
      </c>
    </row>
    <row r="1777" spans="1:11" ht="42" customHeight="1">
      <c r="A1777" s="2" t="s">
        <v>5012</v>
      </c>
      <c r="B1777" s="2" t="s">
        <v>5012</v>
      </c>
      <c r="C1777" s="2" t="s">
        <v>88</v>
      </c>
      <c r="D1777" s="2" t="s">
        <v>27</v>
      </c>
      <c r="E1777" s="4">
        <v>-32721</v>
      </c>
      <c r="F1777" s="3" t="s">
        <v>3437</v>
      </c>
      <c r="G1777" s="3" t="s">
        <v>213</v>
      </c>
      <c r="H1777" s="2" t="s">
        <v>74</v>
      </c>
      <c r="I1777" s="2" t="s">
        <v>5013</v>
      </c>
      <c r="J1777" s="3" t="str">
        <f>HYPERLINK("https://www.boe.es/gazeta/dias/1810/05/30/pdfs/GMD-1810-150.pdf#page=3","Abrir facsímil")</f>
        <v>Abrir facsímil</v>
      </c>
      <c r="K1777" s="3" t="s">
        <v>76</v>
      </c>
    </row>
    <row r="1778" spans="1:11" ht="42" customHeight="1">
      <c r="A1778" s="2" t="s">
        <v>5014</v>
      </c>
      <c r="B1778" s="2" t="s">
        <v>5015</v>
      </c>
      <c r="C1778" s="2" t="s">
        <v>195</v>
      </c>
      <c r="D1778" s="2" t="s">
        <v>39</v>
      </c>
      <c r="E1778" s="4">
        <v>-32614</v>
      </c>
      <c r="F1778" s="3" t="s">
        <v>5016</v>
      </c>
      <c r="G1778" s="3" t="s">
        <v>5017</v>
      </c>
      <c r="H1778" s="2" t="s">
        <v>74</v>
      </c>
      <c r="I1778" s="2" t="s">
        <v>5018</v>
      </c>
      <c r="J1778" s="3" t="str">
        <f>HYPERLINK("https://www.boe.es/gazeta/dias/1810/09/14/pdfs/GEI-D-1810-67.pdf#page=6","Abrir facsímil")</f>
        <v>Abrir facsímil</v>
      </c>
      <c r="K1778" s="3" t="s">
        <v>76</v>
      </c>
    </row>
    <row r="1779" spans="1:11" ht="42" customHeight="1">
      <c r="A1779" s="2" t="s">
        <v>5019</v>
      </c>
      <c r="B1779" s="2" t="s">
        <v>5020</v>
      </c>
      <c r="C1779" s="2" t="s">
        <v>88</v>
      </c>
      <c r="D1779" s="2" t="s">
        <v>27</v>
      </c>
      <c r="E1779" s="4">
        <v>-32710</v>
      </c>
      <c r="F1779" s="3" t="s">
        <v>126</v>
      </c>
      <c r="G1779" s="3" t="s">
        <v>184</v>
      </c>
      <c r="H1779" s="2" t="s">
        <v>74</v>
      </c>
      <c r="I1779" s="2" t="s">
        <v>5021</v>
      </c>
      <c r="J1779" s="3" t="str">
        <f>HYPERLINK("https://www.boe.es/gazeta/dias/1810/06/10/pdfs/GMD-1810-161.pdf#page=3","Abrir facsímil")</f>
        <v>Abrir facsímil</v>
      </c>
      <c r="K1779" s="3" t="s">
        <v>76</v>
      </c>
    </row>
    <row r="1780" spans="1:11" ht="42" customHeight="1">
      <c r="A1780" s="2" t="s">
        <v>5022</v>
      </c>
      <c r="B1780" s="2" t="s">
        <v>5022</v>
      </c>
      <c r="C1780" s="2" t="s">
        <v>88</v>
      </c>
      <c r="D1780" s="2" t="s">
        <v>27</v>
      </c>
      <c r="E1780" s="4">
        <v>-32723</v>
      </c>
      <c r="F1780" s="3" t="s">
        <v>464</v>
      </c>
      <c r="G1780" s="3" t="s">
        <v>469</v>
      </c>
      <c r="H1780" s="2" t="s">
        <v>74</v>
      </c>
      <c r="I1780" s="2" t="s">
        <v>5023</v>
      </c>
      <c r="J1780" s="3" t="str">
        <f>HYPERLINK("https://www.boe.es/gazeta/dias/1810/05/28/pdfs/GMD-1810-148.pdf#page=4","Abrir facsímil")</f>
        <v>Abrir facsímil</v>
      </c>
      <c r="K1780" s="3" t="s">
        <v>76</v>
      </c>
    </row>
    <row r="1781" spans="1:11" ht="42" customHeight="1">
      <c r="A1781" s="2" t="s">
        <v>5024</v>
      </c>
      <c r="B1781" s="2" t="s">
        <v>5024</v>
      </c>
      <c r="C1781" s="2" t="s">
        <v>88</v>
      </c>
      <c r="D1781" s="2" t="s">
        <v>27</v>
      </c>
      <c r="E1781" s="4">
        <v>-32812</v>
      </c>
      <c r="F1781" s="3" t="s">
        <v>627</v>
      </c>
      <c r="G1781" s="3" t="s">
        <v>119</v>
      </c>
      <c r="H1781" s="2" t="s">
        <v>74</v>
      </c>
      <c r="I1781" s="2" t="s">
        <v>5025</v>
      </c>
      <c r="J1781" s="3" t="str">
        <f>HYPERLINK("https://www.boe.es/gazeta/dias/1810/02/28/pdfs/GMD-1810-59.pdf#page=3","Abrir facsímil")</f>
        <v>Abrir facsímil</v>
      </c>
      <c r="K1781" s="3" t="s">
        <v>76</v>
      </c>
    </row>
    <row r="1782" spans="1:11" ht="42" customHeight="1">
      <c r="A1782" s="2" t="s">
        <v>5026</v>
      </c>
      <c r="B1782" s="2" t="s">
        <v>5026</v>
      </c>
      <c r="C1782" s="2" t="s">
        <v>26</v>
      </c>
      <c r="D1782" s="2" t="s">
        <v>27</v>
      </c>
      <c r="E1782" s="4">
        <v>-32738</v>
      </c>
      <c r="F1782" s="3" t="s">
        <v>321</v>
      </c>
      <c r="G1782" s="3" t="s">
        <v>90</v>
      </c>
      <c r="H1782" s="2" t="s">
        <v>74</v>
      </c>
      <c r="I1782" s="2" t="s">
        <v>5027</v>
      </c>
      <c r="J1782" s="3" t="str">
        <f>HYPERLINK("https://www.boe.es/gazeta/dias/1810/05/13/pdfs/GMD-1810-133.pdf#page=3","Abrir facsímil")</f>
        <v>Abrir facsímil</v>
      </c>
      <c r="K1782" s="3" t="s">
        <v>76</v>
      </c>
    </row>
    <row r="1783" spans="1:11" ht="42" customHeight="1">
      <c r="A1783" s="2" t="s">
        <v>5028</v>
      </c>
      <c r="B1783" s="2" t="s">
        <v>5029</v>
      </c>
      <c r="C1783" s="2" t="s">
        <v>88</v>
      </c>
      <c r="D1783" s="2" t="s">
        <v>117</v>
      </c>
      <c r="E1783" s="4">
        <v>-32827</v>
      </c>
      <c r="F1783" s="3" t="s">
        <v>290</v>
      </c>
      <c r="G1783" s="3" t="s">
        <v>291</v>
      </c>
      <c r="H1783" s="2" t="s">
        <v>74</v>
      </c>
      <c r="I1783" s="2" t="s">
        <v>5030</v>
      </c>
      <c r="J1783" s="3" t="str">
        <f>HYPERLINK("https://www.boe.es/gazeta/dias/1810/02/13/pdfs/GMD-1810-44.pdf#page=4","Abrir facsímil")</f>
        <v>Abrir facsímil</v>
      </c>
      <c r="K1783" s="3" t="s">
        <v>76</v>
      </c>
    </row>
    <row r="1784" spans="1:11" ht="42" customHeight="1">
      <c r="A1784" s="2" t="s">
        <v>5031</v>
      </c>
      <c r="B1784" s="2" t="s">
        <v>5031</v>
      </c>
      <c r="C1784" s="2" t="s">
        <v>26</v>
      </c>
      <c r="D1784" s="2" t="s">
        <v>27</v>
      </c>
      <c r="E1784" s="4">
        <v>-32663</v>
      </c>
      <c r="F1784" s="3" t="s">
        <v>1615</v>
      </c>
      <c r="G1784" s="3" t="s">
        <v>5032</v>
      </c>
      <c r="H1784" s="2" t="s">
        <v>74</v>
      </c>
      <c r="I1784" s="2" t="s">
        <v>5033</v>
      </c>
      <c r="J1784" s="3" t="str">
        <f>HYPERLINK("https://www.boe.es/gazeta/dias/1810/07/27/pdfs/GMD-1810-208.pdf#page=3","Abrir facsímil")</f>
        <v>Abrir facsímil</v>
      </c>
      <c r="K1784" s="3" t="s">
        <v>76</v>
      </c>
    </row>
    <row r="1785" spans="1:11" ht="42" customHeight="1">
      <c r="A1785" s="2" t="s">
        <v>5034</v>
      </c>
      <c r="B1785" s="2" t="s">
        <v>5034</v>
      </c>
      <c r="C1785" s="2" t="s">
        <v>88</v>
      </c>
      <c r="D1785" s="2" t="s">
        <v>117</v>
      </c>
      <c r="E1785" s="4">
        <v>-32733</v>
      </c>
      <c r="F1785" s="3" t="s">
        <v>644</v>
      </c>
      <c r="G1785" s="3" t="s">
        <v>645</v>
      </c>
      <c r="H1785" s="2" t="s">
        <v>74</v>
      </c>
      <c r="I1785" s="2" t="s">
        <v>5035</v>
      </c>
      <c r="J1785" s="3" t="str">
        <f>HYPERLINK("https://www.boe.es/gazeta/dias/1810/05/18/pdfs/GMD-1810-138.pdf#page=3","Abrir facsímil")</f>
        <v>Abrir facsímil</v>
      </c>
      <c r="K1785" s="3" t="s">
        <v>76</v>
      </c>
    </row>
    <row r="1786" spans="1:11" ht="42" customHeight="1">
      <c r="A1786" s="2" t="s">
        <v>5034</v>
      </c>
      <c r="B1786" s="2" t="s">
        <v>5034</v>
      </c>
      <c r="C1786" s="2" t="s">
        <v>88</v>
      </c>
      <c r="D1786" s="2" t="s">
        <v>27</v>
      </c>
      <c r="E1786" s="4">
        <v>-32727</v>
      </c>
      <c r="F1786" s="3" t="s">
        <v>1611</v>
      </c>
      <c r="G1786" s="3" t="s">
        <v>1928</v>
      </c>
      <c r="H1786" s="2" t="s">
        <v>74</v>
      </c>
      <c r="I1786" s="2" t="s">
        <v>5036</v>
      </c>
      <c r="J1786" s="3" t="str">
        <f>HYPERLINK("https://www.boe.es/gazeta/dias/1810/05/24/pdfs/GMD-1810-144.pdf#page=2","Abrir facsímil")</f>
        <v>Abrir facsímil</v>
      </c>
      <c r="K1786" s="3" t="s">
        <v>76</v>
      </c>
    </row>
    <row r="1787" spans="1:11" ht="42" customHeight="1">
      <c r="A1787" s="2" t="s">
        <v>5037</v>
      </c>
      <c r="B1787" s="2" t="s">
        <v>5037</v>
      </c>
      <c r="C1787" s="2" t="s">
        <v>88</v>
      </c>
      <c r="D1787" s="2" t="s">
        <v>117</v>
      </c>
      <c r="E1787" s="4">
        <v>-32529</v>
      </c>
      <c r="F1787" s="3" t="s">
        <v>112</v>
      </c>
      <c r="G1787" s="3" t="s">
        <v>2184</v>
      </c>
      <c r="H1787" s="2" t="s">
        <v>74</v>
      </c>
      <c r="I1787" s="2" t="s">
        <v>5038</v>
      </c>
      <c r="J1787" s="3" t="str">
        <f>HYPERLINK("https://www.boe.es/gazeta/dias/1810/12/08/pdfs/GEI-1810-105.pdf#page=7","Abrir facsímil")</f>
        <v>Abrir facsímil</v>
      </c>
      <c r="K1787" s="3" t="s">
        <v>76</v>
      </c>
    </row>
    <row r="1788" spans="1:11" ht="42" customHeight="1">
      <c r="A1788" s="2" t="s">
        <v>5039</v>
      </c>
      <c r="B1788" s="2" t="s">
        <v>5040</v>
      </c>
      <c r="C1788" s="2" t="s">
        <v>33</v>
      </c>
      <c r="D1788" s="2" t="s">
        <v>27</v>
      </c>
      <c r="E1788" s="4">
        <v>-32757</v>
      </c>
      <c r="F1788" s="3" t="s">
        <v>1136</v>
      </c>
      <c r="G1788" s="3" t="s">
        <v>1901</v>
      </c>
      <c r="H1788" s="2" t="s">
        <v>74</v>
      </c>
      <c r="I1788" s="2" t="s">
        <v>5041</v>
      </c>
      <c r="J1788" s="3" t="str">
        <f>HYPERLINK("https://www.boe.es/gazeta/dias/1810/04/24/pdfs/GEI-1810-17.pdf#page=8","Abrir facsímil")</f>
        <v>Abrir facsímil</v>
      </c>
      <c r="K1788" s="3" t="s">
        <v>76</v>
      </c>
    </row>
    <row r="1789" spans="1:11" ht="42" customHeight="1">
      <c r="A1789" s="2" t="s">
        <v>5042</v>
      </c>
      <c r="B1789" s="2" t="s">
        <v>5043</v>
      </c>
      <c r="C1789" s="2" t="s">
        <v>88</v>
      </c>
      <c r="D1789" s="2" t="s">
        <v>117</v>
      </c>
      <c r="E1789" s="4">
        <v>-32705</v>
      </c>
      <c r="F1789" s="3" t="s">
        <v>678</v>
      </c>
      <c r="G1789" s="3" t="s">
        <v>691</v>
      </c>
      <c r="H1789" s="2" t="s">
        <v>74</v>
      </c>
      <c r="I1789" s="2" t="s">
        <v>5044</v>
      </c>
      <c r="J1789" s="3" t="str">
        <f>HYPERLINK("https://www.boe.es/gazeta/dias/1810/06/15/pdfs/GEI-1810-36.pdf#page=8","Abrir facsímil")</f>
        <v>Abrir facsímil</v>
      </c>
      <c r="K1789" s="3" t="s">
        <v>76</v>
      </c>
    </row>
    <row r="1790" spans="1:11" ht="42" customHeight="1">
      <c r="A1790" s="2" t="s">
        <v>5045</v>
      </c>
      <c r="B1790" s="2" t="s">
        <v>5045</v>
      </c>
      <c r="C1790" s="2" t="s">
        <v>88</v>
      </c>
      <c r="D1790" s="2" t="s">
        <v>117</v>
      </c>
      <c r="E1790" s="4">
        <v>-32658</v>
      </c>
      <c r="F1790" s="3" t="s">
        <v>1224</v>
      </c>
      <c r="G1790" s="3" t="s">
        <v>140</v>
      </c>
      <c r="H1790" s="2" t="s">
        <v>74</v>
      </c>
      <c r="I1790" s="2" t="s">
        <v>5046</v>
      </c>
      <c r="J1790" s="3" t="str">
        <f>HYPERLINK("https://www.boe.es/gazeta/dias/1810/08/01/pdfs/GMD-1810-213.pdf#page=4","Abrir facsímil")</f>
        <v>Abrir facsímil</v>
      </c>
      <c r="K1790" s="3" t="s">
        <v>76</v>
      </c>
    </row>
    <row r="1791" spans="1:11" ht="42" customHeight="1">
      <c r="A1791" s="2" t="s">
        <v>5047</v>
      </c>
      <c r="B1791" s="2" t="s">
        <v>5048</v>
      </c>
      <c r="C1791" s="2" t="s">
        <v>26</v>
      </c>
      <c r="D1791" s="2" t="s">
        <v>39</v>
      </c>
      <c r="E1791" s="4">
        <v>-32701</v>
      </c>
      <c r="F1791" s="3" t="s">
        <v>40</v>
      </c>
      <c r="G1791" s="3" t="s">
        <v>333</v>
      </c>
      <c r="H1791" s="2" t="s">
        <v>74</v>
      </c>
      <c r="I1791" s="2" t="s">
        <v>5049</v>
      </c>
      <c r="J1791" s="3" t="str">
        <f>HYPERLINK("https://www.boe.es/gazeta/dias/1810/06/19/pdfs/GMD-C-1810-170.pdf#page=4","Abrir facsímil")</f>
        <v>Abrir facsímil</v>
      </c>
      <c r="K1791" s="3" t="s">
        <v>76</v>
      </c>
    </row>
    <row r="1792" spans="1:11" ht="42" customHeight="1">
      <c r="A1792" s="2" t="s">
        <v>5050</v>
      </c>
      <c r="B1792" s="2" t="s">
        <v>5050</v>
      </c>
      <c r="C1792" s="2" t="s">
        <v>26</v>
      </c>
      <c r="D1792" s="2" t="s">
        <v>27</v>
      </c>
      <c r="E1792" s="4">
        <v>-32788</v>
      </c>
      <c r="F1792" s="3" t="s">
        <v>1254</v>
      </c>
      <c r="G1792" s="3" t="s">
        <v>90</v>
      </c>
      <c r="H1792" s="2" t="s">
        <v>74</v>
      </c>
      <c r="I1792" s="2" t="s">
        <v>5051</v>
      </c>
      <c r="J1792" s="3" t="str">
        <f>HYPERLINK("https://www.boe.es/gazeta/dias/1810/03/24/pdfs/GMD-1810-83.pdf#page=4","Abrir facsímil")</f>
        <v>Abrir facsímil</v>
      </c>
      <c r="K1792" s="3" t="s">
        <v>76</v>
      </c>
    </row>
    <row r="1793" spans="1:11" ht="42" customHeight="1">
      <c r="A1793" s="2" t="s">
        <v>5052</v>
      </c>
      <c r="B1793" s="2" t="s">
        <v>5053</v>
      </c>
      <c r="C1793" s="2" t="s">
        <v>88</v>
      </c>
      <c r="D1793" s="2" t="s">
        <v>58</v>
      </c>
      <c r="E1793" s="4">
        <v>-32651</v>
      </c>
      <c r="F1793" s="3" t="s">
        <v>59</v>
      </c>
      <c r="G1793" s="3" t="s">
        <v>2327</v>
      </c>
      <c r="H1793" s="2" t="s">
        <v>74</v>
      </c>
      <c r="I1793" s="2" t="s">
        <v>5054</v>
      </c>
      <c r="J1793" s="3" t="str">
        <f>HYPERLINK("https://www.boe.es/gazeta/dias/1810/08/08/pdfs/GEI-1810-53E.pdf#page=11","Abrir facsímil")</f>
        <v>Abrir facsímil</v>
      </c>
      <c r="K1793" s="3" t="s">
        <v>76</v>
      </c>
    </row>
    <row r="1794" spans="1:11" ht="42" customHeight="1">
      <c r="A1794" s="2" t="s">
        <v>5055</v>
      </c>
      <c r="B1794" s="2" t="s">
        <v>5056</v>
      </c>
      <c r="C1794" s="2" t="s">
        <v>88</v>
      </c>
      <c r="D1794" s="2" t="s">
        <v>117</v>
      </c>
      <c r="E1794" s="4">
        <v>-32638</v>
      </c>
      <c r="F1794" s="3" t="s">
        <v>2498</v>
      </c>
      <c r="G1794" s="3" t="s">
        <v>2902</v>
      </c>
      <c r="H1794" s="2" t="s">
        <v>74</v>
      </c>
      <c r="I1794" s="2" t="s">
        <v>5057</v>
      </c>
      <c r="J1794" s="3" t="str">
        <f>HYPERLINK("https://www.boe.es/gazeta/dias/1810/08/21/pdfs/GEI-1810-58.pdf#page=3","Abrir facsímil")</f>
        <v>Abrir facsímil</v>
      </c>
      <c r="K1794" s="3" t="s">
        <v>76</v>
      </c>
    </row>
    <row r="1795" spans="1:11" ht="42" customHeight="1">
      <c r="A1795" s="2" t="s">
        <v>5058</v>
      </c>
      <c r="B1795" s="2" t="s">
        <v>5059</v>
      </c>
      <c r="C1795" s="2" t="s">
        <v>26</v>
      </c>
      <c r="D1795" s="2" t="s">
        <v>27</v>
      </c>
      <c r="E1795" s="4">
        <v>-32700</v>
      </c>
      <c r="F1795" s="3" t="s">
        <v>89</v>
      </c>
      <c r="G1795" s="3" t="s">
        <v>90</v>
      </c>
      <c r="H1795" s="2" t="s">
        <v>74</v>
      </c>
      <c r="I1795" s="2" t="s">
        <v>5060</v>
      </c>
      <c r="J1795" s="3" t="str">
        <f>HYPERLINK("https://www.boe.es/gazeta/dias/1810/06/20/pdfs/GMD-1810-171.pdf#page=2","Abrir facsímil")</f>
        <v>Abrir facsímil</v>
      </c>
      <c r="K1795" s="3" t="s">
        <v>76</v>
      </c>
    </row>
    <row r="1796" spans="1:11" ht="42" customHeight="1">
      <c r="A1796" s="2" t="s">
        <v>5061</v>
      </c>
      <c r="B1796" s="2" t="s">
        <v>5061</v>
      </c>
      <c r="C1796" s="2" t="s">
        <v>88</v>
      </c>
      <c r="D1796" s="2" t="s">
        <v>117</v>
      </c>
      <c r="E1796" s="4">
        <v>-32829</v>
      </c>
      <c r="F1796" s="3" t="s">
        <v>1126</v>
      </c>
      <c r="G1796" s="3" t="s">
        <v>4982</v>
      </c>
      <c r="H1796" s="2" t="s">
        <v>74</v>
      </c>
      <c r="I1796" s="2" t="s">
        <v>5062</v>
      </c>
      <c r="J1796" s="3" t="str">
        <f>HYPERLINK("https://www.boe.es/gazeta/dias/1810/02/11/pdfs/GMD-1810-42.pdf#page=1","Abrir facsímil")</f>
        <v>Abrir facsímil</v>
      </c>
      <c r="K1796" s="3" t="s">
        <v>76</v>
      </c>
    </row>
    <row r="1797" spans="1:11" ht="42" customHeight="1">
      <c r="A1797" s="2" t="s">
        <v>5063</v>
      </c>
      <c r="B1797" s="2" t="s">
        <v>5063</v>
      </c>
      <c r="C1797" s="2" t="s">
        <v>26</v>
      </c>
      <c r="D1797" s="2" t="s">
        <v>27</v>
      </c>
      <c r="E1797" s="4">
        <v>-32752</v>
      </c>
      <c r="F1797" s="3" t="s">
        <v>601</v>
      </c>
      <c r="G1797" s="3" t="s">
        <v>668</v>
      </c>
      <c r="H1797" s="2" t="s">
        <v>74</v>
      </c>
      <c r="I1797" s="2" t="s">
        <v>5064</v>
      </c>
      <c r="J1797" s="3" t="str">
        <f>HYPERLINK("https://www.boe.es/gazeta/dias/1810/04/29/pdfs/GMD-1810-119.pdf#page=3","Abrir facsímil")</f>
        <v>Abrir facsímil</v>
      </c>
      <c r="K1797" s="3" t="s">
        <v>76</v>
      </c>
    </row>
    <row r="1798" spans="1:11" ht="42" customHeight="1">
      <c r="A1798" s="2" t="s">
        <v>5065</v>
      </c>
      <c r="B1798" s="2" t="s">
        <v>5065</v>
      </c>
      <c r="C1798" s="2" t="s">
        <v>88</v>
      </c>
      <c r="D1798" s="2" t="s">
        <v>27</v>
      </c>
      <c r="E1798" s="4">
        <v>-32684</v>
      </c>
      <c r="F1798" s="3" t="s">
        <v>4741</v>
      </c>
      <c r="G1798" s="3" t="s">
        <v>227</v>
      </c>
      <c r="H1798" s="2" t="s">
        <v>74</v>
      </c>
      <c r="I1798" s="2" t="s">
        <v>5066</v>
      </c>
      <c r="J1798" s="3" t="str">
        <f>HYPERLINK("https://www.boe.es/gazeta/dias/1810/07/06/pdfs/GMD-1810-187.pdf#page=4","Abrir facsímil")</f>
        <v>Abrir facsímil</v>
      </c>
      <c r="K1798" s="3" t="s">
        <v>76</v>
      </c>
    </row>
    <row r="1799" spans="1:11" ht="42" customHeight="1">
      <c r="A1799" s="2" t="s">
        <v>5067</v>
      </c>
      <c r="B1799" s="2" t="s">
        <v>5067</v>
      </c>
      <c r="C1799" s="2" t="s">
        <v>88</v>
      </c>
      <c r="D1799" s="2" t="s">
        <v>27</v>
      </c>
      <c r="E1799" s="4">
        <v>-32845</v>
      </c>
      <c r="F1799" s="3" t="s">
        <v>1454</v>
      </c>
      <c r="G1799" s="3" t="s">
        <v>140</v>
      </c>
      <c r="H1799" s="2" t="s">
        <v>74</v>
      </c>
      <c r="I1799" s="2" t="s">
        <v>5068</v>
      </c>
      <c r="J1799" s="3" t="str">
        <f>HYPERLINK("https://www.boe.es/gazeta/dias/1810/01/26/pdfs/GMD-1810-26.pdf#page=3","Abrir facsímil")</f>
        <v>Abrir facsímil</v>
      </c>
      <c r="K1799" s="3" t="s">
        <v>76</v>
      </c>
    </row>
    <row r="1800" spans="1:11" ht="42" customHeight="1">
      <c r="A1800" s="2" t="s">
        <v>5069</v>
      </c>
      <c r="B1800" s="2" t="s">
        <v>5070</v>
      </c>
      <c r="C1800" s="2" t="s">
        <v>26</v>
      </c>
      <c r="D1800" s="2" t="s">
        <v>18</v>
      </c>
      <c r="E1800" s="4">
        <v>-32670</v>
      </c>
      <c r="F1800" s="3" t="s">
        <v>1942</v>
      </c>
      <c r="G1800" s="3" t="s">
        <v>180</v>
      </c>
      <c r="H1800" s="2" t="s">
        <v>21</v>
      </c>
      <c r="I1800" s="2" t="s">
        <v>5071</v>
      </c>
      <c r="J1800" s="3" t="str">
        <f>HYPERLINK("https://www.boe.es/gazeta/dias/1810/07/20/pdfs/GEI-1810-46.pdf#page=2","Abrir facsímil")</f>
        <v>Abrir facsímil</v>
      </c>
      <c r="K1800" s="3" t="s">
        <v>23</v>
      </c>
    </row>
    <row r="1801" spans="1:11" ht="42" customHeight="1">
      <c r="A1801" s="2" t="s">
        <v>5072</v>
      </c>
      <c r="B1801" s="2" t="s">
        <v>5073</v>
      </c>
      <c r="C1801" s="2" t="s">
        <v>17</v>
      </c>
      <c r="D1801" s="2" t="s">
        <v>27</v>
      </c>
      <c r="E1801" s="4">
        <v>-32648</v>
      </c>
      <c r="F1801" s="3" t="s">
        <v>575</v>
      </c>
      <c r="G1801" s="3" t="s">
        <v>140</v>
      </c>
      <c r="H1801" s="2" t="s">
        <v>21</v>
      </c>
      <c r="I1801" s="2" t="s">
        <v>5074</v>
      </c>
      <c r="J1801" s="3" t="str">
        <f>HYPERLINK("https://www.boe.es/gazeta/dias/1810/08/11/pdfs/GMD-1810-223.pdf#page=4","Abrir facsímil")</f>
        <v>Abrir facsímil</v>
      </c>
      <c r="K1801" s="3" t="s">
        <v>23</v>
      </c>
    </row>
    <row r="1802" spans="1:11" ht="42" customHeight="1">
      <c r="A1802" s="2" t="s">
        <v>5075</v>
      </c>
      <c r="B1802" s="2" t="s">
        <v>5076</v>
      </c>
      <c r="C1802" s="2" t="s">
        <v>17</v>
      </c>
      <c r="D1802" s="2" t="s">
        <v>27</v>
      </c>
      <c r="E1802" s="4">
        <v>-32656</v>
      </c>
      <c r="F1802" s="3" t="s">
        <v>4643</v>
      </c>
      <c r="G1802" s="3" t="s">
        <v>140</v>
      </c>
      <c r="H1802" s="2" t="s">
        <v>74</v>
      </c>
      <c r="I1802" s="2" t="s">
        <v>5077</v>
      </c>
      <c r="J1802" s="3" t="str">
        <f>HYPERLINK("https://www.boe.es/gazeta/dias/1810/08/03/pdfs/GMD-1810-215.pdf#page=4","Abrir facsímil")</f>
        <v>Abrir facsímil</v>
      </c>
      <c r="K1802" s="3" t="s">
        <v>76</v>
      </c>
    </row>
    <row r="1803" spans="1:11" ht="42" customHeight="1">
      <c r="A1803" s="2" t="s">
        <v>5078</v>
      </c>
      <c r="B1803" s="2" t="s">
        <v>5079</v>
      </c>
      <c r="C1803" s="2" t="s">
        <v>88</v>
      </c>
      <c r="D1803" s="2" t="s">
        <v>27</v>
      </c>
      <c r="E1803" s="4">
        <v>-32782</v>
      </c>
      <c r="F1803" s="3" t="s">
        <v>79</v>
      </c>
      <c r="G1803" s="3" t="s">
        <v>274</v>
      </c>
      <c r="H1803" s="2" t="s">
        <v>74</v>
      </c>
      <c r="I1803" s="2" t="s">
        <v>5080</v>
      </c>
      <c r="J1803" s="3" t="str">
        <f>HYPERLINK("https://www.boe.es/gazeta/dias/1810/03/30/pdfs/GEI-1810-9.pdf#page=8","Abrir facsímil")</f>
        <v>Abrir facsímil</v>
      </c>
      <c r="K1803" s="3" t="s">
        <v>76</v>
      </c>
    </row>
    <row r="1804" spans="1:11" ht="42" customHeight="1">
      <c r="A1804" s="2" t="s">
        <v>5081</v>
      </c>
      <c r="B1804" s="2" t="s">
        <v>5082</v>
      </c>
      <c r="C1804" s="2" t="s">
        <v>26</v>
      </c>
      <c r="D1804" s="2" t="s">
        <v>27</v>
      </c>
      <c r="E1804" s="4">
        <v>-32833</v>
      </c>
      <c r="F1804" s="3" t="s">
        <v>1836</v>
      </c>
      <c r="G1804" s="3" t="s">
        <v>29</v>
      </c>
      <c r="H1804" s="2" t="s">
        <v>74</v>
      </c>
      <c r="I1804" s="2" t="s">
        <v>5083</v>
      </c>
      <c r="J1804" s="3" t="str">
        <f>HYPERLINK("https://www.boe.es/gazeta/dias/1810/02/07/pdfs/GMD-1810-38.pdf#page=4","Abrir facsímil")</f>
        <v>Abrir facsímil</v>
      </c>
      <c r="K1804" s="3" t="s">
        <v>76</v>
      </c>
    </row>
    <row r="1805" spans="1:11" ht="42" customHeight="1">
      <c r="A1805" s="2" t="s">
        <v>5084</v>
      </c>
      <c r="B1805" s="2" t="s">
        <v>5085</v>
      </c>
      <c r="C1805" s="2" t="s">
        <v>88</v>
      </c>
      <c r="D1805" s="2" t="s">
        <v>117</v>
      </c>
      <c r="E1805" s="4">
        <v>-32729</v>
      </c>
      <c r="F1805" s="3" t="s">
        <v>174</v>
      </c>
      <c r="G1805" s="3" t="s">
        <v>175</v>
      </c>
      <c r="H1805" s="2" t="s">
        <v>74</v>
      </c>
      <c r="I1805" s="2" t="s">
        <v>5086</v>
      </c>
      <c r="J1805" s="3" t="str">
        <f>HYPERLINK("https://www.boe.es/gazeta/dias/1810/05/22/pdfs/GEI-1810-28.pdf#page=10","Abrir facsímil")</f>
        <v>Abrir facsímil</v>
      </c>
      <c r="K1805" s="3" t="s">
        <v>76</v>
      </c>
    </row>
    <row r="1806" spans="1:11" ht="42" customHeight="1">
      <c r="A1806" s="2" t="s">
        <v>5087</v>
      </c>
      <c r="B1806" s="2" t="s">
        <v>5088</v>
      </c>
      <c r="C1806" s="2" t="s">
        <v>26</v>
      </c>
      <c r="D1806" s="2" t="s">
        <v>27</v>
      </c>
      <c r="E1806" s="4">
        <v>-32832</v>
      </c>
      <c r="F1806" s="3" t="s">
        <v>5089</v>
      </c>
      <c r="G1806" s="3" t="s">
        <v>140</v>
      </c>
      <c r="H1806" s="2" t="s">
        <v>74</v>
      </c>
      <c r="I1806" s="2" t="s">
        <v>5090</v>
      </c>
      <c r="J1806" s="3" t="str">
        <f>HYPERLINK("https://www.boe.es/gazeta/dias/1810/02/08/pdfs/GMD-1810-39.pdf#page=3","Abrir facsímil")</f>
        <v>Abrir facsímil</v>
      </c>
      <c r="K1806" s="3" t="s">
        <v>76</v>
      </c>
    </row>
    <row r="1807" spans="1:11" ht="42" customHeight="1">
      <c r="A1807" s="2" t="s">
        <v>5091</v>
      </c>
      <c r="B1807" s="2" t="s">
        <v>5092</v>
      </c>
      <c r="C1807" s="2" t="s">
        <v>88</v>
      </c>
      <c r="D1807" s="2" t="s">
        <v>27</v>
      </c>
      <c r="E1807" s="4">
        <v>-32686</v>
      </c>
      <c r="F1807" s="3" t="s">
        <v>2362</v>
      </c>
      <c r="G1807" s="3" t="s">
        <v>20</v>
      </c>
      <c r="H1807" s="2" t="s">
        <v>74</v>
      </c>
      <c r="I1807" s="2" t="s">
        <v>5093</v>
      </c>
      <c r="J1807" s="3" t="str">
        <f>HYPERLINK("https://www.boe.es/gazeta/dias/1810/07/04/pdfs/GMD-1810-185.pdf#page=4","Abrir facsímil")</f>
        <v>Abrir facsímil</v>
      </c>
      <c r="K1807" s="3" t="s">
        <v>76</v>
      </c>
    </row>
    <row r="1808" spans="1:11" ht="42" customHeight="1">
      <c r="A1808" s="2" t="s">
        <v>5094</v>
      </c>
      <c r="B1808" s="2" t="s">
        <v>5095</v>
      </c>
      <c r="C1808" s="2" t="s">
        <v>17</v>
      </c>
      <c r="D1808" s="2" t="s">
        <v>27</v>
      </c>
      <c r="E1808" s="4">
        <v>-32537</v>
      </c>
      <c r="F1808" s="3" t="s">
        <v>1091</v>
      </c>
      <c r="G1808" s="3" t="s">
        <v>20</v>
      </c>
      <c r="H1808" s="2" t="s">
        <v>74</v>
      </c>
      <c r="I1808" s="2" t="s">
        <v>5096</v>
      </c>
      <c r="J1808" s="3" t="str">
        <f>HYPERLINK("https://www.boe.es/gazeta/dias/1810/11/30/pdfs/GMD-1810-334.pdf#page=4","Abrir facsímil")</f>
        <v>Abrir facsímil</v>
      </c>
      <c r="K1808" s="3" t="s">
        <v>76</v>
      </c>
    </row>
    <row r="1809" spans="1:11" ht="42" customHeight="1">
      <c r="A1809" s="2" t="s">
        <v>5097</v>
      </c>
      <c r="B1809" s="2" t="s">
        <v>5098</v>
      </c>
      <c r="C1809" s="2" t="s">
        <v>88</v>
      </c>
      <c r="D1809" s="2" t="s">
        <v>27</v>
      </c>
      <c r="E1809" s="4">
        <v>-32697</v>
      </c>
      <c r="F1809" s="3" t="s">
        <v>1859</v>
      </c>
      <c r="G1809" s="3" t="s">
        <v>70</v>
      </c>
      <c r="H1809" s="2" t="s">
        <v>74</v>
      </c>
      <c r="I1809" s="2" t="s">
        <v>5099</v>
      </c>
      <c r="J1809" s="3" t="str">
        <f>HYPERLINK("https://www.boe.es/gazeta/dias/1810/06/23/pdfs/GMD-1810-174.pdf#page=4","Abrir facsímil")</f>
        <v>Abrir facsímil</v>
      </c>
      <c r="K1809" s="3" t="s">
        <v>76</v>
      </c>
    </row>
    <row r="1810" spans="1:11" ht="42" customHeight="1">
      <c r="A1810" s="2" t="s">
        <v>5100</v>
      </c>
      <c r="B1810" s="2" t="s">
        <v>5101</v>
      </c>
      <c r="C1810" s="2" t="s">
        <v>33</v>
      </c>
      <c r="D1810" s="2" t="s">
        <v>27</v>
      </c>
      <c r="E1810" s="4">
        <v>-32710</v>
      </c>
      <c r="F1810" s="3" t="s">
        <v>126</v>
      </c>
      <c r="G1810" s="3" t="s">
        <v>20</v>
      </c>
      <c r="H1810" s="2" t="s">
        <v>74</v>
      </c>
      <c r="I1810" s="2" t="s">
        <v>5102</v>
      </c>
      <c r="J1810" s="3" t="str">
        <f>HYPERLINK("https://www.boe.es/gazeta/dias/1810/06/10/pdfs/GMD-1810-161.pdf#page=4","Abrir facsímil")</f>
        <v>Abrir facsímil</v>
      </c>
      <c r="K1810" s="3" t="s">
        <v>76</v>
      </c>
    </row>
    <row r="1811" spans="1:11" ht="42" customHeight="1">
      <c r="A1811" s="2" t="s">
        <v>5103</v>
      </c>
      <c r="B1811" s="2" t="s">
        <v>5104</v>
      </c>
      <c r="C1811" s="2" t="s">
        <v>26</v>
      </c>
      <c r="D1811" s="2" t="s">
        <v>220</v>
      </c>
      <c r="E1811" s="4">
        <v>-32809</v>
      </c>
      <c r="F1811" s="3" t="s">
        <v>1873</v>
      </c>
      <c r="G1811" s="3" t="s">
        <v>735</v>
      </c>
      <c r="H1811" s="2" t="s">
        <v>74</v>
      </c>
      <c r="I1811" s="2" t="s">
        <v>5105</v>
      </c>
      <c r="J1811" s="3" t="str">
        <f>HYPERLINK("https://www.boe.es/gazeta/dias/1810/03/03/pdfs/GMD-1810-62.pdf#page=4","Abrir facsímil")</f>
        <v>Abrir facsímil</v>
      </c>
      <c r="K1811" s="3" t="s">
        <v>76</v>
      </c>
    </row>
    <row r="1812" spans="1:11" ht="42" customHeight="1">
      <c r="A1812" s="2" t="s">
        <v>5106</v>
      </c>
      <c r="B1812" s="2" t="s">
        <v>5107</v>
      </c>
      <c r="C1812" s="2" t="s">
        <v>88</v>
      </c>
      <c r="D1812" s="2" t="s">
        <v>117</v>
      </c>
      <c r="E1812" s="4">
        <v>-32729</v>
      </c>
      <c r="F1812" s="3" t="s">
        <v>174</v>
      </c>
      <c r="G1812" s="3" t="s">
        <v>1164</v>
      </c>
      <c r="H1812" s="2" t="s">
        <v>74</v>
      </c>
      <c r="I1812" s="2" t="s">
        <v>5108</v>
      </c>
      <c r="J1812" s="3" t="str">
        <f>HYPERLINK("https://www.boe.es/gazeta/dias/1810/05/22/pdfs/GEI-1810-28.pdf#page=9","Abrir facsímil")</f>
        <v>Abrir facsímil</v>
      </c>
      <c r="K1812" s="3" t="s">
        <v>76</v>
      </c>
    </row>
    <row r="1813" spans="1:11" ht="42" customHeight="1">
      <c r="A1813" s="2" t="s">
        <v>5109</v>
      </c>
      <c r="B1813" s="2" t="s">
        <v>5110</v>
      </c>
      <c r="C1813" s="2" t="s">
        <v>26</v>
      </c>
      <c r="D1813" s="2" t="s">
        <v>39</v>
      </c>
      <c r="E1813" s="4">
        <v>-32701</v>
      </c>
      <c r="F1813" s="3" t="s">
        <v>40</v>
      </c>
      <c r="G1813" s="3" t="s">
        <v>315</v>
      </c>
      <c r="H1813" s="2" t="s">
        <v>74</v>
      </c>
      <c r="I1813" s="2" t="s">
        <v>5111</v>
      </c>
      <c r="J1813" s="3" t="str">
        <f>HYPERLINK("https://www.boe.es/gazeta/dias/1810/06/19/pdfs/GMD-C-1810-170.pdf#page=2","Abrir facsímil")</f>
        <v>Abrir facsímil</v>
      </c>
      <c r="K1813" s="3" t="s">
        <v>76</v>
      </c>
    </row>
    <row r="1814" spans="1:11" ht="42" customHeight="1">
      <c r="A1814" s="2" t="s">
        <v>5112</v>
      </c>
      <c r="B1814" s="2" t="s">
        <v>5113</v>
      </c>
      <c r="C1814" s="2" t="s">
        <v>26</v>
      </c>
      <c r="D1814" s="2" t="s">
        <v>39</v>
      </c>
      <c r="E1814" s="4">
        <v>-32661</v>
      </c>
      <c r="F1814" s="3" t="s">
        <v>157</v>
      </c>
      <c r="G1814" s="3" t="s">
        <v>158</v>
      </c>
      <c r="H1814" s="2" t="s">
        <v>74</v>
      </c>
      <c r="I1814" s="2" t="s">
        <v>5114</v>
      </c>
      <c r="J1814" s="3" t="str">
        <f>HYPERLINK("https://www.boe.es/gazeta/dias/1810/07/29/pdfs/GMD-C-1810-210.pdf#page=1","Abrir facsímil")</f>
        <v>Abrir facsímil</v>
      </c>
      <c r="K1814" s="3" t="s">
        <v>76</v>
      </c>
    </row>
    <row r="1815" spans="1:11" ht="42" customHeight="1">
      <c r="A1815" s="2" t="s">
        <v>5115</v>
      </c>
      <c r="B1815" s="2" t="s">
        <v>5116</v>
      </c>
      <c r="C1815" s="2" t="s">
        <v>26</v>
      </c>
      <c r="D1815" s="2" t="s">
        <v>39</v>
      </c>
      <c r="E1815" s="4">
        <v>-32661</v>
      </c>
      <c r="F1815" s="3" t="s">
        <v>157</v>
      </c>
      <c r="G1815" s="3" t="s">
        <v>158</v>
      </c>
      <c r="H1815" s="2" t="s">
        <v>74</v>
      </c>
      <c r="I1815" s="2" t="s">
        <v>5117</v>
      </c>
      <c r="J1815" s="3" t="str">
        <f>HYPERLINK("https://www.boe.es/gazeta/dias/1810/07/29/pdfs/GMD-C-1810-210.pdf#page=1","Abrir facsímil")</f>
        <v>Abrir facsímil</v>
      </c>
      <c r="K1815" s="3" t="s">
        <v>76</v>
      </c>
    </row>
    <row r="1816" spans="1:11" ht="42" customHeight="1">
      <c r="A1816" s="2" t="s">
        <v>5118</v>
      </c>
      <c r="B1816" s="2" t="s">
        <v>5119</v>
      </c>
      <c r="C1816" s="2" t="s">
        <v>88</v>
      </c>
      <c r="D1816" s="2" t="s">
        <v>27</v>
      </c>
      <c r="E1816" s="4">
        <v>-32764</v>
      </c>
      <c r="F1816" s="3" t="s">
        <v>640</v>
      </c>
      <c r="G1816" s="3" t="s">
        <v>641</v>
      </c>
      <c r="H1816" s="2" t="s">
        <v>74</v>
      </c>
      <c r="I1816" s="2" t="s">
        <v>5120</v>
      </c>
      <c r="J1816" s="3" t="str">
        <f>HYPERLINK("https://www.boe.es/gazeta/dias/1810/04/17/pdfs/GEI-1810-15.pdf#page=8","Abrir facsímil")</f>
        <v>Abrir facsímil</v>
      </c>
      <c r="K1816" s="3" t="s">
        <v>76</v>
      </c>
    </row>
    <row r="1817" spans="1:11" ht="42" customHeight="1">
      <c r="A1817" s="2" t="s">
        <v>5121</v>
      </c>
      <c r="B1817" s="2" t="s">
        <v>5122</v>
      </c>
      <c r="C1817" s="2" t="s">
        <v>33</v>
      </c>
      <c r="D1817" s="2" t="s">
        <v>27</v>
      </c>
      <c r="E1817" s="4">
        <v>-32820</v>
      </c>
      <c r="F1817" s="3" t="s">
        <v>226</v>
      </c>
      <c r="G1817" s="3" t="s">
        <v>356</v>
      </c>
      <c r="H1817" s="2" t="s">
        <v>74</v>
      </c>
      <c r="I1817" s="2" t="s">
        <v>5123</v>
      </c>
      <c r="J1817" s="3" t="str">
        <f>HYPERLINK("https://www.boe.es/gazeta/dias/1810/02/20/pdfs/GMD-1810-51.pdf#page=3","Abrir facsímil")</f>
        <v>Abrir facsímil</v>
      </c>
      <c r="K1817" s="3" t="s">
        <v>76</v>
      </c>
    </row>
    <row r="1818" spans="1:11" ht="42" customHeight="1">
      <c r="A1818" s="2" t="s">
        <v>5124</v>
      </c>
      <c r="B1818" s="2" t="s">
        <v>5125</v>
      </c>
      <c r="C1818" s="2" t="s">
        <v>26</v>
      </c>
      <c r="D1818" s="2" t="s">
        <v>27</v>
      </c>
      <c r="E1818" s="4">
        <v>-32756</v>
      </c>
      <c r="F1818" s="3" t="s">
        <v>203</v>
      </c>
      <c r="G1818" s="3" t="s">
        <v>180</v>
      </c>
      <c r="H1818" s="2" t="s">
        <v>74</v>
      </c>
      <c r="I1818" s="2" t="s">
        <v>5126</v>
      </c>
      <c r="J1818" s="3" t="str">
        <f>HYPERLINK("https://www.boe.es/gazeta/dias/1810/04/25/pdfs/GMD-1810-115.pdf#page=4","Abrir facsímil")</f>
        <v>Abrir facsímil</v>
      </c>
      <c r="K1818" s="3" t="s">
        <v>76</v>
      </c>
    </row>
    <row r="1819" spans="1:11" ht="42" customHeight="1">
      <c r="A1819" s="2" t="s">
        <v>5127</v>
      </c>
      <c r="B1819" s="2" t="s">
        <v>5128</v>
      </c>
      <c r="C1819" s="2" t="s">
        <v>88</v>
      </c>
      <c r="D1819" s="2" t="s">
        <v>27</v>
      </c>
      <c r="E1819" s="4">
        <v>-32710</v>
      </c>
      <c r="F1819" s="3" t="s">
        <v>126</v>
      </c>
      <c r="G1819" s="3" t="s">
        <v>184</v>
      </c>
      <c r="H1819" s="2" t="s">
        <v>74</v>
      </c>
      <c r="I1819" s="2" t="s">
        <v>5129</v>
      </c>
      <c r="J1819" s="3" t="str">
        <f>HYPERLINK("https://www.boe.es/gazeta/dias/1810/06/10/pdfs/GMD-1810-161.pdf#page=3","Abrir facsímil")</f>
        <v>Abrir facsímil</v>
      </c>
      <c r="K1819" s="3" t="s">
        <v>76</v>
      </c>
    </row>
    <row r="1820" spans="1:11" ht="42" customHeight="1">
      <c r="A1820" s="2" t="s">
        <v>5130</v>
      </c>
      <c r="B1820" s="2" t="s">
        <v>5131</v>
      </c>
      <c r="C1820" s="2" t="s">
        <v>26</v>
      </c>
      <c r="D1820" s="2" t="s">
        <v>27</v>
      </c>
      <c r="E1820" s="4">
        <v>-32563</v>
      </c>
      <c r="F1820" s="3" t="s">
        <v>535</v>
      </c>
      <c r="G1820" s="3" t="s">
        <v>3597</v>
      </c>
      <c r="H1820" s="2" t="s">
        <v>74</v>
      </c>
      <c r="I1820" s="2" t="s">
        <v>5132</v>
      </c>
      <c r="J1820" s="3" t="str">
        <f>HYPERLINK("https://www.boe.es/gazeta/dias/1810/11/04/pdfs/GMD-1810-308.pdf#page=23","Abrir facsímil")</f>
        <v>Abrir facsímil</v>
      </c>
      <c r="K1820" s="3" t="s">
        <v>76</v>
      </c>
    </row>
    <row r="1821" spans="1:11" ht="42" customHeight="1">
      <c r="A1821" s="2" t="s">
        <v>5133</v>
      </c>
      <c r="B1821" s="2" t="s">
        <v>5134</v>
      </c>
      <c r="C1821" s="2" t="s">
        <v>26</v>
      </c>
      <c r="D1821" s="2" t="s">
        <v>39</v>
      </c>
      <c r="E1821" s="4">
        <v>-32701</v>
      </c>
      <c r="F1821" s="3" t="s">
        <v>40</v>
      </c>
      <c r="G1821" s="3" t="s">
        <v>333</v>
      </c>
      <c r="H1821" s="2" t="s">
        <v>74</v>
      </c>
      <c r="I1821" s="2" t="s">
        <v>5135</v>
      </c>
      <c r="J1821" s="3" t="str">
        <f>HYPERLINK("https://www.boe.es/gazeta/dias/1810/06/19/pdfs/GMD-C-1810-170.pdf#page=4","Abrir facsímil")</f>
        <v>Abrir facsímil</v>
      </c>
      <c r="K1821" s="3" t="s">
        <v>76</v>
      </c>
    </row>
    <row r="1822" spans="1:11" ht="42" customHeight="1">
      <c r="A1822" s="2" t="s">
        <v>5136</v>
      </c>
      <c r="B1822" s="2" t="s">
        <v>5137</v>
      </c>
      <c r="C1822" s="2" t="s">
        <v>88</v>
      </c>
      <c r="D1822" s="2" t="s">
        <v>27</v>
      </c>
      <c r="E1822" s="4">
        <v>-32515</v>
      </c>
      <c r="F1822" s="3" t="s">
        <v>351</v>
      </c>
      <c r="G1822" s="3" t="s">
        <v>352</v>
      </c>
      <c r="H1822" s="2" t="s">
        <v>74</v>
      </c>
      <c r="I1822" s="2" t="s">
        <v>5138</v>
      </c>
      <c r="J1822" s="3" t="str">
        <f>HYPERLINK("https://www.boe.es/gazeta/dias/1810/12/22/pdfs/GEI-1810-111.pdf#page=8","Abrir facsímil")</f>
        <v>Abrir facsímil</v>
      </c>
      <c r="K1822" s="3" t="s">
        <v>76</v>
      </c>
    </row>
    <row r="1823" spans="1:11" ht="42" customHeight="1">
      <c r="A1823" s="2" t="s">
        <v>5139</v>
      </c>
      <c r="B1823" s="2" t="s">
        <v>5140</v>
      </c>
      <c r="C1823" s="2" t="s">
        <v>26</v>
      </c>
      <c r="D1823" s="2" t="s">
        <v>27</v>
      </c>
      <c r="E1823" s="4">
        <v>-32526</v>
      </c>
      <c r="F1823" s="3" t="s">
        <v>530</v>
      </c>
      <c r="G1823" s="3" t="s">
        <v>531</v>
      </c>
      <c r="H1823" s="2" t="s">
        <v>74</v>
      </c>
      <c r="I1823" s="2" t="s">
        <v>5141</v>
      </c>
      <c r="J1823" s="3" t="str">
        <f>HYPERLINK("https://www.boe.es/gazeta/dias/1810/12/11/pdfs/GEI-1810-106.pdf#page=2","Abrir facsímil")</f>
        <v>Abrir facsímil</v>
      </c>
      <c r="K1823" s="3" t="s">
        <v>76</v>
      </c>
    </row>
    <row r="1824" spans="1:11" ht="42" customHeight="1">
      <c r="A1824" s="2" t="s">
        <v>5142</v>
      </c>
      <c r="B1824" s="2" t="s">
        <v>5143</v>
      </c>
      <c r="C1824" s="2" t="s">
        <v>17</v>
      </c>
      <c r="D1824" s="2" t="s">
        <v>27</v>
      </c>
      <c r="E1824" s="4">
        <v>-32834</v>
      </c>
      <c r="F1824" s="3" t="s">
        <v>2746</v>
      </c>
      <c r="G1824" s="3" t="s">
        <v>29</v>
      </c>
      <c r="H1824" s="2" t="s">
        <v>74</v>
      </c>
      <c r="I1824" s="2" t="s">
        <v>5144</v>
      </c>
      <c r="J1824" s="3" t="str">
        <f>HYPERLINK("https://www.boe.es/gazeta/dias/1810/02/06/pdfs/GMD-1810-37.pdf#page=2","Abrir facsímil")</f>
        <v>Abrir facsímil</v>
      </c>
      <c r="K1824" s="3" t="s">
        <v>76</v>
      </c>
    </row>
    <row r="1825" spans="1:11" ht="42" customHeight="1">
      <c r="A1825" s="2" t="s">
        <v>5145</v>
      </c>
      <c r="B1825" s="2" t="s">
        <v>5146</v>
      </c>
      <c r="C1825" s="2" t="s">
        <v>26</v>
      </c>
      <c r="D1825" s="2" t="s">
        <v>39</v>
      </c>
      <c r="E1825" s="4">
        <v>-32666</v>
      </c>
      <c r="F1825" s="3" t="s">
        <v>5147</v>
      </c>
      <c r="G1825" s="3" t="s">
        <v>29</v>
      </c>
      <c r="H1825" s="2" t="s">
        <v>74</v>
      </c>
      <c r="I1825" s="2" t="s">
        <v>5148</v>
      </c>
      <c r="J1825" s="3" t="str">
        <f>HYPERLINK("https://www.boe.es/gazeta/dias/1810/07/24/pdfs/GMD-C-1810-205.pdf#page=1","Abrir facsímil")</f>
        <v>Abrir facsímil</v>
      </c>
      <c r="K1825" s="3" t="s">
        <v>76</v>
      </c>
    </row>
    <row r="1826" spans="1:11" ht="42" customHeight="1">
      <c r="A1826" s="2" t="s">
        <v>5149</v>
      </c>
      <c r="B1826" s="2" t="s">
        <v>5150</v>
      </c>
      <c r="C1826" s="2" t="s">
        <v>26</v>
      </c>
      <c r="D1826" s="2" t="s">
        <v>58</v>
      </c>
      <c r="E1826" s="4">
        <v>-32601</v>
      </c>
      <c r="F1826" s="3" t="s">
        <v>392</v>
      </c>
      <c r="G1826" s="3" t="s">
        <v>1430</v>
      </c>
      <c r="H1826" s="2" t="s">
        <v>74</v>
      </c>
      <c r="I1826" s="2" t="s">
        <v>5151</v>
      </c>
      <c r="J1826" s="3" t="str">
        <f>HYPERLINK("https://www.boe.es/gazeta/dias/1810/09/27/pdfs/GEI-1810-74E.pdf#page=3","Abrir facsímil")</f>
        <v>Abrir facsímil</v>
      </c>
      <c r="K1826" s="3" t="s">
        <v>76</v>
      </c>
    </row>
    <row r="1827" spans="1:11" ht="42" customHeight="1">
      <c r="A1827" s="2" t="s">
        <v>5152</v>
      </c>
      <c r="B1827" s="2" t="s">
        <v>5153</v>
      </c>
      <c r="C1827" s="2" t="s">
        <v>26</v>
      </c>
      <c r="D1827" s="2" t="s">
        <v>39</v>
      </c>
      <c r="E1827" s="4">
        <v>-32701</v>
      </c>
      <c r="F1827" s="3" t="s">
        <v>40</v>
      </c>
      <c r="G1827" s="3" t="s">
        <v>315</v>
      </c>
      <c r="H1827" s="2" t="s">
        <v>74</v>
      </c>
      <c r="I1827" s="2" t="s">
        <v>5154</v>
      </c>
      <c r="J1827" s="3" t="str">
        <f>HYPERLINK("https://www.boe.es/gazeta/dias/1810/06/19/pdfs/GMD-C-1810-170.pdf#page=2","Abrir facsímil")</f>
        <v>Abrir facsímil</v>
      </c>
      <c r="K1827" s="3" t="s">
        <v>76</v>
      </c>
    </row>
    <row r="1828" spans="1:11" ht="42" customHeight="1">
      <c r="A1828" s="2" t="s">
        <v>5155</v>
      </c>
      <c r="B1828" s="2" t="s">
        <v>5156</v>
      </c>
      <c r="C1828" s="2" t="s">
        <v>26</v>
      </c>
      <c r="D1828" s="2" t="s">
        <v>27</v>
      </c>
      <c r="E1828" s="4">
        <v>-32526</v>
      </c>
      <c r="F1828" s="3" t="s">
        <v>530</v>
      </c>
      <c r="G1828" s="3" t="s">
        <v>531</v>
      </c>
      <c r="H1828" s="2" t="s">
        <v>74</v>
      </c>
      <c r="I1828" s="2" t="s">
        <v>5157</v>
      </c>
      <c r="J1828" s="3" t="str">
        <f>HYPERLINK("https://www.boe.es/gazeta/dias/1810/12/11/pdfs/GEI-1810-106.pdf#page=2","Abrir facsímil")</f>
        <v>Abrir facsímil</v>
      </c>
      <c r="K1828" s="3" t="s">
        <v>76</v>
      </c>
    </row>
    <row r="1829" spans="1:11" ht="42" customHeight="1">
      <c r="A1829" s="2" t="s">
        <v>5158</v>
      </c>
      <c r="B1829" s="2" t="s">
        <v>5159</v>
      </c>
      <c r="C1829" s="2" t="s">
        <v>26</v>
      </c>
      <c r="D1829" s="2" t="s">
        <v>39</v>
      </c>
      <c r="E1829" s="4">
        <v>-32645</v>
      </c>
      <c r="F1829" s="3" t="s">
        <v>2492</v>
      </c>
      <c r="G1829" s="3" t="s">
        <v>119</v>
      </c>
      <c r="H1829" s="2" t="s">
        <v>74</v>
      </c>
      <c r="I1829" s="2" t="s">
        <v>5160</v>
      </c>
      <c r="J1829" s="3" t="str">
        <f>HYPERLINK("https://www.boe.es/gazeta/dias/1810/08/14/pdfs/GEI-D-1810-56.pdf#page=3","Abrir facsímil")</f>
        <v>Abrir facsímil</v>
      </c>
      <c r="K1829" s="3" t="s">
        <v>76</v>
      </c>
    </row>
    <row r="1830" spans="1:11" ht="42" customHeight="1">
      <c r="A1830" s="2" t="s">
        <v>5161</v>
      </c>
      <c r="B1830" s="2" t="s">
        <v>5162</v>
      </c>
      <c r="C1830" s="2" t="s">
        <v>26</v>
      </c>
      <c r="D1830" s="2" t="s">
        <v>18</v>
      </c>
      <c r="E1830" s="4">
        <v>-32829</v>
      </c>
      <c r="F1830" s="3" t="s">
        <v>1126</v>
      </c>
      <c r="G1830" s="3" t="s">
        <v>29</v>
      </c>
      <c r="H1830" s="2" t="s">
        <v>74</v>
      </c>
      <c r="I1830" s="2" t="s">
        <v>5163</v>
      </c>
      <c r="J1830" s="3" t="str">
        <f>HYPERLINK("https://www.boe.es/gazeta/dias/1810/02/11/pdfs/GMD-1810-42.pdf#page=2","Abrir facsímil")</f>
        <v>Abrir facsímil</v>
      </c>
      <c r="K1830" s="3" t="s">
        <v>76</v>
      </c>
    </row>
    <row r="1831" spans="1:11" ht="42" customHeight="1">
      <c r="A1831" s="2" t="s">
        <v>5164</v>
      </c>
      <c r="B1831" s="2" t="s">
        <v>5165</v>
      </c>
      <c r="C1831" s="2" t="s">
        <v>88</v>
      </c>
      <c r="D1831" s="2" t="s">
        <v>18</v>
      </c>
      <c r="E1831" s="4">
        <v>-32826</v>
      </c>
      <c r="F1831" s="3" t="s">
        <v>1252</v>
      </c>
      <c r="G1831" s="3" t="s">
        <v>227</v>
      </c>
      <c r="H1831" s="2" t="s">
        <v>74</v>
      </c>
      <c r="I1831" s="2" t="s">
        <v>5166</v>
      </c>
      <c r="J1831" s="3" t="str">
        <f>HYPERLINK("https://www.boe.es/gazeta/dias/1810/02/14/pdfs/GMD-1810-45.pdf#page=4","Abrir facsímil")</f>
        <v>Abrir facsímil</v>
      </c>
      <c r="K1831" s="3" t="s">
        <v>76</v>
      </c>
    </row>
    <row r="1832" spans="1:11" ht="42" customHeight="1">
      <c r="A1832" s="2" t="s">
        <v>5167</v>
      </c>
      <c r="B1832" s="2" t="s">
        <v>5168</v>
      </c>
      <c r="C1832" s="2" t="s">
        <v>26</v>
      </c>
      <c r="D1832" s="2" t="s">
        <v>27</v>
      </c>
      <c r="E1832" s="4">
        <v>-32799</v>
      </c>
      <c r="F1832" s="3" t="s">
        <v>2252</v>
      </c>
      <c r="G1832" s="3" t="s">
        <v>2253</v>
      </c>
      <c r="H1832" s="2" t="s">
        <v>74</v>
      </c>
      <c r="I1832" s="2" t="s">
        <v>5169</v>
      </c>
      <c r="J1832" s="3" t="str">
        <f>HYPERLINK("https://www.boe.es/gazeta/dias/1810/03/13/pdfs/GMD-1810-72.pdf#page=4","Abrir facsímil")</f>
        <v>Abrir facsímil</v>
      </c>
      <c r="K1832" s="3" t="s">
        <v>76</v>
      </c>
    </row>
    <row r="1833" spans="1:11" ht="42" customHeight="1">
      <c r="A1833" s="2" t="s">
        <v>5170</v>
      </c>
      <c r="B1833" s="2" t="s">
        <v>5171</v>
      </c>
      <c r="C1833" s="2" t="s">
        <v>26</v>
      </c>
      <c r="D1833" s="2" t="s">
        <v>27</v>
      </c>
      <c r="E1833" s="4">
        <v>-32647</v>
      </c>
      <c r="F1833" s="3" t="s">
        <v>118</v>
      </c>
      <c r="G1833" s="3" t="s">
        <v>20</v>
      </c>
      <c r="H1833" s="2" t="s">
        <v>74</v>
      </c>
      <c r="I1833" s="2" t="s">
        <v>5172</v>
      </c>
      <c r="J1833" s="3" t="str">
        <f>HYPERLINK("https://www.boe.es/gazeta/dias/1810/08/12/pdfs/GMD-1810-224.pdf#page=4","Abrir facsímil")</f>
        <v>Abrir facsímil</v>
      </c>
      <c r="K1833" s="3" t="s">
        <v>76</v>
      </c>
    </row>
    <row r="1834" spans="1:11" ht="42" customHeight="1">
      <c r="A1834" s="2" t="s">
        <v>5173</v>
      </c>
      <c r="B1834" s="2" t="s">
        <v>5174</v>
      </c>
      <c r="C1834" s="2" t="s">
        <v>26</v>
      </c>
      <c r="D1834" s="2" t="s">
        <v>27</v>
      </c>
      <c r="E1834" s="4">
        <v>-32684</v>
      </c>
      <c r="F1834" s="3" t="s">
        <v>1373</v>
      </c>
      <c r="G1834" s="3" t="s">
        <v>1374</v>
      </c>
      <c r="H1834" s="2" t="s">
        <v>74</v>
      </c>
      <c r="I1834" s="2" t="s">
        <v>5175</v>
      </c>
      <c r="J1834" s="3" t="str">
        <f>HYPERLINK("https://www.boe.es/gazeta/dias/1810/07/06/pdfs/GEI-1810-42.pdf#page=8","Abrir facsímil")</f>
        <v>Abrir facsímil</v>
      </c>
      <c r="K1834" s="3" t="s">
        <v>76</v>
      </c>
    </row>
    <row r="1835" spans="1:11" ht="42" customHeight="1">
      <c r="A1835" s="2" t="s">
        <v>5176</v>
      </c>
      <c r="B1835" s="2" t="s">
        <v>5177</v>
      </c>
      <c r="C1835" s="2" t="s">
        <v>195</v>
      </c>
      <c r="D1835" s="2" t="s">
        <v>27</v>
      </c>
      <c r="E1835" s="4">
        <v>-32837</v>
      </c>
      <c r="F1835" s="3" t="s">
        <v>196</v>
      </c>
      <c r="G1835" s="3" t="s">
        <v>140</v>
      </c>
      <c r="H1835" s="2" t="s">
        <v>74</v>
      </c>
      <c r="I1835" s="2" t="s">
        <v>5178</v>
      </c>
      <c r="J1835" s="3" t="str">
        <f>HYPERLINK("https://www.boe.es/gazeta/dias/1810/02/03/pdfs/GMD-1810-34.pdf#page=4","Abrir facsímil")</f>
        <v>Abrir facsímil</v>
      </c>
      <c r="K1835" s="3" t="s">
        <v>76</v>
      </c>
    </row>
    <row r="1836" spans="1:11" ht="42" customHeight="1">
      <c r="A1836" s="2" t="s">
        <v>5179</v>
      </c>
      <c r="B1836" s="2" t="s">
        <v>5180</v>
      </c>
      <c r="C1836" s="2" t="s">
        <v>26</v>
      </c>
      <c r="D1836" s="2" t="s">
        <v>39</v>
      </c>
      <c r="E1836" s="4">
        <v>-32661</v>
      </c>
      <c r="F1836" s="3" t="s">
        <v>157</v>
      </c>
      <c r="G1836" s="3" t="s">
        <v>592</v>
      </c>
      <c r="H1836" s="2" t="s">
        <v>74</v>
      </c>
      <c r="I1836" s="2" t="s">
        <v>5181</v>
      </c>
      <c r="J1836" s="3" t="str">
        <f>HYPERLINK("https://www.boe.es/gazeta/dias/1810/07/29/pdfs/GMD-C-1810-210.pdf#page=2","Abrir facsímil")</f>
        <v>Abrir facsímil</v>
      </c>
      <c r="K1836" s="3" t="s">
        <v>76</v>
      </c>
    </row>
    <row r="1837" spans="1:11" ht="42" customHeight="1">
      <c r="A1837" s="2" t="s">
        <v>5182</v>
      </c>
      <c r="B1837" s="2" t="s">
        <v>5183</v>
      </c>
      <c r="C1837" s="2" t="s">
        <v>88</v>
      </c>
      <c r="D1837" s="2" t="s">
        <v>117</v>
      </c>
      <c r="E1837" s="4">
        <v>-32725</v>
      </c>
      <c r="F1837" s="3" t="s">
        <v>417</v>
      </c>
      <c r="G1837" s="3" t="s">
        <v>140</v>
      </c>
      <c r="H1837" s="2" t="s">
        <v>21</v>
      </c>
      <c r="I1837" s="2" t="s">
        <v>5184</v>
      </c>
      <c r="J1837" s="3" t="str">
        <f>HYPERLINK("https://www.boe.es/gazeta/dias/1810/05/26/pdfs/GMD-1810-146.pdf#page=4","Abrir facsímil")</f>
        <v>Abrir facsímil</v>
      </c>
      <c r="K1837" s="3" t="s">
        <v>23</v>
      </c>
    </row>
    <row r="1838" spans="1:11" ht="42" customHeight="1">
      <c r="A1838" s="2" t="s">
        <v>5185</v>
      </c>
      <c r="B1838" s="2" t="s">
        <v>5186</v>
      </c>
      <c r="C1838" s="2" t="s">
        <v>17</v>
      </c>
      <c r="D1838" s="2" t="s">
        <v>27</v>
      </c>
      <c r="E1838" s="4">
        <v>-32741</v>
      </c>
      <c r="F1838" s="3" t="s">
        <v>98</v>
      </c>
      <c r="G1838" s="3" t="s">
        <v>90</v>
      </c>
      <c r="H1838" s="2" t="s">
        <v>74</v>
      </c>
      <c r="I1838" s="2" t="s">
        <v>5187</v>
      </c>
      <c r="J1838" s="3" t="str">
        <f>HYPERLINK("https://www.boe.es/gazeta/dias/1810/05/10/pdfs/GMD-1810-130.pdf#page=4","Abrir facsímil")</f>
        <v>Abrir facsímil</v>
      </c>
      <c r="K1838" s="3" t="s">
        <v>76</v>
      </c>
    </row>
    <row r="1839" spans="1:11" ht="42" customHeight="1">
      <c r="A1839" s="2" t="s">
        <v>5188</v>
      </c>
      <c r="B1839" s="2" t="s">
        <v>5189</v>
      </c>
      <c r="C1839" s="2" t="s">
        <v>88</v>
      </c>
      <c r="D1839" s="2" t="s">
        <v>27</v>
      </c>
      <c r="E1839" s="4">
        <v>-32554</v>
      </c>
      <c r="F1839" s="3" t="s">
        <v>5190</v>
      </c>
      <c r="G1839" s="3" t="s">
        <v>5191</v>
      </c>
      <c r="H1839" s="2" t="s">
        <v>74</v>
      </c>
      <c r="I1839" s="2" t="s">
        <v>5192</v>
      </c>
      <c r="J1839" s="3" t="str">
        <f>HYPERLINK("https://www.boe.es/gazeta/dias/1810/11/13/pdfs/GEI-1810-94.pdf#page=8","Abrir facsímil")</f>
        <v>Abrir facsímil</v>
      </c>
      <c r="K1839" s="3" t="s">
        <v>76</v>
      </c>
    </row>
    <row r="1840" spans="1:11" ht="42" customHeight="1">
      <c r="A1840" s="2" t="s">
        <v>5193</v>
      </c>
      <c r="B1840" s="2" t="s">
        <v>5194</v>
      </c>
      <c r="C1840" s="2" t="s">
        <v>26</v>
      </c>
      <c r="D1840" s="2" t="s">
        <v>27</v>
      </c>
      <c r="E1840" s="4">
        <v>-32710</v>
      </c>
      <c r="F1840" s="3" t="s">
        <v>126</v>
      </c>
      <c r="G1840" s="3" t="s">
        <v>20</v>
      </c>
      <c r="H1840" s="2" t="s">
        <v>74</v>
      </c>
      <c r="I1840" s="2" t="s">
        <v>5195</v>
      </c>
      <c r="J1840" s="3" t="str">
        <f>HYPERLINK("https://www.boe.es/gazeta/dias/1810/06/10/pdfs/GMD-1810-161.pdf#page=4","Abrir facsímil")</f>
        <v>Abrir facsímil</v>
      </c>
      <c r="K1840" s="3" t="s">
        <v>76</v>
      </c>
    </row>
    <row r="1841" spans="1:11" ht="42" customHeight="1">
      <c r="A1841" s="2" t="s">
        <v>5196</v>
      </c>
      <c r="B1841" s="2" t="s">
        <v>5197</v>
      </c>
      <c r="C1841" s="2" t="s">
        <v>26</v>
      </c>
      <c r="D1841" s="2" t="s">
        <v>39</v>
      </c>
      <c r="E1841" s="4">
        <v>-32702</v>
      </c>
      <c r="F1841" s="3" t="s">
        <v>179</v>
      </c>
      <c r="G1841" s="3" t="s">
        <v>213</v>
      </c>
      <c r="H1841" s="2" t="s">
        <v>74</v>
      </c>
      <c r="I1841" s="2" t="s">
        <v>5198</v>
      </c>
      <c r="J1841" s="3" t="str">
        <f>HYPERLINK("https://www.boe.es/gazeta/dias/1810/06/18/pdfs/GMD-C-1810-169.pdf#page=4","Abrir facsímil")</f>
        <v>Abrir facsímil</v>
      </c>
      <c r="K1841" s="3" t="s">
        <v>76</v>
      </c>
    </row>
    <row r="1842" spans="1:11" ht="42" customHeight="1">
      <c r="A1842" s="2" t="s">
        <v>5199</v>
      </c>
      <c r="B1842" s="2" t="s">
        <v>5200</v>
      </c>
      <c r="C1842" s="2" t="s">
        <v>88</v>
      </c>
      <c r="D1842" s="2" t="s">
        <v>117</v>
      </c>
      <c r="E1842" s="4">
        <v>-32853</v>
      </c>
      <c r="F1842" s="3" t="s">
        <v>516</v>
      </c>
      <c r="G1842" s="3" t="s">
        <v>227</v>
      </c>
      <c r="H1842" s="2" t="s">
        <v>74</v>
      </c>
      <c r="I1842" s="2" t="s">
        <v>5201</v>
      </c>
      <c r="J1842" s="3" t="str">
        <f>HYPERLINK("https://www.boe.es/gazeta/dias/1810/01/18/pdfs/GGB-1810-8.pdf#page=8","Abrir facsímil")</f>
        <v>Abrir facsímil</v>
      </c>
      <c r="K1842" s="3" t="s">
        <v>76</v>
      </c>
    </row>
    <row r="1843" spans="1:11" ht="42" customHeight="1">
      <c r="A1843" s="2" t="s">
        <v>5202</v>
      </c>
      <c r="B1843" s="2" t="s">
        <v>5203</v>
      </c>
      <c r="C1843" s="2" t="s">
        <v>88</v>
      </c>
      <c r="D1843" s="2" t="s">
        <v>117</v>
      </c>
      <c r="E1843" s="4">
        <v>-32651</v>
      </c>
      <c r="F1843" s="3" t="s">
        <v>59</v>
      </c>
      <c r="G1843" s="3" t="s">
        <v>5204</v>
      </c>
      <c r="H1843" s="2" t="s">
        <v>74</v>
      </c>
      <c r="I1843" s="2" t="s">
        <v>5205</v>
      </c>
      <c r="J1843" s="3" t="str">
        <f>HYPERLINK("https://www.boe.es/gazeta/dias/1810/08/08/pdfs/GEI-1810-53E.pdf#page=10","Abrir facsímil")</f>
        <v>Abrir facsímil</v>
      </c>
      <c r="K1843" s="3" t="s">
        <v>76</v>
      </c>
    </row>
    <row r="1844" spans="1:11" ht="42" customHeight="1">
      <c r="A1844" s="2" t="s">
        <v>5206</v>
      </c>
      <c r="B1844" s="2" t="s">
        <v>5207</v>
      </c>
      <c r="C1844" s="2" t="s">
        <v>26</v>
      </c>
      <c r="D1844" s="2" t="s">
        <v>39</v>
      </c>
      <c r="E1844" s="4">
        <v>-32661</v>
      </c>
      <c r="F1844" s="3" t="s">
        <v>157</v>
      </c>
      <c r="G1844" s="3" t="s">
        <v>592</v>
      </c>
      <c r="H1844" s="2" t="s">
        <v>74</v>
      </c>
      <c r="I1844" s="2" t="s">
        <v>5208</v>
      </c>
      <c r="J1844" s="3" t="str">
        <f>HYPERLINK("https://www.boe.es/gazeta/dias/1810/07/29/pdfs/GMD-C-1810-210.pdf#page=2","Abrir facsímil")</f>
        <v>Abrir facsímil</v>
      </c>
      <c r="K1844" s="3" t="s">
        <v>76</v>
      </c>
    </row>
    <row r="1845" spans="1:11" ht="42" customHeight="1">
      <c r="A1845" s="2" t="s">
        <v>5209</v>
      </c>
      <c r="B1845" s="2" t="s">
        <v>5210</v>
      </c>
      <c r="C1845" s="2" t="s">
        <v>33</v>
      </c>
      <c r="D1845" s="2" t="s">
        <v>27</v>
      </c>
      <c r="E1845" s="4">
        <v>-32543</v>
      </c>
      <c r="F1845" s="3" t="s">
        <v>69</v>
      </c>
      <c r="G1845" s="3" t="s">
        <v>70</v>
      </c>
      <c r="H1845" s="2" t="s">
        <v>74</v>
      </c>
      <c r="I1845" s="2" t="s">
        <v>5211</v>
      </c>
      <c r="J1845" s="3" t="str">
        <f>HYPERLINK("https://www.boe.es/gazeta/dias/1810/11/24/pdfs/GEI-1810-99.pdf#page=8","Abrir facsímil")</f>
        <v>Abrir facsímil</v>
      </c>
      <c r="K1845" s="3" t="s">
        <v>76</v>
      </c>
    </row>
    <row r="1846" spans="1:11" ht="42" customHeight="1">
      <c r="A1846" s="2" t="s">
        <v>5212</v>
      </c>
      <c r="B1846" s="2" t="s">
        <v>5213</v>
      </c>
      <c r="C1846" s="2" t="s">
        <v>26</v>
      </c>
      <c r="D1846" s="2" t="s">
        <v>27</v>
      </c>
      <c r="E1846" s="4">
        <v>-32783</v>
      </c>
      <c r="F1846" s="3" t="s">
        <v>896</v>
      </c>
      <c r="G1846" s="3" t="s">
        <v>20</v>
      </c>
      <c r="H1846" s="2" t="s">
        <v>74</v>
      </c>
      <c r="I1846" s="2" t="s">
        <v>5214</v>
      </c>
      <c r="J1846" s="3" t="str">
        <f>HYPERLINK("https://www.boe.es/gazeta/dias/1810/03/29/pdfs/GMD-1810-88.pdf#page=4","Abrir facsímil")</f>
        <v>Abrir facsímil</v>
      </c>
      <c r="K1846" s="3" t="s">
        <v>76</v>
      </c>
    </row>
    <row r="1847" spans="1:11" ht="42" customHeight="1">
      <c r="A1847" s="2" t="s">
        <v>5215</v>
      </c>
      <c r="B1847" s="2" t="s">
        <v>5216</v>
      </c>
      <c r="C1847" s="2" t="s">
        <v>26</v>
      </c>
      <c r="D1847" s="2" t="s">
        <v>27</v>
      </c>
      <c r="E1847" s="4">
        <v>-32783</v>
      </c>
      <c r="F1847" s="3" t="s">
        <v>896</v>
      </c>
      <c r="G1847" s="3" t="s">
        <v>20</v>
      </c>
      <c r="H1847" s="2" t="s">
        <v>74</v>
      </c>
      <c r="I1847" s="2" t="s">
        <v>5217</v>
      </c>
      <c r="J1847" s="3" t="str">
        <f>HYPERLINK("https://www.boe.es/gazeta/dias/1810/03/29/pdfs/GMD-1810-88.pdf#page=4","Abrir facsímil")</f>
        <v>Abrir facsímil</v>
      </c>
      <c r="K1847" s="3" t="s">
        <v>76</v>
      </c>
    </row>
    <row r="1848" spans="1:11" ht="42" customHeight="1">
      <c r="A1848" s="2" t="s">
        <v>5218</v>
      </c>
      <c r="B1848" s="2" t="s">
        <v>5219</v>
      </c>
      <c r="C1848" s="2" t="s">
        <v>26</v>
      </c>
      <c r="D1848" s="2" t="s">
        <v>27</v>
      </c>
      <c r="E1848" s="4">
        <v>-32757</v>
      </c>
      <c r="F1848" s="3" t="s">
        <v>1136</v>
      </c>
      <c r="G1848" s="3" t="s">
        <v>1901</v>
      </c>
      <c r="H1848" s="2" t="s">
        <v>74</v>
      </c>
      <c r="I1848" s="2" t="s">
        <v>5220</v>
      </c>
      <c r="J1848" s="3" t="str">
        <f>HYPERLINK("https://www.boe.es/gazeta/dias/1810/04/24/pdfs/GEI-1810-17.pdf#page=8","Abrir facsímil")</f>
        <v>Abrir facsímil</v>
      </c>
      <c r="K1848" s="3" t="s">
        <v>76</v>
      </c>
    </row>
    <row r="1849" spans="1:11" ht="42" customHeight="1">
      <c r="A1849" s="2" t="s">
        <v>5221</v>
      </c>
      <c r="B1849" s="2" t="s">
        <v>5222</v>
      </c>
      <c r="C1849" s="2" t="s">
        <v>26</v>
      </c>
      <c r="D1849" s="2" t="s">
        <v>18</v>
      </c>
      <c r="E1849" s="4">
        <v>-32734</v>
      </c>
      <c r="F1849" s="3" t="s">
        <v>19</v>
      </c>
      <c r="G1849" s="3" t="s">
        <v>20</v>
      </c>
      <c r="H1849" s="2" t="s">
        <v>74</v>
      </c>
      <c r="I1849" s="2" t="s">
        <v>5223</v>
      </c>
      <c r="J1849" s="3" t="str">
        <f>HYPERLINK("https://www.boe.es/gazeta/dias/1810/05/17/pdfs/GMD-1810-137.pdf#page=4","Abrir facsímil")</f>
        <v>Abrir facsímil</v>
      </c>
      <c r="K1849" s="3" t="s">
        <v>76</v>
      </c>
    </row>
    <row r="1850" spans="1:11" ht="42" customHeight="1">
      <c r="A1850" s="2" t="s">
        <v>5224</v>
      </c>
      <c r="B1850" s="2" t="s">
        <v>5225</v>
      </c>
      <c r="C1850" s="2" t="s">
        <v>88</v>
      </c>
      <c r="D1850" s="2" t="s">
        <v>27</v>
      </c>
      <c r="E1850" s="4">
        <v>-32729</v>
      </c>
      <c r="F1850" s="3" t="s">
        <v>174</v>
      </c>
      <c r="G1850" s="3" t="s">
        <v>151</v>
      </c>
      <c r="H1850" s="2" t="s">
        <v>74</v>
      </c>
      <c r="I1850" s="2" t="s">
        <v>5226</v>
      </c>
      <c r="J1850" s="3" t="str">
        <f>HYPERLINK("https://www.boe.es/gazeta/dias/1810/05/22/pdfs/GEI-1810-28.pdf#page=12","Abrir facsímil")</f>
        <v>Abrir facsímil</v>
      </c>
      <c r="K1850" s="3" t="s">
        <v>76</v>
      </c>
    </row>
    <row r="1851" spans="1:11" ht="42" customHeight="1">
      <c r="A1851" s="2" t="s">
        <v>5227</v>
      </c>
      <c r="B1851" s="2" t="s">
        <v>5228</v>
      </c>
      <c r="C1851" s="2" t="s">
        <v>26</v>
      </c>
      <c r="D1851" s="2" t="s">
        <v>18</v>
      </c>
      <c r="E1851" s="4">
        <v>-32688</v>
      </c>
      <c r="F1851" s="3" t="s">
        <v>997</v>
      </c>
      <c r="G1851" s="3" t="s">
        <v>749</v>
      </c>
      <c r="H1851" s="2" t="s">
        <v>74</v>
      </c>
      <c r="I1851" s="2" t="s">
        <v>5229</v>
      </c>
      <c r="J1851" s="3" t="str">
        <f>HYPERLINK("https://www.boe.es/gazeta/dias/1810/07/02/pdfs/GMD-1810-183.pdf#page=4","Abrir facsímil")</f>
        <v>Abrir facsímil</v>
      </c>
      <c r="K1851" s="3" t="s">
        <v>76</v>
      </c>
    </row>
    <row r="1852" spans="1:11" ht="42" customHeight="1">
      <c r="A1852" s="2" t="s">
        <v>5230</v>
      </c>
      <c r="B1852" s="2" t="s">
        <v>5231</v>
      </c>
      <c r="C1852" s="2" t="s">
        <v>17</v>
      </c>
      <c r="D1852" s="2" t="s">
        <v>27</v>
      </c>
      <c r="E1852" s="4">
        <v>-32522</v>
      </c>
      <c r="F1852" s="3" t="s">
        <v>1168</v>
      </c>
      <c r="G1852" s="3" t="s">
        <v>90</v>
      </c>
      <c r="H1852" s="2" t="s">
        <v>74</v>
      </c>
      <c r="I1852" s="2" t="s">
        <v>5232</v>
      </c>
      <c r="J1852" s="3" t="str">
        <f>HYPERLINK("https://www.boe.es/gazeta/dias/1810/12/15/pdfs/GMD-1810-349.pdf#page=3","Abrir facsímil")</f>
        <v>Abrir facsímil</v>
      </c>
      <c r="K1852" s="3" t="s">
        <v>76</v>
      </c>
    </row>
    <row r="1853" spans="1:11" ht="42" customHeight="1">
      <c r="A1853" s="2" t="s">
        <v>5233</v>
      </c>
      <c r="B1853" s="2" t="s">
        <v>5234</v>
      </c>
      <c r="C1853" s="2" t="s">
        <v>26</v>
      </c>
      <c r="D1853" s="2" t="s">
        <v>39</v>
      </c>
      <c r="E1853" s="4">
        <v>-32701</v>
      </c>
      <c r="F1853" s="3" t="s">
        <v>40</v>
      </c>
      <c r="G1853" s="3" t="s">
        <v>170</v>
      </c>
      <c r="H1853" s="2" t="s">
        <v>74</v>
      </c>
      <c r="I1853" s="2" t="s">
        <v>5235</v>
      </c>
      <c r="J1853" s="3" t="str">
        <f>HYPERLINK("https://www.boe.es/gazeta/dias/1810/06/19/pdfs/GMD-C-1810-170.pdf#page=1","Abrir facsímil")</f>
        <v>Abrir facsímil</v>
      </c>
      <c r="K1853" s="3" t="s">
        <v>76</v>
      </c>
    </row>
    <row r="1854" spans="1:11" ht="42" customHeight="1">
      <c r="A1854" s="2" t="s">
        <v>5236</v>
      </c>
      <c r="B1854" s="2" t="s">
        <v>5237</v>
      </c>
      <c r="C1854" s="2" t="s">
        <v>26</v>
      </c>
      <c r="D1854" s="2" t="s">
        <v>39</v>
      </c>
      <c r="E1854" s="4">
        <v>-32701</v>
      </c>
      <c r="F1854" s="3" t="s">
        <v>40</v>
      </c>
      <c r="G1854" s="3" t="s">
        <v>315</v>
      </c>
      <c r="H1854" s="2" t="s">
        <v>74</v>
      </c>
      <c r="I1854" s="2" t="s">
        <v>5238</v>
      </c>
      <c r="J1854" s="3" t="str">
        <f>HYPERLINK("https://www.boe.es/gazeta/dias/1810/06/19/pdfs/GMD-C-1810-170.pdf#page=2","Abrir facsímil")</f>
        <v>Abrir facsímil</v>
      </c>
      <c r="K1854" s="3" t="s">
        <v>76</v>
      </c>
    </row>
    <row r="1855" spans="1:11" ht="42" customHeight="1">
      <c r="A1855" s="2" t="s">
        <v>5239</v>
      </c>
      <c r="B1855" s="2" t="s">
        <v>5240</v>
      </c>
      <c r="C1855" s="2" t="s">
        <v>26</v>
      </c>
      <c r="D1855" s="2" t="s">
        <v>39</v>
      </c>
      <c r="E1855" s="4">
        <v>-32701</v>
      </c>
      <c r="F1855" s="3" t="s">
        <v>40</v>
      </c>
      <c r="G1855" s="3" t="s">
        <v>41</v>
      </c>
      <c r="H1855" s="2" t="s">
        <v>74</v>
      </c>
      <c r="I1855" s="2" t="s">
        <v>5241</v>
      </c>
      <c r="J1855" s="3" t="str">
        <f>HYPERLINK("https://www.boe.es/gazeta/dias/1810/06/19/pdfs/GMD-C-1810-170.pdf#page=3","Abrir facsímil")</f>
        <v>Abrir facsímil</v>
      </c>
      <c r="K1855" s="3" t="s">
        <v>76</v>
      </c>
    </row>
    <row r="1856" spans="1:11" ht="42" customHeight="1">
      <c r="A1856" s="2" t="s">
        <v>5242</v>
      </c>
      <c r="B1856" s="2" t="s">
        <v>5243</v>
      </c>
      <c r="C1856" s="2" t="s">
        <v>88</v>
      </c>
      <c r="D1856" s="2" t="s">
        <v>117</v>
      </c>
      <c r="E1856" s="4">
        <v>-32690</v>
      </c>
      <c r="F1856" s="3" t="s">
        <v>2142</v>
      </c>
      <c r="G1856" s="3" t="s">
        <v>29</v>
      </c>
      <c r="H1856" s="2" t="s">
        <v>74</v>
      </c>
      <c r="I1856" s="2" t="s">
        <v>5244</v>
      </c>
      <c r="J1856" s="3" t="str">
        <f>HYPERLINK("https://www.boe.es/gazeta/dias/1810/06/30/pdfs/GMD-1810-181.pdf#page=4","Abrir facsímil")</f>
        <v>Abrir facsímil</v>
      </c>
      <c r="K1856" s="3" t="s">
        <v>76</v>
      </c>
    </row>
    <row r="1857" spans="1:11" ht="42" customHeight="1">
      <c r="A1857" s="2" t="s">
        <v>5245</v>
      </c>
      <c r="B1857" s="2" t="s">
        <v>5246</v>
      </c>
      <c r="C1857" s="2" t="s">
        <v>26</v>
      </c>
      <c r="D1857" s="2" t="s">
        <v>27</v>
      </c>
      <c r="E1857" s="4">
        <v>-32526</v>
      </c>
      <c r="F1857" s="3" t="s">
        <v>530</v>
      </c>
      <c r="G1857" s="3" t="s">
        <v>531</v>
      </c>
      <c r="H1857" s="2" t="s">
        <v>74</v>
      </c>
      <c r="I1857" s="2" t="s">
        <v>5247</v>
      </c>
      <c r="J1857" s="3" t="str">
        <f>HYPERLINK("https://www.boe.es/gazeta/dias/1810/12/11/pdfs/GEI-1810-106.pdf#page=2","Abrir facsímil")</f>
        <v>Abrir facsímil</v>
      </c>
      <c r="K1857" s="3" t="s">
        <v>76</v>
      </c>
    </row>
    <row r="1858" spans="1:11" ht="42" customHeight="1">
      <c r="A1858" s="2" t="s">
        <v>5248</v>
      </c>
      <c r="B1858" s="2" t="s">
        <v>5249</v>
      </c>
      <c r="C1858" s="2" t="s">
        <v>88</v>
      </c>
      <c r="D1858" s="2" t="s">
        <v>27</v>
      </c>
      <c r="E1858" s="4">
        <v>-32614</v>
      </c>
      <c r="F1858" s="3" t="s">
        <v>1083</v>
      </c>
      <c r="G1858" s="3" t="s">
        <v>2179</v>
      </c>
      <c r="H1858" s="2" t="s">
        <v>74</v>
      </c>
      <c r="I1858" s="2" t="s">
        <v>5250</v>
      </c>
      <c r="J1858" s="3" t="str">
        <f>HYPERLINK("https://www.boe.es/gazeta/dias/1810/09/14/pdfs/GEI-1810-67.pdf#page=3","Abrir facsímil")</f>
        <v>Abrir facsímil</v>
      </c>
      <c r="K1858" s="3" t="s">
        <v>76</v>
      </c>
    </row>
    <row r="1859" spans="1:11" ht="42" customHeight="1">
      <c r="A1859" s="2" t="s">
        <v>5248</v>
      </c>
      <c r="B1859" s="2" t="s">
        <v>5249</v>
      </c>
      <c r="C1859" s="2" t="s">
        <v>33</v>
      </c>
      <c r="D1859" s="2" t="s">
        <v>27</v>
      </c>
      <c r="E1859" s="4">
        <v>-32614</v>
      </c>
      <c r="F1859" s="3" t="s">
        <v>1083</v>
      </c>
      <c r="G1859" s="3" t="s">
        <v>5251</v>
      </c>
      <c r="H1859" s="2" t="s">
        <v>74</v>
      </c>
      <c r="I1859" s="2" t="s">
        <v>5252</v>
      </c>
      <c r="J1859" s="3" t="str">
        <f>HYPERLINK("https://www.boe.es/gazeta/dias/1810/09/14/pdfs/GEI-1810-67.pdf#page=4","Abrir facsímil")</f>
        <v>Abrir facsímil</v>
      </c>
      <c r="K1859" s="3" t="s">
        <v>76</v>
      </c>
    </row>
    <row r="1860" spans="1:11" ht="42" customHeight="1">
      <c r="A1860" s="2" t="s">
        <v>5253</v>
      </c>
      <c r="B1860" s="2" t="s">
        <v>5254</v>
      </c>
      <c r="C1860" s="2" t="s">
        <v>26</v>
      </c>
      <c r="D1860" s="2" t="s">
        <v>39</v>
      </c>
      <c r="E1860" s="4">
        <v>-32684</v>
      </c>
      <c r="F1860" s="3" t="s">
        <v>372</v>
      </c>
      <c r="G1860" s="3" t="s">
        <v>373</v>
      </c>
      <c r="H1860" s="2" t="s">
        <v>74</v>
      </c>
      <c r="I1860" s="2" t="s">
        <v>5255</v>
      </c>
      <c r="J1860" s="3" t="str">
        <f>HYPERLINK("https://www.boe.es/gazeta/dias/1810/07/06/pdfs/GEI-D-1810-42.pdf#page=8","Abrir facsímil")</f>
        <v>Abrir facsímil</v>
      </c>
      <c r="K1860" s="3" t="s">
        <v>76</v>
      </c>
    </row>
    <row r="1861" spans="1:11" ht="42" customHeight="1">
      <c r="A1861" s="2" t="s">
        <v>5256</v>
      </c>
      <c r="B1861" s="2" t="s">
        <v>5257</v>
      </c>
      <c r="C1861" s="2" t="s">
        <v>26</v>
      </c>
      <c r="D1861" s="2" t="s">
        <v>27</v>
      </c>
      <c r="E1861" s="4">
        <v>-32560</v>
      </c>
      <c r="F1861" s="3" t="s">
        <v>4111</v>
      </c>
      <c r="G1861" s="3" t="s">
        <v>90</v>
      </c>
      <c r="H1861" s="2" t="s">
        <v>74</v>
      </c>
      <c r="I1861" s="2" t="s">
        <v>5258</v>
      </c>
      <c r="J1861" s="3" t="str">
        <f>HYPERLINK("https://www.boe.es/gazeta/dias/1810/11/07/pdfs/GMD-1810-311.pdf#page=4","Abrir facsímil")</f>
        <v>Abrir facsímil</v>
      </c>
      <c r="K1861" s="3" t="s">
        <v>76</v>
      </c>
    </row>
    <row r="1862" spans="1:11" ht="42" customHeight="1">
      <c r="A1862" s="2" t="s">
        <v>5256</v>
      </c>
      <c r="B1862" s="2" t="s">
        <v>5257</v>
      </c>
      <c r="C1862" s="2" t="s">
        <v>26</v>
      </c>
      <c r="D1862" s="2" t="s">
        <v>27</v>
      </c>
      <c r="E1862" s="4">
        <v>-32559</v>
      </c>
      <c r="F1862" s="3" t="s">
        <v>2260</v>
      </c>
      <c r="G1862" s="3" t="s">
        <v>4113</v>
      </c>
      <c r="H1862" s="2" t="s">
        <v>74</v>
      </c>
      <c r="I1862" s="2" t="s">
        <v>5259</v>
      </c>
      <c r="J1862" s="3" t="str">
        <f>HYPERLINK("https://www.boe.es/gazeta/dias/1810/11/08/pdfs/GMD-1810-312.pdf#page=4","Abrir facsímil")</f>
        <v>Abrir facsímil</v>
      </c>
      <c r="K1862" s="3" t="s">
        <v>76</v>
      </c>
    </row>
    <row r="1863" spans="1:11" ht="42" customHeight="1">
      <c r="A1863" s="2" t="s">
        <v>5260</v>
      </c>
      <c r="B1863" s="2" t="s">
        <v>5261</v>
      </c>
      <c r="C1863" s="2" t="s">
        <v>26</v>
      </c>
      <c r="D1863" s="2" t="s">
        <v>27</v>
      </c>
      <c r="E1863" s="4">
        <v>-32669</v>
      </c>
      <c r="F1863" s="3" t="s">
        <v>217</v>
      </c>
      <c r="G1863" s="3" t="s">
        <v>29</v>
      </c>
      <c r="H1863" s="2" t="s">
        <v>74</v>
      </c>
      <c r="I1863" s="2" t="s">
        <v>5262</v>
      </c>
      <c r="J1863" s="3" t="str">
        <f>HYPERLINK("https://www.boe.es/gazeta/dias/1810/07/21/pdfs/GMD-1810-202.pdf#page=3","Abrir facsímil")</f>
        <v>Abrir facsímil</v>
      </c>
      <c r="K1863" s="3" t="s">
        <v>76</v>
      </c>
    </row>
    <row r="1864" spans="1:11" ht="42" customHeight="1">
      <c r="A1864" s="2" t="s">
        <v>5263</v>
      </c>
      <c r="B1864" s="2" t="s">
        <v>5264</v>
      </c>
      <c r="C1864" s="2" t="s">
        <v>26</v>
      </c>
      <c r="D1864" s="2" t="s">
        <v>220</v>
      </c>
      <c r="E1864" s="4">
        <v>-32812</v>
      </c>
      <c r="F1864" s="3" t="s">
        <v>627</v>
      </c>
      <c r="G1864" s="3" t="s">
        <v>20</v>
      </c>
      <c r="H1864" s="2" t="s">
        <v>74</v>
      </c>
      <c r="I1864" s="2" t="s">
        <v>5265</v>
      </c>
      <c r="J1864" s="3" t="str">
        <f>HYPERLINK("https://www.boe.es/gazeta/dias/1810/02/28/pdfs/GMD-1810-59.pdf#page=4","Abrir facsímil")</f>
        <v>Abrir facsímil</v>
      </c>
      <c r="K1864" s="3" t="s">
        <v>76</v>
      </c>
    </row>
    <row r="1865" spans="1:11" ht="42" customHeight="1">
      <c r="A1865" s="2" t="s">
        <v>5263</v>
      </c>
      <c r="B1865" s="2" t="s">
        <v>5264</v>
      </c>
      <c r="C1865" s="2" t="s">
        <v>26</v>
      </c>
      <c r="D1865" s="2" t="s">
        <v>27</v>
      </c>
      <c r="E1865" s="4">
        <v>-32563</v>
      </c>
      <c r="F1865" s="3" t="s">
        <v>535</v>
      </c>
      <c r="G1865" s="3" t="s">
        <v>1335</v>
      </c>
      <c r="H1865" s="2" t="s">
        <v>74</v>
      </c>
      <c r="I1865" s="2" t="s">
        <v>5266</v>
      </c>
      <c r="J1865" s="3" t="str">
        <f>HYPERLINK("https://www.boe.es/gazeta/dias/1810/11/04/pdfs/GMD-1810-308.pdf#page=6","Abrir facsímil")</f>
        <v>Abrir facsímil</v>
      </c>
      <c r="K1865" s="3" t="s">
        <v>76</v>
      </c>
    </row>
    <row r="1866" spans="1:11" ht="42" customHeight="1">
      <c r="A1866" s="2" t="s">
        <v>5267</v>
      </c>
      <c r="B1866" s="2" t="s">
        <v>5268</v>
      </c>
      <c r="C1866" s="2" t="s">
        <v>26</v>
      </c>
      <c r="D1866" s="2" t="s">
        <v>18</v>
      </c>
      <c r="E1866" s="4">
        <v>-32715</v>
      </c>
      <c r="F1866" s="3" t="s">
        <v>1029</v>
      </c>
      <c r="G1866" s="3" t="s">
        <v>5269</v>
      </c>
      <c r="H1866" s="2" t="s">
        <v>74</v>
      </c>
      <c r="I1866" s="2" t="s">
        <v>5270</v>
      </c>
      <c r="J1866" s="3" t="str">
        <f>HYPERLINK("https://www.boe.es/gazeta/dias/1810/06/05/pdfs/GEI-1810-33.pdf#page=11","Abrir facsímil")</f>
        <v>Abrir facsímil</v>
      </c>
      <c r="K1866" s="3" t="s">
        <v>76</v>
      </c>
    </row>
    <row r="1867" spans="1:11" ht="42" customHeight="1">
      <c r="A1867" s="2" t="s">
        <v>5271</v>
      </c>
      <c r="B1867" s="2" t="s">
        <v>5272</v>
      </c>
      <c r="C1867" s="2" t="s">
        <v>88</v>
      </c>
      <c r="D1867" s="2" t="s">
        <v>18</v>
      </c>
      <c r="E1867" s="4">
        <v>-32795</v>
      </c>
      <c r="F1867" s="3" t="s">
        <v>690</v>
      </c>
      <c r="G1867" s="3" t="s">
        <v>691</v>
      </c>
      <c r="H1867" s="2" t="s">
        <v>74</v>
      </c>
      <c r="I1867" s="2" t="s">
        <v>5273</v>
      </c>
      <c r="J1867" s="3" t="str">
        <f>HYPERLINK("https://www.boe.es/gazeta/dias/1810/03/17/pdfs/GMD-1810-76.pdf#page=3","Abrir facsímil")</f>
        <v>Abrir facsímil</v>
      </c>
      <c r="K1867" s="3" t="s">
        <v>76</v>
      </c>
    </row>
    <row r="1868" spans="1:11" ht="42" customHeight="1">
      <c r="A1868" s="2" t="s">
        <v>5271</v>
      </c>
      <c r="B1868" s="2" t="s">
        <v>5272</v>
      </c>
      <c r="C1868" s="2" t="s">
        <v>88</v>
      </c>
      <c r="D1868" s="2" t="s">
        <v>18</v>
      </c>
      <c r="E1868" s="4">
        <v>-32779</v>
      </c>
      <c r="F1868" s="3" t="s">
        <v>5274</v>
      </c>
      <c r="G1868" s="3" t="s">
        <v>151</v>
      </c>
      <c r="H1868" s="2" t="s">
        <v>74</v>
      </c>
      <c r="I1868" s="2" t="s">
        <v>5275</v>
      </c>
      <c r="J1868" s="3" t="str">
        <f>HYPERLINK("https://www.boe.es/gazeta/dias/1810/04/02/pdfs/GMD-1810-92.pdf#page=3","Abrir facsímil")</f>
        <v>Abrir facsímil</v>
      </c>
      <c r="K1868" s="3" t="s">
        <v>76</v>
      </c>
    </row>
    <row r="1869" spans="1:11" ht="42" customHeight="1">
      <c r="A1869" s="2" t="s">
        <v>5271</v>
      </c>
      <c r="B1869" s="2" t="s">
        <v>5272</v>
      </c>
      <c r="C1869" s="2" t="s">
        <v>225</v>
      </c>
      <c r="D1869" s="2" t="s">
        <v>27</v>
      </c>
      <c r="E1869" s="4">
        <v>-32778</v>
      </c>
      <c r="F1869" s="3" t="s">
        <v>4255</v>
      </c>
      <c r="G1869" s="3" t="s">
        <v>99</v>
      </c>
      <c r="H1869" s="2" t="s">
        <v>74</v>
      </c>
      <c r="I1869" s="2" t="s">
        <v>5276</v>
      </c>
      <c r="J1869" s="3" t="str">
        <f>HYPERLINK("https://www.boe.es/gazeta/dias/1810/04/03/pdfs/GMD-1810-93.pdf#page=3","Abrir facsímil")</f>
        <v>Abrir facsímil</v>
      </c>
      <c r="K1869" s="3" t="s">
        <v>76</v>
      </c>
    </row>
    <row r="1870" spans="1:11" ht="42" customHeight="1">
      <c r="A1870" s="2" t="s">
        <v>5271</v>
      </c>
      <c r="B1870" s="2" t="s">
        <v>5272</v>
      </c>
      <c r="C1870" s="2" t="s">
        <v>88</v>
      </c>
      <c r="D1870" s="2" t="s">
        <v>18</v>
      </c>
      <c r="E1870" s="4">
        <v>-32759</v>
      </c>
      <c r="F1870" s="3" t="s">
        <v>4747</v>
      </c>
      <c r="G1870" s="3" t="s">
        <v>5277</v>
      </c>
      <c r="H1870" s="2" t="s">
        <v>74</v>
      </c>
      <c r="I1870" s="2" t="s">
        <v>5278</v>
      </c>
      <c r="J1870" s="3" t="str">
        <f>HYPERLINK("https://www.boe.es/gazeta/dias/1810/04/22/pdfs/GMD-1810-112.pdf#page=2","Abrir facsímil")</f>
        <v>Abrir facsímil</v>
      </c>
      <c r="K1870" s="3" t="s">
        <v>76</v>
      </c>
    </row>
    <row r="1871" spans="1:11" ht="42" customHeight="1">
      <c r="A1871" s="2" t="s">
        <v>5271</v>
      </c>
      <c r="B1871" s="2" t="s">
        <v>5272</v>
      </c>
      <c r="C1871" s="2" t="s">
        <v>17</v>
      </c>
      <c r="D1871" s="2" t="s">
        <v>27</v>
      </c>
      <c r="E1871" s="4">
        <v>-32670</v>
      </c>
      <c r="F1871" s="3" t="s">
        <v>1942</v>
      </c>
      <c r="G1871" s="3" t="s">
        <v>5279</v>
      </c>
      <c r="H1871" s="2" t="s">
        <v>74</v>
      </c>
      <c r="I1871" s="2" t="s">
        <v>5280</v>
      </c>
      <c r="J1871" s="3" t="str">
        <f>HYPERLINK("https://www.boe.es/gazeta/dias/1810/07/20/pdfs/GEI-1810-46.pdf#page=3","Abrir facsímil")</f>
        <v>Abrir facsímil</v>
      </c>
      <c r="K1871" s="3" t="s">
        <v>76</v>
      </c>
    </row>
    <row r="1872" spans="1:11" ht="42" customHeight="1">
      <c r="A1872" s="2" t="s">
        <v>5271</v>
      </c>
      <c r="B1872" s="2" t="s">
        <v>5272</v>
      </c>
      <c r="C1872" s="2" t="s">
        <v>88</v>
      </c>
      <c r="D1872" s="2" t="s">
        <v>117</v>
      </c>
      <c r="E1872" s="4">
        <v>-32615</v>
      </c>
      <c r="F1872" s="3" t="s">
        <v>4119</v>
      </c>
      <c r="G1872" s="3" t="s">
        <v>1292</v>
      </c>
      <c r="H1872" s="2" t="s">
        <v>74</v>
      </c>
      <c r="I1872" s="2" t="s">
        <v>5281</v>
      </c>
      <c r="J1872" s="3" t="str">
        <f>HYPERLINK("https://www.boe.es/gazeta/dias/1810/09/13/pdfs/GMD-1810-256.pdf#page=3","Abrir facsímil")</f>
        <v>Abrir facsímil</v>
      </c>
      <c r="K1872" s="3" t="s">
        <v>76</v>
      </c>
    </row>
    <row r="1873" spans="1:11" ht="42" customHeight="1">
      <c r="A1873" s="2" t="s">
        <v>5271</v>
      </c>
      <c r="B1873" s="2" t="s">
        <v>5272</v>
      </c>
      <c r="C1873" s="2" t="s">
        <v>33</v>
      </c>
      <c r="D1873" s="2" t="s">
        <v>18</v>
      </c>
      <c r="E1873" s="4">
        <v>-32608</v>
      </c>
      <c r="F1873" s="3" t="s">
        <v>781</v>
      </c>
      <c r="G1873" s="3" t="s">
        <v>213</v>
      </c>
      <c r="H1873" s="2" t="s">
        <v>74</v>
      </c>
      <c r="I1873" s="2" t="s">
        <v>5282</v>
      </c>
      <c r="J1873" s="3" t="str">
        <f>HYPERLINK("https://www.boe.es/gazeta/dias/1810/09/20/pdfs/GEI-1810-70.pdf#page=8","Abrir facsímil")</f>
        <v>Abrir facsímil</v>
      </c>
      <c r="K1873" s="3" t="s">
        <v>76</v>
      </c>
    </row>
    <row r="1874" spans="1:11" ht="42" customHeight="1">
      <c r="A1874" s="2" t="s">
        <v>5283</v>
      </c>
      <c r="B1874" s="2" t="s">
        <v>5284</v>
      </c>
      <c r="C1874" s="2" t="s">
        <v>26</v>
      </c>
      <c r="D1874" s="2" t="s">
        <v>18</v>
      </c>
      <c r="E1874" s="4">
        <v>-32691</v>
      </c>
      <c r="F1874" s="3" t="s">
        <v>727</v>
      </c>
      <c r="G1874" s="3" t="s">
        <v>807</v>
      </c>
      <c r="H1874" s="2" t="s">
        <v>74</v>
      </c>
      <c r="I1874" s="2" t="s">
        <v>5285</v>
      </c>
      <c r="J1874" s="3" t="str">
        <f>HYPERLINK("https://www.boe.es/gazeta/dias/1810/06/29/pdfs/GMD-1810-180.pdf#page=3","Abrir facsímil")</f>
        <v>Abrir facsímil</v>
      </c>
      <c r="K1874" s="3" t="s">
        <v>76</v>
      </c>
    </row>
    <row r="1875" spans="1:11" ht="42" customHeight="1">
      <c r="A1875" s="2" t="s">
        <v>5286</v>
      </c>
      <c r="B1875" s="2" t="s">
        <v>5287</v>
      </c>
      <c r="C1875" s="2" t="s">
        <v>88</v>
      </c>
      <c r="D1875" s="2" t="s">
        <v>27</v>
      </c>
      <c r="E1875" s="4">
        <v>-32713</v>
      </c>
      <c r="F1875" s="3" t="s">
        <v>959</v>
      </c>
      <c r="G1875" s="3" t="s">
        <v>960</v>
      </c>
      <c r="H1875" s="2" t="s">
        <v>74</v>
      </c>
      <c r="I1875" s="2" t="s">
        <v>5288</v>
      </c>
      <c r="J1875" s="3" t="str">
        <f>HYPERLINK("https://www.boe.es/gazeta/dias/1810/06/07/pdfs/GMD-1810-158.pdf#page=4","Abrir facsímil")</f>
        <v>Abrir facsímil</v>
      </c>
      <c r="K1875" s="3" t="s">
        <v>76</v>
      </c>
    </row>
    <row r="1876" spans="1:11" ht="42" customHeight="1">
      <c r="A1876" s="2" t="s">
        <v>5289</v>
      </c>
      <c r="B1876" s="2" t="s">
        <v>5290</v>
      </c>
      <c r="C1876" s="2" t="s">
        <v>26</v>
      </c>
      <c r="D1876" s="2" t="s">
        <v>27</v>
      </c>
      <c r="E1876" s="4">
        <v>-32526</v>
      </c>
      <c r="F1876" s="3" t="s">
        <v>530</v>
      </c>
      <c r="G1876" s="3" t="s">
        <v>531</v>
      </c>
      <c r="H1876" s="2" t="s">
        <v>74</v>
      </c>
      <c r="I1876" s="2" t="s">
        <v>5291</v>
      </c>
      <c r="J1876" s="3" t="str">
        <f>HYPERLINK("https://www.boe.es/gazeta/dias/1810/12/11/pdfs/GEI-1810-106.pdf#page=2","Abrir facsímil")</f>
        <v>Abrir facsímil</v>
      </c>
      <c r="K1876" s="3" t="s">
        <v>76</v>
      </c>
    </row>
    <row r="1877" spans="1:11" ht="42" customHeight="1">
      <c r="A1877" s="2" t="s">
        <v>5292</v>
      </c>
      <c r="B1877" s="2" t="s">
        <v>5293</v>
      </c>
      <c r="C1877" s="2" t="s">
        <v>88</v>
      </c>
      <c r="D1877" s="2" t="s">
        <v>27</v>
      </c>
      <c r="E1877" s="4">
        <v>-32550</v>
      </c>
      <c r="F1877" s="3" t="s">
        <v>1472</v>
      </c>
      <c r="G1877" s="3" t="s">
        <v>1473</v>
      </c>
      <c r="H1877" s="2" t="s">
        <v>74</v>
      </c>
      <c r="I1877" s="2" t="s">
        <v>5294</v>
      </c>
      <c r="J1877" s="3" t="str">
        <f>HYPERLINK("https://www.boe.es/gazeta/dias/1810/11/17/pdfs/GEI-1810-96.pdf#page=8","Abrir facsímil")</f>
        <v>Abrir facsímil</v>
      </c>
      <c r="K1877" s="3" t="s">
        <v>76</v>
      </c>
    </row>
    <row r="1878" spans="1:11" ht="42" customHeight="1">
      <c r="A1878" s="2" t="s">
        <v>5295</v>
      </c>
      <c r="B1878" s="2" t="s">
        <v>5296</v>
      </c>
      <c r="C1878" s="2" t="s">
        <v>111</v>
      </c>
      <c r="D1878" s="2" t="s">
        <v>27</v>
      </c>
      <c r="E1878" s="4">
        <v>-32729</v>
      </c>
      <c r="F1878" s="3" t="s">
        <v>174</v>
      </c>
      <c r="G1878" s="3" t="s">
        <v>151</v>
      </c>
      <c r="H1878" s="2" t="s">
        <v>74</v>
      </c>
      <c r="I1878" s="2" t="s">
        <v>5297</v>
      </c>
      <c r="J1878" s="3" t="str">
        <f>HYPERLINK("https://www.boe.es/gazeta/dias/1810/05/22/pdfs/GEI-1810-28.pdf#page=12","Abrir facsímil")</f>
        <v>Abrir facsímil</v>
      </c>
      <c r="K1878" s="3" t="s">
        <v>76</v>
      </c>
    </row>
    <row r="1879" spans="1:11" ht="42" customHeight="1">
      <c r="A1879" s="2" t="s">
        <v>5298</v>
      </c>
      <c r="B1879" s="2" t="s">
        <v>5299</v>
      </c>
      <c r="C1879" s="2" t="s">
        <v>88</v>
      </c>
      <c r="D1879" s="2" t="s">
        <v>27</v>
      </c>
      <c r="E1879" s="4">
        <v>-32782</v>
      </c>
      <c r="F1879" s="3" t="s">
        <v>1141</v>
      </c>
      <c r="G1879" s="3" t="s">
        <v>99</v>
      </c>
      <c r="H1879" s="2" t="s">
        <v>74</v>
      </c>
      <c r="I1879" s="2" t="s">
        <v>5300</v>
      </c>
      <c r="J1879" s="3" t="str">
        <f>HYPERLINK("https://www.boe.es/gazeta/dias/1810/03/30/pdfs/GMD-1810-89.pdf#page=3","Abrir facsímil")</f>
        <v>Abrir facsímil</v>
      </c>
      <c r="K1879" s="3" t="s">
        <v>76</v>
      </c>
    </row>
    <row r="1880" spans="1:11" ht="42" customHeight="1">
      <c r="A1880" s="2" t="s">
        <v>5301</v>
      </c>
      <c r="B1880" s="2" t="s">
        <v>5302</v>
      </c>
      <c r="C1880" s="2" t="s">
        <v>26</v>
      </c>
      <c r="D1880" s="2" t="s">
        <v>27</v>
      </c>
      <c r="E1880" s="4">
        <v>-32591</v>
      </c>
      <c r="F1880" s="3" t="s">
        <v>377</v>
      </c>
      <c r="G1880" s="3" t="s">
        <v>140</v>
      </c>
      <c r="H1880" s="2" t="s">
        <v>74</v>
      </c>
      <c r="I1880" s="2" t="s">
        <v>5303</v>
      </c>
      <c r="J1880" s="3" t="str">
        <f>HYPERLINK("https://www.boe.es/gazeta/dias/1810/10/07/pdfs/GMD-1810-280.pdf#page=4","Abrir facsímil")</f>
        <v>Abrir facsímil</v>
      </c>
      <c r="K1880" s="3" t="s">
        <v>76</v>
      </c>
    </row>
    <row r="1881" spans="1:11" ht="42" customHeight="1">
      <c r="A1881" s="2" t="s">
        <v>5304</v>
      </c>
      <c r="B1881" s="2" t="s">
        <v>5305</v>
      </c>
      <c r="C1881" s="2" t="s">
        <v>26</v>
      </c>
      <c r="D1881" s="2" t="s">
        <v>39</v>
      </c>
      <c r="E1881" s="4">
        <v>-32650</v>
      </c>
      <c r="F1881" s="3" t="s">
        <v>765</v>
      </c>
      <c r="G1881" s="3" t="s">
        <v>766</v>
      </c>
      <c r="H1881" s="2" t="s">
        <v>74</v>
      </c>
      <c r="I1881" s="2" t="s">
        <v>5306</v>
      </c>
      <c r="J1881" s="3" t="str">
        <f>HYPERLINK("https://www.boe.es/gazeta/dias/1810/08/09/pdfs/GMD-C-1810-221.pdf#page=3","Abrir facsímil")</f>
        <v>Abrir facsímil</v>
      </c>
      <c r="K1881" s="3" t="s">
        <v>76</v>
      </c>
    </row>
    <row r="1882" spans="1:11" ht="42" customHeight="1">
      <c r="A1882" s="2" t="s">
        <v>5307</v>
      </c>
      <c r="B1882" s="2" t="s">
        <v>5308</v>
      </c>
      <c r="C1882" s="2" t="s">
        <v>26</v>
      </c>
      <c r="D1882" s="2" t="s">
        <v>27</v>
      </c>
      <c r="E1882" s="4">
        <v>-32618</v>
      </c>
      <c r="F1882" s="3" t="s">
        <v>1501</v>
      </c>
      <c r="G1882" s="3" t="s">
        <v>20</v>
      </c>
      <c r="H1882" s="2" t="s">
        <v>74</v>
      </c>
      <c r="I1882" s="2" t="s">
        <v>5309</v>
      </c>
      <c r="J1882" s="3" t="str">
        <f>HYPERLINK("https://www.boe.es/gazeta/dias/1810/09/10/pdfs/GMD-1810-253.pdf#page=4","Abrir facsímil")</f>
        <v>Abrir facsímil</v>
      </c>
      <c r="K1882" s="3" t="s">
        <v>76</v>
      </c>
    </row>
    <row r="1883" spans="1:11" ht="42" customHeight="1">
      <c r="A1883" s="2" t="s">
        <v>5310</v>
      </c>
      <c r="B1883" s="2" t="s">
        <v>5311</v>
      </c>
      <c r="C1883" s="2" t="s">
        <v>26</v>
      </c>
      <c r="D1883" s="2" t="s">
        <v>27</v>
      </c>
      <c r="E1883" s="4">
        <v>-32688</v>
      </c>
      <c r="F1883" s="3" t="s">
        <v>997</v>
      </c>
      <c r="G1883" s="3" t="s">
        <v>749</v>
      </c>
      <c r="H1883" s="2" t="s">
        <v>74</v>
      </c>
      <c r="I1883" s="2" t="s">
        <v>5312</v>
      </c>
      <c r="J1883" s="3" t="str">
        <f>HYPERLINK("https://www.boe.es/gazeta/dias/1810/07/02/pdfs/GMD-1810-183.pdf#page=4","Abrir facsímil")</f>
        <v>Abrir facsímil</v>
      </c>
      <c r="K1883" s="3" t="s">
        <v>76</v>
      </c>
    </row>
    <row r="1884" spans="1:11" ht="42" customHeight="1">
      <c r="A1884" s="2" t="s">
        <v>5313</v>
      </c>
      <c r="B1884" s="2" t="s">
        <v>5314</v>
      </c>
      <c r="C1884" s="2" t="s">
        <v>26</v>
      </c>
      <c r="D1884" s="2" t="s">
        <v>39</v>
      </c>
      <c r="E1884" s="4">
        <v>-32701</v>
      </c>
      <c r="F1884" s="3" t="s">
        <v>40</v>
      </c>
      <c r="G1884" s="3" t="s">
        <v>315</v>
      </c>
      <c r="H1884" s="2" t="s">
        <v>74</v>
      </c>
      <c r="I1884" s="2" t="s">
        <v>5315</v>
      </c>
      <c r="J1884" s="3" t="str">
        <f>HYPERLINK("https://www.boe.es/gazeta/dias/1810/06/19/pdfs/GMD-C-1810-170.pdf#page=2","Abrir facsímil")</f>
        <v>Abrir facsímil</v>
      </c>
      <c r="K1884" s="3" t="s">
        <v>76</v>
      </c>
    </row>
    <row r="1885" spans="1:11" ht="42" customHeight="1">
      <c r="A1885" s="2" t="s">
        <v>5316</v>
      </c>
      <c r="B1885" s="2" t="s">
        <v>5317</v>
      </c>
      <c r="C1885" s="2" t="s">
        <v>17</v>
      </c>
      <c r="D1885" s="2" t="s">
        <v>27</v>
      </c>
      <c r="E1885" s="4">
        <v>-32869</v>
      </c>
      <c r="F1885" s="3" t="s">
        <v>5318</v>
      </c>
      <c r="G1885" s="3" t="s">
        <v>119</v>
      </c>
      <c r="H1885" s="2" t="s">
        <v>74</v>
      </c>
      <c r="I1885" s="2" t="s">
        <v>5319</v>
      </c>
      <c r="J1885" s="3" t="str">
        <f>HYPERLINK("https://www.boe.es/gazeta/dias/1810/01/02/pdfs/GGB-1810-1.pdf#page=5","Abrir facsímil")</f>
        <v>Abrir facsímil</v>
      </c>
      <c r="K1885" s="3" t="s">
        <v>76</v>
      </c>
    </row>
    <row r="1886" spans="1:11" ht="42" customHeight="1">
      <c r="A1886" s="2" t="s">
        <v>5320</v>
      </c>
      <c r="B1886" s="2" t="s">
        <v>5321</v>
      </c>
      <c r="C1886" s="2" t="s">
        <v>26</v>
      </c>
      <c r="D1886" s="2" t="s">
        <v>27</v>
      </c>
      <c r="E1886" s="4">
        <v>-32526</v>
      </c>
      <c r="F1886" s="3" t="s">
        <v>530</v>
      </c>
      <c r="G1886" s="3" t="s">
        <v>636</v>
      </c>
      <c r="H1886" s="2" t="s">
        <v>74</v>
      </c>
      <c r="I1886" s="2" t="s">
        <v>5322</v>
      </c>
      <c r="J1886" s="3" t="str">
        <f>HYPERLINK("https://www.boe.es/gazeta/dias/1810/12/11/pdfs/GEI-1810-106.pdf#page=3","Abrir facsímil")</f>
        <v>Abrir facsímil</v>
      </c>
      <c r="K1886" s="3" t="s">
        <v>76</v>
      </c>
    </row>
    <row r="1887" spans="1:11" ht="42" customHeight="1">
      <c r="A1887" s="2" t="s">
        <v>5323</v>
      </c>
      <c r="B1887" s="2" t="s">
        <v>5324</v>
      </c>
      <c r="C1887" s="2" t="s">
        <v>26</v>
      </c>
      <c r="D1887" s="2" t="s">
        <v>27</v>
      </c>
      <c r="E1887" s="4">
        <v>-32626</v>
      </c>
      <c r="F1887" s="3" t="s">
        <v>64</v>
      </c>
      <c r="G1887" s="3" t="s">
        <v>5325</v>
      </c>
      <c r="H1887" s="2" t="s">
        <v>74</v>
      </c>
      <c r="I1887" s="2" t="s">
        <v>5326</v>
      </c>
      <c r="J1887" s="3" t="str">
        <f>HYPERLINK("https://www.boe.es/gazeta/dias/1810/09/02/pdfs/GMD-1810-245.pdf#page=1","Abrir facsímil")</f>
        <v>Abrir facsímil</v>
      </c>
      <c r="K1887" s="3" t="s">
        <v>76</v>
      </c>
    </row>
    <row r="1888" spans="1:11" ht="42" customHeight="1">
      <c r="A1888" s="2" t="s">
        <v>5323</v>
      </c>
      <c r="B1888" s="2" t="s">
        <v>5324</v>
      </c>
      <c r="C1888" s="2" t="s">
        <v>26</v>
      </c>
      <c r="D1888" s="2" t="s">
        <v>27</v>
      </c>
      <c r="E1888" s="4">
        <v>-32625</v>
      </c>
      <c r="F1888" s="3" t="s">
        <v>4200</v>
      </c>
      <c r="G1888" s="3" t="s">
        <v>20</v>
      </c>
      <c r="H1888" s="2" t="s">
        <v>74</v>
      </c>
      <c r="I1888" s="2" t="s">
        <v>5327</v>
      </c>
      <c r="J1888" s="3" t="str">
        <f>HYPERLINK("https://www.boe.es/gazeta/dias/1810/09/03/pdfs/GMD-1810-246.pdf#page=4","Abrir facsímil")</f>
        <v>Abrir facsímil</v>
      </c>
      <c r="K1888" s="3" t="s">
        <v>76</v>
      </c>
    </row>
    <row r="1889" spans="1:11" ht="42" customHeight="1">
      <c r="A1889" s="2" t="s">
        <v>5328</v>
      </c>
      <c r="B1889" s="2" t="s">
        <v>5329</v>
      </c>
      <c r="C1889" s="2" t="s">
        <v>26</v>
      </c>
      <c r="D1889" s="2" t="s">
        <v>18</v>
      </c>
      <c r="E1889" s="4">
        <v>-32869</v>
      </c>
      <c r="F1889" s="3" t="s">
        <v>5318</v>
      </c>
      <c r="G1889" s="3" t="s">
        <v>213</v>
      </c>
      <c r="H1889" s="2" t="s">
        <v>74</v>
      </c>
      <c r="I1889" s="2" t="s">
        <v>5330</v>
      </c>
      <c r="J1889" s="3" t="str">
        <f>HYPERLINK("https://www.boe.es/gazeta/dias/1810/01/02/pdfs/GGB-1810-1.pdf#page=8","Abrir facsímil")</f>
        <v>Abrir facsímil</v>
      </c>
      <c r="K1889" s="3" t="s">
        <v>76</v>
      </c>
    </row>
    <row r="1890" spans="1:11" ht="42" customHeight="1">
      <c r="A1890" s="2" t="s">
        <v>5331</v>
      </c>
      <c r="B1890" s="2" t="s">
        <v>5332</v>
      </c>
      <c r="C1890" s="2" t="s">
        <v>88</v>
      </c>
      <c r="D1890" s="2" t="s">
        <v>27</v>
      </c>
      <c r="E1890" s="4">
        <v>-32568</v>
      </c>
      <c r="F1890" s="3" t="s">
        <v>683</v>
      </c>
      <c r="G1890" s="3" t="s">
        <v>5333</v>
      </c>
      <c r="H1890" s="2" t="s">
        <v>74</v>
      </c>
      <c r="I1890" s="2" t="s">
        <v>5334</v>
      </c>
      <c r="J1890" s="3" t="str">
        <f>HYPERLINK("https://www.boe.es/gazeta/dias/1810/10/30/pdfs/GEI-1810-88.pdf#page=7","Abrir facsímil")</f>
        <v>Abrir facsímil</v>
      </c>
      <c r="K1890" s="3" t="s">
        <v>76</v>
      </c>
    </row>
    <row r="1891" spans="1:11" ht="42" customHeight="1">
      <c r="A1891" s="2" t="s">
        <v>5335</v>
      </c>
      <c r="B1891" s="2" t="s">
        <v>5336</v>
      </c>
      <c r="C1891" s="2" t="s">
        <v>26</v>
      </c>
      <c r="D1891" s="2" t="s">
        <v>27</v>
      </c>
      <c r="E1891" s="4">
        <v>-32568</v>
      </c>
      <c r="F1891" s="3" t="s">
        <v>683</v>
      </c>
      <c r="G1891" s="3" t="s">
        <v>5333</v>
      </c>
      <c r="H1891" s="2" t="s">
        <v>74</v>
      </c>
      <c r="I1891" s="2" t="s">
        <v>5337</v>
      </c>
      <c r="J1891" s="3" t="str">
        <f>HYPERLINK("https://www.boe.es/gazeta/dias/1810/10/30/pdfs/GEI-1810-88.pdf#page=7","Abrir facsímil")</f>
        <v>Abrir facsímil</v>
      </c>
      <c r="K1891" s="3" t="s">
        <v>76</v>
      </c>
    </row>
    <row r="1892" spans="1:11" ht="42" customHeight="1">
      <c r="A1892" s="2" t="s">
        <v>5338</v>
      </c>
      <c r="B1892" s="2" t="s">
        <v>5339</v>
      </c>
      <c r="C1892" s="2" t="s">
        <v>225</v>
      </c>
      <c r="D1892" s="2" t="s">
        <v>27</v>
      </c>
      <c r="E1892" s="4">
        <v>-32764</v>
      </c>
      <c r="F1892" s="3" t="s">
        <v>718</v>
      </c>
      <c r="G1892" s="3" t="s">
        <v>29</v>
      </c>
      <c r="H1892" s="2" t="s">
        <v>74</v>
      </c>
      <c r="I1892" s="2" t="s">
        <v>5340</v>
      </c>
      <c r="J1892" s="3" t="str">
        <f>HYPERLINK("https://www.boe.es/gazeta/dias/1810/04/17/pdfs/GMD-1810-107.pdf#page=4","Abrir facsímil")</f>
        <v>Abrir facsímil</v>
      </c>
      <c r="K1892" s="3" t="s">
        <v>76</v>
      </c>
    </row>
    <row r="1893" spans="1:11" ht="42" customHeight="1">
      <c r="A1893" s="2" t="s">
        <v>5341</v>
      </c>
      <c r="B1893" s="2" t="s">
        <v>5342</v>
      </c>
      <c r="C1893" s="2" t="s">
        <v>317</v>
      </c>
      <c r="D1893" s="2" t="s">
        <v>27</v>
      </c>
      <c r="E1893" s="4">
        <v>-32568</v>
      </c>
      <c r="F1893" s="3" t="s">
        <v>1233</v>
      </c>
      <c r="G1893" s="3" t="s">
        <v>140</v>
      </c>
      <c r="H1893" s="2" t="s">
        <v>74</v>
      </c>
      <c r="I1893" s="2" t="s">
        <v>5343</v>
      </c>
      <c r="J1893" s="3" t="str">
        <f>HYPERLINK("https://www.boe.es/gazeta/dias/1810/10/30/pdfs/GMD-1810-303.pdf#page=4","Abrir facsímil")</f>
        <v>Abrir facsímil</v>
      </c>
      <c r="K1893" s="3" t="s">
        <v>76</v>
      </c>
    </row>
    <row r="1894" spans="1:11" ht="42" customHeight="1">
      <c r="A1894" s="2" t="s">
        <v>5344</v>
      </c>
      <c r="B1894" s="2" t="s">
        <v>5345</v>
      </c>
      <c r="C1894" s="2" t="s">
        <v>26</v>
      </c>
      <c r="D1894" s="2" t="s">
        <v>39</v>
      </c>
      <c r="E1894" s="4">
        <v>-32661</v>
      </c>
      <c r="F1894" s="3" t="s">
        <v>157</v>
      </c>
      <c r="G1894" s="3" t="s">
        <v>592</v>
      </c>
      <c r="H1894" s="2" t="s">
        <v>74</v>
      </c>
      <c r="I1894" s="2" t="s">
        <v>5346</v>
      </c>
      <c r="J1894" s="3" t="str">
        <f>HYPERLINK("https://www.boe.es/gazeta/dias/1810/07/29/pdfs/GMD-C-1810-210.pdf#page=2","Abrir facsímil")</f>
        <v>Abrir facsímil</v>
      </c>
      <c r="K1894" s="3" t="s">
        <v>76</v>
      </c>
    </row>
    <row r="1895" spans="1:11" ht="42" customHeight="1">
      <c r="A1895" s="2" t="s">
        <v>5347</v>
      </c>
      <c r="B1895" s="2" t="s">
        <v>5348</v>
      </c>
      <c r="C1895" s="2" t="s">
        <v>88</v>
      </c>
      <c r="D1895" s="2" t="s">
        <v>27</v>
      </c>
      <c r="E1895" s="4">
        <v>-32645</v>
      </c>
      <c r="F1895" s="3" t="s">
        <v>122</v>
      </c>
      <c r="G1895" s="3" t="s">
        <v>588</v>
      </c>
      <c r="H1895" s="2" t="s">
        <v>74</v>
      </c>
      <c r="I1895" s="2" t="s">
        <v>5349</v>
      </c>
      <c r="J1895" s="3" t="str">
        <f>HYPERLINK("https://www.boe.es/gazeta/dias/1810/08/14/pdfs/GEI-1810-56.pdf#page=15","Abrir facsímil")</f>
        <v>Abrir facsímil</v>
      </c>
      <c r="K1895" s="3" t="s">
        <v>76</v>
      </c>
    </row>
    <row r="1896" spans="1:11" ht="42" customHeight="1">
      <c r="A1896" s="2" t="s">
        <v>5350</v>
      </c>
      <c r="B1896" s="2" t="s">
        <v>5351</v>
      </c>
      <c r="C1896" s="2" t="s">
        <v>26</v>
      </c>
      <c r="D1896" s="2" t="s">
        <v>27</v>
      </c>
      <c r="E1896" s="4">
        <v>-32557</v>
      </c>
      <c r="F1896" s="3" t="s">
        <v>837</v>
      </c>
      <c r="G1896" s="3" t="s">
        <v>838</v>
      </c>
      <c r="H1896" s="2" t="s">
        <v>74</v>
      </c>
      <c r="I1896" s="2" t="s">
        <v>5352</v>
      </c>
      <c r="J1896" s="3" t="str">
        <f>HYPERLINK("https://www.boe.es/gazeta/dias/1810/11/10/pdfs/GEI-1810-93.pdf#page=4","Abrir facsímil")</f>
        <v>Abrir facsímil</v>
      </c>
      <c r="K1896" s="3" t="s">
        <v>76</v>
      </c>
    </row>
    <row r="1897" spans="1:11" ht="42" customHeight="1">
      <c r="A1897" s="2" t="s">
        <v>5353</v>
      </c>
      <c r="B1897" s="2" t="s">
        <v>5354</v>
      </c>
      <c r="C1897" s="2" t="s">
        <v>26</v>
      </c>
      <c r="D1897" s="2" t="s">
        <v>58</v>
      </c>
      <c r="E1897" s="4">
        <v>-32601</v>
      </c>
      <c r="F1897" s="3" t="s">
        <v>392</v>
      </c>
      <c r="G1897" s="3" t="s">
        <v>1430</v>
      </c>
      <c r="H1897" s="2" t="s">
        <v>74</v>
      </c>
      <c r="I1897" s="2" t="s">
        <v>5355</v>
      </c>
      <c r="J1897" s="3" t="str">
        <f>HYPERLINK("https://www.boe.es/gazeta/dias/1810/09/27/pdfs/GEI-1810-74E.pdf#page=3","Abrir facsímil")</f>
        <v>Abrir facsímil</v>
      </c>
      <c r="K1897" s="3" t="s">
        <v>76</v>
      </c>
    </row>
    <row r="1898" spans="1:11" ht="42" customHeight="1">
      <c r="A1898" s="2" t="s">
        <v>5356</v>
      </c>
      <c r="B1898" s="2" t="s">
        <v>5357</v>
      </c>
      <c r="C1898" s="2" t="s">
        <v>88</v>
      </c>
      <c r="D1898" s="2" t="s">
        <v>117</v>
      </c>
      <c r="E1898" s="4">
        <v>-32609</v>
      </c>
      <c r="F1898" s="3" t="s">
        <v>5358</v>
      </c>
      <c r="G1898" s="3" t="s">
        <v>180</v>
      </c>
      <c r="H1898" s="2" t="s">
        <v>21</v>
      </c>
      <c r="I1898" s="2" t="s">
        <v>5359</v>
      </c>
      <c r="J1898" s="3" t="str">
        <f>HYPERLINK("https://www.boe.es/gazeta/dias/1810/09/19/pdfs/GMD-1810-262.pdf#page=3","Abrir facsímil")</f>
        <v>Abrir facsímil</v>
      </c>
      <c r="K1898" s="3" t="s">
        <v>23</v>
      </c>
    </row>
    <row r="1899" spans="1:11" ht="42" customHeight="1">
      <c r="A1899" s="2" t="s">
        <v>5360</v>
      </c>
      <c r="B1899" s="2" t="s">
        <v>5361</v>
      </c>
      <c r="C1899" s="2" t="s">
        <v>26</v>
      </c>
      <c r="D1899" s="2" t="s">
        <v>39</v>
      </c>
      <c r="E1899" s="4">
        <v>-32702</v>
      </c>
      <c r="F1899" s="3" t="s">
        <v>179</v>
      </c>
      <c r="G1899" s="3" t="s">
        <v>517</v>
      </c>
      <c r="H1899" s="2" t="s">
        <v>74</v>
      </c>
      <c r="I1899" s="2" t="s">
        <v>5362</v>
      </c>
      <c r="J1899" s="3" t="str">
        <f>HYPERLINK("https://www.boe.es/gazeta/dias/1810/06/18/pdfs/GMD-C-1810-169.pdf#page=3","Abrir facsímil")</f>
        <v>Abrir facsímil</v>
      </c>
      <c r="K1899" s="3" t="s">
        <v>76</v>
      </c>
    </row>
    <row r="1900" spans="1:11" ht="42" customHeight="1">
      <c r="A1900" s="2" t="s">
        <v>5363</v>
      </c>
      <c r="B1900" s="2" t="s">
        <v>5364</v>
      </c>
      <c r="C1900" s="2" t="s">
        <v>26</v>
      </c>
      <c r="D1900" s="2" t="s">
        <v>39</v>
      </c>
      <c r="E1900" s="4">
        <v>-32701</v>
      </c>
      <c r="F1900" s="3" t="s">
        <v>40</v>
      </c>
      <c r="G1900" s="3" t="s">
        <v>315</v>
      </c>
      <c r="H1900" s="2" t="s">
        <v>74</v>
      </c>
      <c r="I1900" s="2" t="s">
        <v>5365</v>
      </c>
      <c r="J1900" s="3" t="str">
        <f>HYPERLINK("https://www.boe.es/gazeta/dias/1810/06/19/pdfs/GMD-C-1810-170.pdf#page=2","Abrir facsímil")</f>
        <v>Abrir facsímil</v>
      </c>
      <c r="K1900" s="3" t="s">
        <v>76</v>
      </c>
    </row>
    <row r="1901" spans="1:11" ht="42" customHeight="1">
      <c r="A1901" s="2" t="s">
        <v>5366</v>
      </c>
      <c r="B1901" s="2" t="s">
        <v>5367</v>
      </c>
      <c r="C1901" s="2" t="s">
        <v>33</v>
      </c>
      <c r="D1901" s="2" t="s">
        <v>27</v>
      </c>
      <c r="E1901" s="4">
        <v>-32545</v>
      </c>
      <c r="F1901" s="3" t="s">
        <v>165</v>
      </c>
      <c r="G1901" s="3" t="s">
        <v>166</v>
      </c>
      <c r="H1901" s="2" t="s">
        <v>74</v>
      </c>
      <c r="I1901" s="2" t="s">
        <v>5368</v>
      </c>
      <c r="J1901" s="3" t="str">
        <f>HYPERLINK("https://www.boe.es/gazeta/dias/1810/11/22/pdfs/GEI-1810-98.pdf#page=8","Abrir facsímil")</f>
        <v>Abrir facsímil</v>
      </c>
      <c r="K1901" s="3" t="s">
        <v>76</v>
      </c>
    </row>
    <row r="1902" spans="1:11" ht="42" customHeight="1">
      <c r="A1902" s="2" t="s">
        <v>5369</v>
      </c>
      <c r="B1902" s="2" t="s">
        <v>5370</v>
      </c>
      <c r="C1902" s="2" t="s">
        <v>88</v>
      </c>
      <c r="D1902" s="2" t="s">
        <v>27</v>
      </c>
      <c r="E1902" s="4">
        <v>-32821</v>
      </c>
      <c r="F1902" s="3" t="s">
        <v>1743</v>
      </c>
      <c r="G1902" s="3" t="s">
        <v>99</v>
      </c>
      <c r="H1902" s="2" t="s">
        <v>74</v>
      </c>
      <c r="I1902" s="2" t="s">
        <v>5371</v>
      </c>
      <c r="J1902" s="3" t="str">
        <f>HYPERLINK("https://www.boe.es/gazeta/dias/1810/02/19/pdfs/GMD-1810-50.pdf#page=3","Abrir facsímil")</f>
        <v>Abrir facsímil</v>
      </c>
      <c r="K1902" s="3" t="s">
        <v>76</v>
      </c>
    </row>
    <row r="1903" spans="1:11" ht="42" customHeight="1">
      <c r="A1903" s="2" t="s">
        <v>5372</v>
      </c>
      <c r="B1903" s="2" t="s">
        <v>5373</v>
      </c>
      <c r="C1903" s="2" t="s">
        <v>26</v>
      </c>
      <c r="D1903" s="2" t="s">
        <v>39</v>
      </c>
      <c r="E1903" s="4">
        <v>-32701</v>
      </c>
      <c r="F1903" s="3" t="s">
        <v>40</v>
      </c>
      <c r="G1903" s="3" t="s">
        <v>41</v>
      </c>
      <c r="H1903" s="2" t="s">
        <v>74</v>
      </c>
      <c r="I1903" s="2" t="s">
        <v>5374</v>
      </c>
      <c r="J1903" s="3" t="str">
        <f>HYPERLINK("https://www.boe.es/gazeta/dias/1810/06/19/pdfs/GMD-C-1810-170.pdf#page=3","Abrir facsímil")</f>
        <v>Abrir facsímil</v>
      </c>
      <c r="K1903" s="3" t="s">
        <v>76</v>
      </c>
    </row>
    <row r="1904" spans="1:11" ht="42" customHeight="1">
      <c r="A1904" s="2" t="s">
        <v>5375</v>
      </c>
      <c r="B1904" s="2" t="s">
        <v>5376</v>
      </c>
      <c r="C1904" s="2" t="s">
        <v>225</v>
      </c>
      <c r="D1904" s="2" t="s">
        <v>117</v>
      </c>
      <c r="E1904" s="4">
        <v>-32704</v>
      </c>
      <c r="F1904" s="3" t="s">
        <v>94</v>
      </c>
      <c r="G1904" s="3" t="s">
        <v>20</v>
      </c>
      <c r="H1904" s="2" t="s">
        <v>21</v>
      </c>
      <c r="I1904" s="2" t="s">
        <v>5377</v>
      </c>
      <c r="J1904" s="3" t="str">
        <f>HYPERLINK("https://www.boe.es/gazeta/dias/1810/06/16/pdfs/GMD-1810-167.pdf#page=4","Abrir facsímil")</f>
        <v>Abrir facsímil</v>
      </c>
      <c r="K1904" s="3" t="s">
        <v>23</v>
      </c>
    </row>
    <row r="1905" spans="1:11" ht="42" customHeight="1">
      <c r="A1905" s="2" t="s">
        <v>5378</v>
      </c>
      <c r="B1905" s="2" t="s">
        <v>5379</v>
      </c>
      <c r="C1905" s="2" t="s">
        <v>26</v>
      </c>
      <c r="D1905" s="2" t="s">
        <v>27</v>
      </c>
      <c r="E1905" s="4">
        <v>-32837</v>
      </c>
      <c r="F1905" s="3" t="s">
        <v>196</v>
      </c>
      <c r="G1905" s="3" t="s">
        <v>213</v>
      </c>
      <c r="H1905" s="2" t="s">
        <v>74</v>
      </c>
      <c r="I1905" s="2" t="s">
        <v>5380</v>
      </c>
      <c r="J1905" s="3" t="str">
        <f>HYPERLINK("https://www.boe.es/gazeta/dias/1810/02/03/pdfs/GMD-1810-34.pdf#page=2","Abrir facsímil")</f>
        <v>Abrir facsímil</v>
      </c>
      <c r="K1905" s="3" t="s">
        <v>76</v>
      </c>
    </row>
    <row r="1906" spans="1:11" ht="42" customHeight="1">
      <c r="A1906" s="2" t="s">
        <v>5381</v>
      </c>
      <c r="B1906" s="2" t="s">
        <v>5382</v>
      </c>
      <c r="C1906" s="2" t="s">
        <v>88</v>
      </c>
      <c r="D1906" s="2" t="s">
        <v>117</v>
      </c>
      <c r="E1906" s="4">
        <v>-32855</v>
      </c>
      <c r="F1906" s="3" t="s">
        <v>4239</v>
      </c>
      <c r="G1906" s="3" t="s">
        <v>291</v>
      </c>
      <c r="H1906" s="2" t="s">
        <v>74</v>
      </c>
      <c r="I1906" s="2" t="s">
        <v>5383</v>
      </c>
      <c r="J1906" s="3" t="str">
        <f>HYPERLINK("https://www.boe.es/gazeta/dias/1810/01/16/pdfs/GMD-1810-16.pdf#page=1","Abrir facsímil")</f>
        <v>Abrir facsímil</v>
      </c>
      <c r="K1906" s="3" t="s">
        <v>76</v>
      </c>
    </row>
    <row r="1907" spans="1:11" ht="42" customHeight="1">
      <c r="A1907" s="2" t="s">
        <v>5384</v>
      </c>
      <c r="B1907" s="2" t="s">
        <v>5385</v>
      </c>
      <c r="C1907" s="2" t="s">
        <v>317</v>
      </c>
      <c r="D1907" s="2" t="s">
        <v>27</v>
      </c>
      <c r="E1907" s="4">
        <v>-32677</v>
      </c>
      <c r="F1907" s="3" t="s">
        <v>1940</v>
      </c>
      <c r="G1907" s="3" t="s">
        <v>592</v>
      </c>
      <c r="H1907" s="2" t="s">
        <v>74</v>
      </c>
      <c r="I1907" s="2" t="s">
        <v>5386</v>
      </c>
      <c r="J1907" s="3" t="str">
        <f>HYPERLINK("https://www.boe.es/gazeta/dias/1810/07/13/pdfs/GEI-1810-44.pdf#page=1","Abrir facsímil")</f>
        <v>Abrir facsímil</v>
      </c>
      <c r="K1907" s="3" t="s">
        <v>76</v>
      </c>
    </row>
    <row r="1908" spans="1:11" ht="42" customHeight="1">
      <c r="A1908" s="2" t="s">
        <v>5387</v>
      </c>
      <c r="B1908" s="2" t="s">
        <v>5388</v>
      </c>
      <c r="C1908" s="2" t="s">
        <v>88</v>
      </c>
      <c r="D1908" s="2" t="s">
        <v>220</v>
      </c>
      <c r="E1908" s="4">
        <v>-32591</v>
      </c>
      <c r="F1908" s="3" t="s">
        <v>377</v>
      </c>
      <c r="G1908" s="3" t="s">
        <v>136</v>
      </c>
      <c r="H1908" s="2" t="s">
        <v>21</v>
      </c>
      <c r="I1908" s="2" t="s">
        <v>5389</v>
      </c>
      <c r="J1908" s="3" t="str">
        <f>HYPERLINK("https://www.boe.es/gazeta/dias/1810/10/07/pdfs/GMD-1810-280.pdf#page=3","Abrir facsímil")</f>
        <v>Abrir facsímil</v>
      </c>
      <c r="K1908" s="3" t="s">
        <v>23</v>
      </c>
    </row>
    <row r="1909" spans="1:11" ht="42" customHeight="1">
      <c r="A1909" s="2" t="s">
        <v>5390</v>
      </c>
      <c r="B1909" s="2" t="s">
        <v>5391</v>
      </c>
      <c r="C1909" s="2" t="s">
        <v>88</v>
      </c>
      <c r="D1909" s="2" t="s">
        <v>117</v>
      </c>
      <c r="E1909" s="4">
        <v>-32577</v>
      </c>
      <c r="F1909" s="3" t="s">
        <v>2576</v>
      </c>
      <c r="G1909" s="3" t="s">
        <v>2577</v>
      </c>
      <c r="H1909" s="2" t="s">
        <v>74</v>
      </c>
      <c r="I1909" s="2" t="s">
        <v>5392</v>
      </c>
      <c r="J1909" s="3" t="str">
        <f>HYPERLINK("https://www.boe.es/gazeta/dias/1810/10/21/pdfs/GMD-1810-294.pdf#page=1","Abrir facsímil")</f>
        <v>Abrir facsímil</v>
      </c>
      <c r="K1909" s="3" t="s">
        <v>76</v>
      </c>
    </row>
    <row r="1910" spans="1:11" ht="42" customHeight="1">
      <c r="A1910" s="2" t="s">
        <v>5393</v>
      </c>
      <c r="B1910" s="2" t="s">
        <v>5394</v>
      </c>
      <c r="C1910" s="2" t="s">
        <v>26</v>
      </c>
      <c r="D1910" s="2" t="s">
        <v>27</v>
      </c>
      <c r="E1910" s="4">
        <v>-32644</v>
      </c>
      <c r="F1910" s="3" t="s">
        <v>457</v>
      </c>
      <c r="G1910" s="3" t="s">
        <v>213</v>
      </c>
      <c r="H1910" s="2" t="s">
        <v>74</v>
      </c>
      <c r="I1910" s="2" t="s">
        <v>5395</v>
      </c>
      <c r="J1910" s="3" t="str">
        <f>HYPERLINK("https://www.boe.es/gazeta/dias/1810/08/15/pdfs/GMD-1810-227.pdf#page=4","Abrir facsímil")</f>
        <v>Abrir facsímil</v>
      </c>
      <c r="K1910" s="3" t="s">
        <v>76</v>
      </c>
    </row>
    <row r="1911" spans="1:11" ht="42" customHeight="1">
      <c r="A1911" s="2" t="s">
        <v>5396</v>
      </c>
      <c r="B1911" s="2" t="s">
        <v>5397</v>
      </c>
      <c r="C1911" s="2" t="s">
        <v>26</v>
      </c>
      <c r="D1911" s="2" t="s">
        <v>39</v>
      </c>
      <c r="E1911" s="4">
        <v>-32702</v>
      </c>
      <c r="F1911" s="3" t="s">
        <v>179</v>
      </c>
      <c r="G1911" s="3" t="s">
        <v>119</v>
      </c>
      <c r="H1911" s="2" t="s">
        <v>74</v>
      </c>
      <c r="I1911" s="2" t="s">
        <v>5398</v>
      </c>
      <c r="J1911" s="3" t="str">
        <f>HYPERLINK("https://www.boe.es/gazeta/dias/1810/06/18/pdfs/GMD-C-1810-169.pdf#page=1","Abrir facsímil")</f>
        <v>Abrir facsímil</v>
      </c>
      <c r="K1911" s="3" t="s">
        <v>76</v>
      </c>
    </row>
    <row r="1912" spans="1:11" ht="42" customHeight="1">
      <c r="A1912" s="2" t="s">
        <v>5399</v>
      </c>
      <c r="B1912" s="2" t="s">
        <v>5400</v>
      </c>
      <c r="C1912" s="2" t="s">
        <v>26</v>
      </c>
      <c r="D1912" s="2" t="s">
        <v>27</v>
      </c>
      <c r="E1912" s="4">
        <v>-32669</v>
      </c>
      <c r="F1912" s="3" t="s">
        <v>217</v>
      </c>
      <c r="G1912" s="3" t="s">
        <v>20</v>
      </c>
      <c r="H1912" s="2" t="s">
        <v>74</v>
      </c>
      <c r="I1912" s="2" t="s">
        <v>5401</v>
      </c>
      <c r="J1912" s="3" t="str">
        <f>HYPERLINK("https://www.boe.es/gazeta/dias/1810/07/21/pdfs/GMD-1810-202.pdf#page=4","Abrir facsímil")</f>
        <v>Abrir facsímil</v>
      </c>
      <c r="K1912" s="3" t="s">
        <v>76</v>
      </c>
    </row>
    <row r="1913" spans="1:11" ht="42" customHeight="1">
      <c r="A1913" s="2" t="s">
        <v>5402</v>
      </c>
      <c r="B1913" s="2" t="s">
        <v>5403</v>
      </c>
      <c r="C1913" s="2" t="s">
        <v>111</v>
      </c>
      <c r="D1913" s="2" t="s">
        <v>27</v>
      </c>
      <c r="E1913" s="4">
        <v>-32833</v>
      </c>
      <c r="F1913" s="3" t="s">
        <v>1836</v>
      </c>
      <c r="G1913" s="3" t="s">
        <v>29</v>
      </c>
      <c r="H1913" s="2" t="s">
        <v>74</v>
      </c>
      <c r="I1913" s="2" t="s">
        <v>5404</v>
      </c>
      <c r="J1913" s="3" t="str">
        <f>HYPERLINK("https://www.boe.es/gazeta/dias/1810/02/07/pdfs/GMD-1810-38.pdf#page=4","Abrir facsímil")</f>
        <v>Abrir facsímil</v>
      </c>
      <c r="K1913" s="3" t="s">
        <v>76</v>
      </c>
    </row>
    <row r="1914" spans="1:11" ht="42" customHeight="1">
      <c r="A1914" s="2" t="s">
        <v>5405</v>
      </c>
      <c r="B1914" s="2" t="s">
        <v>5406</v>
      </c>
      <c r="C1914" s="2" t="s">
        <v>26</v>
      </c>
      <c r="D1914" s="2" t="s">
        <v>27</v>
      </c>
      <c r="E1914" s="4">
        <v>-32822</v>
      </c>
      <c r="F1914" s="3" t="s">
        <v>1197</v>
      </c>
      <c r="G1914" s="3" t="s">
        <v>29</v>
      </c>
      <c r="H1914" s="2" t="s">
        <v>74</v>
      </c>
      <c r="I1914" s="2" t="s">
        <v>5407</v>
      </c>
      <c r="J1914" s="3" t="str">
        <f>HYPERLINK("https://www.boe.es/gazeta/dias/1810/02/18/pdfs/GMD-1810-49.pdf#page=3","Abrir facsímil")</f>
        <v>Abrir facsímil</v>
      </c>
      <c r="K1914" s="3" t="s">
        <v>76</v>
      </c>
    </row>
    <row r="1915" spans="1:11" ht="42" customHeight="1">
      <c r="A1915" s="2" t="s">
        <v>5408</v>
      </c>
      <c r="B1915" s="2" t="s">
        <v>5409</v>
      </c>
      <c r="C1915" s="2" t="s">
        <v>26</v>
      </c>
      <c r="D1915" s="2" t="s">
        <v>39</v>
      </c>
      <c r="E1915" s="4">
        <v>-32701</v>
      </c>
      <c r="F1915" s="3" t="s">
        <v>40</v>
      </c>
      <c r="G1915" s="3" t="s">
        <v>315</v>
      </c>
      <c r="H1915" s="2" t="s">
        <v>74</v>
      </c>
      <c r="I1915" s="2" t="s">
        <v>5410</v>
      </c>
      <c r="J1915" s="3" t="str">
        <f>HYPERLINK("https://www.boe.es/gazeta/dias/1810/06/19/pdfs/GMD-C-1810-170.pdf#page=2","Abrir facsímil")</f>
        <v>Abrir facsímil</v>
      </c>
      <c r="K1915" s="3" t="s">
        <v>76</v>
      </c>
    </row>
    <row r="1916" spans="1:11" ht="42" customHeight="1">
      <c r="A1916" s="2" t="s">
        <v>5411</v>
      </c>
      <c r="B1916" s="2" t="s">
        <v>5412</v>
      </c>
      <c r="C1916" s="2" t="s">
        <v>26</v>
      </c>
      <c r="D1916" s="2" t="s">
        <v>39</v>
      </c>
      <c r="E1916" s="4">
        <v>-32701</v>
      </c>
      <c r="F1916" s="3" t="s">
        <v>40</v>
      </c>
      <c r="G1916" s="3" t="s">
        <v>333</v>
      </c>
      <c r="H1916" s="2" t="s">
        <v>74</v>
      </c>
      <c r="I1916" s="2" t="s">
        <v>5413</v>
      </c>
      <c r="J1916" s="3" t="str">
        <f>HYPERLINK("https://www.boe.es/gazeta/dias/1810/06/19/pdfs/GMD-C-1810-170.pdf#page=4","Abrir facsímil")</f>
        <v>Abrir facsímil</v>
      </c>
      <c r="K1916" s="3" t="s">
        <v>76</v>
      </c>
    </row>
    <row r="1917" spans="1:11" ht="42" customHeight="1">
      <c r="A1917" s="2" t="s">
        <v>5414</v>
      </c>
      <c r="B1917" s="2" t="s">
        <v>5415</v>
      </c>
      <c r="C1917" s="2" t="s">
        <v>26</v>
      </c>
      <c r="D1917" s="2" t="s">
        <v>27</v>
      </c>
      <c r="E1917" s="4">
        <v>-32766</v>
      </c>
      <c r="F1917" s="3" t="s">
        <v>492</v>
      </c>
      <c r="G1917" s="3" t="s">
        <v>291</v>
      </c>
      <c r="H1917" s="2" t="s">
        <v>21</v>
      </c>
      <c r="I1917" s="2" t="s">
        <v>5416</v>
      </c>
      <c r="J1917" s="3" t="str">
        <f>HYPERLINK("https://www.boe.es/gazeta/dias/1810/04/15/pdfs/GMD-1810-105.pdf#page=2","Abrir facsímil")</f>
        <v>Abrir facsímil</v>
      </c>
      <c r="K1917" s="3" t="s">
        <v>23</v>
      </c>
    </row>
    <row r="1918" spans="1:11" ht="42" customHeight="1">
      <c r="A1918" s="2" t="s">
        <v>5417</v>
      </c>
      <c r="B1918" s="2" t="s">
        <v>5418</v>
      </c>
      <c r="C1918" s="2" t="s">
        <v>225</v>
      </c>
      <c r="D1918" s="2" t="s">
        <v>27</v>
      </c>
      <c r="E1918" s="4">
        <v>-32720</v>
      </c>
      <c r="F1918" s="3" t="s">
        <v>3377</v>
      </c>
      <c r="G1918" s="3" t="s">
        <v>210</v>
      </c>
      <c r="H1918" s="2" t="s">
        <v>74</v>
      </c>
      <c r="I1918" s="2" t="s">
        <v>5419</v>
      </c>
      <c r="J1918" s="3" t="str">
        <f>HYPERLINK("https://www.boe.es/gazeta/dias/1810/05/31/pdfs/GMD-1810-151.pdf#page=2","Abrir facsímil")</f>
        <v>Abrir facsímil</v>
      </c>
      <c r="K1918" s="3" t="s">
        <v>76</v>
      </c>
    </row>
    <row r="1919" spans="1:11" ht="42" customHeight="1">
      <c r="A1919" s="2" t="s">
        <v>5420</v>
      </c>
      <c r="B1919" s="2" t="s">
        <v>5421</v>
      </c>
      <c r="C1919" s="2" t="s">
        <v>26</v>
      </c>
      <c r="D1919" s="2" t="s">
        <v>27</v>
      </c>
      <c r="E1919" s="4">
        <v>-32730</v>
      </c>
      <c r="F1919" s="3" t="s">
        <v>50</v>
      </c>
      <c r="G1919" s="3" t="s">
        <v>5422</v>
      </c>
      <c r="H1919" s="2" t="s">
        <v>74</v>
      </c>
      <c r="I1919" s="2" t="s">
        <v>5423</v>
      </c>
      <c r="J1919" s="3" t="str">
        <f>HYPERLINK("https://www.boe.es/gazeta/dias/1810/05/21/pdfs/GMD-1810-141.pdf#page=1","Abrir facsímil")</f>
        <v>Abrir facsímil</v>
      </c>
      <c r="K1919" s="3" t="s">
        <v>76</v>
      </c>
    </row>
    <row r="1920" spans="1:11" ht="42" customHeight="1">
      <c r="A1920" s="2" t="s">
        <v>5424</v>
      </c>
      <c r="B1920" s="2" t="s">
        <v>5425</v>
      </c>
      <c r="C1920" s="2" t="s">
        <v>88</v>
      </c>
      <c r="D1920" s="2" t="s">
        <v>27</v>
      </c>
      <c r="E1920" s="4">
        <v>-32708</v>
      </c>
      <c r="F1920" s="3" t="s">
        <v>206</v>
      </c>
      <c r="G1920" s="3" t="s">
        <v>227</v>
      </c>
      <c r="H1920" s="2" t="s">
        <v>74</v>
      </c>
      <c r="I1920" s="2" t="s">
        <v>5426</v>
      </c>
      <c r="J1920" s="3" t="str">
        <f>HYPERLINK("https://www.boe.es/gazeta/dias/1810/06/12/pdfs/GMD-1810-163.pdf#page=1","Abrir facsímil")</f>
        <v>Abrir facsímil</v>
      </c>
      <c r="K1920" s="3" t="s">
        <v>76</v>
      </c>
    </row>
    <row r="1921" spans="1:11" ht="42" customHeight="1">
      <c r="A1921" s="2" t="s">
        <v>5424</v>
      </c>
      <c r="B1921" s="2" t="s">
        <v>5425</v>
      </c>
      <c r="C1921" s="2" t="s">
        <v>26</v>
      </c>
      <c r="D1921" s="2" t="s">
        <v>27</v>
      </c>
      <c r="E1921" s="4">
        <v>-32698</v>
      </c>
      <c r="F1921" s="3" t="s">
        <v>1721</v>
      </c>
      <c r="G1921" s="3" t="s">
        <v>35</v>
      </c>
      <c r="H1921" s="2" t="s">
        <v>74</v>
      </c>
      <c r="I1921" s="2" t="s">
        <v>5427</v>
      </c>
      <c r="J1921" s="3" t="str">
        <f>HYPERLINK("https://www.boe.es/gazeta/dias/1810/06/22/pdfs/GMD-1810-173.pdf#page=2","Abrir facsímil")</f>
        <v>Abrir facsímil</v>
      </c>
      <c r="K1921" s="3" t="s">
        <v>76</v>
      </c>
    </row>
    <row r="1922" spans="1:11" ht="42" customHeight="1">
      <c r="A1922" s="2" t="s">
        <v>5428</v>
      </c>
      <c r="B1922" s="2" t="s">
        <v>5429</v>
      </c>
      <c r="C1922" s="2" t="s">
        <v>26</v>
      </c>
      <c r="D1922" s="2" t="s">
        <v>220</v>
      </c>
      <c r="E1922" s="4">
        <v>-32759</v>
      </c>
      <c r="F1922" s="3" t="s">
        <v>4747</v>
      </c>
      <c r="G1922" s="3" t="s">
        <v>4748</v>
      </c>
      <c r="H1922" s="2" t="s">
        <v>74</v>
      </c>
      <c r="I1922" s="2" t="s">
        <v>5430</v>
      </c>
      <c r="J1922" s="3" t="str">
        <f>HYPERLINK("https://www.boe.es/gazeta/dias/1810/04/22/pdfs/GMD-1810-112.pdf#page=1","Abrir facsímil")</f>
        <v>Abrir facsímil</v>
      </c>
      <c r="K1922" s="3" t="s">
        <v>76</v>
      </c>
    </row>
    <row r="1923" spans="1:11" ht="42" customHeight="1">
      <c r="A1923" s="2" t="s">
        <v>5431</v>
      </c>
      <c r="B1923" s="2" t="s">
        <v>5432</v>
      </c>
      <c r="C1923" s="2" t="s">
        <v>33</v>
      </c>
      <c r="D1923" s="2" t="s">
        <v>27</v>
      </c>
      <c r="E1923" s="4">
        <v>-32733</v>
      </c>
      <c r="F1923" s="3" t="s">
        <v>955</v>
      </c>
      <c r="G1923" s="3" t="s">
        <v>5433</v>
      </c>
      <c r="H1923" s="2" t="s">
        <v>74</v>
      </c>
      <c r="I1923" s="2" t="s">
        <v>5434</v>
      </c>
      <c r="J1923" s="3" t="str">
        <f>HYPERLINK("https://www.boe.es/gazeta/dias/1810/05/18/pdfs/GEI-1810-27.pdf#page=3","Abrir facsímil")</f>
        <v>Abrir facsímil</v>
      </c>
      <c r="K1923" s="3" t="s">
        <v>76</v>
      </c>
    </row>
    <row r="1924" spans="1:11" ht="42" customHeight="1">
      <c r="A1924" s="2" t="s">
        <v>5435</v>
      </c>
      <c r="B1924" s="2" t="s">
        <v>5436</v>
      </c>
      <c r="C1924" s="2" t="s">
        <v>26</v>
      </c>
      <c r="D1924" s="2" t="s">
        <v>27</v>
      </c>
      <c r="E1924" s="4">
        <v>-32741</v>
      </c>
      <c r="F1924" s="3" t="s">
        <v>98</v>
      </c>
      <c r="G1924" s="3" t="s">
        <v>90</v>
      </c>
      <c r="H1924" s="2" t="s">
        <v>74</v>
      </c>
      <c r="I1924" s="2" t="s">
        <v>5437</v>
      </c>
      <c r="J1924" s="3" t="str">
        <f>HYPERLINK("https://www.boe.es/gazeta/dias/1810/05/10/pdfs/GMD-1810-130.pdf#page=4","Abrir facsímil")</f>
        <v>Abrir facsímil</v>
      </c>
      <c r="K1924" s="3" t="s">
        <v>76</v>
      </c>
    </row>
    <row r="1925" spans="1:11" ht="42" customHeight="1">
      <c r="A1925" s="2" t="s">
        <v>5438</v>
      </c>
      <c r="B1925" s="2" t="s">
        <v>5439</v>
      </c>
      <c r="C1925" s="2" t="s">
        <v>17</v>
      </c>
      <c r="D1925" s="2" t="s">
        <v>27</v>
      </c>
      <c r="E1925" s="4">
        <v>-32741</v>
      </c>
      <c r="F1925" s="3" t="s">
        <v>98</v>
      </c>
      <c r="G1925" s="3" t="s">
        <v>90</v>
      </c>
      <c r="H1925" s="2" t="s">
        <v>74</v>
      </c>
      <c r="I1925" s="2" t="s">
        <v>5440</v>
      </c>
      <c r="J1925" s="3" t="str">
        <f>HYPERLINK("https://www.boe.es/gazeta/dias/1810/05/10/pdfs/GMD-1810-130.pdf#page=4","Abrir facsímil")</f>
        <v>Abrir facsímil</v>
      </c>
      <c r="K1925" s="3" t="s">
        <v>76</v>
      </c>
    </row>
    <row r="1926" spans="1:11" ht="42" customHeight="1">
      <c r="A1926" s="2" t="s">
        <v>5441</v>
      </c>
      <c r="B1926" s="2" t="s">
        <v>5442</v>
      </c>
      <c r="C1926" s="2" t="s">
        <v>26</v>
      </c>
      <c r="D1926" s="2" t="s">
        <v>18</v>
      </c>
      <c r="E1926" s="4">
        <v>-32601</v>
      </c>
      <c r="F1926" s="3" t="s">
        <v>392</v>
      </c>
      <c r="G1926" s="3" t="s">
        <v>1430</v>
      </c>
      <c r="H1926" s="2" t="s">
        <v>74</v>
      </c>
      <c r="I1926" s="2" t="s">
        <v>5443</v>
      </c>
      <c r="J1926" s="3" t="str">
        <f>HYPERLINK("https://www.boe.es/gazeta/dias/1810/09/27/pdfs/GEI-1810-74E.pdf#page=3","Abrir facsímil")</f>
        <v>Abrir facsímil</v>
      </c>
      <c r="K1926" s="3" t="s">
        <v>76</v>
      </c>
    </row>
    <row r="1927" spans="1:11" ht="42" customHeight="1">
      <c r="A1927" s="2" t="s">
        <v>5444</v>
      </c>
      <c r="B1927" s="2" t="s">
        <v>5445</v>
      </c>
      <c r="C1927" s="2" t="s">
        <v>26</v>
      </c>
      <c r="D1927" s="2" t="s">
        <v>27</v>
      </c>
      <c r="E1927" s="4">
        <v>-32715</v>
      </c>
      <c r="F1927" s="3" t="s">
        <v>1029</v>
      </c>
      <c r="G1927" s="3" t="s">
        <v>1638</v>
      </c>
      <c r="H1927" s="2" t="s">
        <v>74</v>
      </c>
      <c r="I1927" s="2" t="s">
        <v>5446</v>
      </c>
      <c r="J1927" s="3" t="str">
        <f>HYPERLINK("https://www.boe.es/gazeta/dias/1810/06/05/pdfs/GEI-1810-33.pdf#page=10","Abrir facsímil")</f>
        <v>Abrir facsímil</v>
      </c>
      <c r="K1927" s="3" t="s">
        <v>76</v>
      </c>
    </row>
    <row r="1928" spans="1:11" ht="42" customHeight="1">
      <c r="A1928" s="2" t="s">
        <v>5447</v>
      </c>
      <c r="B1928" s="2" t="s">
        <v>5448</v>
      </c>
      <c r="C1928" s="2" t="s">
        <v>26</v>
      </c>
      <c r="D1928" s="2" t="s">
        <v>27</v>
      </c>
      <c r="E1928" s="4">
        <v>-32645</v>
      </c>
      <c r="F1928" s="3" t="s">
        <v>122</v>
      </c>
      <c r="G1928" s="3" t="s">
        <v>147</v>
      </c>
      <c r="H1928" s="2" t="s">
        <v>74</v>
      </c>
      <c r="I1928" s="2" t="s">
        <v>5449</v>
      </c>
      <c r="J1928" s="3" t="str">
        <f>HYPERLINK("https://www.boe.es/gazeta/dias/1810/08/14/pdfs/GEI-1810-56.pdf#page=16","Abrir facsímil")</f>
        <v>Abrir facsímil</v>
      </c>
      <c r="K1928" s="3" t="s">
        <v>76</v>
      </c>
    </row>
    <row r="1929" spans="1:11" ht="42" customHeight="1">
      <c r="A1929" s="2" t="s">
        <v>5450</v>
      </c>
      <c r="B1929" s="2" t="s">
        <v>5451</v>
      </c>
      <c r="C1929" s="2" t="s">
        <v>88</v>
      </c>
      <c r="D1929" s="2" t="s">
        <v>27</v>
      </c>
      <c r="E1929" s="4">
        <v>-32820</v>
      </c>
      <c r="F1929" s="3" t="s">
        <v>226</v>
      </c>
      <c r="G1929" s="3" t="s">
        <v>227</v>
      </c>
      <c r="H1929" s="2" t="s">
        <v>74</v>
      </c>
      <c r="I1929" s="2" t="s">
        <v>5452</v>
      </c>
      <c r="J1929" s="3" t="str">
        <f>HYPERLINK("https://www.boe.es/gazeta/dias/1810/02/20/pdfs/GMD-1810-51.pdf#page=4","Abrir facsímil")</f>
        <v>Abrir facsímil</v>
      </c>
      <c r="K1929" s="3" t="s">
        <v>76</v>
      </c>
    </row>
    <row r="1930" spans="1:11" ht="42" customHeight="1">
      <c r="A1930" s="2" t="s">
        <v>5453</v>
      </c>
      <c r="B1930" s="2" t="s">
        <v>5454</v>
      </c>
      <c r="C1930" s="2" t="s">
        <v>33</v>
      </c>
      <c r="D1930" s="2" t="s">
        <v>18</v>
      </c>
      <c r="E1930" s="4">
        <v>-32820</v>
      </c>
      <c r="F1930" s="3" t="s">
        <v>226</v>
      </c>
      <c r="G1930" s="3" t="s">
        <v>356</v>
      </c>
      <c r="H1930" s="2" t="s">
        <v>74</v>
      </c>
      <c r="I1930" s="2" t="s">
        <v>5455</v>
      </c>
      <c r="J1930" s="3" t="str">
        <f>HYPERLINK("https://www.boe.es/gazeta/dias/1810/02/20/pdfs/GMD-1810-51.pdf#page=3","Abrir facsímil")</f>
        <v>Abrir facsímil</v>
      </c>
      <c r="K1930" s="3" t="s">
        <v>76</v>
      </c>
    </row>
    <row r="1931" spans="1:11" ht="42" customHeight="1">
      <c r="A1931" s="2" t="s">
        <v>5456</v>
      </c>
      <c r="B1931" s="2" t="s">
        <v>5457</v>
      </c>
      <c r="C1931" s="2" t="s">
        <v>26</v>
      </c>
      <c r="D1931" s="2" t="s">
        <v>27</v>
      </c>
      <c r="E1931" s="4">
        <v>-32839</v>
      </c>
      <c r="F1931" s="3" t="s">
        <v>28</v>
      </c>
      <c r="G1931" s="3" t="s">
        <v>29</v>
      </c>
      <c r="H1931" s="2" t="s">
        <v>74</v>
      </c>
      <c r="I1931" s="2" t="s">
        <v>5458</v>
      </c>
      <c r="J1931" s="3" t="str">
        <f>HYPERLINK("https://www.boe.es/gazeta/dias/1810/02/01/pdfs/GMD-1810-32.pdf#page=3","Abrir facsímil")</f>
        <v>Abrir facsímil</v>
      </c>
      <c r="K1931" s="3" t="s">
        <v>76</v>
      </c>
    </row>
    <row r="1932" spans="1:11" ht="42" customHeight="1">
      <c r="A1932" s="2" t="s">
        <v>5456</v>
      </c>
      <c r="B1932" s="2" t="s">
        <v>5457</v>
      </c>
      <c r="C1932" s="2" t="s">
        <v>88</v>
      </c>
      <c r="D1932" s="2" t="s">
        <v>220</v>
      </c>
      <c r="E1932" s="4">
        <v>-32837</v>
      </c>
      <c r="F1932" s="3" t="s">
        <v>196</v>
      </c>
      <c r="G1932" s="3" t="s">
        <v>213</v>
      </c>
      <c r="H1932" s="2" t="s">
        <v>74</v>
      </c>
      <c r="I1932" s="2" t="s">
        <v>5459</v>
      </c>
      <c r="J1932" s="3" t="str">
        <f>HYPERLINK("https://www.boe.es/gazeta/dias/1810/02/03/pdfs/GMD-1810-34.pdf#page=2","Abrir facsímil")</f>
        <v>Abrir facsímil</v>
      </c>
      <c r="K1932" s="3" t="s">
        <v>76</v>
      </c>
    </row>
    <row r="1933" spans="1:11" ht="42" customHeight="1">
      <c r="A1933" s="2" t="s">
        <v>5460</v>
      </c>
      <c r="B1933" s="2" t="s">
        <v>5461</v>
      </c>
      <c r="C1933" s="2" t="s">
        <v>88</v>
      </c>
      <c r="D1933" s="2" t="s">
        <v>27</v>
      </c>
      <c r="E1933" s="4">
        <v>-32601</v>
      </c>
      <c r="F1933" s="3" t="s">
        <v>2181</v>
      </c>
      <c r="G1933" s="3" t="s">
        <v>180</v>
      </c>
      <c r="H1933" s="2" t="s">
        <v>74</v>
      </c>
      <c r="I1933" s="2" t="s">
        <v>5462</v>
      </c>
      <c r="J1933" s="3" t="str">
        <f>HYPERLINK("https://www.boe.es/gazeta/dias/1810/09/27/pdfs/GEI-1810-73.pdf#page=5","Abrir facsímil")</f>
        <v>Abrir facsímil</v>
      </c>
      <c r="K1933" s="3" t="s">
        <v>76</v>
      </c>
    </row>
    <row r="1934" spans="1:11" ht="42" customHeight="1">
      <c r="A1934" s="2" t="s">
        <v>5463</v>
      </c>
      <c r="B1934" s="2" t="s">
        <v>5464</v>
      </c>
      <c r="C1934" s="2" t="s">
        <v>26</v>
      </c>
      <c r="D1934" s="2" t="s">
        <v>39</v>
      </c>
      <c r="E1934" s="4">
        <v>-32642</v>
      </c>
      <c r="F1934" s="3" t="s">
        <v>2273</v>
      </c>
      <c r="G1934" s="3" t="s">
        <v>274</v>
      </c>
      <c r="H1934" s="2" t="s">
        <v>74</v>
      </c>
      <c r="I1934" s="2" t="s">
        <v>5465</v>
      </c>
      <c r="J1934" s="3" t="str">
        <f>HYPERLINK("https://www.boe.es/gazeta/dias/1810/08/17/pdfs/GEI-D-1810-57.pdf#page=8","Abrir facsímil")</f>
        <v>Abrir facsímil</v>
      </c>
      <c r="K1934" s="3" t="s">
        <v>76</v>
      </c>
    </row>
    <row r="1935" spans="1:11" ht="42" customHeight="1">
      <c r="A1935" s="2" t="s">
        <v>5466</v>
      </c>
      <c r="B1935" s="2" t="s">
        <v>5467</v>
      </c>
      <c r="C1935" s="2" t="s">
        <v>26</v>
      </c>
      <c r="D1935" s="2" t="s">
        <v>18</v>
      </c>
      <c r="E1935" s="4">
        <v>-32667</v>
      </c>
      <c r="F1935" s="3" t="s">
        <v>924</v>
      </c>
      <c r="G1935" s="3" t="s">
        <v>2281</v>
      </c>
      <c r="H1935" s="2" t="s">
        <v>74</v>
      </c>
      <c r="I1935" s="2" t="s">
        <v>5468</v>
      </c>
      <c r="J1935" s="3" t="str">
        <f>HYPERLINK("https://www.boe.es/gazeta/dias/1810/07/23/pdfs/GMD-C-1810-204.pdf#page=3","Abrir facsímil")</f>
        <v>Abrir facsímil</v>
      </c>
      <c r="K1935" s="3" t="s">
        <v>76</v>
      </c>
    </row>
    <row r="1936" spans="1:11" ht="42" customHeight="1">
      <c r="A1936" s="2" t="s">
        <v>5469</v>
      </c>
      <c r="B1936" s="2" t="s">
        <v>5470</v>
      </c>
      <c r="C1936" s="2" t="s">
        <v>26</v>
      </c>
      <c r="D1936" s="2" t="s">
        <v>39</v>
      </c>
      <c r="E1936" s="4">
        <v>-32661</v>
      </c>
      <c r="F1936" s="3" t="s">
        <v>157</v>
      </c>
      <c r="G1936" s="3" t="s">
        <v>158</v>
      </c>
      <c r="H1936" s="2" t="s">
        <v>74</v>
      </c>
      <c r="I1936" s="2" t="s">
        <v>5471</v>
      </c>
      <c r="J1936" s="3" t="str">
        <f>HYPERLINK("https://www.boe.es/gazeta/dias/1810/07/29/pdfs/GMD-C-1810-210.pdf#page=1","Abrir facsímil")</f>
        <v>Abrir facsímil</v>
      </c>
      <c r="K1936" s="3" t="s">
        <v>76</v>
      </c>
    </row>
    <row r="1937" spans="1:11" ht="42" customHeight="1">
      <c r="A1937" s="2" t="s">
        <v>5472</v>
      </c>
      <c r="B1937" s="2" t="s">
        <v>5473</v>
      </c>
      <c r="C1937" s="2" t="s">
        <v>26</v>
      </c>
      <c r="D1937" s="2" t="s">
        <v>39</v>
      </c>
      <c r="E1937" s="4">
        <v>-32701</v>
      </c>
      <c r="F1937" s="3" t="s">
        <v>40</v>
      </c>
      <c r="G1937" s="3" t="s">
        <v>315</v>
      </c>
      <c r="H1937" s="2" t="s">
        <v>74</v>
      </c>
      <c r="I1937" s="2" t="s">
        <v>5474</v>
      </c>
      <c r="J1937" s="3" t="str">
        <f>HYPERLINK("https://www.boe.es/gazeta/dias/1810/06/19/pdfs/GMD-C-1810-170.pdf#page=2","Abrir facsímil")</f>
        <v>Abrir facsímil</v>
      </c>
      <c r="K1937" s="3" t="s">
        <v>76</v>
      </c>
    </row>
    <row r="1938" spans="1:11" ht="42" customHeight="1">
      <c r="A1938" s="2" t="s">
        <v>5475</v>
      </c>
      <c r="B1938" s="2" t="s">
        <v>5476</v>
      </c>
      <c r="C1938" s="2" t="s">
        <v>26</v>
      </c>
      <c r="D1938" s="2" t="s">
        <v>27</v>
      </c>
      <c r="E1938" s="4">
        <v>-32726</v>
      </c>
      <c r="F1938" s="3" t="s">
        <v>3350</v>
      </c>
      <c r="G1938" s="3" t="s">
        <v>227</v>
      </c>
      <c r="H1938" s="2" t="s">
        <v>74</v>
      </c>
      <c r="I1938" s="2" t="s">
        <v>5477</v>
      </c>
      <c r="J1938" s="3" t="str">
        <f>HYPERLINK("https://www.boe.es/gazeta/dias/1810/05/25/pdfs/GMD-1810-145.pdf#page=1","Abrir facsímil")</f>
        <v>Abrir facsímil</v>
      </c>
      <c r="K1938" s="3" t="s">
        <v>76</v>
      </c>
    </row>
    <row r="1939" spans="1:11" ht="42" customHeight="1">
      <c r="A1939" s="2" t="s">
        <v>5478</v>
      </c>
      <c r="B1939" s="2" t="s">
        <v>5479</v>
      </c>
      <c r="C1939" s="2" t="s">
        <v>111</v>
      </c>
      <c r="D1939" s="2" t="s">
        <v>18</v>
      </c>
      <c r="E1939" s="4">
        <v>-32764</v>
      </c>
      <c r="F1939" s="3" t="s">
        <v>640</v>
      </c>
      <c r="G1939" s="3" t="s">
        <v>641</v>
      </c>
      <c r="H1939" s="2" t="s">
        <v>74</v>
      </c>
      <c r="I1939" s="2" t="s">
        <v>5480</v>
      </c>
      <c r="J1939" s="3" t="str">
        <f>HYPERLINK("https://www.boe.es/gazeta/dias/1810/04/17/pdfs/GEI-1810-15.pdf#page=8","Abrir facsímil")</f>
        <v>Abrir facsímil</v>
      </c>
      <c r="K1939" s="3" t="s">
        <v>76</v>
      </c>
    </row>
    <row r="1940" spans="1:11" ht="42" customHeight="1">
      <c r="A1940" s="2" t="s">
        <v>5481</v>
      </c>
      <c r="B1940" s="2" t="s">
        <v>5482</v>
      </c>
      <c r="C1940" s="2" t="s">
        <v>225</v>
      </c>
      <c r="D1940" s="2" t="s">
        <v>117</v>
      </c>
      <c r="E1940" s="4">
        <v>-32557</v>
      </c>
      <c r="F1940" s="3" t="s">
        <v>837</v>
      </c>
      <c r="G1940" s="3" t="s">
        <v>2073</v>
      </c>
      <c r="H1940" s="2" t="s">
        <v>74</v>
      </c>
      <c r="I1940" s="2" t="s">
        <v>5483</v>
      </c>
      <c r="J1940" s="3" t="str">
        <f>HYPERLINK("https://www.boe.es/gazeta/dias/1810/11/10/pdfs/GEI-1810-93.pdf#page=7","Abrir facsímil")</f>
        <v>Abrir facsímil</v>
      </c>
      <c r="K1940" s="3" t="s">
        <v>76</v>
      </c>
    </row>
    <row r="1941" spans="1:11" ht="42" customHeight="1">
      <c r="A1941" s="2" t="s">
        <v>5484</v>
      </c>
      <c r="B1941" s="2" t="s">
        <v>5485</v>
      </c>
      <c r="C1941" s="2" t="s">
        <v>33</v>
      </c>
      <c r="D1941" s="2" t="s">
        <v>27</v>
      </c>
      <c r="E1941" s="4">
        <v>-32733</v>
      </c>
      <c r="F1941" s="3" t="s">
        <v>955</v>
      </c>
      <c r="G1941" s="3" t="s">
        <v>5433</v>
      </c>
      <c r="H1941" s="2" t="s">
        <v>74</v>
      </c>
      <c r="I1941" s="2" t="s">
        <v>5486</v>
      </c>
      <c r="J1941" s="3" t="str">
        <f>HYPERLINK("https://www.boe.es/gazeta/dias/1810/05/18/pdfs/GEI-1810-27.pdf#page=3","Abrir facsímil")</f>
        <v>Abrir facsímil</v>
      </c>
      <c r="K1941" s="3" t="s">
        <v>76</v>
      </c>
    </row>
    <row r="1942" spans="1:11" ht="42" customHeight="1">
      <c r="A1942" s="2" t="s">
        <v>5487</v>
      </c>
      <c r="B1942" s="2" t="s">
        <v>5488</v>
      </c>
      <c r="C1942" s="2" t="s">
        <v>88</v>
      </c>
      <c r="D1942" s="2" t="s">
        <v>117</v>
      </c>
      <c r="E1942" s="4">
        <v>-32683</v>
      </c>
      <c r="F1942" s="3" t="s">
        <v>579</v>
      </c>
      <c r="G1942" s="3" t="s">
        <v>5489</v>
      </c>
      <c r="H1942" s="2" t="s">
        <v>74</v>
      </c>
      <c r="I1942" s="2" t="s">
        <v>5490</v>
      </c>
      <c r="J1942" s="3" t="str">
        <f>HYPERLINK("https://www.boe.es/gazeta/dias/1810/07/07/pdfs/GMD-1810-188.pdf#page=3","Abrir facsímil")</f>
        <v>Abrir facsímil</v>
      </c>
      <c r="K1942" s="3" t="s">
        <v>76</v>
      </c>
    </row>
    <row r="1943" spans="1:11" ht="42" customHeight="1">
      <c r="A1943" s="2" t="s">
        <v>5491</v>
      </c>
      <c r="B1943" s="2" t="s">
        <v>5492</v>
      </c>
      <c r="C1943" s="2" t="s">
        <v>26</v>
      </c>
      <c r="D1943" s="2" t="s">
        <v>39</v>
      </c>
      <c r="E1943" s="4">
        <v>-32599</v>
      </c>
      <c r="F1943" s="3" t="s">
        <v>662</v>
      </c>
      <c r="G1943" s="3" t="s">
        <v>668</v>
      </c>
      <c r="H1943" s="2" t="s">
        <v>74</v>
      </c>
      <c r="I1943" s="2" t="s">
        <v>5493</v>
      </c>
      <c r="J1943" s="3" t="str">
        <f>HYPERLINK("https://www.boe.es/gazeta/dias/1810/09/29/pdfs/GMD-C-1810-272.pdf#page=4","Abrir facsímil")</f>
        <v>Abrir facsímil</v>
      </c>
      <c r="K1943" s="3" t="s">
        <v>76</v>
      </c>
    </row>
    <row r="1944" spans="1:11" ht="42" customHeight="1">
      <c r="A1944" s="2" t="s">
        <v>5494</v>
      </c>
      <c r="B1944" s="2" t="s">
        <v>5495</v>
      </c>
      <c r="C1944" s="2" t="s">
        <v>26</v>
      </c>
      <c r="D1944" s="2" t="s">
        <v>27</v>
      </c>
      <c r="E1944" s="4">
        <v>-32687</v>
      </c>
      <c r="F1944" s="3" t="s">
        <v>263</v>
      </c>
      <c r="G1944" s="3" t="s">
        <v>90</v>
      </c>
      <c r="H1944" s="2" t="s">
        <v>74</v>
      </c>
      <c r="I1944" s="2" t="s">
        <v>5496</v>
      </c>
      <c r="J1944" s="3" t="str">
        <f>HYPERLINK("https://www.boe.es/gazeta/dias/1810/07/03/pdfs/GEI-1810-41.pdf#page=5","Abrir facsímil")</f>
        <v>Abrir facsímil</v>
      </c>
      <c r="K1944" s="3" t="s">
        <v>76</v>
      </c>
    </row>
    <row r="1945" spans="1:11" ht="42" customHeight="1">
      <c r="A1945" s="2" t="s">
        <v>5497</v>
      </c>
      <c r="B1945" s="2" t="s">
        <v>5498</v>
      </c>
      <c r="C1945" s="2" t="s">
        <v>88</v>
      </c>
      <c r="D1945" s="2" t="s">
        <v>39</v>
      </c>
      <c r="E1945" s="4">
        <v>-32865</v>
      </c>
      <c r="F1945" s="3" t="s">
        <v>5499</v>
      </c>
      <c r="G1945" s="3" t="s">
        <v>131</v>
      </c>
      <c r="H1945" s="2" t="s">
        <v>74</v>
      </c>
      <c r="I1945" s="2" t="s">
        <v>5500</v>
      </c>
      <c r="J1945" s="3" t="str">
        <f>HYPERLINK("https://www.boe.es/gazeta/dias/1810/01/06/pdfs/GGB-E-1810-3.pdf#page=1","Abrir facsímil")</f>
        <v>Abrir facsímil</v>
      </c>
      <c r="K1945" s="3" t="s">
        <v>76</v>
      </c>
    </row>
    <row r="1946" spans="1:11" ht="42" customHeight="1">
      <c r="A1946" s="2" t="s">
        <v>5501</v>
      </c>
      <c r="B1946" s="2" t="s">
        <v>5502</v>
      </c>
      <c r="C1946" s="2" t="s">
        <v>26</v>
      </c>
      <c r="D1946" s="2" t="s">
        <v>39</v>
      </c>
      <c r="E1946" s="4">
        <v>-32702</v>
      </c>
      <c r="F1946" s="3" t="s">
        <v>179</v>
      </c>
      <c r="G1946" s="3" t="s">
        <v>119</v>
      </c>
      <c r="H1946" s="2" t="s">
        <v>74</v>
      </c>
      <c r="I1946" s="2" t="s">
        <v>5503</v>
      </c>
      <c r="J1946" s="3" t="str">
        <f>HYPERLINK("https://www.boe.es/gazeta/dias/1810/06/18/pdfs/GMD-C-1810-169.pdf#page=1","Abrir facsímil")</f>
        <v>Abrir facsímil</v>
      </c>
      <c r="K1946" s="3" t="s">
        <v>76</v>
      </c>
    </row>
    <row r="1947" spans="1:11" ht="42" customHeight="1">
      <c r="A1947" s="2" t="s">
        <v>5504</v>
      </c>
      <c r="B1947" s="2" t="s">
        <v>5505</v>
      </c>
      <c r="C1947" s="2" t="s">
        <v>88</v>
      </c>
      <c r="D1947" s="2" t="s">
        <v>27</v>
      </c>
      <c r="E1947" s="4">
        <v>-32729</v>
      </c>
      <c r="F1947" s="3" t="s">
        <v>174</v>
      </c>
      <c r="G1947" s="3" t="s">
        <v>175</v>
      </c>
      <c r="H1947" s="2" t="s">
        <v>74</v>
      </c>
      <c r="I1947" s="2" t="s">
        <v>5506</v>
      </c>
      <c r="J1947" s="3" t="str">
        <f>HYPERLINK("https://www.boe.es/gazeta/dias/1810/05/22/pdfs/GEI-1810-28.pdf#page=10","Abrir facsímil")</f>
        <v>Abrir facsímil</v>
      </c>
      <c r="K1947" s="3" t="s">
        <v>76</v>
      </c>
    </row>
    <row r="1948" spans="1:11" ht="42" customHeight="1">
      <c r="A1948" s="2" t="s">
        <v>5507</v>
      </c>
      <c r="B1948" s="2" t="s">
        <v>5508</v>
      </c>
      <c r="C1948" s="2" t="s">
        <v>88</v>
      </c>
      <c r="D1948" s="2" t="s">
        <v>27</v>
      </c>
      <c r="E1948" s="4">
        <v>-32510</v>
      </c>
      <c r="F1948" s="3" t="s">
        <v>1955</v>
      </c>
      <c r="G1948" s="3" t="s">
        <v>140</v>
      </c>
      <c r="H1948" s="2" t="s">
        <v>74</v>
      </c>
      <c r="I1948" s="2" t="s">
        <v>5509</v>
      </c>
      <c r="J1948" s="3" t="str">
        <f>HYPERLINK("https://www.boe.es/gazeta/dias/1810/12/27/pdfs/GEI-1810-113.pdf#page=8","Abrir facsímil")</f>
        <v>Abrir facsímil</v>
      </c>
      <c r="K1948" s="3" t="s">
        <v>76</v>
      </c>
    </row>
    <row r="1949" spans="1:11" ht="42" customHeight="1">
      <c r="A1949" s="2" t="s">
        <v>5510</v>
      </c>
      <c r="B1949" s="2" t="s">
        <v>5511</v>
      </c>
      <c r="C1949" s="2" t="s">
        <v>26</v>
      </c>
      <c r="D1949" s="2" t="s">
        <v>27</v>
      </c>
      <c r="E1949" s="4">
        <v>-32673</v>
      </c>
      <c r="F1949" s="3" t="s">
        <v>2174</v>
      </c>
      <c r="G1949" s="3" t="s">
        <v>5512</v>
      </c>
      <c r="H1949" s="2" t="s">
        <v>74</v>
      </c>
      <c r="I1949" s="2" t="s">
        <v>5513</v>
      </c>
      <c r="J1949" s="3" t="str">
        <f>HYPERLINK("https://www.boe.es/gazeta/dias/1810/07/17/pdfs/GEI-1810-45.pdf#page=12","Abrir facsímil")</f>
        <v>Abrir facsímil</v>
      </c>
      <c r="K1949" s="3" t="s">
        <v>76</v>
      </c>
    </row>
    <row r="1950" spans="1:11" ht="42" customHeight="1">
      <c r="A1950" s="2" t="s">
        <v>5514</v>
      </c>
      <c r="B1950" s="2" t="s">
        <v>5515</v>
      </c>
      <c r="C1950" s="2" t="s">
        <v>225</v>
      </c>
      <c r="D1950" s="2" t="s">
        <v>27</v>
      </c>
      <c r="E1950" s="4">
        <v>-32673</v>
      </c>
      <c r="F1950" s="3" t="s">
        <v>2174</v>
      </c>
      <c r="G1950" s="3" t="s">
        <v>5512</v>
      </c>
      <c r="H1950" s="2" t="s">
        <v>74</v>
      </c>
      <c r="I1950" s="2" t="s">
        <v>5516</v>
      </c>
      <c r="J1950" s="3" t="str">
        <f>HYPERLINK("https://www.boe.es/gazeta/dias/1810/07/17/pdfs/GEI-1810-45.pdf#page=12","Abrir facsímil")</f>
        <v>Abrir facsímil</v>
      </c>
      <c r="K1950" s="3" t="s">
        <v>76</v>
      </c>
    </row>
    <row r="1951" spans="1:11" ht="42" customHeight="1">
      <c r="A1951" s="2" t="s">
        <v>5517</v>
      </c>
      <c r="B1951" s="2" t="s">
        <v>5518</v>
      </c>
      <c r="C1951" s="2" t="s">
        <v>88</v>
      </c>
      <c r="D1951" s="2" t="s">
        <v>117</v>
      </c>
      <c r="E1951" s="4">
        <v>-32558</v>
      </c>
      <c r="F1951" s="3" t="s">
        <v>241</v>
      </c>
      <c r="G1951" s="3" t="s">
        <v>29</v>
      </c>
      <c r="H1951" s="2" t="s">
        <v>74</v>
      </c>
      <c r="I1951" s="2" t="s">
        <v>5519</v>
      </c>
      <c r="J1951" s="3" t="str">
        <f>HYPERLINK("https://www.boe.es/gazeta/dias/1810/11/09/pdfs/GMD-1810-313.pdf#page=2","Abrir facsímil")</f>
        <v>Abrir facsímil</v>
      </c>
      <c r="K1951" s="3" t="s">
        <v>76</v>
      </c>
    </row>
    <row r="1952" spans="1:11" ht="42" customHeight="1">
      <c r="A1952" s="2" t="s">
        <v>5520</v>
      </c>
      <c r="B1952" s="2" t="s">
        <v>5521</v>
      </c>
      <c r="C1952" s="2" t="s">
        <v>26</v>
      </c>
      <c r="D1952" s="2" t="s">
        <v>39</v>
      </c>
      <c r="E1952" s="4">
        <v>-32661</v>
      </c>
      <c r="F1952" s="3" t="s">
        <v>157</v>
      </c>
      <c r="G1952" s="3" t="s">
        <v>592</v>
      </c>
      <c r="H1952" s="2" t="s">
        <v>74</v>
      </c>
      <c r="I1952" s="2" t="s">
        <v>5522</v>
      </c>
      <c r="J1952" s="3" t="str">
        <f>HYPERLINK("https://www.boe.es/gazeta/dias/1810/07/29/pdfs/GMD-C-1810-210.pdf#page=2","Abrir facsímil")</f>
        <v>Abrir facsímil</v>
      </c>
      <c r="K1952" s="3" t="s">
        <v>76</v>
      </c>
    </row>
    <row r="1953" spans="1:11" ht="42" customHeight="1">
      <c r="A1953" s="2" t="s">
        <v>5523</v>
      </c>
      <c r="B1953" s="2" t="s">
        <v>5524</v>
      </c>
      <c r="C1953" s="2" t="s">
        <v>26</v>
      </c>
      <c r="D1953" s="2" t="s">
        <v>27</v>
      </c>
      <c r="E1953" s="4">
        <v>-32589</v>
      </c>
      <c r="F1953" s="3" t="s">
        <v>2356</v>
      </c>
      <c r="G1953" s="3" t="s">
        <v>807</v>
      </c>
      <c r="H1953" s="2" t="s">
        <v>74</v>
      </c>
      <c r="I1953" s="2" t="s">
        <v>5525</v>
      </c>
      <c r="J1953" s="3" t="str">
        <f>HYPERLINK("https://www.boe.es/gazeta/dias/1810/10/09/pdfs/GMD-1810-282.pdf#page=3","Abrir facsímil")</f>
        <v>Abrir facsímil</v>
      </c>
      <c r="K1953" s="3" t="s">
        <v>76</v>
      </c>
    </row>
    <row r="1954" spans="1:11" ht="42" customHeight="1">
      <c r="A1954" s="2" t="s">
        <v>5526</v>
      </c>
      <c r="B1954" s="2" t="s">
        <v>5527</v>
      </c>
      <c r="C1954" s="2" t="s">
        <v>195</v>
      </c>
      <c r="D1954" s="2" t="s">
        <v>27</v>
      </c>
      <c r="E1954" s="4">
        <v>-32545</v>
      </c>
      <c r="F1954" s="3" t="s">
        <v>165</v>
      </c>
      <c r="G1954" s="3" t="s">
        <v>166</v>
      </c>
      <c r="H1954" s="2" t="s">
        <v>74</v>
      </c>
      <c r="I1954" s="2" t="s">
        <v>5528</v>
      </c>
      <c r="J1954" s="3" t="str">
        <f>HYPERLINK("https://www.boe.es/gazeta/dias/1810/11/22/pdfs/GEI-1810-98.pdf#page=8","Abrir facsímil")</f>
        <v>Abrir facsímil</v>
      </c>
      <c r="K1954" s="3" t="s">
        <v>76</v>
      </c>
    </row>
    <row r="1955" spans="1:11" ht="42" customHeight="1">
      <c r="A1955" s="2" t="s">
        <v>5529</v>
      </c>
      <c r="B1955" s="2" t="s">
        <v>5530</v>
      </c>
      <c r="C1955" s="2" t="s">
        <v>26</v>
      </c>
      <c r="D1955" s="2" t="s">
        <v>39</v>
      </c>
      <c r="E1955" s="4">
        <v>-32702</v>
      </c>
      <c r="F1955" s="3" t="s">
        <v>179</v>
      </c>
      <c r="G1955" s="3" t="s">
        <v>180</v>
      </c>
      <c r="H1955" s="2" t="s">
        <v>74</v>
      </c>
      <c r="I1955" s="2" t="s">
        <v>5531</v>
      </c>
      <c r="J1955" s="3" t="str">
        <f>HYPERLINK("https://www.boe.es/gazeta/dias/1810/06/18/pdfs/GMD-C-1810-169.pdf#page=2","Abrir facsímil")</f>
        <v>Abrir facsímil</v>
      </c>
      <c r="K1955" s="3" t="s">
        <v>76</v>
      </c>
    </row>
    <row r="1956" spans="1:11" ht="42" customHeight="1">
      <c r="A1956" s="2" t="s">
        <v>5532</v>
      </c>
      <c r="B1956" s="2" t="s">
        <v>5533</v>
      </c>
      <c r="C1956" s="2" t="s">
        <v>26</v>
      </c>
      <c r="D1956" s="2" t="s">
        <v>27</v>
      </c>
      <c r="E1956" s="4">
        <v>-32691</v>
      </c>
      <c r="F1956" s="3" t="s">
        <v>727</v>
      </c>
      <c r="G1956" s="3" t="s">
        <v>807</v>
      </c>
      <c r="H1956" s="2" t="s">
        <v>74</v>
      </c>
      <c r="I1956" s="2" t="s">
        <v>5534</v>
      </c>
      <c r="J1956" s="3" t="str">
        <f>HYPERLINK("https://www.boe.es/gazeta/dias/1810/06/29/pdfs/GMD-1810-180.pdf#page=3","Abrir facsímil")</f>
        <v>Abrir facsímil</v>
      </c>
      <c r="K1956" s="3" t="s">
        <v>76</v>
      </c>
    </row>
    <row r="1957" spans="1:11" ht="42" customHeight="1">
      <c r="A1957" s="2" t="s">
        <v>5535</v>
      </c>
      <c r="B1957" s="2" t="s">
        <v>5536</v>
      </c>
      <c r="C1957" s="2" t="s">
        <v>33</v>
      </c>
      <c r="D1957" s="2" t="s">
        <v>27</v>
      </c>
      <c r="E1957" s="4">
        <v>-32820</v>
      </c>
      <c r="F1957" s="3" t="s">
        <v>226</v>
      </c>
      <c r="G1957" s="3" t="s">
        <v>356</v>
      </c>
      <c r="H1957" s="2" t="s">
        <v>74</v>
      </c>
      <c r="I1957" s="2" t="s">
        <v>5537</v>
      </c>
      <c r="J1957" s="3" t="str">
        <f>HYPERLINK("https://www.boe.es/gazeta/dias/1810/02/20/pdfs/GMD-1810-51.pdf#page=3","Abrir facsímil")</f>
        <v>Abrir facsímil</v>
      </c>
      <c r="K1957" s="3" t="s">
        <v>76</v>
      </c>
    </row>
    <row r="1958" spans="1:11" ht="42" customHeight="1">
      <c r="A1958" s="2" t="s">
        <v>5538</v>
      </c>
      <c r="B1958" s="2" t="s">
        <v>5539</v>
      </c>
      <c r="C1958" s="2" t="s">
        <v>26</v>
      </c>
      <c r="D1958" s="2" t="s">
        <v>39</v>
      </c>
      <c r="E1958" s="4">
        <v>-32701</v>
      </c>
      <c r="F1958" s="3" t="s">
        <v>40</v>
      </c>
      <c r="G1958" s="3" t="s">
        <v>315</v>
      </c>
      <c r="H1958" s="2" t="s">
        <v>74</v>
      </c>
      <c r="I1958" s="2" t="s">
        <v>5540</v>
      </c>
      <c r="J1958" s="3" t="str">
        <f>HYPERLINK("https://www.boe.es/gazeta/dias/1810/06/19/pdfs/GMD-C-1810-170.pdf#page=2","Abrir facsímil")</f>
        <v>Abrir facsímil</v>
      </c>
      <c r="K1958" s="3" t="s">
        <v>76</v>
      </c>
    </row>
    <row r="1959" spans="1:11" ht="42" customHeight="1">
      <c r="A1959" s="2" t="s">
        <v>5541</v>
      </c>
      <c r="B1959" s="2" t="s">
        <v>5542</v>
      </c>
      <c r="C1959" s="2" t="s">
        <v>225</v>
      </c>
      <c r="D1959" s="2" t="s">
        <v>18</v>
      </c>
      <c r="E1959" s="4">
        <v>-32719</v>
      </c>
      <c r="F1959" s="3" t="s">
        <v>5543</v>
      </c>
      <c r="G1959" s="3" t="s">
        <v>1616</v>
      </c>
      <c r="H1959" s="2" t="s">
        <v>74</v>
      </c>
      <c r="I1959" s="2" t="s">
        <v>5544</v>
      </c>
      <c r="J1959" s="3" t="str">
        <f>HYPERLINK("https://www.boe.es/gazeta/dias/1810/06/01/pdfs/GEI-1810-32.pdf#page=8","Abrir facsímil")</f>
        <v>Abrir facsímil</v>
      </c>
      <c r="K1959" s="3" t="s">
        <v>76</v>
      </c>
    </row>
    <row r="1960" spans="1:11" ht="42" customHeight="1">
      <c r="A1960" s="2" t="s">
        <v>5545</v>
      </c>
      <c r="B1960" s="2" t="s">
        <v>5546</v>
      </c>
      <c r="C1960" s="2" t="s">
        <v>26</v>
      </c>
      <c r="D1960" s="2" t="s">
        <v>39</v>
      </c>
      <c r="E1960" s="4">
        <v>-32684</v>
      </c>
      <c r="F1960" s="3" t="s">
        <v>372</v>
      </c>
      <c r="G1960" s="3" t="s">
        <v>373</v>
      </c>
      <c r="H1960" s="2" t="s">
        <v>74</v>
      </c>
      <c r="I1960" s="2" t="s">
        <v>5547</v>
      </c>
      <c r="J1960" s="3" t="str">
        <f>HYPERLINK("https://www.boe.es/gazeta/dias/1810/07/06/pdfs/GEI-D-1810-42.pdf#page=8","Abrir facsímil")</f>
        <v>Abrir facsímil</v>
      </c>
      <c r="K1960" s="3" t="s">
        <v>76</v>
      </c>
    </row>
    <row r="1961" spans="1:11" ht="42" customHeight="1">
      <c r="A1961" s="2" t="s">
        <v>5548</v>
      </c>
      <c r="B1961" s="2" t="s">
        <v>5549</v>
      </c>
      <c r="C1961" s="2" t="s">
        <v>26</v>
      </c>
      <c r="D1961" s="2" t="s">
        <v>27</v>
      </c>
      <c r="E1961" s="4">
        <v>-32591</v>
      </c>
      <c r="F1961" s="3" t="s">
        <v>377</v>
      </c>
      <c r="G1961" s="3" t="s">
        <v>140</v>
      </c>
      <c r="H1961" s="2" t="s">
        <v>74</v>
      </c>
      <c r="I1961" s="2" t="s">
        <v>5550</v>
      </c>
      <c r="J1961" s="3" t="str">
        <f>HYPERLINK("https://www.boe.es/gazeta/dias/1810/10/07/pdfs/GMD-1810-280.pdf#page=4","Abrir facsímil")</f>
        <v>Abrir facsímil</v>
      </c>
      <c r="K1961" s="3" t="s">
        <v>76</v>
      </c>
    </row>
    <row r="1962" spans="1:11" ht="42" customHeight="1">
      <c r="A1962" s="2" t="s">
        <v>5551</v>
      </c>
      <c r="B1962" s="2" t="s">
        <v>5552</v>
      </c>
      <c r="C1962" s="2" t="s">
        <v>26</v>
      </c>
      <c r="D1962" s="2" t="s">
        <v>58</v>
      </c>
      <c r="E1962" s="4">
        <v>-32612</v>
      </c>
      <c r="F1962" s="3" t="s">
        <v>947</v>
      </c>
      <c r="G1962" s="3" t="s">
        <v>749</v>
      </c>
      <c r="H1962" s="2" t="s">
        <v>74</v>
      </c>
      <c r="I1962" s="2" t="s">
        <v>5553</v>
      </c>
      <c r="J1962" s="3" t="str">
        <f>HYPERLINK("https://www.boe.es/gazeta/dias/1810/09/16/pdfs/GEI-1810-68E.pdf#page=3","Abrir facsímil")</f>
        <v>Abrir facsímil</v>
      </c>
      <c r="K1962" s="3" t="s">
        <v>76</v>
      </c>
    </row>
    <row r="1963" spans="1:11" ht="42" customHeight="1">
      <c r="A1963" s="2" t="s">
        <v>5551</v>
      </c>
      <c r="B1963" s="2" t="s">
        <v>5552</v>
      </c>
      <c r="C1963" s="2" t="s">
        <v>26</v>
      </c>
      <c r="D1963" s="2" t="s">
        <v>27</v>
      </c>
      <c r="E1963" s="4">
        <v>-32610</v>
      </c>
      <c r="F1963" s="3" t="s">
        <v>4991</v>
      </c>
      <c r="G1963" s="3" t="s">
        <v>5554</v>
      </c>
      <c r="H1963" s="2" t="s">
        <v>74</v>
      </c>
      <c r="I1963" s="2" t="s">
        <v>5555</v>
      </c>
      <c r="J1963" s="3" t="str">
        <f>HYPERLINK("https://www.boe.es/gazeta/dias/1810/09/18/pdfs/GEI-1810-69.pdf#page=12","Abrir facsímil")</f>
        <v>Abrir facsímil</v>
      </c>
      <c r="K1963" s="3" t="s">
        <v>76</v>
      </c>
    </row>
    <row r="1964" spans="1:11" ht="42" customHeight="1">
      <c r="A1964" s="2" t="s">
        <v>5556</v>
      </c>
      <c r="B1964" s="2" t="s">
        <v>5557</v>
      </c>
      <c r="C1964" s="2" t="s">
        <v>225</v>
      </c>
      <c r="D1964" s="2" t="s">
        <v>27</v>
      </c>
      <c r="E1964" s="4">
        <v>-32764</v>
      </c>
      <c r="F1964" s="3" t="s">
        <v>640</v>
      </c>
      <c r="G1964" s="3" t="s">
        <v>1347</v>
      </c>
      <c r="H1964" s="2" t="s">
        <v>21</v>
      </c>
      <c r="I1964" s="2" t="s">
        <v>5558</v>
      </c>
      <c r="J1964" s="3" t="str">
        <f>HYPERLINK("https://www.boe.es/gazeta/dias/1810/04/17/pdfs/GEI-1810-15.pdf#page=7","Abrir facsímil")</f>
        <v>Abrir facsímil</v>
      </c>
      <c r="K1964" s="3" t="s">
        <v>23</v>
      </c>
    </row>
    <row r="1965" spans="1:11" ht="42" customHeight="1">
      <c r="A1965" s="2" t="s">
        <v>5559</v>
      </c>
      <c r="B1965" s="2" t="s">
        <v>5560</v>
      </c>
      <c r="C1965" s="2" t="s">
        <v>26</v>
      </c>
      <c r="D1965" s="2" t="s">
        <v>27</v>
      </c>
      <c r="E1965" s="4">
        <v>-32568</v>
      </c>
      <c r="F1965" s="3" t="s">
        <v>1233</v>
      </c>
      <c r="G1965" s="3" t="s">
        <v>140</v>
      </c>
      <c r="H1965" s="2" t="s">
        <v>74</v>
      </c>
      <c r="I1965" s="2" t="s">
        <v>5561</v>
      </c>
      <c r="J1965" s="3" t="str">
        <f>HYPERLINK("https://www.boe.es/gazeta/dias/1810/10/30/pdfs/GMD-1810-303.pdf#page=4","Abrir facsímil")</f>
        <v>Abrir facsímil</v>
      </c>
      <c r="K1965" s="3" t="s">
        <v>76</v>
      </c>
    </row>
    <row r="1966" spans="1:11" ht="42" customHeight="1">
      <c r="A1966" s="2" t="s">
        <v>5562</v>
      </c>
      <c r="B1966" s="2" t="s">
        <v>5563</v>
      </c>
      <c r="C1966" s="2" t="s">
        <v>33</v>
      </c>
      <c r="D1966" s="2" t="s">
        <v>27</v>
      </c>
      <c r="E1966" s="4">
        <v>-32584</v>
      </c>
      <c r="F1966" s="3" t="s">
        <v>1560</v>
      </c>
      <c r="G1966" s="3" t="s">
        <v>971</v>
      </c>
      <c r="H1966" s="2" t="s">
        <v>74</v>
      </c>
      <c r="I1966" s="2" t="s">
        <v>5564</v>
      </c>
      <c r="J1966" s="3" t="str">
        <f>HYPERLINK("https://www.boe.es/gazeta/dias/1810/10/14/pdfs/GMD-1810-287.pdf#page=3","Abrir facsímil")</f>
        <v>Abrir facsímil</v>
      </c>
      <c r="K1966" s="3" t="s">
        <v>76</v>
      </c>
    </row>
    <row r="1967" spans="1:11" ht="42" customHeight="1">
      <c r="A1967" s="2" t="s">
        <v>5565</v>
      </c>
      <c r="B1967" s="2" t="s">
        <v>5566</v>
      </c>
      <c r="C1967" s="2" t="s">
        <v>26</v>
      </c>
      <c r="D1967" s="2" t="s">
        <v>27</v>
      </c>
      <c r="E1967" s="4">
        <v>-32710</v>
      </c>
      <c r="F1967" s="3" t="s">
        <v>126</v>
      </c>
      <c r="G1967" s="3" t="s">
        <v>20</v>
      </c>
      <c r="H1967" s="2" t="s">
        <v>74</v>
      </c>
      <c r="I1967" s="2" t="s">
        <v>5567</v>
      </c>
      <c r="J1967" s="3" t="str">
        <f>HYPERLINK("https://www.boe.es/gazeta/dias/1810/06/10/pdfs/GMD-1810-161.pdf#page=4","Abrir facsímil")</f>
        <v>Abrir facsímil</v>
      </c>
      <c r="K1967" s="3" t="s">
        <v>76</v>
      </c>
    </row>
    <row r="1968" spans="1:11" ht="42" customHeight="1">
      <c r="A1968" s="2" t="s">
        <v>5568</v>
      </c>
      <c r="B1968" s="2" t="s">
        <v>5569</v>
      </c>
      <c r="C1968" s="2" t="s">
        <v>26</v>
      </c>
      <c r="D1968" s="2" t="s">
        <v>39</v>
      </c>
      <c r="E1968" s="4">
        <v>-32702</v>
      </c>
      <c r="F1968" s="3" t="s">
        <v>179</v>
      </c>
      <c r="G1968" s="3" t="s">
        <v>119</v>
      </c>
      <c r="H1968" s="2" t="s">
        <v>74</v>
      </c>
      <c r="I1968" s="2" t="s">
        <v>5570</v>
      </c>
      <c r="J1968" s="3" t="str">
        <f>HYPERLINK("https://www.boe.es/gazeta/dias/1810/06/18/pdfs/GMD-C-1810-169.pdf#page=1","Abrir facsímil")</f>
        <v>Abrir facsímil</v>
      </c>
      <c r="K1968" s="3" t="s">
        <v>76</v>
      </c>
    </row>
    <row r="1969" spans="1:11" ht="42" customHeight="1">
      <c r="A1969" s="2" t="s">
        <v>5568</v>
      </c>
      <c r="B1969" s="2" t="s">
        <v>5569</v>
      </c>
      <c r="C1969" s="2" t="s">
        <v>26</v>
      </c>
      <c r="D1969" s="2" t="s">
        <v>39</v>
      </c>
      <c r="E1969" s="4">
        <v>-32701</v>
      </c>
      <c r="F1969" s="3" t="s">
        <v>40</v>
      </c>
      <c r="G1969" s="3" t="s">
        <v>41</v>
      </c>
      <c r="H1969" s="2" t="s">
        <v>74</v>
      </c>
      <c r="I1969" s="2" t="s">
        <v>5571</v>
      </c>
      <c r="J1969" s="3" t="str">
        <f>HYPERLINK("https://www.boe.es/gazeta/dias/1810/06/19/pdfs/GMD-C-1810-170.pdf#page=3","Abrir facsímil")</f>
        <v>Abrir facsímil</v>
      </c>
      <c r="K1969" s="3" t="s">
        <v>76</v>
      </c>
    </row>
    <row r="1970" spans="1:11" ht="42" customHeight="1">
      <c r="A1970" s="2" t="s">
        <v>5572</v>
      </c>
      <c r="B1970" s="2" t="s">
        <v>5573</v>
      </c>
      <c r="C1970" s="2" t="s">
        <v>195</v>
      </c>
      <c r="D1970" s="2" t="s">
        <v>27</v>
      </c>
      <c r="E1970" s="4">
        <v>-32563</v>
      </c>
      <c r="F1970" s="3" t="s">
        <v>535</v>
      </c>
      <c r="G1970" s="3" t="s">
        <v>536</v>
      </c>
      <c r="H1970" s="2" t="s">
        <v>74</v>
      </c>
      <c r="I1970" s="2" t="s">
        <v>5574</v>
      </c>
      <c r="J1970" s="3" t="str">
        <f>HYPERLINK("https://www.boe.es/gazeta/dias/1810/11/04/pdfs/GMD-1810-308.pdf#page=9","Abrir facsímil")</f>
        <v>Abrir facsímil</v>
      </c>
      <c r="K1970" s="3" t="s">
        <v>76</v>
      </c>
    </row>
    <row r="1971" spans="1:11" ht="42" customHeight="1">
      <c r="A1971" s="2" t="s">
        <v>5575</v>
      </c>
      <c r="B1971" s="2" t="s">
        <v>5576</v>
      </c>
      <c r="C1971" s="2" t="s">
        <v>195</v>
      </c>
      <c r="D1971" s="2" t="s">
        <v>27</v>
      </c>
      <c r="E1971" s="4">
        <v>-32837</v>
      </c>
      <c r="F1971" s="3" t="s">
        <v>196</v>
      </c>
      <c r="G1971" s="3" t="s">
        <v>140</v>
      </c>
      <c r="H1971" s="2" t="s">
        <v>74</v>
      </c>
      <c r="I1971" s="2" t="s">
        <v>5577</v>
      </c>
      <c r="J1971" s="3" t="str">
        <f>HYPERLINK("https://www.boe.es/gazeta/dias/1810/02/03/pdfs/GMD-1810-34.pdf#page=4","Abrir facsímil")</f>
        <v>Abrir facsímil</v>
      </c>
      <c r="K1971" s="3" t="s">
        <v>76</v>
      </c>
    </row>
    <row r="1972" spans="1:11" ht="42" customHeight="1">
      <c r="A1972" s="2" t="s">
        <v>5575</v>
      </c>
      <c r="B1972" s="2" t="s">
        <v>5576</v>
      </c>
      <c r="C1972" s="2" t="s">
        <v>26</v>
      </c>
      <c r="D1972" s="2" t="s">
        <v>27</v>
      </c>
      <c r="E1972" s="4">
        <v>-32771</v>
      </c>
      <c r="F1972" s="3" t="s">
        <v>543</v>
      </c>
      <c r="G1972" s="3" t="s">
        <v>65</v>
      </c>
      <c r="H1972" s="2" t="s">
        <v>74</v>
      </c>
      <c r="I1972" s="2" t="s">
        <v>5578</v>
      </c>
      <c r="J1972" s="3" t="str">
        <f>HYPERLINK("https://www.boe.es/gazeta/dias/1810/04/10/pdfs/GEI-1810-13.pdf#page=7","Abrir facsímil")</f>
        <v>Abrir facsímil</v>
      </c>
      <c r="K1972" s="3" t="s">
        <v>76</v>
      </c>
    </row>
    <row r="1973" spans="1:11" ht="42" customHeight="1">
      <c r="A1973" s="2" t="s">
        <v>5579</v>
      </c>
      <c r="B1973" s="2" t="s">
        <v>5580</v>
      </c>
      <c r="C1973" s="2" t="s">
        <v>225</v>
      </c>
      <c r="D1973" s="2" t="s">
        <v>27</v>
      </c>
      <c r="E1973" s="4">
        <v>-32738</v>
      </c>
      <c r="F1973" s="3" t="s">
        <v>321</v>
      </c>
      <c r="G1973" s="3" t="s">
        <v>140</v>
      </c>
      <c r="H1973" s="2" t="s">
        <v>74</v>
      </c>
      <c r="I1973" s="2" t="s">
        <v>5581</v>
      </c>
      <c r="J1973" s="3" t="str">
        <f>HYPERLINK("https://www.boe.es/gazeta/dias/1810/05/13/pdfs/GMD-1810-133.pdf#page=4","Abrir facsímil")</f>
        <v>Abrir facsímil</v>
      </c>
      <c r="K1973" s="3" t="s">
        <v>76</v>
      </c>
    </row>
    <row r="1974" spans="1:11" ht="42" customHeight="1">
      <c r="A1974" s="2" t="s">
        <v>5582</v>
      </c>
      <c r="B1974" s="2" t="s">
        <v>5583</v>
      </c>
      <c r="C1974" s="2" t="s">
        <v>88</v>
      </c>
      <c r="D1974" s="2" t="s">
        <v>117</v>
      </c>
      <c r="E1974" s="4">
        <v>-32842</v>
      </c>
      <c r="F1974" s="3" t="s">
        <v>1291</v>
      </c>
      <c r="G1974" s="3" t="s">
        <v>1292</v>
      </c>
      <c r="H1974" s="2" t="s">
        <v>74</v>
      </c>
      <c r="I1974" s="2" t="s">
        <v>5584</v>
      </c>
      <c r="J1974" s="3" t="str">
        <f>HYPERLINK("https://www.boe.es/gazeta/dias/1810/01/29/pdfs/GMD-1810-29.pdf#page=3","Abrir facsímil")</f>
        <v>Abrir facsímil</v>
      </c>
      <c r="K1974" s="3" t="s">
        <v>76</v>
      </c>
    </row>
    <row r="1975" spans="1:11" ht="42" customHeight="1">
      <c r="A1975" s="2" t="s">
        <v>5582</v>
      </c>
      <c r="B1975" s="2" t="s">
        <v>5583</v>
      </c>
      <c r="C1975" s="2" t="s">
        <v>26</v>
      </c>
      <c r="D1975" s="2" t="s">
        <v>18</v>
      </c>
      <c r="E1975" s="4">
        <v>-32809</v>
      </c>
      <c r="F1975" s="3" t="s">
        <v>1873</v>
      </c>
      <c r="G1975" s="3" t="s">
        <v>735</v>
      </c>
      <c r="H1975" s="2" t="s">
        <v>74</v>
      </c>
      <c r="I1975" s="2" t="s">
        <v>5585</v>
      </c>
      <c r="J1975" s="3" t="str">
        <f>HYPERLINK("https://www.boe.es/gazeta/dias/1810/03/03/pdfs/GMD-1810-62.pdf#page=4","Abrir facsímil")</f>
        <v>Abrir facsímil</v>
      </c>
      <c r="K1975" s="3" t="s">
        <v>76</v>
      </c>
    </row>
    <row r="1976" spans="1:11" ht="42" customHeight="1">
      <c r="A1976" s="2" t="s">
        <v>5586</v>
      </c>
      <c r="B1976" s="2" t="s">
        <v>5587</v>
      </c>
      <c r="C1976" s="2" t="s">
        <v>88</v>
      </c>
      <c r="D1976" s="2" t="s">
        <v>27</v>
      </c>
      <c r="E1976" s="4">
        <v>-32531</v>
      </c>
      <c r="F1976" s="3" t="s">
        <v>2483</v>
      </c>
      <c r="G1976" s="3" t="s">
        <v>227</v>
      </c>
      <c r="H1976" s="2" t="s">
        <v>74</v>
      </c>
      <c r="I1976" s="2" t="s">
        <v>5588</v>
      </c>
      <c r="J1976" s="3" t="str">
        <f>HYPERLINK("https://www.boe.es/gazeta/dias/1810/12/06/pdfs/GEI-1810-104.pdf#page=2","Abrir facsímil")</f>
        <v>Abrir facsímil</v>
      </c>
      <c r="K1976" s="3" t="s">
        <v>76</v>
      </c>
    </row>
    <row r="1977" spans="1:11" ht="42" customHeight="1">
      <c r="A1977" s="2" t="s">
        <v>5589</v>
      </c>
      <c r="B1977" s="2" t="s">
        <v>5590</v>
      </c>
      <c r="C1977" s="2" t="s">
        <v>88</v>
      </c>
      <c r="D1977" s="2" t="s">
        <v>117</v>
      </c>
      <c r="E1977" s="4">
        <v>-32716</v>
      </c>
      <c r="F1977" s="3" t="s">
        <v>624</v>
      </c>
      <c r="G1977" s="3" t="s">
        <v>140</v>
      </c>
      <c r="H1977" s="2" t="s">
        <v>74</v>
      </c>
      <c r="I1977" s="2" t="s">
        <v>5591</v>
      </c>
      <c r="J1977" s="3" t="str">
        <f>HYPERLINK("https://www.boe.es/gazeta/dias/1810/06/04/pdfs/GMD-1810-155.pdf#page=4","Abrir facsímil")</f>
        <v>Abrir facsímil</v>
      </c>
      <c r="K1977" s="3" t="s">
        <v>76</v>
      </c>
    </row>
    <row r="1978" spans="1:11" ht="42" customHeight="1">
      <c r="A1978" s="2" t="s">
        <v>5592</v>
      </c>
      <c r="B1978" s="2" t="s">
        <v>5593</v>
      </c>
      <c r="C1978" s="2" t="s">
        <v>26</v>
      </c>
      <c r="D1978" s="2" t="s">
        <v>27</v>
      </c>
      <c r="E1978" s="4">
        <v>-32563</v>
      </c>
      <c r="F1978" s="3" t="s">
        <v>535</v>
      </c>
      <c r="G1978" s="3" t="s">
        <v>5594</v>
      </c>
      <c r="H1978" s="2" t="s">
        <v>74</v>
      </c>
      <c r="I1978" s="2" t="s">
        <v>5595</v>
      </c>
      <c r="J1978" s="3" t="str">
        <f>HYPERLINK("https://www.boe.es/gazeta/dias/1810/11/04/pdfs/GMD-1810-308.pdf#page=10","Abrir facsímil")</f>
        <v>Abrir facsímil</v>
      </c>
      <c r="K1978" s="3" t="s">
        <v>76</v>
      </c>
    </row>
    <row r="1979" spans="1:11" ht="42" customHeight="1">
      <c r="A1979" s="2" t="s">
        <v>5596</v>
      </c>
      <c r="B1979" s="2" t="s">
        <v>5597</v>
      </c>
      <c r="C1979" s="2" t="s">
        <v>26</v>
      </c>
      <c r="D1979" s="2" t="s">
        <v>220</v>
      </c>
      <c r="E1979" s="4">
        <v>-32528</v>
      </c>
      <c r="F1979" s="3" t="s">
        <v>3058</v>
      </c>
      <c r="G1979" s="3" t="s">
        <v>35</v>
      </c>
      <c r="H1979" s="2" t="s">
        <v>74</v>
      </c>
      <c r="I1979" s="2" t="s">
        <v>5598</v>
      </c>
      <c r="J1979" s="3" t="str">
        <f>HYPERLINK("https://www.boe.es/gazeta/dias/1810/12/09/pdfs/GMD-1810-343.pdf#page=2","Abrir facsímil")</f>
        <v>Abrir facsímil</v>
      </c>
      <c r="K1979" s="3" t="s">
        <v>76</v>
      </c>
    </row>
    <row r="1980" spans="1:11" ht="42" customHeight="1">
      <c r="A1980" s="2" t="s">
        <v>5599</v>
      </c>
      <c r="B1980" s="2" t="s">
        <v>5600</v>
      </c>
      <c r="C1980" s="2" t="s">
        <v>26</v>
      </c>
      <c r="D1980" s="2" t="s">
        <v>27</v>
      </c>
      <c r="E1980" s="4">
        <v>-32722</v>
      </c>
      <c r="F1980" s="3" t="s">
        <v>856</v>
      </c>
      <c r="G1980" s="3" t="s">
        <v>668</v>
      </c>
      <c r="H1980" s="2" t="s">
        <v>74</v>
      </c>
      <c r="I1980" s="2" t="s">
        <v>5601</v>
      </c>
      <c r="J1980" s="3" t="str">
        <f>HYPERLINK("https://www.boe.es/gazeta/dias/1810/05/29/pdfs/GEI-1810-31.pdf#page=12","Abrir facsímil")</f>
        <v>Abrir facsímil</v>
      </c>
      <c r="K1980" s="3" t="s">
        <v>76</v>
      </c>
    </row>
    <row r="1981" spans="1:11" ht="42" customHeight="1">
      <c r="A1981" s="2" t="s">
        <v>5602</v>
      </c>
      <c r="B1981" s="2" t="s">
        <v>5603</v>
      </c>
      <c r="C1981" s="2" t="s">
        <v>26</v>
      </c>
      <c r="D1981" s="2" t="s">
        <v>18</v>
      </c>
      <c r="E1981" s="4">
        <v>-32837</v>
      </c>
      <c r="F1981" s="3" t="s">
        <v>196</v>
      </c>
      <c r="G1981" s="3" t="s">
        <v>140</v>
      </c>
      <c r="H1981" s="2" t="s">
        <v>74</v>
      </c>
      <c r="I1981" s="2" t="s">
        <v>5604</v>
      </c>
      <c r="J1981" s="3" t="str">
        <f>HYPERLINK("https://www.boe.es/gazeta/dias/1810/02/03/pdfs/GMD-1810-34.pdf#page=4","Abrir facsímil")</f>
        <v>Abrir facsímil</v>
      </c>
      <c r="K1981" s="3" t="s">
        <v>76</v>
      </c>
    </row>
    <row r="1982" spans="1:11" ht="42" customHeight="1">
      <c r="A1982" s="2" t="s">
        <v>5605</v>
      </c>
      <c r="B1982" s="2" t="s">
        <v>5606</v>
      </c>
      <c r="C1982" s="2" t="s">
        <v>225</v>
      </c>
      <c r="D1982" s="2" t="s">
        <v>27</v>
      </c>
      <c r="E1982" s="4">
        <v>-32771</v>
      </c>
      <c r="F1982" s="3" t="s">
        <v>543</v>
      </c>
      <c r="G1982" s="3" t="s">
        <v>65</v>
      </c>
      <c r="H1982" s="2" t="s">
        <v>74</v>
      </c>
      <c r="I1982" s="2" t="s">
        <v>5607</v>
      </c>
      <c r="J1982" s="3" t="str">
        <f>HYPERLINK("https://www.boe.es/gazeta/dias/1810/04/10/pdfs/GEI-1810-13.pdf#page=7","Abrir facsímil")</f>
        <v>Abrir facsímil</v>
      </c>
      <c r="K1982" s="3" t="s">
        <v>76</v>
      </c>
    </row>
    <row r="1983" spans="1:11" ht="42" customHeight="1">
      <c r="A1983" s="2" t="s">
        <v>5608</v>
      </c>
      <c r="B1983" s="2" t="s">
        <v>5609</v>
      </c>
      <c r="C1983" s="2" t="s">
        <v>26</v>
      </c>
      <c r="D1983" s="2" t="s">
        <v>39</v>
      </c>
      <c r="E1983" s="4">
        <v>-32702</v>
      </c>
      <c r="F1983" s="3" t="s">
        <v>179</v>
      </c>
      <c r="G1983" s="3" t="s">
        <v>213</v>
      </c>
      <c r="H1983" s="2" t="s">
        <v>74</v>
      </c>
      <c r="I1983" s="2" t="s">
        <v>5610</v>
      </c>
      <c r="J1983" s="3" t="str">
        <f>HYPERLINK("https://www.boe.es/gazeta/dias/1810/06/18/pdfs/GMD-C-1810-169.pdf#page=4","Abrir facsímil")</f>
        <v>Abrir facsímil</v>
      </c>
      <c r="K1983" s="3" t="s">
        <v>76</v>
      </c>
    </row>
    <row r="1984" spans="1:11" ht="42" customHeight="1">
      <c r="A1984" s="2" t="s">
        <v>5611</v>
      </c>
      <c r="B1984" s="2" t="s">
        <v>5612</v>
      </c>
      <c r="C1984" s="2" t="s">
        <v>26</v>
      </c>
      <c r="D1984" s="2" t="s">
        <v>27</v>
      </c>
      <c r="E1984" s="4">
        <v>-32837</v>
      </c>
      <c r="F1984" s="3" t="s">
        <v>196</v>
      </c>
      <c r="G1984" s="3" t="s">
        <v>140</v>
      </c>
      <c r="H1984" s="2" t="s">
        <v>74</v>
      </c>
      <c r="I1984" s="2" t="s">
        <v>5613</v>
      </c>
      <c r="J1984" s="3" t="str">
        <f>HYPERLINK("https://www.boe.es/gazeta/dias/1810/02/03/pdfs/GMD-1810-34.pdf#page=4","Abrir facsímil")</f>
        <v>Abrir facsímil</v>
      </c>
      <c r="K1984" s="3" t="s">
        <v>76</v>
      </c>
    </row>
    <row r="1985" spans="1:11" ht="42" customHeight="1">
      <c r="A1985" s="2" t="s">
        <v>5614</v>
      </c>
      <c r="B1985" s="2" t="s">
        <v>5615</v>
      </c>
      <c r="C1985" s="2" t="s">
        <v>195</v>
      </c>
      <c r="D1985" s="2" t="s">
        <v>27</v>
      </c>
      <c r="E1985" s="4">
        <v>-32837</v>
      </c>
      <c r="F1985" s="3" t="s">
        <v>196</v>
      </c>
      <c r="G1985" s="3" t="s">
        <v>140</v>
      </c>
      <c r="H1985" s="2" t="s">
        <v>74</v>
      </c>
      <c r="I1985" s="2" t="s">
        <v>5616</v>
      </c>
      <c r="J1985" s="3" t="str">
        <f>HYPERLINK("https://www.boe.es/gazeta/dias/1810/02/03/pdfs/GMD-1810-34.pdf#page=4","Abrir facsímil")</f>
        <v>Abrir facsímil</v>
      </c>
      <c r="K1985" s="3" t="s">
        <v>76</v>
      </c>
    </row>
    <row r="1986" spans="1:11" ht="42" customHeight="1">
      <c r="A1986" s="2" t="s">
        <v>5617</v>
      </c>
      <c r="B1986" s="2" t="s">
        <v>5618</v>
      </c>
      <c r="C1986" s="2" t="s">
        <v>26</v>
      </c>
      <c r="D1986" s="2" t="s">
        <v>27</v>
      </c>
      <c r="E1986" s="4">
        <v>-32837</v>
      </c>
      <c r="F1986" s="3" t="s">
        <v>196</v>
      </c>
      <c r="G1986" s="3" t="s">
        <v>140</v>
      </c>
      <c r="H1986" s="2" t="s">
        <v>74</v>
      </c>
      <c r="I1986" s="2" t="s">
        <v>5619</v>
      </c>
      <c r="J1986" s="3" t="str">
        <f>HYPERLINK("https://www.boe.es/gazeta/dias/1810/02/03/pdfs/GMD-1810-34.pdf#page=4","Abrir facsímil")</f>
        <v>Abrir facsímil</v>
      </c>
      <c r="K1986" s="3" t="s">
        <v>76</v>
      </c>
    </row>
    <row r="1987" spans="1:11" ht="42" customHeight="1">
      <c r="A1987" s="2" t="s">
        <v>5620</v>
      </c>
      <c r="B1987" s="2" t="s">
        <v>5621</v>
      </c>
      <c r="C1987" s="2" t="s">
        <v>26</v>
      </c>
      <c r="D1987" s="2" t="s">
        <v>27</v>
      </c>
      <c r="E1987" s="4">
        <v>-32837</v>
      </c>
      <c r="F1987" s="3" t="s">
        <v>196</v>
      </c>
      <c r="G1987" s="3" t="s">
        <v>213</v>
      </c>
      <c r="H1987" s="2" t="s">
        <v>74</v>
      </c>
      <c r="I1987" s="2" t="s">
        <v>5622</v>
      </c>
      <c r="J1987" s="3" t="str">
        <f>HYPERLINK("https://www.boe.es/gazeta/dias/1810/02/03/pdfs/GMD-1810-34.pdf#page=2","Abrir facsímil")</f>
        <v>Abrir facsímil</v>
      </c>
      <c r="K1987" s="3" t="s">
        <v>76</v>
      </c>
    </row>
    <row r="1988" spans="1:11" ht="42" customHeight="1">
      <c r="A1988" s="2" t="s">
        <v>5623</v>
      </c>
      <c r="B1988" s="2" t="s">
        <v>5624</v>
      </c>
      <c r="C1988" s="2" t="s">
        <v>26</v>
      </c>
      <c r="D1988" s="2" t="s">
        <v>39</v>
      </c>
      <c r="E1988" s="4">
        <v>-32701</v>
      </c>
      <c r="F1988" s="3" t="s">
        <v>40</v>
      </c>
      <c r="G1988" s="3" t="s">
        <v>333</v>
      </c>
      <c r="H1988" s="2" t="s">
        <v>74</v>
      </c>
      <c r="I1988" s="2" t="s">
        <v>5625</v>
      </c>
      <c r="J1988" s="3" t="str">
        <f>HYPERLINK("https://www.boe.es/gazeta/dias/1810/06/19/pdfs/GMD-C-1810-170.pdf#page=4","Abrir facsímil")</f>
        <v>Abrir facsímil</v>
      </c>
      <c r="K1988" s="3" t="s">
        <v>76</v>
      </c>
    </row>
    <row r="1989" spans="1:11" ht="42" customHeight="1">
      <c r="A1989" s="2" t="s">
        <v>5626</v>
      </c>
      <c r="B1989" s="2" t="s">
        <v>5627</v>
      </c>
      <c r="C1989" s="2" t="s">
        <v>225</v>
      </c>
      <c r="D1989" s="2" t="s">
        <v>18</v>
      </c>
      <c r="E1989" s="4">
        <v>-32508</v>
      </c>
      <c r="F1989" s="3" t="s">
        <v>864</v>
      </c>
      <c r="G1989" s="3" t="s">
        <v>5628</v>
      </c>
      <c r="H1989" s="2" t="s">
        <v>74</v>
      </c>
      <c r="I1989" s="2" t="s">
        <v>5629</v>
      </c>
      <c r="J1989" s="3" t="str">
        <f>HYPERLINK("https://www.boe.es/gazeta/dias/1810/12/29/pdfs/GEI-1810-114.pdf#page=6","Abrir facsímil")</f>
        <v>Abrir facsímil</v>
      </c>
      <c r="K1989" s="3" t="s">
        <v>76</v>
      </c>
    </row>
    <row r="1990" spans="1:11" ht="42" customHeight="1">
      <c r="A1990" s="2" t="s">
        <v>5630</v>
      </c>
      <c r="B1990" s="2" t="s">
        <v>5631</v>
      </c>
      <c r="C1990" s="2" t="s">
        <v>26</v>
      </c>
      <c r="D1990" s="2" t="s">
        <v>27</v>
      </c>
      <c r="E1990" s="4">
        <v>-32645</v>
      </c>
      <c r="F1990" s="3" t="s">
        <v>122</v>
      </c>
      <c r="G1990" s="3" t="s">
        <v>147</v>
      </c>
      <c r="H1990" s="2" t="s">
        <v>74</v>
      </c>
      <c r="I1990" s="2" t="s">
        <v>5632</v>
      </c>
      <c r="J1990" s="3" t="str">
        <f>HYPERLINK("https://www.boe.es/gazeta/dias/1810/08/14/pdfs/GEI-1810-56.pdf#page=16","Abrir facsímil")</f>
        <v>Abrir facsímil</v>
      </c>
      <c r="K1990" s="3" t="s">
        <v>76</v>
      </c>
    </row>
    <row r="1991" spans="1:11" ht="42" customHeight="1">
      <c r="A1991" s="2" t="s">
        <v>5633</v>
      </c>
      <c r="B1991" s="2" t="s">
        <v>5634</v>
      </c>
      <c r="C1991" s="2" t="s">
        <v>225</v>
      </c>
      <c r="D1991" s="2" t="s">
        <v>27</v>
      </c>
      <c r="E1991" s="4">
        <v>-32820</v>
      </c>
      <c r="F1991" s="3" t="s">
        <v>226</v>
      </c>
      <c r="G1991" s="3" t="s">
        <v>227</v>
      </c>
      <c r="H1991" s="2" t="s">
        <v>74</v>
      </c>
      <c r="I1991" s="2" t="s">
        <v>5635</v>
      </c>
      <c r="J1991" s="3" t="str">
        <f>HYPERLINK("https://www.boe.es/gazeta/dias/1810/02/20/pdfs/GMD-1810-51.pdf#page=4","Abrir facsímil")</f>
        <v>Abrir facsímil</v>
      </c>
      <c r="K1991" s="3" t="s">
        <v>76</v>
      </c>
    </row>
    <row r="1992" spans="1:11" ht="42" customHeight="1">
      <c r="A1992" s="2" t="s">
        <v>5636</v>
      </c>
      <c r="B1992" s="2" t="s">
        <v>5637</v>
      </c>
      <c r="C1992" s="2" t="s">
        <v>317</v>
      </c>
      <c r="D1992" s="2" t="s">
        <v>27</v>
      </c>
      <c r="E1992" s="4">
        <v>-32725</v>
      </c>
      <c r="F1992" s="3" t="s">
        <v>417</v>
      </c>
      <c r="G1992" s="3" t="s">
        <v>140</v>
      </c>
      <c r="H1992" s="2" t="s">
        <v>74</v>
      </c>
      <c r="I1992" s="2" t="s">
        <v>5638</v>
      </c>
      <c r="J1992" s="3" t="str">
        <f>HYPERLINK("https://www.boe.es/gazeta/dias/1810/05/26/pdfs/GMD-1810-146.pdf#page=4","Abrir facsímil")</f>
        <v>Abrir facsímil</v>
      </c>
      <c r="K1992" s="3" t="s">
        <v>76</v>
      </c>
    </row>
    <row r="1993" spans="1:11" ht="42" customHeight="1">
      <c r="A1993" s="2" t="s">
        <v>5639</v>
      </c>
      <c r="B1993" s="2" t="s">
        <v>5640</v>
      </c>
      <c r="C1993" s="2" t="s">
        <v>26</v>
      </c>
      <c r="D1993" s="2" t="s">
        <v>58</v>
      </c>
      <c r="E1993" s="4">
        <v>-32601</v>
      </c>
      <c r="F1993" s="3" t="s">
        <v>392</v>
      </c>
      <c r="G1993" s="3" t="s">
        <v>35</v>
      </c>
      <c r="H1993" s="2" t="s">
        <v>74</v>
      </c>
      <c r="I1993" s="2" t="s">
        <v>5641</v>
      </c>
      <c r="J1993" s="3" t="str">
        <f>HYPERLINK("https://www.boe.es/gazeta/dias/1810/09/27/pdfs/GEI-1810-74E.pdf#page=2","Abrir facsímil")</f>
        <v>Abrir facsímil</v>
      </c>
      <c r="K1993" s="3" t="s">
        <v>76</v>
      </c>
    </row>
    <row r="1994" spans="1:11" ht="42" customHeight="1">
      <c r="A1994" s="2" t="s">
        <v>5642</v>
      </c>
      <c r="B1994" s="2" t="s">
        <v>5643</v>
      </c>
      <c r="C1994" s="2" t="s">
        <v>33</v>
      </c>
      <c r="D1994" s="2" t="s">
        <v>27</v>
      </c>
      <c r="E1994" s="4">
        <v>-32743</v>
      </c>
      <c r="F1994" s="3" t="s">
        <v>2265</v>
      </c>
      <c r="G1994" s="3" t="s">
        <v>458</v>
      </c>
      <c r="H1994" s="2" t="s">
        <v>74</v>
      </c>
      <c r="I1994" s="2" t="s">
        <v>5644</v>
      </c>
      <c r="J1994" s="3" t="str">
        <f>HYPERLINK("https://www.boe.es/gazeta/dias/1810/05/08/pdfs/GEI-1810-22.pdf#page=7","Abrir facsímil")</f>
        <v>Abrir facsímil</v>
      </c>
      <c r="K1994" s="3" t="s">
        <v>76</v>
      </c>
    </row>
    <row r="1995" spans="1:11" ht="42" customHeight="1">
      <c r="A1995" s="2" t="s">
        <v>5642</v>
      </c>
      <c r="B1995" s="2" t="s">
        <v>5643</v>
      </c>
      <c r="C1995" s="2" t="s">
        <v>26</v>
      </c>
      <c r="D1995" s="2" t="s">
        <v>27</v>
      </c>
      <c r="E1995" s="4">
        <v>-32677</v>
      </c>
      <c r="F1995" s="3" t="s">
        <v>1940</v>
      </c>
      <c r="G1995" s="3" t="s">
        <v>5645</v>
      </c>
      <c r="H1995" s="2" t="s">
        <v>74</v>
      </c>
      <c r="I1995" s="2" t="s">
        <v>5646</v>
      </c>
      <c r="J1995" s="3" t="str">
        <f>HYPERLINK("https://www.boe.es/gazeta/dias/1810/07/13/pdfs/GEI-1810-44.pdf#page=4","Abrir facsímil")</f>
        <v>Abrir facsímil</v>
      </c>
      <c r="K1995" s="3" t="s">
        <v>76</v>
      </c>
    </row>
    <row r="1996" spans="1:11" ht="42" customHeight="1">
      <c r="A1996" s="2" t="s">
        <v>5642</v>
      </c>
      <c r="B1996" s="2" t="s">
        <v>5643</v>
      </c>
      <c r="C1996" s="2" t="s">
        <v>26</v>
      </c>
      <c r="D1996" s="2" t="s">
        <v>58</v>
      </c>
      <c r="E1996" s="4">
        <v>-32601</v>
      </c>
      <c r="F1996" s="3" t="s">
        <v>392</v>
      </c>
      <c r="G1996" s="3" t="s">
        <v>1430</v>
      </c>
      <c r="H1996" s="2" t="s">
        <v>74</v>
      </c>
      <c r="I1996" s="2" t="s">
        <v>5647</v>
      </c>
      <c r="J1996" s="3" t="str">
        <f>HYPERLINK("https://www.boe.es/gazeta/dias/1810/09/27/pdfs/GEI-1810-74E.pdf#page=3","Abrir facsímil")</f>
        <v>Abrir facsímil</v>
      </c>
      <c r="K1996" s="3" t="s">
        <v>76</v>
      </c>
    </row>
    <row r="1997" spans="1:11" ht="42" customHeight="1">
      <c r="A1997" s="2" t="s">
        <v>5642</v>
      </c>
      <c r="B1997" s="2" t="s">
        <v>5643</v>
      </c>
      <c r="C1997" s="2" t="s">
        <v>88</v>
      </c>
      <c r="D1997" s="2" t="s">
        <v>18</v>
      </c>
      <c r="E1997" s="4">
        <v>-32538</v>
      </c>
      <c r="F1997" s="3" t="s">
        <v>1949</v>
      </c>
      <c r="G1997" s="3" t="s">
        <v>213</v>
      </c>
      <c r="H1997" s="2" t="s">
        <v>74</v>
      </c>
      <c r="I1997" s="2" t="s">
        <v>5648</v>
      </c>
      <c r="J1997" s="3" t="str">
        <f>HYPERLINK("https://www.boe.es/gazeta/dias/1810/11/29/pdfs/GEI-1810-101.pdf#page=8","Abrir facsímil")</f>
        <v>Abrir facsímil</v>
      </c>
      <c r="K1997" s="3" t="s">
        <v>76</v>
      </c>
    </row>
    <row r="1998" spans="1:11" ht="42" customHeight="1">
      <c r="A1998" s="2" t="s">
        <v>5649</v>
      </c>
      <c r="B1998" s="2" t="s">
        <v>5650</v>
      </c>
      <c r="C1998" s="2" t="s">
        <v>88</v>
      </c>
      <c r="D1998" s="2" t="s">
        <v>27</v>
      </c>
      <c r="E1998" s="4">
        <v>-32820</v>
      </c>
      <c r="F1998" s="3" t="s">
        <v>226</v>
      </c>
      <c r="G1998" s="3" t="s">
        <v>227</v>
      </c>
      <c r="H1998" s="2" t="s">
        <v>74</v>
      </c>
      <c r="I1998" s="2" t="s">
        <v>5651</v>
      </c>
      <c r="J1998" s="3" t="str">
        <f>HYPERLINK("https://www.boe.es/gazeta/dias/1810/02/20/pdfs/GMD-1810-51.pdf#page=4","Abrir facsímil")</f>
        <v>Abrir facsímil</v>
      </c>
      <c r="K1998" s="3" t="s">
        <v>76</v>
      </c>
    </row>
    <row r="1999" spans="1:11" ht="42" customHeight="1">
      <c r="A1999" s="2" t="s">
        <v>5652</v>
      </c>
      <c r="B1999" s="2" t="s">
        <v>5653</v>
      </c>
      <c r="C1999" s="2" t="s">
        <v>26</v>
      </c>
      <c r="D1999" s="2" t="s">
        <v>27</v>
      </c>
      <c r="E1999" s="4">
        <v>-32867</v>
      </c>
      <c r="F1999" s="3" t="s">
        <v>712</v>
      </c>
      <c r="G1999" s="3" t="s">
        <v>29</v>
      </c>
      <c r="H1999" s="2" t="s">
        <v>74</v>
      </c>
      <c r="I1999" s="2" t="s">
        <v>5654</v>
      </c>
      <c r="J1999" s="3" t="str">
        <f>HYPERLINK("https://www.boe.es/gazeta/dias/1810/01/04/pdfs/GGB-1810-2.pdf#page=3","Abrir facsímil")</f>
        <v>Abrir facsímil</v>
      </c>
      <c r="K1999" s="3" t="s">
        <v>76</v>
      </c>
    </row>
    <row r="2000" spans="1:11" ht="42" customHeight="1">
      <c r="A2000" s="2" t="s">
        <v>5655</v>
      </c>
      <c r="B2000" s="2" t="s">
        <v>5656</v>
      </c>
      <c r="C2000" s="2" t="s">
        <v>88</v>
      </c>
      <c r="D2000" s="2" t="s">
        <v>27</v>
      </c>
      <c r="E2000" s="4">
        <v>-32842</v>
      </c>
      <c r="F2000" s="3" t="s">
        <v>1291</v>
      </c>
      <c r="G2000" s="3" t="s">
        <v>1292</v>
      </c>
      <c r="H2000" s="2" t="s">
        <v>74</v>
      </c>
      <c r="I2000" s="2" t="s">
        <v>5657</v>
      </c>
      <c r="J2000" s="3" t="str">
        <f>HYPERLINK("https://www.boe.es/gazeta/dias/1810/01/29/pdfs/GMD-1810-29.pdf#page=3","Abrir facsímil")</f>
        <v>Abrir facsímil</v>
      </c>
      <c r="K2000" s="3" t="s">
        <v>76</v>
      </c>
    </row>
    <row r="2001" spans="1:11" ht="42" customHeight="1">
      <c r="A2001" s="2" t="s">
        <v>5658</v>
      </c>
      <c r="B2001" s="2" t="s">
        <v>5659</v>
      </c>
      <c r="C2001" s="2" t="s">
        <v>17</v>
      </c>
      <c r="D2001" s="2" t="s">
        <v>27</v>
      </c>
      <c r="E2001" s="4">
        <v>-32618</v>
      </c>
      <c r="F2001" s="3" t="s">
        <v>1501</v>
      </c>
      <c r="G2001" s="3" t="s">
        <v>20</v>
      </c>
      <c r="H2001" s="2" t="s">
        <v>74</v>
      </c>
      <c r="I2001" s="2" t="s">
        <v>5660</v>
      </c>
      <c r="J2001" s="3" t="str">
        <f>HYPERLINK("https://www.boe.es/gazeta/dias/1810/09/10/pdfs/GMD-1810-253.pdf#page=4","Abrir facsímil")</f>
        <v>Abrir facsímil</v>
      </c>
      <c r="K2001" s="3" t="s">
        <v>76</v>
      </c>
    </row>
    <row r="2002" spans="1:11" ht="42" customHeight="1">
      <c r="A2002" s="2" t="s">
        <v>5661</v>
      </c>
      <c r="B2002" s="2" t="s">
        <v>5662</v>
      </c>
      <c r="C2002" s="2" t="s">
        <v>26</v>
      </c>
      <c r="D2002" s="2" t="s">
        <v>27</v>
      </c>
      <c r="E2002" s="4">
        <v>-32839</v>
      </c>
      <c r="F2002" s="3" t="s">
        <v>28</v>
      </c>
      <c r="G2002" s="3" t="s">
        <v>29</v>
      </c>
      <c r="H2002" s="2" t="s">
        <v>74</v>
      </c>
      <c r="I2002" s="2" t="s">
        <v>5663</v>
      </c>
      <c r="J2002" s="3" t="str">
        <f>HYPERLINK("https://www.boe.es/gazeta/dias/1810/02/01/pdfs/GMD-1810-32.pdf#page=3","Abrir facsímil")</f>
        <v>Abrir facsímil</v>
      </c>
      <c r="K2002" s="3" t="s">
        <v>76</v>
      </c>
    </row>
    <row r="2003" spans="1:11" ht="42" customHeight="1">
      <c r="A2003" s="2" t="s">
        <v>5664</v>
      </c>
      <c r="B2003" s="2" t="s">
        <v>5665</v>
      </c>
      <c r="C2003" s="2" t="s">
        <v>317</v>
      </c>
      <c r="D2003" s="2" t="s">
        <v>27</v>
      </c>
      <c r="E2003" s="4">
        <v>-32648</v>
      </c>
      <c r="F2003" s="3" t="s">
        <v>575</v>
      </c>
      <c r="G2003" s="3" t="s">
        <v>140</v>
      </c>
      <c r="H2003" s="2" t="s">
        <v>74</v>
      </c>
      <c r="I2003" s="2" t="s">
        <v>5666</v>
      </c>
      <c r="J2003" s="3" t="str">
        <f>HYPERLINK("https://www.boe.es/gazeta/dias/1810/08/11/pdfs/GMD-1810-223.pdf#page=4","Abrir facsímil")</f>
        <v>Abrir facsímil</v>
      </c>
      <c r="K2003" s="3" t="s">
        <v>76</v>
      </c>
    </row>
    <row r="2004" spans="1:11" ht="42" customHeight="1">
      <c r="A2004" s="2" t="s">
        <v>5667</v>
      </c>
      <c r="B2004" s="2" t="s">
        <v>5668</v>
      </c>
      <c r="C2004" s="2" t="s">
        <v>88</v>
      </c>
      <c r="D2004" s="2" t="s">
        <v>117</v>
      </c>
      <c r="E2004" s="4">
        <v>-32638</v>
      </c>
      <c r="F2004" s="3" t="s">
        <v>2498</v>
      </c>
      <c r="G2004" s="3" t="s">
        <v>5669</v>
      </c>
      <c r="H2004" s="2" t="s">
        <v>74</v>
      </c>
      <c r="I2004" s="2" t="s">
        <v>5670</v>
      </c>
      <c r="J2004" s="3" t="str">
        <f>HYPERLINK("https://www.boe.es/gazeta/dias/1810/08/21/pdfs/GEI-1810-58.pdf#page=7","Abrir facsímil")</f>
        <v>Abrir facsímil</v>
      </c>
      <c r="K2004" s="3" t="s">
        <v>76</v>
      </c>
    </row>
    <row r="2005" spans="1:11" ht="42" customHeight="1">
      <c r="A2005" s="2" t="s">
        <v>5671</v>
      </c>
      <c r="B2005" s="2" t="s">
        <v>5672</v>
      </c>
      <c r="C2005" s="2" t="s">
        <v>88</v>
      </c>
      <c r="D2005" s="2" t="s">
        <v>117</v>
      </c>
      <c r="E2005" s="4">
        <v>-32781</v>
      </c>
      <c r="F2005" s="3" t="s">
        <v>5673</v>
      </c>
      <c r="G2005" s="3" t="s">
        <v>20</v>
      </c>
      <c r="H2005" s="2" t="s">
        <v>74</v>
      </c>
      <c r="I2005" s="2" t="s">
        <v>5674</v>
      </c>
      <c r="J2005" s="3" t="str">
        <f>HYPERLINK("https://www.boe.es/gazeta/dias/1810/03/31/pdfs/GMD-1810-90.pdf#page=4","Abrir facsímil")</f>
        <v>Abrir facsímil</v>
      </c>
      <c r="K2005" s="3" t="s">
        <v>76</v>
      </c>
    </row>
    <row r="2006" spans="1:11" ht="42" customHeight="1">
      <c r="A2006" s="2" t="s">
        <v>5675</v>
      </c>
      <c r="B2006" s="2" t="s">
        <v>5676</v>
      </c>
      <c r="C2006" s="2" t="s">
        <v>88</v>
      </c>
      <c r="D2006" s="2" t="s">
        <v>18</v>
      </c>
      <c r="E2006" s="4">
        <v>-32728</v>
      </c>
      <c r="F2006" s="3" t="s">
        <v>269</v>
      </c>
      <c r="G2006" s="3" t="s">
        <v>119</v>
      </c>
      <c r="H2006" s="2" t="s">
        <v>74</v>
      </c>
      <c r="I2006" s="2" t="s">
        <v>5677</v>
      </c>
      <c r="J2006" s="3" t="str">
        <f>HYPERLINK("https://www.boe.es/gazeta/dias/1810/05/23/pdfs/GMD-1810-143.pdf#page=3","Abrir facsímil")</f>
        <v>Abrir facsímil</v>
      </c>
      <c r="K2006" s="3" t="s">
        <v>76</v>
      </c>
    </row>
    <row r="2007" spans="1:11" ht="42" customHeight="1">
      <c r="A2007" s="2" t="s">
        <v>5678</v>
      </c>
      <c r="B2007" s="2" t="s">
        <v>5679</v>
      </c>
      <c r="C2007" s="2" t="s">
        <v>88</v>
      </c>
      <c r="D2007" s="2" t="s">
        <v>58</v>
      </c>
      <c r="E2007" s="4">
        <v>-32651</v>
      </c>
      <c r="F2007" s="3" t="s">
        <v>59</v>
      </c>
      <c r="G2007" s="3" t="s">
        <v>60</v>
      </c>
      <c r="H2007" s="2" t="s">
        <v>74</v>
      </c>
      <c r="I2007" s="2" t="s">
        <v>5680</v>
      </c>
      <c r="J2007" s="3" t="str">
        <f>HYPERLINK("https://www.boe.es/gazeta/dias/1810/08/08/pdfs/GEI-1810-53E.pdf#page=3","Abrir facsímil")</f>
        <v>Abrir facsímil</v>
      </c>
      <c r="K2007" s="3" t="s">
        <v>76</v>
      </c>
    </row>
    <row r="2008" spans="1:11" ht="42" customHeight="1">
      <c r="A2008" s="2" t="s">
        <v>5681</v>
      </c>
      <c r="B2008" s="2" t="s">
        <v>5682</v>
      </c>
      <c r="C2008" s="2" t="s">
        <v>195</v>
      </c>
      <c r="D2008" s="2" t="s">
        <v>18</v>
      </c>
      <c r="E2008" s="4">
        <v>-32743</v>
      </c>
      <c r="F2008" s="3" t="s">
        <v>5683</v>
      </c>
      <c r="G2008" s="3" t="s">
        <v>99</v>
      </c>
      <c r="H2008" s="2" t="s">
        <v>74</v>
      </c>
      <c r="I2008" s="2" t="s">
        <v>5684</v>
      </c>
      <c r="J2008" s="3" t="str">
        <f>HYPERLINK("https://www.boe.es/gazeta/dias/1810/05/08/pdfs/GMD-1810-128.pdf#page=3","Abrir facsímil")</f>
        <v>Abrir facsímil</v>
      </c>
      <c r="K2008" s="3" t="s">
        <v>76</v>
      </c>
    </row>
    <row r="2009" spans="1:11" ht="42" customHeight="1">
      <c r="A2009" s="2" t="s">
        <v>5685</v>
      </c>
      <c r="B2009" s="2" t="s">
        <v>5686</v>
      </c>
      <c r="C2009" s="2" t="s">
        <v>26</v>
      </c>
      <c r="D2009" s="2" t="s">
        <v>27</v>
      </c>
      <c r="E2009" s="4">
        <v>-32557</v>
      </c>
      <c r="F2009" s="3" t="s">
        <v>837</v>
      </c>
      <c r="G2009" s="3" t="s">
        <v>2073</v>
      </c>
      <c r="H2009" s="2" t="s">
        <v>74</v>
      </c>
      <c r="I2009" s="2" t="s">
        <v>5687</v>
      </c>
      <c r="J2009" s="3" t="str">
        <f>HYPERLINK("https://www.boe.es/gazeta/dias/1810/11/10/pdfs/GEI-1810-93.pdf#page=7","Abrir facsímil")</f>
        <v>Abrir facsímil</v>
      </c>
      <c r="K2009" s="3" t="s">
        <v>76</v>
      </c>
    </row>
    <row r="2010" spans="1:11" ht="42" customHeight="1">
      <c r="A2010" s="2" t="s">
        <v>5688</v>
      </c>
      <c r="B2010" s="2" t="s">
        <v>5689</v>
      </c>
      <c r="C2010" s="2" t="s">
        <v>26</v>
      </c>
      <c r="D2010" s="2" t="s">
        <v>39</v>
      </c>
      <c r="E2010" s="4">
        <v>-32701</v>
      </c>
      <c r="F2010" s="3" t="s">
        <v>40</v>
      </c>
      <c r="G2010" s="3" t="s">
        <v>41</v>
      </c>
      <c r="H2010" s="2" t="s">
        <v>74</v>
      </c>
      <c r="I2010" s="2" t="s">
        <v>5690</v>
      </c>
      <c r="J2010" s="3" t="str">
        <f>HYPERLINK("https://www.boe.es/gazeta/dias/1810/06/19/pdfs/GMD-C-1810-170.pdf#page=3","Abrir facsímil")</f>
        <v>Abrir facsímil</v>
      </c>
      <c r="K2010" s="3" t="s">
        <v>76</v>
      </c>
    </row>
    <row r="2011" spans="1:11" ht="42" customHeight="1">
      <c r="A2011" s="2" t="s">
        <v>5691</v>
      </c>
      <c r="B2011" s="2" t="s">
        <v>5692</v>
      </c>
      <c r="C2011" s="2" t="s">
        <v>26</v>
      </c>
      <c r="D2011" s="2" t="s">
        <v>18</v>
      </c>
      <c r="E2011" s="4">
        <v>-32601</v>
      </c>
      <c r="F2011" s="3" t="s">
        <v>392</v>
      </c>
      <c r="G2011" s="3" t="s">
        <v>1430</v>
      </c>
      <c r="H2011" s="2" t="s">
        <v>74</v>
      </c>
      <c r="I2011" s="2" t="s">
        <v>5693</v>
      </c>
      <c r="J2011" s="3" t="str">
        <f>HYPERLINK("https://www.boe.es/gazeta/dias/1810/09/27/pdfs/GEI-1810-74E.pdf#page=3","Abrir facsímil")</f>
        <v>Abrir facsímil</v>
      </c>
      <c r="K2011" s="3" t="s">
        <v>76</v>
      </c>
    </row>
    <row r="2012" spans="1:11" ht="42" customHeight="1">
      <c r="A2012" s="2" t="s">
        <v>5694</v>
      </c>
      <c r="B2012" s="2" t="s">
        <v>5695</v>
      </c>
      <c r="C2012" s="2" t="s">
        <v>17</v>
      </c>
      <c r="D2012" s="2" t="s">
        <v>18</v>
      </c>
      <c r="E2012" s="4">
        <v>-32796</v>
      </c>
      <c r="F2012" s="3" t="s">
        <v>246</v>
      </c>
      <c r="G2012" s="3" t="s">
        <v>113</v>
      </c>
      <c r="H2012" s="2" t="s">
        <v>74</v>
      </c>
      <c r="I2012" s="2" t="s">
        <v>5696</v>
      </c>
      <c r="J2012" s="3" t="str">
        <f>HYPERLINK("https://www.boe.es/gazeta/dias/1810/03/16/pdfs/GEI-1810-2.pdf#page=8","Abrir facsímil")</f>
        <v>Abrir facsímil</v>
      </c>
      <c r="K2012" s="3" t="s">
        <v>76</v>
      </c>
    </row>
    <row r="2013" spans="1:11" ht="42" customHeight="1">
      <c r="A2013" s="2" t="s">
        <v>5697</v>
      </c>
      <c r="B2013" s="2" t="s">
        <v>5698</v>
      </c>
      <c r="C2013" s="2" t="s">
        <v>33</v>
      </c>
      <c r="D2013" s="2" t="s">
        <v>27</v>
      </c>
      <c r="E2013" s="4">
        <v>-32543</v>
      </c>
      <c r="F2013" s="3" t="s">
        <v>69</v>
      </c>
      <c r="G2013" s="3" t="s">
        <v>70</v>
      </c>
      <c r="H2013" s="2" t="s">
        <v>74</v>
      </c>
      <c r="I2013" s="2" t="s">
        <v>5699</v>
      </c>
      <c r="J2013" s="3" t="str">
        <f>HYPERLINK("https://www.boe.es/gazeta/dias/1810/11/24/pdfs/GEI-1810-99.pdf#page=8","Abrir facsímil")</f>
        <v>Abrir facsímil</v>
      </c>
      <c r="K2013" s="3" t="s">
        <v>76</v>
      </c>
    </row>
    <row r="2014" spans="1:11" ht="42" customHeight="1">
      <c r="A2014" s="2" t="s">
        <v>5700</v>
      </c>
      <c r="B2014" s="2" t="s">
        <v>5701</v>
      </c>
      <c r="C2014" s="2" t="s">
        <v>26</v>
      </c>
      <c r="D2014" s="2" t="s">
        <v>39</v>
      </c>
      <c r="E2014" s="4">
        <v>-32661</v>
      </c>
      <c r="F2014" s="3" t="s">
        <v>157</v>
      </c>
      <c r="G2014" s="3" t="s">
        <v>592</v>
      </c>
      <c r="H2014" s="2" t="s">
        <v>74</v>
      </c>
      <c r="I2014" s="2" t="s">
        <v>5702</v>
      </c>
      <c r="J2014" s="3" t="str">
        <f>HYPERLINK("https://www.boe.es/gazeta/dias/1810/07/29/pdfs/GMD-C-1810-210.pdf#page=2","Abrir facsímil")</f>
        <v>Abrir facsímil</v>
      </c>
      <c r="K2014" s="3" t="s">
        <v>76</v>
      </c>
    </row>
    <row r="2015" spans="1:11" ht="42" customHeight="1">
      <c r="A2015" s="2" t="s">
        <v>5703</v>
      </c>
      <c r="B2015" s="2" t="s">
        <v>5704</v>
      </c>
      <c r="C2015" s="2" t="s">
        <v>17</v>
      </c>
      <c r="D2015" s="2" t="s">
        <v>18</v>
      </c>
      <c r="E2015" s="4">
        <v>-32741</v>
      </c>
      <c r="F2015" s="3" t="s">
        <v>98</v>
      </c>
      <c r="G2015" s="3" t="s">
        <v>99</v>
      </c>
      <c r="H2015" s="2" t="s">
        <v>74</v>
      </c>
      <c r="I2015" s="2" t="s">
        <v>5705</v>
      </c>
      <c r="J2015" s="3" t="str">
        <f>HYPERLINK("https://www.boe.es/gazeta/dias/1810/05/10/pdfs/GMD-1810-130.pdf#page=3","Abrir facsímil")</f>
        <v>Abrir facsímil</v>
      </c>
      <c r="K2015" s="3" t="s">
        <v>76</v>
      </c>
    </row>
    <row r="2016" spans="1:11" ht="42" customHeight="1">
      <c r="A2016" s="2" t="s">
        <v>5706</v>
      </c>
      <c r="B2016" s="2" t="s">
        <v>5707</v>
      </c>
      <c r="C2016" s="2" t="s">
        <v>26</v>
      </c>
      <c r="D2016" s="2" t="s">
        <v>18</v>
      </c>
      <c r="E2016" s="4">
        <v>-32827</v>
      </c>
      <c r="F2016" s="3" t="s">
        <v>290</v>
      </c>
      <c r="G2016" s="3" t="s">
        <v>291</v>
      </c>
      <c r="H2016" s="2" t="s">
        <v>74</v>
      </c>
      <c r="I2016" s="2" t="s">
        <v>5708</v>
      </c>
      <c r="J2016" s="3" t="str">
        <f>HYPERLINK("https://www.boe.es/gazeta/dias/1810/02/13/pdfs/GMD-1810-44.pdf#page=4","Abrir facsímil")</f>
        <v>Abrir facsímil</v>
      </c>
      <c r="K2016" s="3" t="s">
        <v>76</v>
      </c>
    </row>
    <row r="2017" spans="1:11" ht="42" customHeight="1">
      <c r="A2017" s="2" t="s">
        <v>5709</v>
      </c>
      <c r="B2017" s="2" t="s">
        <v>5710</v>
      </c>
      <c r="C2017" s="2" t="s">
        <v>26</v>
      </c>
      <c r="D2017" s="2" t="s">
        <v>27</v>
      </c>
      <c r="E2017" s="4">
        <v>-32517</v>
      </c>
      <c r="F2017" s="3" t="s">
        <v>566</v>
      </c>
      <c r="G2017" s="3" t="s">
        <v>762</v>
      </c>
      <c r="H2017" s="2" t="s">
        <v>74</v>
      </c>
      <c r="I2017" s="2" t="s">
        <v>5711</v>
      </c>
      <c r="J2017" s="3" t="str">
        <f>HYPERLINK("https://www.boe.es/gazeta/dias/1810/12/20/pdfs/GEI-1810-110.pdf#page=8","Abrir facsímil")</f>
        <v>Abrir facsímil</v>
      </c>
      <c r="K2017" s="3" t="s">
        <v>76</v>
      </c>
    </row>
    <row r="2018" spans="1:11" ht="42" customHeight="1">
      <c r="A2018" s="2" t="s">
        <v>5712</v>
      </c>
      <c r="B2018" s="2" t="s">
        <v>5713</v>
      </c>
      <c r="C2018" s="2" t="s">
        <v>26</v>
      </c>
      <c r="D2018" s="2" t="s">
        <v>27</v>
      </c>
      <c r="E2018" s="4">
        <v>-32526</v>
      </c>
      <c r="F2018" s="3" t="s">
        <v>530</v>
      </c>
      <c r="G2018" s="3" t="s">
        <v>531</v>
      </c>
      <c r="H2018" s="2" t="s">
        <v>74</v>
      </c>
      <c r="I2018" s="2" t="s">
        <v>5714</v>
      </c>
      <c r="J2018" s="3" t="str">
        <f>HYPERLINK("https://www.boe.es/gazeta/dias/1810/12/11/pdfs/GEI-1810-106.pdf#page=2","Abrir facsímil")</f>
        <v>Abrir facsímil</v>
      </c>
      <c r="K2018" s="3" t="s">
        <v>76</v>
      </c>
    </row>
    <row r="2019" spans="1:11" ht="42" customHeight="1">
      <c r="A2019" s="2" t="s">
        <v>5715</v>
      </c>
      <c r="B2019" s="2" t="s">
        <v>5716</v>
      </c>
      <c r="C2019" s="2" t="s">
        <v>33</v>
      </c>
      <c r="D2019" s="2" t="s">
        <v>27</v>
      </c>
      <c r="E2019" s="4">
        <v>-32691</v>
      </c>
      <c r="F2019" s="3" t="s">
        <v>3021</v>
      </c>
      <c r="G2019" s="3" t="s">
        <v>3022</v>
      </c>
      <c r="H2019" s="2" t="s">
        <v>74</v>
      </c>
      <c r="I2019" s="2" t="s">
        <v>5717</v>
      </c>
      <c r="J2019" s="3" t="str">
        <f>HYPERLINK("https://www.boe.es/gazeta/dias/1810/06/29/pdfs/GEI-1810-40.pdf#page=7","Abrir facsímil")</f>
        <v>Abrir facsímil</v>
      </c>
      <c r="K2019" s="3" t="s">
        <v>76</v>
      </c>
    </row>
    <row r="2020" spans="1:11" ht="42" customHeight="1">
      <c r="A2020" s="2" t="s">
        <v>5718</v>
      </c>
      <c r="B2020" s="2" t="s">
        <v>5719</v>
      </c>
      <c r="C2020" s="2" t="s">
        <v>225</v>
      </c>
      <c r="D2020" s="2" t="s">
        <v>27</v>
      </c>
      <c r="E2020" s="4">
        <v>-32782</v>
      </c>
      <c r="F2020" s="3" t="s">
        <v>1141</v>
      </c>
      <c r="G2020" s="3" t="s">
        <v>99</v>
      </c>
      <c r="H2020" s="2" t="s">
        <v>74</v>
      </c>
      <c r="I2020" s="2" t="s">
        <v>5720</v>
      </c>
      <c r="J2020" s="3" t="str">
        <f>HYPERLINK("https://www.boe.es/gazeta/dias/1810/03/30/pdfs/GMD-1810-89.pdf#page=3","Abrir facsímil")</f>
        <v>Abrir facsímil</v>
      </c>
      <c r="K2020" s="3" t="s">
        <v>76</v>
      </c>
    </row>
    <row r="2021" spans="1:11" ht="42" customHeight="1">
      <c r="A2021" s="2" t="s">
        <v>5721</v>
      </c>
      <c r="B2021" s="2" t="s">
        <v>5722</v>
      </c>
      <c r="C2021" s="2" t="s">
        <v>26</v>
      </c>
      <c r="D2021" s="2" t="s">
        <v>27</v>
      </c>
      <c r="E2021" s="4">
        <v>-32691</v>
      </c>
      <c r="F2021" s="3" t="s">
        <v>727</v>
      </c>
      <c r="G2021" s="3" t="s">
        <v>807</v>
      </c>
      <c r="H2021" s="2" t="s">
        <v>74</v>
      </c>
      <c r="I2021" s="2" t="s">
        <v>5723</v>
      </c>
      <c r="J2021" s="3" t="str">
        <f>HYPERLINK("https://www.boe.es/gazeta/dias/1810/06/29/pdfs/GMD-1810-180.pdf#page=3","Abrir facsímil")</f>
        <v>Abrir facsímil</v>
      </c>
      <c r="K2021" s="3" t="s">
        <v>76</v>
      </c>
    </row>
    <row r="2022" spans="1:11" ht="42" customHeight="1">
      <c r="A2022" s="2" t="s">
        <v>5724</v>
      </c>
      <c r="B2022" s="2" t="s">
        <v>5725</v>
      </c>
      <c r="C2022" s="2" t="s">
        <v>26</v>
      </c>
      <c r="D2022" s="2" t="s">
        <v>39</v>
      </c>
      <c r="E2022" s="4">
        <v>-32701</v>
      </c>
      <c r="F2022" s="3" t="s">
        <v>40</v>
      </c>
      <c r="G2022" s="3" t="s">
        <v>315</v>
      </c>
      <c r="H2022" s="2" t="s">
        <v>74</v>
      </c>
      <c r="I2022" s="2" t="s">
        <v>5726</v>
      </c>
      <c r="J2022" s="3" t="str">
        <f>HYPERLINK("https://www.boe.es/gazeta/dias/1810/06/19/pdfs/GMD-C-1810-170.pdf#page=2","Abrir facsímil")</f>
        <v>Abrir facsímil</v>
      </c>
      <c r="K2022" s="3" t="s">
        <v>76</v>
      </c>
    </row>
    <row r="2023" spans="1:11" ht="42" customHeight="1">
      <c r="A2023" s="2" t="s">
        <v>5727</v>
      </c>
      <c r="B2023" s="2" t="s">
        <v>5728</v>
      </c>
      <c r="C2023" s="2" t="s">
        <v>26</v>
      </c>
      <c r="D2023" s="2" t="s">
        <v>27</v>
      </c>
      <c r="E2023" s="4">
        <v>-32694</v>
      </c>
      <c r="F2023" s="3" t="s">
        <v>2166</v>
      </c>
      <c r="G2023" s="3" t="s">
        <v>180</v>
      </c>
      <c r="H2023" s="2" t="s">
        <v>74</v>
      </c>
      <c r="I2023" s="2" t="s">
        <v>5729</v>
      </c>
      <c r="J2023" s="3" t="str">
        <f>HYPERLINK("https://www.boe.es/gazeta/dias/1810/06/26/pdfs/GMD-1810-177.pdf#page=3","Abrir facsímil")</f>
        <v>Abrir facsímil</v>
      </c>
      <c r="K2023" s="3" t="s">
        <v>76</v>
      </c>
    </row>
    <row r="2024" spans="1:11" ht="42" customHeight="1">
      <c r="A2024" s="2" t="s">
        <v>5730</v>
      </c>
      <c r="B2024" s="2" t="s">
        <v>5731</v>
      </c>
      <c r="C2024" s="2" t="s">
        <v>195</v>
      </c>
      <c r="D2024" s="2" t="s">
        <v>27</v>
      </c>
      <c r="E2024" s="4">
        <v>-32799</v>
      </c>
      <c r="F2024" s="3" t="s">
        <v>2252</v>
      </c>
      <c r="G2024" s="3" t="s">
        <v>2253</v>
      </c>
      <c r="H2024" s="2" t="s">
        <v>74</v>
      </c>
      <c r="I2024" s="2" t="s">
        <v>5732</v>
      </c>
      <c r="J2024" s="3" t="str">
        <f>HYPERLINK("https://www.boe.es/gazeta/dias/1810/03/13/pdfs/GMD-1810-72.pdf#page=4","Abrir facsímil")</f>
        <v>Abrir facsímil</v>
      </c>
      <c r="K2024" s="3" t="s">
        <v>76</v>
      </c>
    </row>
    <row r="2025" spans="1:11" ht="42" customHeight="1">
      <c r="A2025" s="2" t="s">
        <v>5733</v>
      </c>
      <c r="B2025" s="2" t="s">
        <v>5734</v>
      </c>
      <c r="C2025" s="2" t="s">
        <v>33</v>
      </c>
      <c r="D2025" s="2" t="s">
        <v>58</v>
      </c>
      <c r="E2025" s="4">
        <v>-32628</v>
      </c>
      <c r="F2025" s="3" t="s">
        <v>5735</v>
      </c>
      <c r="G2025" s="3" t="s">
        <v>5736</v>
      </c>
      <c r="H2025" s="2" t="s">
        <v>74</v>
      </c>
      <c r="I2025" s="2" t="s">
        <v>5737</v>
      </c>
      <c r="J2025" s="3" t="str">
        <f>HYPERLINK("https://www.boe.es/gazeta/dias/1810/08/31/pdfs/GEI-1810-63E.pdf#page=2","Abrir facsímil")</f>
        <v>Abrir facsímil</v>
      </c>
      <c r="K2025" s="3" t="s">
        <v>76</v>
      </c>
    </row>
    <row r="2026" spans="1:11" ht="42" customHeight="1">
      <c r="A2026" s="2" t="s">
        <v>5733</v>
      </c>
      <c r="B2026" s="2" t="s">
        <v>5734</v>
      </c>
      <c r="C2026" s="2" t="s">
        <v>26</v>
      </c>
      <c r="D2026" s="2" t="s">
        <v>18</v>
      </c>
      <c r="E2026" s="4">
        <v>-32610</v>
      </c>
      <c r="F2026" s="3" t="s">
        <v>4991</v>
      </c>
      <c r="G2026" s="3" t="s">
        <v>5738</v>
      </c>
      <c r="H2026" s="2" t="s">
        <v>74</v>
      </c>
      <c r="I2026" s="2" t="s">
        <v>5739</v>
      </c>
      <c r="J2026" s="3" t="str">
        <f>HYPERLINK("https://www.boe.es/gazeta/dias/1810/09/18/pdfs/GEI-1810-69.pdf#page=4","Abrir facsímil")</f>
        <v>Abrir facsímil</v>
      </c>
      <c r="K2026" s="3" t="s">
        <v>76</v>
      </c>
    </row>
    <row r="2027" spans="1:11" ht="42" customHeight="1">
      <c r="A2027" s="2" t="s">
        <v>5740</v>
      </c>
      <c r="B2027" s="2" t="s">
        <v>5741</v>
      </c>
      <c r="C2027" s="2" t="s">
        <v>26</v>
      </c>
      <c r="D2027" s="2" t="s">
        <v>39</v>
      </c>
      <c r="E2027" s="4">
        <v>-32701</v>
      </c>
      <c r="F2027" s="3" t="s">
        <v>40</v>
      </c>
      <c r="G2027" s="3" t="s">
        <v>170</v>
      </c>
      <c r="H2027" s="2" t="s">
        <v>74</v>
      </c>
      <c r="I2027" s="2" t="s">
        <v>5742</v>
      </c>
      <c r="J2027" s="3" t="str">
        <f>HYPERLINK("https://www.boe.es/gazeta/dias/1810/06/19/pdfs/GMD-C-1810-170.pdf#page=1","Abrir facsímil")</f>
        <v>Abrir facsímil</v>
      </c>
      <c r="K2027" s="3" t="s">
        <v>76</v>
      </c>
    </row>
    <row r="2028" spans="1:11" ht="42" customHeight="1">
      <c r="A2028" s="2" t="s">
        <v>5743</v>
      </c>
      <c r="B2028" s="2" t="s">
        <v>5744</v>
      </c>
      <c r="C2028" s="2" t="s">
        <v>26</v>
      </c>
      <c r="D2028" s="2" t="s">
        <v>58</v>
      </c>
      <c r="E2028" s="4">
        <v>-32601</v>
      </c>
      <c r="F2028" s="3" t="s">
        <v>392</v>
      </c>
      <c r="G2028" s="3" t="s">
        <v>1430</v>
      </c>
      <c r="H2028" s="2" t="s">
        <v>74</v>
      </c>
      <c r="I2028" s="2" t="s">
        <v>5745</v>
      </c>
      <c r="J2028" s="3" t="str">
        <f>HYPERLINK("https://www.boe.es/gazeta/dias/1810/09/27/pdfs/GEI-1810-74E.pdf#page=3","Abrir facsímil")</f>
        <v>Abrir facsímil</v>
      </c>
      <c r="K2028" s="3" t="s">
        <v>76</v>
      </c>
    </row>
    <row r="2029" spans="1:11" ht="42" customHeight="1">
      <c r="A2029" s="2" t="s">
        <v>5746</v>
      </c>
      <c r="B2029" s="2" t="s">
        <v>5747</v>
      </c>
      <c r="C2029" s="2" t="s">
        <v>317</v>
      </c>
      <c r="D2029" s="2" t="s">
        <v>220</v>
      </c>
      <c r="E2029" s="4">
        <v>-32565</v>
      </c>
      <c r="F2029" s="3" t="s">
        <v>743</v>
      </c>
      <c r="G2029" s="3" t="s">
        <v>915</v>
      </c>
      <c r="H2029" s="2" t="s">
        <v>74</v>
      </c>
      <c r="I2029" s="2" t="s">
        <v>5748</v>
      </c>
      <c r="J2029" s="3" t="str">
        <f>HYPERLINK("https://www.boe.es/gazeta/dias/1810/11/02/pdfs/GMD-1810-306.pdf#page=1","Abrir facsímil")</f>
        <v>Abrir facsímil</v>
      </c>
      <c r="K2029" s="3" t="s">
        <v>76</v>
      </c>
    </row>
    <row r="2030" spans="1:11" ht="42" customHeight="1">
      <c r="A2030" s="2" t="s">
        <v>5749</v>
      </c>
      <c r="B2030" s="2" t="s">
        <v>5750</v>
      </c>
      <c r="C2030" s="2" t="s">
        <v>88</v>
      </c>
      <c r="D2030" s="2" t="s">
        <v>27</v>
      </c>
      <c r="E2030" s="4">
        <v>-32691</v>
      </c>
      <c r="F2030" s="3" t="s">
        <v>727</v>
      </c>
      <c r="G2030" s="3" t="s">
        <v>807</v>
      </c>
      <c r="H2030" s="2" t="s">
        <v>74</v>
      </c>
      <c r="I2030" s="2" t="s">
        <v>5751</v>
      </c>
      <c r="J2030" s="3" t="str">
        <f>HYPERLINK("https://www.boe.es/gazeta/dias/1810/06/29/pdfs/GMD-1810-180.pdf#page=3","Abrir facsímil")</f>
        <v>Abrir facsímil</v>
      </c>
      <c r="K2030" s="3" t="s">
        <v>76</v>
      </c>
    </row>
    <row r="2031" spans="1:11" ht="42" customHeight="1">
      <c r="A2031" s="2" t="s">
        <v>5752</v>
      </c>
      <c r="B2031" s="2" t="s">
        <v>5753</v>
      </c>
      <c r="C2031" s="2" t="s">
        <v>26</v>
      </c>
      <c r="D2031" s="2" t="s">
        <v>220</v>
      </c>
      <c r="E2031" s="4">
        <v>-32799</v>
      </c>
      <c r="F2031" s="3" t="s">
        <v>2252</v>
      </c>
      <c r="G2031" s="3" t="s">
        <v>99</v>
      </c>
      <c r="H2031" s="2" t="s">
        <v>74</v>
      </c>
      <c r="I2031" s="2" t="s">
        <v>5754</v>
      </c>
      <c r="J2031" s="3" t="str">
        <f>HYPERLINK("https://www.boe.es/gazeta/dias/1810/03/13/pdfs/GMD-1810-72.pdf#page=3","Abrir facsímil")</f>
        <v>Abrir facsímil</v>
      </c>
      <c r="K2031" s="3" t="s">
        <v>76</v>
      </c>
    </row>
    <row r="2032" spans="1:11" ht="42" customHeight="1">
      <c r="A2032" s="2" t="s">
        <v>5755</v>
      </c>
      <c r="B2032" s="2" t="s">
        <v>5756</v>
      </c>
      <c r="C2032" s="2" t="s">
        <v>88</v>
      </c>
      <c r="D2032" s="2" t="s">
        <v>27</v>
      </c>
      <c r="E2032" s="4">
        <v>-32762</v>
      </c>
      <c r="F2032" s="3" t="s">
        <v>231</v>
      </c>
      <c r="G2032" s="3" t="s">
        <v>29</v>
      </c>
      <c r="H2032" s="2" t="s">
        <v>74</v>
      </c>
      <c r="I2032" s="2" t="s">
        <v>5757</v>
      </c>
      <c r="J2032" s="3" t="str">
        <f>HYPERLINK("https://www.boe.es/gazeta/dias/1810/04/19/pdfs/GMD-1810-109.pdf#page=2","Abrir facsímil")</f>
        <v>Abrir facsímil</v>
      </c>
      <c r="K2032" s="3" t="s">
        <v>76</v>
      </c>
    </row>
    <row r="2033" spans="1:11" ht="42" customHeight="1">
      <c r="A2033" s="2" t="s">
        <v>5758</v>
      </c>
      <c r="B2033" s="2" t="s">
        <v>5759</v>
      </c>
      <c r="C2033" s="2" t="s">
        <v>26</v>
      </c>
      <c r="D2033" s="2" t="s">
        <v>27</v>
      </c>
      <c r="E2033" s="4">
        <v>-32803</v>
      </c>
      <c r="F2033" s="3" t="s">
        <v>4052</v>
      </c>
      <c r="G2033" s="3" t="s">
        <v>695</v>
      </c>
      <c r="H2033" s="2" t="s">
        <v>74</v>
      </c>
      <c r="I2033" s="2" t="s">
        <v>5760</v>
      </c>
      <c r="J2033" s="3" t="str">
        <f>HYPERLINK("https://www.boe.es/gazeta/dias/1810/03/09/pdfs/GMD-1810-68.pdf#page=4","Abrir facsímil")</f>
        <v>Abrir facsímil</v>
      </c>
      <c r="K2033" s="3" t="s">
        <v>76</v>
      </c>
    </row>
    <row r="2034" spans="1:11" ht="42" customHeight="1">
      <c r="A2034" s="2" t="s">
        <v>5761</v>
      </c>
      <c r="B2034" s="2" t="s">
        <v>5762</v>
      </c>
      <c r="C2034" s="2" t="s">
        <v>26</v>
      </c>
      <c r="D2034" s="2" t="s">
        <v>27</v>
      </c>
      <c r="E2034" s="4">
        <v>-32608</v>
      </c>
      <c r="F2034" s="3" t="s">
        <v>781</v>
      </c>
      <c r="G2034" s="3" t="s">
        <v>782</v>
      </c>
      <c r="H2034" s="2" t="s">
        <v>74</v>
      </c>
      <c r="I2034" s="2" t="s">
        <v>5763</v>
      </c>
      <c r="J2034" s="3" t="str">
        <f>HYPERLINK("https://www.boe.es/gazeta/dias/1810/09/20/pdfs/GEI-1810-70.pdf#page=5","Abrir facsímil")</f>
        <v>Abrir facsímil</v>
      </c>
      <c r="K2034" s="3" t="s">
        <v>76</v>
      </c>
    </row>
    <row r="2035" spans="1:11" ht="42" customHeight="1">
      <c r="A2035" s="2" t="s">
        <v>5764</v>
      </c>
      <c r="B2035" s="2" t="s">
        <v>5765</v>
      </c>
      <c r="C2035" s="2" t="s">
        <v>26</v>
      </c>
      <c r="D2035" s="2" t="s">
        <v>18</v>
      </c>
      <c r="E2035" s="4">
        <v>-32812</v>
      </c>
      <c r="F2035" s="3" t="s">
        <v>5766</v>
      </c>
      <c r="G2035" s="3" t="s">
        <v>70</v>
      </c>
      <c r="H2035" s="2" t="s">
        <v>74</v>
      </c>
      <c r="I2035" s="2" t="s">
        <v>5767</v>
      </c>
      <c r="J2035" s="3" t="str">
        <f>HYPERLINK("https://www.boe.es/gazeta/dias/1810/02/28/pdfs/GMD-C-1810-59.pdf#page=2","Abrir facsímil")</f>
        <v>Abrir facsímil</v>
      </c>
      <c r="K2035" s="3" t="s">
        <v>76</v>
      </c>
    </row>
    <row r="2036" spans="1:11" ht="42" customHeight="1">
      <c r="A2036" s="2" t="s">
        <v>5764</v>
      </c>
      <c r="B2036" s="2" t="s">
        <v>5765</v>
      </c>
      <c r="C2036" s="2" t="s">
        <v>26</v>
      </c>
      <c r="D2036" s="2" t="s">
        <v>39</v>
      </c>
      <c r="E2036" s="4">
        <v>-32669</v>
      </c>
      <c r="F2036" s="3" t="s">
        <v>1110</v>
      </c>
      <c r="G2036" s="3" t="s">
        <v>473</v>
      </c>
      <c r="H2036" s="2" t="s">
        <v>74</v>
      </c>
      <c r="I2036" s="2" t="s">
        <v>5768</v>
      </c>
      <c r="J2036" s="3" t="str">
        <f>HYPERLINK("https://www.boe.es/gazeta/dias/1810/07/21/pdfs/GMD-C-1810-202.pdf#page=3","Abrir facsímil")</f>
        <v>Abrir facsímil</v>
      </c>
      <c r="K2036" s="3" t="s">
        <v>76</v>
      </c>
    </row>
    <row r="2037" spans="1:11" ht="42" customHeight="1">
      <c r="A2037" s="2" t="s">
        <v>5769</v>
      </c>
      <c r="B2037" s="2" t="s">
        <v>5770</v>
      </c>
      <c r="C2037" s="2" t="s">
        <v>26</v>
      </c>
      <c r="D2037" s="2" t="s">
        <v>27</v>
      </c>
      <c r="E2037" s="4">
        <v>-32575</v>
      </c>
      <c r="F2037" s="3" t="s">
        <v>135</v>
      </c>
      <c r="G2037" s="3" t="s">
        <v>136</v>
      </c>
      <c r="H2037" s="2" t="s">
        <v>74</v>
      </c>
      <c r="I2037" s="2" t="s">
        <v>5771</v>
      </c>
      <c r="J2037" s="3" t="str">
        <f>HYPERLINK("https://www.boe.es/gazeta/dias/1810/10/23/pdfs/GEI-1810-85.pdf#page=11","Abrir facsímil")</f>
        <v>Abrir facsímil</v>
      </c>
      <c r="K2037" s="3" t="s">
        <v>76</v>
      </c>
    </row>
    <row r="2038" spans="1:11" ht="42" customHeight="1">
      <c r="A2038" s="2" t="s">
        <v>5772</v>
      </c>
      <c r="B2038" s="2" t="s">
        <v>5773</v>
      </c>
      <c r="C2038" s="2" t="s">
        <v>26</v>
      </c>
      <c r="D2038" s="2" t="s">
        <v>39</v>
      </c>
      <c r="E2038" s="4">
        <v>-32702</v>
      </c>
      <c r="F2038" s="3" t="s">
        <v>179</v>
      </c>
      <c r="G2038" s="3" t="s">
        <v>517</v>
      </c>
      <c r="H2038" s="2" t="s">
        <v>74</v>
      </c>
      <c r="I2038" s="2" t="s">
        <v>5774</v>
      </c>
      <c r="J2038" s="3" t="str">
        <f>HYPERLINK("https://www.boe.es/gazeta/dias/1810/06/18/pdfs/GMD-C-1810-169.pdf#page=3","Abrir facsímil")</f>
        <v>Abrir facsímil</v>
      </c>
      <c r="K2038" s="3" t="s">
        <v>76</v>
      </c>
    </row>
    <row r="2039" spans="1:11" ht="42" customHeight="1">
      <c r="A2039" s="2" t="s">
        <v>5772</v>
      </c>
      <c r="B2039" s="2" t="s">
        <v>5773</v>
      </c>
      <c r="C2039" s="2" t="s">
        <v>26</v>
      </c>
      <c r="D2039" s="2" t="s">
        <v>27</v>
      </c>
      <c r="E2039" s="4">
        <v>-32688</v>
      </c>
      <c r="F2039" s="3" t="s">
        <v>997</v>
      </c>
      <c r="G2039" s="3" t="s">
        <v>749</v>
      </c>
      <c r="H2039" s="2" t="s">
        <v>74</v>
      </c>
      <c r="I2039" s="2" t="s">
        <v>5775</v>
      </c>
      <c r="J2039" s="3" t="str">
        <f>HYPERLINK("https://www.boe.es/gazeta/dias/1810/07/02/pdfs/GMD-1810-183.pdf#page=4","Abrir facsímil")</f>
        <v>Abrir facsímil</v>
      </c>
      <c r="K2039" s="3" t="s">
        <v>76</v>
      </c>
    </row>
    <row r="2040" spans="1:11" ht="42" customHeight="1">
      <c r="A2040" s="2" t="s">
        <v>5776</v>
      </c>
      <c r="B2040" s="2" t="s">
        <v>5777</v>
      </c>
      <c r="C2040" s="2" t="s">
        <v>26</v>
      </c>
      <c r="D2040" s="2" t="s">
        <v>27</v>
      </c>
      <c r="E2040" s="4">
        <v>-32526</v>
      </c>
      <c r="F2040" s="3" t="s">
        <v>530</v>
      </c>
      <c r="G2040" s="3" t="s">
        <v>531</v>
      </c>
      <c r="H2040" s="2" t="s">
        <v>74</v>
      </c>
      <c r="I2040" s="2" t="s">
        <v>5778</v>
      </c>
      <c r="J2040" s="3" t="str">
        <f>HYPERLINK("https://www.boe.es/gazeta/dias/1810/12/11/pdfs/GEI-1810-106.pdf#page=2","Abrir facsímil")</f>
        <v>Abrir facsímil</v>
      </c>
      <c r="K2040" s="3" t="s">
        <v>76</v>
      </c>
    </row>
    <row r="2041" spans="1:11" ht="42" customHeight="1">
      <c r="A2041" s="2" t="s">
        <v>5779</v>
      </c>
      <c r="B2041" s="2" t="s">
        <v>5780</v>
      </c>
      <c r="C2041" s="2" t="s">
        <v>88</v>
      </c>
      <c r="D2041" s="2" t="s">
        <v>117</v>
      </c>
      <c r="E2041" s="4">
        <v>-32638</v>
      </c>
      <c r="F2041" s="3" t="s">
        <v>2498</v>
      </c>
      <c r="G2041" s="3" t="s">
        <v>119</v>
      </c>
      <c r="H2041" s="2" t="s">
        <v>74</v>
      </c>
      <c r="I2041" s="2" t="s">
        <v>5781</v>
      </c>
      <c r="J2041" s="3" t="str">
        <f>HYPERLINK("https://www.boe.es/gazeta/dias/1810/08/21/pdfs/GEI-1810-58.pdf#page=2","Abrir facsímil")</f>
        <v>Abrir facsímil</v>
      </c>
      <c r="K2041" s="3" t="s">
        <v>76</v>
      </c>
    </row>
    <row r="2042" spans="1:11" ht="42" customHeight="1">
      <c r="A2042" s="2" t="s">
        <v>5782</v>
      </c>
      <c r="B2042" s="2" t="s">
        <v>5783</v>
      </c>
      <c r="C2042" s="2" t="s">
        <v>26</v>
      </c>
      <c r="D2042" s="2" t="s">
        <v>27</v>
      </c>
      <c r="E2042" s="4">
        <v>-32526</v>
      </c>
      <c r="F2042" s="3" t="s">
        <v>530</v>
      </c>
      <c r="G2042" s="3" t="s">
        <v>531</v>
      </c>
      <c r="H2042" s="2" t="s">
        <v>74</v>
      </c>
      <c r="I2042" s="2" t="s">
        <v>5784</v>
      </c>
      <c r="J2042" s="3" t="str">
        <f>HYPERLINK("https://www.boe.es/gazeta/dias/1810/12/11/pdfs/GEI-1810-106.pdf#page=2","Abrir facsímil")</f>
        <v>Abrir facsímil</v>
      </c>
      <c r="K2042" s="3" t="s">
        <v>76</v>
      </c>
    </row>
    <row r="2043" spans="1:11" ht="42" customHeight="1">
      <c r="A2043" s="2" t="s">
        <v>5785</v>
      </c>
      <c r="B2043" s="2" t="s">
        <v>5786</v>
      </c>
      <c r="C2043" s="2" t="s">
        <v>88</v>
      </c>
      <c r="D2043" s="2" t="s">
        <v>27</v>
      </c>
      <c r="E2043" s="4">
        <v>-32561</v>
      </c>
      <c r="F2043" s="3" t="s">
        <v>273</v>
      </c>
      <c r="G2043" s="3" t="s">
        <v>5787</v>
      </c>
      <c r="H2043" s="2" t="s">
        <v>74</v>
      </c>
      <c r="I2043" s="2" t="s">
        <v>5788</v>
      </c>
      <c r="J2043" s="3" t="str">
        <f>HYPERLINK("https://www.boe.es/gazeta/dias/1810/11/06/pdfs/GEI-1810-91.pdf#page=4","Abrir facsímil")</f>
        <v>Abrir facsímil</v>
      </c>
      <c r="K2043" s="3" t="s">
        <v>76</v>
      </c>
    </row>
    <row r="2044" spans="1:11" ht="42" customHeight="1">
      <c r="A2044" s="2" t="s">
        <v>5789</v>
      </c>
      <c r="B2044" s="2" t="s">
        <v>5790</v>
      </c>
      <c r="C2044" s="2" t="s">
        <v>88</v>
      </c>
      <c r="D2044" s="2" t="s">
        <v>27</v>
      </c>
      <c r="E2044" s="4">
        <v>-32754</v>
      </c>
      <c r="F2044" s="3" t="s">
        <v>1057</v>
      </c>
      <c r="G2044" s="3" t="s">
        <v>1058</v>
      </c>
      <c r="H2044" s="2" t="s">
        <v>74</v>
      </c>
      <c r="I2044" s="2" t="s">
        <v>5791</v>
      </c>
      <c r="J2044" s="3" t="str">
        <f>HYPERLINK("https://www.boe.es/gazeta/dias/1810/04/27/pdfs/GEI-1810-18.pdf#page=12","Abrir facsímil")</f>
        <v>Abrir facsímil</v>
      </c>
      <c r="K2044" s="3" t="s">
        <v>76</v>
      </c>
    </row>
    <row r="2045" spans="1:11" ht="42" customHeight="1">
      <c r="A2045" s="2" t="s">
        <v>5792</v>
      </c>
      <c r="B2045" s="2" t="s">
        <v>5793</v>
      </c>
      <c r="C2045" s="2" t="s">
        <v>88</v>
      </c>
      <c r="D2045" s="2" t="s">
        <v>117</v>
      </c>
      <c r="E2045" s="4">
        <v>-32769</v>
      </c>
      <c r="F2045" s="3" t="s">
        <v>1543</v>
      </c>
      <c r="G2045" s="3" t="s">
        <v>29</v>
      </c>
      <c r="H2045" s="2" t="s">
        <v>74</v>
      </c>
      <c r="I2045" s="2" t="s">
        <v>5794</v>
      </c>
      <c r="J2045" s="3" t="str">
        <f>HYPERLINK("https://www.boe.es/gazeta/dias/1810/04/12/pdfs/GMD-1810-102.pdf#page=2","Abrir facsímil")</f>
        <v>Abrir facsímil</v>
      </c>
      <c r="K2045" s="3" t="s">
        <v>76</v>
      </c>
    </row>
    <row r="2046" spans="1:11" ht="42" customHeight="1">
      <c r="A2046" s="2" t="s">
        <v>5795</v>
      </c>
      <c r="B2046" s="2" t="s">
        <v>5796</v>
      </c>
      <c r="C2046" s="2" t="s">
        <v>26</v>
      </c>
      <c r="D2046" s="2" t="s">
        <v>39</v>
      </c>
      <c r="E2046" s="4">
        <v>-32701</v>
      </c>
      <c r="F2046" s="3" t="s">
        <v>40</v>
      </c>
      <c r="G2046" s="3" t="s">
        <v>315</v>
      </c>
      <c r="H2046" s="2" t="s">
        <v>21</v>
      </c>
      <c r="I2046" s="2" t="s">
        <v>5797</v>
      </c>
      <c r="J2046" s="3" t="str">
        <f>HYPERLINK("https://www.boe.es/gazeta/dias/1810/06/19/pdfs/GMD-C-1810-170.pdf#page=2","Abrir facsímil")</f>
        <v>Abrir facsímil</v>
      </c>
      <c r="K2046" s="3" t="s">
        <v>23</v>
      </c>
    </row>
    <row r="2047" spans="1:11" ht="42" customHeight="1">
      <c r="A2047" s="2" t="s">
        <v>5798</v>
      </c>
      <c r="B2047" s="2" t="s">
        <v>5799</v>
      </c>
      <c r="C2047" s="2" t="s">
        <v>26</v>
      </c>
      <c r="D2047" s="2" t="s">
        <v>39</v>
      </c>
      <c r="E2047" s="4">
        <v>-32661</v>
      </c>
      <c r="F2047" s="3" t="s">
        <v>157</v>
      </c>
      <c r="G2047" s="3" t="s">
        <v>158</v>
      </c>
      <c r="H2047" s="2" t="s">
        <v>21</v>
      </c>
      <c r="I2047" s="2" t="s">
        <v>5800</v>
      </c>
      <c r="J2047" s="3" t="str">
        <f>HYPERLINK("https://www.boe.es/gazeta/dias/1810/07/29/pdfs/GMD-C-1810-210.pdf#page=1","Abrir facsímil")</f>
        <v>Abrir facsímil</v>
      </c>
      <c r="K2047" s="3" t="s">
        <v>23</v>
      </c>
    </row>
    <row r="2048" spans="1:11" ht="42" customHeight="1">
      <c r="A2048" s="2" t="s">
        <v>5801</v>
      </c>
      <c r="B2048" s="2" t="s">
        <v>5802</v>
      </c>
      <c r="C2048" s="2" t="s">
        <v>26</v>
      </c>
      <c r="D2048" s="2" t="s">
        <v>27</v>
      </c>
      <c r="E2048" s="4">
        <v>-32764</v>
      </c>
      <c r="F2048" s="3" t="s">
        <v>718</v>
      </c>
      <c r="G2048" s="3" t="s">
        <v>29</v>
      </c>
      <c r="H2048" s="2" t="s">
        <v>21</v>
      </c>
      <c r="I2048" s="2" t="s">
        <v>5803</v>
      </c>
      <c r="J2048" s="3" t="str">
        <f>HYPERLINK("https://www.boe.es/gazeta/dias/1810/04/17/pdfs/GMD-1810-107.pdf#page=4","Abrir facsímil")</f>
        <v>Abrir facsímil</v>
      </c>
      <c r="K2048" s="3" t="s">
        <v>23</v>
      </c>
    </row>
    <row r="2049" spans="1:11" ht="42" customHeight="1">
      <c r="A2049" s="2" t="s">
        <v>5804</v>
      </c>
      <c r="B2049" s="2" t="s">
        <v>5805</v>
      </c>
      <c r="C2049" s="2" t="s">
        <v>317</v>
      </c>
      <c r="D2049" s="2" t="s">
        <v>39</v>
      </c>
      <c r="E2049" s="4">
        <v>-32701</v>
      </c>
      <c r="F2049" s="3" t="s">
        <v>40</v>
      </c>
      <c r="G2049" s="3" t="s">
        <v>315</v>
      </c>
      <c r="H2049" s="2" t="s">
        <v>21</v>
      </c>
      <c r="I2049" s="2" t="s">
        <v>5806</v>
      </c>
      <c r="J2049" s="3" t="str">
        <f>HYPERLINK("https://www.boe.es/gazeta/dias/1810/06/19/pdfs/GMD-C-1810-170.pdf#page=2","Abrir facsímil")</f>
        <v>Abrir facsímil</v>
      </c>
      <c r="K2049" s="3" t="s">
        <v>23</v>
      </c>
    </row>
    <row r="2050" spans="1:11" ht="42" customHeight="1">
      <c r="A2050" s="2" t="s">
        <v>5807</v>
      </c>
      <c r="B2050" s="2" t="s">
        <v>5808</v>
      </c>
      <c r="C2050" s="2" t="s">
        <v>26</v>
      </c>
      <c r="D2050" s="2" t="s">
        <v>220</v>
      </c>
      <c r="E2050" s="4">
        <v>-32834</v>
      </c>
      <c r="F2050" s="3" t="s">
        <v>2746</v>
      </c>
      <c r="G2050" s="3" t="s">
        <v>29</v>
      </c>
      <c r="H2050" s="2" t="s">
        <v>21</v>
      </c>
      <c r="I2050" s="2" t="s">
        <v>5809</v>
      </c>
      <c r="J2050" s="3" t="str">
        <f>HYPERLINK("https://www.boe.es/gazeta/dias/1810/02/06/pdfs/GMD-1810-37.pdf#page=2","Abrir facsímil")</f>
        <v>Abrir facsímil</v>
      </c>
      <c r="K2050" s="3" t="s">
        <v>23</v>
      </c>
    </row>
    <row r="2051" spans="1:11" ht="42" customHeight="1">
      <c r="A2051" s="2" t="s">
        <v>5810</v>
      </c>
      <c r="B2051" s="2" t="s">
        <v>5811</v>
      </c>
      <c r="C2051" s="2" t="s">
        <v>26</v>
      </c>
      <c r="D2051" s="2" t="s">
        <v>39</v>
      </c>
      <c r="E2051" s="4">
        <v>-32701</v>
      </c>
      <c r="F2051" s="3" t="s">
        <v>40</v>
      </c>
      <c r="G2051" s="3" t="s">
        <v>333</v>
      </c>
      <c r="H2051" s="2" t="s">
        <v>21</v>
      </c>
      <c r="I2051" s="2" t="s">
        <v>5812</v>
      </c>
      <c r="J2051" s="3" t="str">
        <f>HYPERLINK("https://www.boe.es/gazeta/dias/1810/06/19/pdfs/GMD-C-1810-170.pdf#page=4","Abrir facsímil")</f>
        <v>Abrir facsímil</v>
      </c>
      <c r="K2051" s="3" t="s">
        <v>23</v>
      </c>
    </row>
    <row r="2052" spans="1:11" ht="42" customHeight="1">
      <c r="A2052" s="2" t="s">
        <v>5813</v>
      </c>
      <c r="B2052" s="2" t="s">
        <v>5814</v>
      </c>
      <c r="C2052" s="2" t="s">
        <v>26</v>
      </c>
      <c r="D2052" s="2" t="s">
        <v>27</v>
      </c>
      <c r="E2052" s="4">
        <v>-32569</v>
      </c>
      <c r="F2052" s="3" t="s">
        <v>421</v>
      </c>
      <c r="G2052" s="3" t="s">
        <v>20</v>
      </c>
      <c r="H2052" s="2" t="s">
        <v>21</v>
      </c>
      <c r="I2052" s="2" t="s">
        <v>5815</v>
      </c>
      <c r="J2052" s="3" t="str">
        <f>HYPERLINK("https://www.boe.es/gazeta/dias/1810/10/29/pdfs/GMD-1810-302.pdf#page=4","Abrir facsímil")</f>
        <v>Abrir facsímil</v>
      </c>
      <c r="K2052" s="3" t="s">
        <v>23</v>
      </c>
    </row>
    <row r="2053" spans="1:11" ht="42" customHeight="1">
      <c r="A2053" s="2" t="s">
        <v>5816</v>
      </c>
      <c r="B2053" s="2" t="s">
        <v>5817</v>
      </c>
      <c r="C2053" s="2" t="s">
        <v>111</v>
      </c>
      <c r="D2053" s="2" t="s">
        <v>27</v>
      </c>
      <c r="E2053" s="4">
        <v>-32670</v>
      </c>
      <c r="F2053" s="3" t="s">
        <v>1942</v>
      </c>
      <c r="G2053" s="3" t="s">
        <v>5818</v>
      </c>
      <c r="H2053" s="2" t="s">
        <v>21</v>
      </c>
      <c r="I2053" s="2" t="s">
        <v>5819</v>
      </c>
      <c r="J2053" s="3" t="str">
        <f>HYPERLINK("https://www.boe.es/gazeta/dias/1810/07/20/pdfs/GEI-1810-46.pdf#page=8","Abrir facsímil")</f>
        <v>Abrir facsímil</v>
      </c>
      <c r="K2053" s="3" t="s">
        <v>23</v>
      </c>
    </row>
    <row r="2054" spans="1:11" ht="42" customHeight="1">
      <c r="A2054" s="2" t="s">
        <v>5820</v>
      </c>
      <c r="B2054" s="2" t="s">
        <v>5821</v>
      </c>
      <c r="C2054" s="2" t="s">
        <v>26</v>
      </c>
      <c r="D2054" s="2" t="s">
        <v>27</v>
      </c>
      <c r="E2054" s="4">
        <v>-32582</v>
      </c>
      <c r="F2054" s="3" t="s">
        <v>3849</v>
      </c>
      <c r="G2054" s="3" t="s">
        <v>5822</v>
      </c>
      <c r="H2054" s="2" t="s">
        <v>74</v>
      </c>
      <c r="I2054" s="2" t="s">
        <v>5823</v>
      </c>
      <c r="J2054" s="3" t="str">
        <f>HYPERLINK("https://www.boe.es/gazeta/dias/1810/10/16/pdfs/GEI-1810-82.pdf#page=8","Abrir facsímil")</f>
        <v>Abrir facsímil</v>
      </c>
      <c r="K2054" s="3" t="s">
        <v>76</v>
      </c>
    </row>
    <row r="2055" spans="1:11" ht="42" customHeight="1">
      <c r="A2055" s="2" t="s">
        <v>5824</v>
      </c>
      <c r="B2055" s="2" t="s">
        <v>5825</v>
      </c>
      <c r="C2055" s="2" t="s">
        <v>26</v>
      </c>
      <c r="D2055" s="2" t="s">
        <v>27</v>
      </c>
      <c r="E2055" s="4">
        <v>-32710</v>
      </c>
      <c r="F2055" s="3" t="s">
        <v>126</v>
      </c>
      <c r="G2055" s="3" t="s">
        <v>35</v>
      </c>
      <c r="H2055" s="2" t="s">
        <v>74</v>
      </c>
      <c r="I2055" s="2" t="s">
        <v>5826</v>
      </c>
      <c r="J2055" s="3" t="str">
        <f>HYPERLINK("https://www.boe.es/gazeta/dias/1810/06/10/pdfs/GMD-1810-161.pdf#page=2","Abrir facsímil")</f>
        <v>Abrir facsímil</v>
      </c>
      <c r="K2055" s="3" t="s">
        <v>76</v>
      </c>
    </row>
    <row r="2056" spans="1:11" ht="42" customHeight="1">
      <c r="A2056" s="2" t="s">
        <v>5827</v>
      </c>
      <c r="B2056" s="2" t="s">
        <v>5828</v>
      </c>
      <c r="C2056" s="2" t="s">
        <v>26</v>
      </c>
      <c r="D2056" s="2" t="s">
        <v>18</v>
      </c>
      <c r="E2056" s="4">
        <v>-32601</v>
      </c>
      <c r="F2056" s="3" t="s">
        <v>392</v>
      </c>
      <c r="G2056" s="3" t="s">
        <v>35</v>
      </c>
      <c r="H2056" s="2" t="s">
        <v>74</v>
      </c>
      <c r="I2056" s="2" t="s">
        <v>5829</v>
      </c>
      <c r="J2056" s="3" t="str">
        <f>HYPERLINK("https://www.boe.es/gazeta/dias/1810/09/27/pdfs/GEI-1810-74E.pdf#page=2","Abrir facsímil")</f>
        <v>Abrir facsímil</v>
      </c>
      <c r="K2056" s="3" t="s">
        <v>76</v>
      </c>
    </row>
    <row r="2057" spans="1:11" ht="42" customHeight="1">
      <c r="A2057" s="2" t="s">
        <v>5830</v>
      </c>
      <c r="B2057" s="2" t="s">
        <v>5831</v>
      </c>
      <c r="C2057" s="2" t="s">
        <v>26</v>
      </c>
      <c r="D2057" s="2" t="s">
        <v>27</v>
      </c>
      <c r="E2057" s="4">
        <v>-32689</v>
      </c>
      <c r="F2057" s="3" t="s">
        <v>571</v>
      </c>
      <c r="G2057" s="3" t="s">
        <v>140</v>
      </c>
      <c r="H2057" s="2" t="s">
        <v>74</v>
      </c>
      <c r="I2057" s="2" t="s">
        <v>5832</v>
      </c>
      <c r="J2057" s="3" t="str">
        <f>HYPERLINK("https://www.boe.es/gazeta/dias/1810/07/01/pdfs/GMD-1810-182.pdf#page=4","Abrir facsímil")</f>
        <v>Abrir facsímil</v>
      </c>
      <c r="K2057" s="3" t="s">
        <v>76</v>
      </c>
    </row>
    <row r="2058" spans="1:11" ht="42" customHeight="1">
      <c r="A2058" s="2" t="s">
        <v>5833</v>
      </c>
      <c r="B2058" s="2" t="s">
        <v>5834</v>
      </c>
      <c r="C2058" s="2" t="s">
        <v>88</v>
      </c>
      <c r="D2058" s="2" t="s">
        <v>117</v>
      </c>
      <c r="E2058" s="4">
        <v>-32596</v>
      </c>
      <c r="F2058" s="3" t="s">
        <v>1311</v>
      </c>
      <c r="G2058" s="3" t="s">
        <v>29</v>
      </c>
      <c r="H2058" s="2" t="s">
        <v>74</v>
      </c>
      <c r="I2058" s="2" t="s">
        <v>5835</v>
      </c>
      <c r="J2058" s="3" t="str">
        <f>HYPERLINK("https://www.boe.es/gazeta/dias/1810/10/02/pdfs/GMD-1810-275.pdf#page=4","Abrir facsímil")</f>
        <v>Abrir facsímil</v>
      </c>
      <c r="K2058" s="3" t="s">
        <v>76</v>
      </c>
    </row>
    <row r="2059" spans="1:11" ht="42" customHeight="1">
      <c r="A2059" s="2" t="s">
        <v>5836</v>
      </c>
      <c r="B2059" s="2" t="s">
        <v>5837</v>
      </c>
      <c r="C2059" s="2" t="s">
        <v>225</v>
      </c>
      <c r="D2059" s="2" t="s">
        <v>117</v>
      </c>
      <c r="E2059" s="4">
        <v>-32642</v>
      </c>
      <c r="F2059" s="3" t="s">
        <v>2273</v>
      </c>
      <c r="G2059" s="3" t="s">
        <v>274</v>
      </c>
      <c r="H2059" s="2" t="s">
        <v>74</v>
      </c>
      <c r="I2059" s="2" t="s">
        <v>5838</v>
      </c>
      <c r="J2059" s="3" t="str">
        <f>HYPERLINK("https://www.boe.es/gazeta/dias/1810/08/17/pdfs/GEI-D-1810-57.pdf#page=8","Abrir facsímil")</f>
        <v>Abrir facsímil</v>
      </c>
      <c r="K2059" s="3" t="s">
        <v>76</v>
      </c>
    </row>
    <row r="2060" spans="1:11" ht="42" customHeight="1">
      <c r="A2060" s="2" t="s">
        <v>5839</v>
      </c>
      <c r="B2060" s="2" t="s">
        <v>5840</v>
      </c>
      <c r="C2060" s="2" t="s">
        <v>88</v>
      </c>
      <c r="D2060" s="2" t="s">
        <v>117</v>
      </c>
      <c r="E2060" s="4">
        <v>-32827</v>
      </c>
      <c r="F2060" s="3" t="s">
        <v>290</v>
      </c>
      <c r="G2060" s="3" t="s">
        <v>291</v>
      </c>
      <c r="H2060" s="2" t="s">
        <v>74</v>
      </c>
      <c r="I2060" s="2" t="s">
        <v>5841</v>
      </c>
      <c r="J2060" s="3" t="str">
        <f>HYPERLINK("https://www.boe.es/gazeta/dias/1810/02/13/pdfs/GMD-1810-44.pdf#page=4","Abrir facsímil")</f>
        <v>Abrir facsímil</v>
      </c>
      <c r="K2060" s="3" t="s">
        <v>76</v>
      </c>
    </row>
    <row r="2061" spans="1:11" ht="42" customHeight="1">
      <c r="A2061" s="2" t="s">
        <v>5842</v>
      </c>
      <c r="B2061" s="2" t="s">
        <v>5843</v>
      </c>
      <c r="C2061" s="2" t="s">
        <v>26</v>
      </c>
      <c r="D2061" s="2" t="s">
        <v>27</v>
      </c>
      <c r="E2061" s="4">
        <v>-32526</v>
      </c>
      <c r="F2061" s="3" t="s">
        <v>530</v>
      </c>
      <c r="G2061" s="3" t="s">
        <v>531</v>
      </c>
      <c r="H2061" s="2" t="s">
        <v>74</v>
      </c>
      <c r="I2061" s="2" t="s">
        <v>5844</v>
      </c>
      <c r="J2061" s="3" t="str">
        <f>HYPERLINK("https://www.boe.es/gazeta/dias/1810/12/11/pdfs/GEI-1810-106.pdf#page=2","Abrir facsímil")</f>
        <v>Abrir facsímil</v>
      </c>
      <c r="K2061" s="3" t="s">
        <v>76</v>
      </c>
    </row>
    <row r="2062" spans="1:11" ht="42" customHeight="1">
      <c r="A2062" s="2" t="s">
        <v>5845</v>
      </c>
      <c r="B2062" s="2" t="s">
        <v>5846</v>
      </c>
      <c r="C2062" s="2" t="s">
        <v>88</v>
      </c>
      <c r="D2062" s="2" t="s">
        <v>117</v>
      </c>
      <c r="E2062" s="4">
        <v>-32739</v>
      </c>
      <c r="F2062" s="3" t="s">
        <v>724</v>
      </c>
      <c r="G2062" s="3" t="s">
        <v>20</v>
      </c>
      <c r="H2062" s="2" t="s">
        <v>74</v>
      </c>
      <c r="I2062" s="2" t="s">
        <v>5847</v>
      </c>
      <c r="J2062" s="3" t="str">
        <f>HYPERLINK("https://www.boe.es/gazeta/dias/1810/05/12/pdfs/GMD-1810-132.pdf#page=4","Abrir facsímil")</f>
        <v>Abrir facsímil</v>
      </c>
      <c r="K2062" s="3" t="s">
        <v>76</v>
      </c>
    </row>
    <row r="2063" spans="1:11" ht="42" customHeight="1">
      <c r="A2063" s="2" t="s">
        <v>5848</v>
      </c>
      <c r="B2063" s="2" t="s">
        <v>5849</v>
      </c>
      <c r="C2063" s="2" t="s">
        <v>111</v>
      </c>
      <c r="D2063" s="2" t="s">
        <v>27</v>
      </c>
      <c r="E2063" s="4">
        <v>-32863</v>
      </c>
      <c r="F2063" s="3" t="s">
        <v>2391</v>
      </c>
      <c r="G2063" s="3" t="s">
        <v>180</v>
      </c>
      <c r="H2063" s="2" t="s">
        <v>74</v>
      </c>
      <c r="I2063" s="2" t="s">
        <v>5850</v>
      </c>
      <c r="J2063" s="3" t="str">
        <f>HYPERLINK("https://www.boe.es/gazeta/dias/1810/01/08/pdfs/GMD-1810-8.pdf#page=3","Abrir facsímil")</f>
        <v>Abrir facsímil</v>
      </c>
      <c r="K2063" s="3" t="s">
        <v>76</v>
      </c>
    </row>
    <row r="2064" spans="1:11" ht="42" customHeight="1">
      <c r="A2064" s="2" t="s">
        <v>5848</v>
      </c>
      <c r="B2064" s="2" t="s">
        <v>5849</v>
      </c>
      <c r="C2064" s="2" t="s">
        <v>26</v>
      </c>
      <c r="D2064" s="2" t="s">
        <v>27</v>
      </c>
      <c r="E2064" s="4">
        <v>-32805</v>
      </c>
      <c r="F2064" s="3" t="s">
        <v>2068</v>
      </c>
      <c r="G2064" s="3" t="s">
        <v>70</v>
      </c>
      <c r="H2064" s="2" t="s">
        <v>74</v>
      </c>
      <c r="I2064" s="2" t="s">
        <v>5851</v>
      </c>
      <c r="J2064" s="3" t="str">
        <f>HYPERLINK("https://www.boe.es/gazeta/dias/1810/03/07/pdfs/GMD-1810-66.pdf#page=3","Abrir facsímil")</f>
        <v>Abrir facsímil</v>
      </c>
      <c r="K2064" s="3" t="s">
        <v>76</v>
      </c>
    </row>
    <row r="2065" spans="1:11" ht="42" customHeight="1">
      <c r="A2065" s="2" t="s">
        <v>5852</v>
      </c>
      <c r="B2065" s="2" t="s">
        <v>5853</v>
      </c>
      <c r="C2065" s="2" t="s">
        <v>26</v>
      </c>
      <c r="D2065" s="2" t="s">
        <v>39</v>
      </c>
      <c r="E2065" s="4">
        <v>-32701</v>
      </c>
      <c r="F2065" s="3" t="s">
        <v>40</v>
      </c>
      <c r="G2065" s="3" t="s">
        <v>170</v>
      </c>
      <c r="H2065" s="2" t="s">
        <v>74</v>
      </c>
      <c r="I2065" s="2" t="s">
        <v>5854</v>
      </c>
      <c r="J2065" s="3" t="str">
        <f>HYPERLINK("https://www.boe.es/gazeta/dias/1810/06/19/pdfs/GMD-C-1810-170.pdf#page=1","Abrir facsímil")</f>
        <v>Abrir facsímil</v>
      </c>
      <c r="K2065" s="3" t="s">
        <v>76</v>
      </c>
    </row>
    <row r="2066" spans="1:11" ht="42" customHeight="1">
      <c r="A2066" s="2" t="s">
        <v>5855</v>
      </c>
      <c r="B2066" s="2" t="s">
        <v>5856</v>
      </c>
      <c r="C2066" s="2" t="s">
        <v>26</v>
      </c>
      <c r="D2066" s="2" t="s">
        <v>58</v>
      </c>
      <c r="E2066" s="4">
        <v>-32795</v>
      </c>
      <c r="F2066" s="3" t="s">
        <v>2320</v>
      </c>
      <c r="G2066" s="3" t="s">
        <v>1667</v>
      </c>
      <c r="H2066" s="2" t="s">
        <v>74</v>
      </c>
      <c r="I2066" s="2" t="s">
        <v>5857</v>
      </c>
      <c r="J2066" s="3" t="str">
        <f>HYPERLINK("https://www.boe.es/gazeta/dias/1810/03/17/pdfs/GEI-1810-3E.pdf#page=2","Abrir facsímil")</f>
        <v>Abrir facsímil</v>
      </c>
      <c r="K2066" s="3" t="s">
        <v>76</v>
      </c>
    </row>
    <row r="2067" spans="1:11" ht="42" customHeight="1">
      <c r="A2067" s="2" t="s">
        <v>5858</v>
      </c>
      <c r="B2067" s="2" t="s">
        <v>5859</v>
      </c>
      <c r="C2067" s="2" t="s">
        <v>88</v>
      </c>
      <c r="D2067" s="2" t="s">
        <v>58</v>
      </c>
      <c r="E2067" s="4">
        <v>-32729</v>
      </c>
      <c r="F2067" s="3" t="s">
        <v>2427</v>
      </c>
      <c r="G2067" s="3" t="s">
        <v>119</v>
      </c>
      <c r="H2067" s="2" t="s">
        <v>74</v>
      </c>
      <c r="I2067" s="2" t="s">
        <v>5860</v>
      </c>
      <c r="J2067" s="3" t="str">
        <f>HYPERLINK("https://www.boe.es/gazeta/dias/1810/05/22/pdfs/GEI-1810-29E.pdf#page=2","Abrir facsímil")</f>
        <v>Abrir facsímil</v>
      </c>
      <c r="K2067" s="3" t="s">
        <v>76</v>
      </c>
    </row>
    <row r="2068" spans="1:11" ht="42" customHeight="1">
      <c r="A2068" s="2" t="s">
        <v>5861</v>
      </c>
      <c r="B2068" s="2" t="s">
        <v>5862</v>
      </c>
      <c r="C2068" s="2" t="s">
        <v>33</v>
      </c>
      <c r="D2068" s="2" t="s">
        <v>27</v>
      </c>
      <c r="E2068" s="4">
        <v>-32736</v>
      </c>
      <c r="F2068" s="3" t="s">
        <v>1933</v>
      </c>
      <c r="G2068" s="3" t="s">
        <v>668</v>
      </c>
      <c r="H2068" s="2" t="s">
        <v>74</v>
      </c>
      <c r="I2068" s="2" t="s">
        <v>5863</v>
      </c>
      <c r="J2068" s="3" t="str">
        <f>HYPERLINK("https://www.boe.es/gazeta/dias/1810/05/15/pdfs/GEI-1810-25.pdf#page=6","Abrir facsímil")</f>
        <v>Abrir facsímil</v>
      </c>
      <c r="K2068" s="3" t="s">
        <v>76</v>
      </c>
    </row>
    <row r="2069" spans="1:11" ht="42" customHeight="1">
      <c r="A2069" s="2" t="s">
        <v>5864</v>
      </c>
      <c r="B2069" s="2" t="s">
        <v>5865</v>
      </c>
      <c r="C2069" s="2" t="s">
        <v>111</v>
      </c>
      <c r="D2069" s="2" t="s">
        <v>18</v>
      </c>
      <c r="E2069" s="4">
        <v>-32795</v>
      </c>
      <c r="F2069" s="3" t="s">
        <v>2320</v>
      </c>
      <c r="G2069" s="3" t="s">
        <v>886</v>
      </c>
      <c r="H2069" s="2" t="s">
        <v>74</v>
      </c>
      <c r="I2069" s="2" t="s">
        <v>5866</v>
      </c>
      <c r="J2069" s="3" t="str">
        <f>HYPERLINK("https://www.boe.es/gazeta/dias/1810/03/17/pdfs/GEI-1810-3E.pdf#page=4","Abrir facsímil")</f>
        <v>Abrir facsímil</v>
      </c>
      <c r="K2069" s="3" t="s">
        <v>76</v>
      </c>
    </row>
    <row r="2070" spans="1:11" ht="42" customHeight="1">
      <c r="A2070" s="2" t="s">
        <v>5867</v>
      </c>
      <c r="B2070" s="2" t="s">
        <v>5868</v>
      </c>
      <c r="C2070" s="2" t="s">
        <v>26</v>
      </c>
      <c r="D2070" s="2" t="s">
        <v>27</v>
      </c>
      <c r="E2070" s="4">
        <v>-32778</v>
      </c>
      <c r="F2070" s="3" t="s">
        <v>5869</v>
      </c>
      <c r="G2070" s="3" t="s">
        <v>1985</v>
      </c>
      <c r="H2070" s="2" t="s">
        <v>74</v>
      </c>
      <c r="I2070" s="2" t="s">
        <v>5870</v>
      </c>
      <c r="J2070" s="3" t="str">
        <f>HYPERLINK("https://www.boe.es/gazeta/dias/1810/04/03/pdfs/GEI-1810-11.pdf#page=6","Abrir facsímil")</f>
        <v>Abrir facsímil</v>
      </c>
      <c r="K2070" s="3" t="s">
        <v>76</v>
      </c>
    </row>
    <row r="2071" spans="1:11" ht="42" customHeight="1">
      <c r="A2071" s="2" t="s">
        <v>5871</v>
      </c>
      <c r="B2071" s="2" t="s">
        <v>5872</v>
      </c>
      <c r="C2071" s="2" t="s">
        <v>88</v>
      </c>
      <c r="D2071" s="2" t="s">
        <v>27</v>
      </c>
      <c r="E2071" s="4">
        <v>-32754</v>
      </c>
      <c r="F2071" s="3" t="s">
        <v>1057</v>
      </c>
      <c r="G2071" s="3" t="s">
        <v>1058</v>
      </c>
      <c r="H2071" s="2" t="s">
        <v>74</v>
      </c>
      <c r="I2071" s="2" t="s">
        <v>5873</v>
      </c>
      <c r="J2071" s="3" t="str">
        <f>HYPERLINK("https://www.boe.es/gazeta/dias/1810/04/27/pdfs/GEI-1810-18.pdf#page=12","Abrir facsímil")</f>
        <v>Abrir facsímil</v>
      </c>
      <c r="K2071" s="3" t="s">
        <v>76</v>
      </c>
    </row>
    <row r="2072" spans="1:11" ht="42" customHeight="1">
      <c r="A2072" s="2" t="s">
        <v>5874</v>
      </c>
      <c r="B2072" s="2" t="s">
        <v>5875</v>
      </c>
      <c r="C2072" s="2" t="s">
        <v>26</v>
      </c>
      <c r="D2072" s="2" t="s">
        <v>39</v>
      </c>
      <c r="E2072" s="4">
        <v>-32661</v>
      </c>
      <c r="F2072" s="3" t="s">
        <v>157</v>
      </c>
      <c r="G2072" s="3" t="s">
        <v>592</v>
      </c>
      <c r="H2072" s="2" t="s">
        <v>74</v>
      </c>
      <c r="I2072" s="2" t="s">
        <v>5876</v>
      </c>
      <c r="J2072" s="3" t="str">
        <f>HYPERLINK("https://www.boe.es/gazeta/dias/1810/07/29/pdfs/GMD-C-1810-210.pdf#page=2","Abrir facsímil")</f>
        <v>Abrir facsímil</v>
      </c>
      <c r="K2072" s="3" t="s">
        <v>76</v>
      </c>
    </row>
    <row r="2073" spans="1:11" ht="42" customHeight="1">
      <c r="A2073" s="2" t="s">
        <v>5877</v>
      </c>
      <c r="B2073" s="2" t="s">
        <v>5878</v>
      </c>
      <c r="C2073" s="2" t="s">
        <v>26</v>
      </c>
      <c r="D2073" s="2" t="s">
        <v>39</v>
      </c>
      <c r="E2073" s="4">
        <v>-32661</v>
      </c>
      <c r="F2073" s="3" t="s">
        <v>157</v>
      </c>
      <c r="G2073" s="3" t="s">
        <v>158</v>
      </c>
      <c r="H2073" s="2" t="s">
        <v>74</v>
      </c>
      <c r="I2073" s="2" t="s">
        <v>5879</v>
      </c>
      <c r="J2073" s="3" t="str">
        <f>HYPERLINK("https://www.boe.es/gazeta/dias/1810/07/29/pdfs/GMD-C-1810-210.pdf#page=1","Abrir facsímil")</f>
        <v>Abrir facsímil</v>
      </c>
      <c r="K2073" s="3" t="s">
        <v>76</v>
      </c>
    </row>
    <row r="2074" spans="1:11" ht="42" customHeight="1">
      <c r="A2074" s="2" t="s">
        <v>5880</v>
      </c>
      <c r="B2074" s="2" t="s">
        <v>5881</v>
      </c>
      <c r="C2074" s="2" t="s">
        <v>88</v>
      </c>
      <c r="D2074" s="2" t="s">
        <v>117</v>
      </c>
      <c r="E2074" s="4">
        <v>-32782</v>
      </c>
      <c r="F2074" s="3" t="s">
        <v>79</v>
      </c>
      <c r="G2074" s="3" t="s">
        <v>80</v>
      </c>
      <c r="H2074" s="2" t="s">
        <v>74</v>
      </c>
      <c r="I2074" s="2" t="s">
        <v>5882</v>
      </c>
      <c r="J2074" s="3" t="str">
        <f>HYPERLINK("https://www.boe.es/gazeta/dias/1810/03/30/pdfs/GEI-1810-9.pdf#page=7","Abrir facsímil")</f>
        <v>Abrir facsímil</v>
      </c>
      <c r="K2074" s="3" t="s">
        <v>76</v>
      </c>
    </row>
    <row r="2075" spans="1:11" ht="42" customHeight="1">
      <c r="A2075" s="2" t="s">
        <v>5883</v>
      </c>
      <c r="B2075" s="2" t="s">
        <v>5884</v>
      </c>
      <c r="C2075" s="2" t="s">
        <v>88</v>
      </c>
      <c r="D2075" s="2" t="s">
        <v>27</v>
      </c>
      <c r="E2075" s="4">
        <v>-32729</v>
      </c>
      <c r="F2075" s="3" t="s">
        <v>174</v>
      </c>
      <c r="G2075" s="3" t="s">
        <v>151</v>
      </c>
      <c r="H2075" s="2" t="s">
        <v>74</v>
      </c>
      <c r="I2075" s="2" t="s">
        <v>5885</v>
      </c>
      <c r="J2075" s="3" t="str">
        <f>HYPERLINK("https://www.boe.es/gazeta/dias/1810/05/22/pdfs/GEI-1810-28.pdf#page=12","Abrir facsímil")</f>
        <v>Abrir facsímil</v>
      </c>
      <c r="K2075" s="3" t="s">
        <v>76</v>
      </c>
    </row>
    <row r="2076" spans="1:11" ht="42" customHeight="1">
      <c r="A2076" s="2" t="s">
        <v>5886</v>
      </c>
      <c r="B2076" s="2" t="s">
        <v>5887</v>
      </c>
      <c r="C2076" s="2" t="s">
        <v>317</v>
      </c>
      <c r="D2076" s="2" t="s">
        <v>39</v>
      </c>
      <c r="E2076" s="4">
        <v>-32702</v>
      </c>
      <c r="F2076" s="3" t="s">
        <v>179</v>
      </c>
      <c r="G2076" s="3" t="s">
        <v>180</v>
      </c>
      <c r="H2076" s="2" t="s">
        <v>74</v>
      </c>
      <c r="I2076" s="2" t="s">
        <v>5888</v>
      </c>
      <c r="J2076" s="3" t="str">
        <f>HYPERLINK("https://www.boe.es/gazeta/dias/1810/06/18/pdfs/GMD-C-1810-169.pdf#page=2","Abrir facsímil")</f>
        <v>Abrir facsímil</v>
      </c>
      <c r="K2076" s="3" t="s">
        <v>76</v>
      </c>
    </row>
    <row r="2077" spans="1:11" ht="42" customHeight="1">
      <c r="A2077" s="2" t="s">
        <v>5889</v>
      </c>
      <c r="B2077" s="2" t="s">
        <v>5890</v>
      </c>
      <c r="C2077" s="2" t="s">
        <v>26</v>
      </c>
      <c r="D2077" s="2" t="s">
        <v>27</v>
      </c>
      <c r="E2077" s="4">
        <v>-32686</v>
      </c>
      <c r="F2077" s="3" t="s">
        <v>2362</v>
      </c>
      <c r="G2077" s="3" t="s">
        <v>20</v>
      </c>
      <c r="H2077" s="2" t="s">
        <v>74</v>
      </c>
      <c r="I2077" s="2" t="s">
        <v>5891</v>
      </c>
      <c r="J2077" s="3" t="str">
        <f>HYPERLINK("https://www.boe.es/gazeta/dias/1810/07/04/pdfs/GMD-1810-185.pdf#page=4","Abrir facsímil")</f>
        <v>Abrir facsímil</v>
      </c>
      <c r="K2077" s="3" t="s">
        <v>76</v>
      </c>
    </row>
    <row r="2078" spans="1:11" ht="42" customHeight="1">
      <c r="A2078" s="2" t="s">
        <v>5892</v>
      </c>
      <c r="B2078" s="2" t="s">
        <v>5893</v>
      </c>
      <c r="C2078" s="2" t="s">
        <v>26</v>
      </c>
      <c r="D2078" s="2" t="s">
        <v>27</v>
      </c>
      <c r="E2078" s="4">
        <v>-32744</v>
      </c>
      <c r="F2078" s="3" t="s">
        <v>1570</v>
      </c>
      <c r="G2078" s="3" t="s">
        <v>136</v>
      </c>
      <c r="H2078" s="2" t="s">
        <v>74</v>
      </c>
      <c r="I2078" s="2" t="s">
        <v>5894</v>
      </c>
      <c r="J2078" s="3" t="str">
        <f>HYPERLINK("https://www.boe.es/gazeta/dias/1810/05/07/pdfs/GMD-1810-127.pdf#page=4","Abrir facsímil")</f>
        <v>Abrir facsímil</v>
      </c>
      <c r="K2078" s="3" t="s">
        <v>76</v>
      </c>
    </row>
    <row r="2079" spans="1:11" ht="42" customHeight="1">
      <c r="A2079" s="2" t="s">
        <v>5895</v>
      </c>
      <c r="B2079" s="2" t="s">
        <v>5896</v>
      </c>
      <c r="C2079" s="2" t="s">
        <v>225</v>
      </c>
      <c r="D2079" s="2" t="s">
        <v>117</v>
      </c>
      <c r="E2079" s="4">
        <v>-32727</v>
      </c>
      <c r="F2079" s="3" t="s">
        <v>1611</v>
      </c>
      <c r="G2079" s="3" t="s">
        <v>1644</v>
      </c>
      <c r="H2079" s="2" t="s">
        <v>74</v>
      </c>
      <c r="I2079" s="2" t="s">
        <v>5897</v>
      </c>
      <c r="J2079" s="3" t="str">
        <f>HYPERLINK("https://www.boe.es/gazeta/dias/1810/05/24/pdfs/GMD-1810-144.pdf#page=1","Abrir facsímil")</f>
        <v>Abrir facsímil</v>
      </c>
      <c r="K2079" s="3" t="s">
        <v>76</v>
      </c>
    </row>
    <row r="2080" spans="1:11" ht="42" customHeight="1">
      <c r="A2080" s="2" t="s">
        <v>5898</v>
      </c>
      <c r="B2080" s="2" t="s">
        <v>5899</v>
      </c>
      <c r="C2080" s="2" t="s">
        <v>26</v>
      </c>
      <c r="D2080" s="2" t="s">
        <v>39</v>
      </c>
      <c r="E2080" s="4">
        <v>-32701</v>
      </c>
      <c r="F2080" s="3" t="s">
        <v>40</v>
      </c>
      <c r="G2080" s="3" t="s">
        <v>315</v>
      </c>
      <c r="H2080" s="2" t="s">
        <v>74</v>
      </c>
      <c r="I2080" s="2" t="s">
        <v>5900</v>
      </c>
      <c r="J2080" s="3" t="str">
        <f>HYPERLINK("https://www.boe.es/gazeta/dias/1810/06/19/pdfs/GMD-C-1810-170.pdf#page=2","Abrir facsímil")</f>
        <v>Abrir facsímil</v>
      </c>
      <c r="K2080" s="3" t="s">
        <v>76</v>
      </c>
    </row>
    <row r="2081" spans="1:11" ht="42" customHeight="1">
      <c r="A2081" s="2" t="s">
        <v>5901</v>
      </c>
      <c r="B2081" s="2" t="s">
        <v>5902</v>
      </c>
      <c r="C2081" s="2" t="s">
        <v>26</v>
      </c>
      <c r="D2081" s="2" t="s">
        <v>27</v>
      </c>
      <c r="E2081" s="4">
        <v>-32575</v>
      </c>
      <c r="F2081" s="3" t="s">
        <v>135</v>
      </c>
      <c r="G2081" s="3" t="s">
        <v>136</v>
      </c>
      <c r="H2081" s="2" t="s">
        <v>74</v>
      </c>
      <c r="I2081" s="2" t="s">
        <v>5903</v>
      </c>
      <c r="J2081" s="3" t="str">
        <f>HYPERLINK("https://www.boe.es/gazeta/dias/1810/10/23/pdfs/GEI-1810-85.pdf#page=11","Abrir facsímil")</f>
        <v>Abrir facsímil</v>
      </c>
      <c r="K2081" s="3" t="s">
        <v>76</v>
      </c>
    </row>
    <row r="2082" spans="1:11" ht="42" customHeight="1">
      <c r="A2082" s="2" t="s">
        <v>5904</v>
      </c>
      <c r="B2082" s="2" t="s">
        <v>5905</v>
      </c>
      <c r="C2082" s="2" t="s">
        <v>195</v>
      </c>
      <c r="D2082" s="2" t="s">
        <v>27</v>
      </c>
      <c r="E2082" s="4">
        <v>-32837</v>
      </c>
      <c r="F2082" s="3" t="s">
        <v>196</v>
      </c>
      <c r="G2082" s="3" t="s">
        <v>140</v>
      </c>
      <c r="H2082" s="2" t="s">
        <v>74</v>
      </c>
      <c r="I2082" s="2" t="s">
        <v>5906</v>
      </c>
      <c r="J2082" s="3" t="str">
        <f>HYPERLINK("https://www.boe.es/gazeta/dias/1810/02/03/pdfs/GMD-1810-34.pdf#page=4","Abrir facsímil")</f>
        <v>Abrir facsímil</v>
      </c>
      <c r="K2082" s="3" t="s">
        <v>76</v>
      </c>
    </row>
    <row r="2083" spans="1:11" ht="42" customHeight="1">
      <c r="A2083" s="2" t="s">
        <v>5907</v>
      </c>
      <c r="B2083" s="2" t="s">
        <v>5908</v>
      </c>
      <c r="C2083" s="2" t="s">
        <v>88</v>
      </c>
      <c r="D2083" s="2" t="s">
        <v>117</v>
      </c>
      <c r="E2083" s="4">
        <v>-32698</v>
      </c>
      <c r="F2083" s="3" t="s">
        <v>2705</v>
      </c>
      <c r="G2083" s="3" t="s">
        <v>2706</v>
      </c>
      <c r="H2083" s="2" t="s">
        <v>74</v>
      </c>
      <c r="I2083" s="2" t="s">
        <v>5909</v>
      </c>
      <c r="J2083" s="3" t="str">
        <f>HYPERLINK("https://www.boe.es/gazeta/dias/1810/06/22/pdfs/GEI-1810-38.pdf#page=8","Abrir facsímil")</f>
        <v>Abrir facsímil</v>
      </c>
      <c r="K2083" s="3" t="s">
        <v>76</v>
      </c>
    </row>
    <row r="2084" spans="1:11" ht="42" customHeight="1">
      <c r="A2084" s="2" t="s">
        <v>5910</v>
      </c>
      <c r="B2084" s="2" t="s">
        <v>5911</v>
      </c>
      <c r="C2084" s="2" t="s">
        <v>26</v>
      </c>
      <c r="D2084" s="2" t="s">
        <v>18</v>
      </c>
      <c r="E2084" s="4">
        <v>-32688</v>
      </c>
      <c r="F2084" s="3" t="s">
        <v>997</v>
      </c>
      <c r="G2084" s="3" t="s">
        <v>749</v>
      </c>
      <c r="H2084" s="2" t="s">
        <v>74</v>
      </c>
      <c r="I2084" s="2" t="s">
        <v>5912</v>
      </c>
      <c r="J2084" s="3" t="str">
        <f>HYPERLINK("https://www.boe.es/gazeta/dias/1810/07/02/pdfs/GMD-1810-183.pdf#page=4","Abrir facsímil")</f>
        <v>Abrir facsímil</v>
      </c>
      <c r="K2084" s="3" t="s">
        <v>76</v>
      </c>
    </row>
    <row r="2085" spans="1:11" ht="42" customHeight="1">
      <c r="A2085" s="2" t="s">
        <v>5913</v>
      </c>
      <c r="B2085" s="2" t="s">
        <v>5914</v>
      </c>
      <c r="C2085" s="2" t="s">
        <v>26</v>
      </c>
      <c r="D2085" s="2" t="s">
        <v>27</v>
      </c>
      <c r="E2085" s="4">
        <v>-32785</v>
      </c>
      <c r="F2085" s="3" t="s">
        <v>5915</v>
      </c>
      <c r="G2085" s="3" t="s">
        <v>5669</v>
      </c>
      <c r="H2085" s="2" t="s">
        <v>74</v>
      </c>
      <c r="I2085" s="2" t="s">
        <v>5916</v>
      </c>
      <c r="J2085" s="3" t="str">
        <f>HYPERLINK("https://www.boe.es/gazeta/dias/1810/03/27/pdfs/GMD-1810-86.pdf#page=1","Abrir facsímil")</f>
        <v>Abrir facsímil</v>
      </c>
      <c r="K2085" s="3" t="s">
        <v>76</v>
      </c>
    </row>
    <row r="2086" spans="1:11" ht="42" customHeight="1">
      <c r="A2086" s="2" t="s">
        <v>5917</v>
      </c>
      <c r="B2086" s="2" t="s">
        <v>5918</v>
      </c>
      <c r="C2086" s="2" t="s">
        <v>26</v>
      </c>
      <c r="D2086" s="2" t="s">
        <v>27</v>
      </c>
      <c r="E2086" s="4">
        <v>-32544</v>
      </c>
      <c r="F2086" s="3" t="s">
        <v>1239</v>
      </c>
      <c r="G2086" s="3" t="s">
        <v>99</v>
      </c>
      <c r="H2086" s="2" t="s">
        <v>74</v>
      </c>
      <c r="I2086" s="2" t="s">
        <v>5919</v>
      </c>
      <c r="J2086" s="3" t="str">
        <f>HYPERLINK("https://www.boe.es/gazeta/dias/1810/11/23/pdfs/GMD-1810-327.pdf#page=3","Abrir facsímil")</f>
        <v>Abrir facsímil</v>
      </c>
      <c r="K2086" s="3" t="s">
        <v>76</v>
      </c>
    </row>
    <row r="2087" spans="1:11" ht="42" customHeight="1">
      <c r="A2087" s="2" t="s">
        <v>5920</v>
      </c>
      <c r="B2087" s="2" t="s">
        <v>5921</v>
      </c>
      <c r="C2087" s="2" t="s">
        <v>26</v>
      </c>
      <c r="D2087" s="2" t="s">
        <v>27</v>
      </c>
      <c r="E2087" s="4">
        <v>-32837</v>
      </c>
      <c r="F2087" s="3" t="s">
        <v>196</v>
      </c>
      <c r="G2087" s="3" t="s">
        <v>213</v>
      </c>
      <c r="H2087" s="2" t="s">
        <v>74</v>
      </c>
      <c r="I2087" s="2" t="s">
        <v>5922</v>
      </c>
      <c r="J2087" s="3" t="str">
        <f>HYPERLINK("https://www.boe.es/gazeta/dias/1810/02/03/pdfs/GMD-1810-34.pdf#page=2","Abrir facsímil")</f>
        <v>Abrir facsímil</v>
      </c>
      <c r="K2087" s="3" t="s">
        <v>76</v>
      </c>
    </row>
    <row r="2088" spans="1:11" ht="42" customHeight="1">
      <c r="A2088" s="2" t="s">
        <v>5923</v>
      </c>
      <c r="B2088" s="2" t="s">
        <v>5924</v>
      </c>
      <c r="C2088" s="2" t="s">
        <v>88</v>
      </c>
      <c r="D2088" s="2" t="s">
        <v>117</v>
      </c>
      <c r="E2088" s="4">
        <v>-32529</v>
      </c>
      <c r="F2088" s="3" t="s">
        <v>112</v>
      </c>
      <c r="G2088" s="3" t="s">
        <v>5925</v>
      </c>
      <c r="H2088" s="2" t="s">
        <v>74</v>
      </c>
      <c r="I2088" s="2" t="s">
        <v>5926</v>
      </c>
      <c r="J2088" s="3" t="str">
        <f>HYPERLINK("https://www.boe.es/gazeta/dias/1810/12/08/pdfs/GEI-1810-105.pdf#page=3","Abrir facsímil")</f>
        <v>Abrir facsímil</v>
      </c>
      <c r="K2088" s="3" t="s">
        <v>76</v>
      </c>
    </row>
    <row r="2089" spans="1:11" ht="42" customHeight="1">
      <c r="A2089" s="2" t="s">
        <v>5927</v>
      </c>
      <c r="B2089" s="2" t="s">
        <v>5928</v>
      </c>
      <c r="C2089" s="2" t="s">
        <v>26</v>
      </c>
      <c r="D2089" s="2" t="s">
        <v>27</v>
      </c>
      <c r="E2089" s="4">
        <v>-32568</v>
      </c>
      <c r="F2089" s="3" t="s">
        <v>683</v>
      </c>
      <c r="G2089" s="3" t="s">
        <v>5929</v>
      </c>
      <c r="H2089" s="2" t="s">
        <v>74</v>
      </c>
      <c r="I2089" s="2" t="s">
        <v>5930</v>
      </c>
      <c r="J2089" s="3" t="str">
        <f>HYPERLINK("https://www.boe.es/gazeta/dias/1810/10/30/pdfs/GEI-1810-88.pdf#page=2","Abrir facsímil")</f>
        <v>Abrir facsímil</v>
      </c>
      <c r="K2089" s="3" t="s">
        <v>76</v>
      </c>
    </row>
    <row r="2090" spans="1:11" ht="42" customHeight="1">
      <c r="A2090" s="2" t="s">
        <v>5931</v>
      </c>
      <c r="B2090" s="2" t="s">
        <v>5932</v>
      </c>
      <c r="C2090" s="2" t="s">
        <v>88</v>
      </c>
      <c r="D2090" s="2" t="s">
        <v>117</v>
      </c>
      <c r="E2090" s="4">
        <v>-32697</v>
      </c>
      <c r="F2090" s="3" t="s">
        <v>1859</v>
      </c>
      <c r="G2090" s="3" t="s">
        <v>70</v>
      </c>
      <c r="H2090" s="2" t="s">
        <v>74</v>
      </c>
      <c r="I2090" s="2" t="s">
        <v>5933</v>
      </c>
      <c r="J2090" s="3" t="str">
        <f>HYPERLINK("https://www.boe.es/gazeta/dias/1810/06/23/pdfs/GMD-1810-174.pdf#page=4","Abrir facsímil")</f>
        <v>Abrir facsímil</v>
      </c>
      <c r="K2090" s="3" t="s">
        <v>76</v>
      </c>
    </row>
    <row r="2091" spans="1:11" ht="42" customHeight="1">
      <c r="A2091" s="2" t="s">
        <v>5934</v>
      </c>
      <c r="B2091" s="2" t="s">
        <v>5935</v>
      </c>
      <c r="C2091" s="2" t="s">
        <v>26</v>
      </c>
      <c r="D2091" s="2" t="s">
        <v>39</v>
      </c>
      <c r="E2091" s="4">
        <v>-32661</v>
      </c>
      <c r="F2091" s="3" t="s">
        <v>157</v>
      </c>
      <c r="G2091" s="3" t="s">
        <v>592</v>
      </c>
      <c r="H2091" s="2" t="s">
        <v>74</v>
      </c>
      <c r="I2091" s="2" t="s">
        <v>5936</v>
      </c>
      <c r="J2091" s="3" t="str">
        <f>HYPERLINK("https://www.boe.es/gazeta/dias/1810/07/29/pdfs/GMD-C-1810-210.pdf#page=2","Abrir facsímil")</f>
        <v>Abrir facsímil</v>
      </c>
      <c r="K2091" s="3" t="s">
        <v>76</v>
      </c>
    </row>
    <row r="2092" spans="1:11" ht="42" customHeight="1">
      <c r="A2092" s="2" t="s">
        <v>5937</v>
      </c>
      <c r="B2092" s="2" t="s">
        <v>5938</v>
      </c>
      <c r="C2092" s="2" t="s">
        <v>26</v>
      </c>
      <c r="D2092" s="2" t="s">
        <v>27</v>
      </c>
      <c r="E2092" s="4">
        <v>-32735</v>
      </c>
      <c r="F2092" s="3" t="s">
        <v>612</v>
      </c>
      <c r="G2092" s="3" t="s">
        <v>701</v>
      </c>
      <c r="H2092" s="2" t="s">
        <v>74</v>
      </c>
      <c r="I2092" s="2" t="s">
        <v>5939</v>
      </c>
      <c r="J2092" s="3" t="str">
        <f>HYPERLINK("https://www.boe.es/gazeta/dias/1810/05/16/pdfs/GMD-1810-136.pdf#page=4","Abrir facsímil")</f>
        <v>Abrir facsímil</v>
      </c>
      <c r="K2092" s="3" t="s">
        <v>76</v>
      </c>
    </row>
    <row r="2093" spans="1:11" ht="42" customHeight="1">
      <c r="A2093" s="2" t="s">
        <v>5940</v>
      </c>
      <c r="B2093" s="2" t="s">
        <v>5941</v>
      </c>
      <c r="C2093" s="2" t="s">
        <v>88</v>
      </c>
      <c r="D2093" s="2" t="s">
        <v>27</v>
      </c>
      <c r="E2093" s="4">
        <v>-32819</v>
      </c>
      <c r="F2093" s="3" t="s">
        <v>5942</v>
      </c>
      <c r="G2093" s="3" t="s">
        <v>70</v>
      </c>
      <c r="H2093" s="2" t="s">
        <v>74</v>
      </c>
      <c r="I2093" s="2" t="s">
        <v>5943</v>
      </c>
      <c r="J2093" s="3" t="str">
        <f>HYPERLINK("https://www.boe.es/gazeta/dias/1810/02/21/pdfs/GMD-1810-52.pdf#page=2","Abrir facsímil")</f>
        <v>Abrir facsímil</v>
      </c>
      <c r="K2093" s="3" t="s">
        <v>76</v>
      </c>
    </row>
    <row r="2094" spans="1:11" ht="42" customHeight="1">
      <c r="A2094" s="2" t="s">
        <v>5944</v>
      </c>
      <c r="B2094" s="2" t="s">
        <v>5945</v>
      </c>
      <c r="C2094" s="2" t="s">
        <v>26</v>
      </c>
      <c r="D2094" s="2" t="s">
        <v>18</v>
      </c>
      <c r="E2094" s="4">
        <v>-32661</v>
      </c>
      <c r="F2094" s="3" t="s">
        <v>157</v>
      </c>
      <c r="G2094" s="3" t="s">
        <v>592</v>
      </c>
      <c r="H2094" s="2" t="s">
        <v>74</v>
      </c>
      <c r="I2094" s="2" t="s">
        <v>5946</v>
      </c>
      <c r="J2094" s="3" t="str">
        <f>HYPERLINK("https://www.boe.es/gazeta/dias/1810/07/29/pdfs/GMD-C-1810-210.pdf#page=2","Abrir facsímil")</f>
        <v>Abrir facsímil</v>
      </c>
      <c r="K2094" s="3" t="s">
        <v>76</v>
      </c>
    </row>
    <row r="2095" spans="1:11" ht="42" customHeight="1">
      <c r="A2095" s="2" t="s">
        <v>5947</v>
      </c>
      <c r="B2095" s="2" t="s">
        <v>5948</v>
      </c>
      <c r="C2095" s="2" t="s">
        <v>195</v>
      </c>
      <c r="D2095" s="2" t="s">
        <v>27</v>
      </c>
      <c r="E2095" s="4">
        <v>-32802</v>
      </c>
      <c r="F2095" s="3" t="s">
        <v>1075</v>
      </c>
      <c r="G2095" s="3" t="s">
        <v>213</v>
      </c>
      <c r="H2095" s="2" t="s">
        <v>74</v>
      </c>
      <c r="I2095" s="2" t="s">
        <v>5949</v>
      </c>
      <c r="J2095" s="3" t="str">
        <f>HYPERLINK("https://www.boe.es/gazeta/dias/1810/03/10/pdfs/GMD-1810-69.pdf#page=4","Abrir facsímil")</f>
        <v>Abrir facsímil</v>
      </c>
      <c r="K2095" s="3" t="s">
        <v>76</v>
      </c>
    </row>
    <row r="2096" spans="1:11" ht="42" customHeight="1">
      <c r="A2096" s="2" t="s">
        <v>5947</v>
      </c>
      <c r="B2096" s="2" t="s">
        <v>5948</v>
      </c>
      <c r="C2096" s="2" t="s">
        <v>26</v>
      </c>
      <c r="D2096" s="2" t="s">
        <v>27</v>
      </c>
      <c r="E2096" s="4">
        <v>-32800</v>
      </c>
      <c r="F2096" s="3" t="s">
        <v>388</v>
      </c>
      <c r="G2096" s="3" t="s">
        <v>90</v>
      </c>
      <c r="H2096" s="2" t="s">
        <v>74</v>
      </c>
      <c r="I2096" s="2" t="s">
        <v>5950</v>
      </c>
      <c r="J2096" s="3" t="str">
        <f>HYPERLINK("https://www.boe.es/gazeta/dias/1810/03/12/pdfs/GMD-1810-71.pdf#page=4","Abrir facsímil")</f>
        <v>Abrir facsímil</v>
      </c>
      <c r="K2096" s="3" t="s">
        <v>76</v>
      </c>
    </row>
    <row r="2097" spans="1:11" ht="42" customHeight="1">
      <c r="A2097" s="2" t="s">
        <v>5947</v>
      </c>
      <c r="B2097" s="2" t="s">
        <v>5948</v>
      </c>
      <c r="C2097" s="2" t="s">
        <v>26</v>
      </c>
      <c r="D2097" s="2" t="s">
        <v>27</v>
      </c>
      <c r="E2097" s="4">
        <v>-32798</v>
      </c>
      <c r="F2097" s="3" t="s">
        <v>2002</v>
      </c>
      <c r="G2097" s="3" t="s">
        <v>90</v>
      </c>
      <c r="H2097" s="2" t="s">
        <v>74</v>
      </c>
      <c r="I2097" s="2" t="s">
        <v>5951</v>
      </c>
      <c r="J2097" s="3" t="str">
        <f>HYPERLINK("https://www.boe.es/gazeta/dias/1810/03/14/pdfs/GMD-1810-73.pdf#page=4","Abrir facsímil")</f>
        <v>Abrir facsímil</v>
      </c>
      <c r="K2097" s="3" t="s">
        <v>76</v>
      </c>
    </row>
    <row r="2098" spans="1:11" ht="42" customHeight="1">
      <c r="A2098" s="2" t="s">
        <v>5952</v>
      </c>
      <c r="B2098" s="2" t="s">
        <v>5953</v>
      </c>
      <c r="C2098" s="2" t="s">
        <v>26</v>
      </c>
      <c r="D2098" s="2" t="s">
        <v>18</v>
      </c>
      <c r="E2098" s="4">
        <v>-32701</v>
      </c>
      <c r="F2098" s="3" t="s">
        <v>40</v>
      </c>
      <c r="G2098" s="3" t="s">
        <v>333</v>
      </c>
      <c r="H2098" s="2" t="s">
        <v>74</v>
      </c>
      <c r="I2098" s="2" t="s">
        <v>5954</v>
      </c>
      <c r="J2098" s="3" t="str">
        <f>HYPERLINK("https://www.boe.es/gazeta/dias/1810/06/19/pdfs/GMD-C-1810-170.pdf#page=4","Abrir facsímil")</f>
        <v>Abrir facsímil</v>
      </c>
      <c r="K2098" s="3" t="s">
        <v>76</v>
      </c>
    </row>
    <row r="2099" spans="1:11" ht="42" customHeight="1">
      <c r="A2099" s="2" t="s">
        <v>5955</v>
      </c>
      <c r="B2099" s="2" t="s">
        <v>5956</v>
      </c>
      <c r="C2099" s="2" t="s">
        <v>88</v>
      </c>
      <c r="D2099" s="2" t="s">
        <v>117</v>
      </c>
      <c r="E2099" s="4">
        <v>-32729</v>
      </c>
      <c r="F2099" s="3" t="s">
        <v>1025</v>
      </c>
      <c r="G2099" s="3" t="s">
        <v>735</v>
      </c>
      <c r="H2099" s="2" t="s">
        <v>74</v>
      </c>
      <c r="I2099" s="2" t="s">
        <v>5957</v>
      </c>
      <c r="J2099" s="3" t="str">
        <f>HYPERLINK("https://www.boe.es/gazeta/dias/1810/05/22/pdfs/GMD-1810-142.pdf#page=1","Abrir facsímil")</f>
        <v>Abrir facsímil</v>
      </c>
      <c r="K2099" s="3" t="s">
        <v>76</v>
      </c>
    </row>
    <row r="2100" spans="1:11" ht="42" customHeight="1">
      <c r="A2100" s="2" t="s">
        <v>5958</v>
      </c>
      <c r="B2100" s="2" t="s">
        <v>5959</v>
      </c>
      <c r="C2100" s="2" t="s">
        <v>225</v>
      </c>
      <c r="D2100" s="2" t="s">
        <v>117</v>
      </c>
      <c r="E2100" s="4">
        <v>-32644</v>
      </c>
      <c r="F2100" s="3" t="s">
        <v>457</v>
      </c>
      <c r="G2100" s="3" t="s">
        <v>90</v>
      </c>
      <c r="H2100" s="2" t="s">
        <v>74</v>
      </c>
      <c r="I2100" s="2" t="s">
        <v>5960</v>
      </c>
      <c r="J2100" s="3" t="str">
        <f>HYPERLINK("https://www.boe.es/gazeta/dias/1810/08/15/pdfs/GMD-1810-227.pdf#page=2","Abrir facsímil")</f>
        <v>Abrir facsímil</v>
      </c>
      <c r="K2100" s="3" t="s">
        <v>76</v>
      </c>
    </row>
    <row r="2101" spans="1:11" ht="42" customHeight="1">
      <c r="A2101" s="2" t="s">
        <v>5961</v>
      </c>
      <c r="B2101" s="2" t="s">
        <v>5962</v>
      </c>
      <c r="C2101" s="2" t="s">
        <v>26</v>
      </c>
      <c r="D2101" s="2" t="s">
        <v>27</v>
      </c>
      <c r="E2101" s="4">
        <v>-32608</v>
      </c>
      <c r="F2101" s="3" t="s">
        <v>781</v>
      </c>
      <c r="G2101" s="3" t="s">
        <v>782</v>
      </c>
      <c r="H2101" s="2" t="s">
        <v>74</v>
      </c>
      <c r="I2101" s="2" t="s">
        <v>5963</v>
      </c>
      <c r="J2101" s="3" t="str">
        <f>HYPERLINK("https://www.boe.es/gazeta/dias/1810/09/20/pdfs/GEI-1810-70.pdf#page=5","Abrir facsímil")</f>
        <v>Abrir facsímil</v>
      </c>
      <c r="K2101" s="3" t="s">
        <v>76</v>
      </c>
    </row>
    <row r="2102" spans="1:11" ht="42" customHeight="1">
      <c r="A2102" s="2" t="s">
        <v>5964</v>
      </c>
      <c r="B2102" s="2" t="s">
        <v>5965</v>
      </c>
      <c r="C2102" s="2" t="s">
        <v>88</v>
      </c>
      <c r="D2102" s="2" t="s">
        <v>27</v>
      </c>
      <c r="E2102" s="4">
        <v>-32603</v>
      </c>
      <c r="F2102" s="3" t="s">
        <v>2163</v>
      </c>
      <c r="G2102" s="3" t="s">
        <v>29</v>
      </c>
      <c r="H2102" s="2" t="s">
        <v>74</v>
      </c>
      <c r="I2102" s="2" t="s">
        <v>5966</v>
      </c>
      <c r="J2102" s="3" t="str">
        <f>HYPERLINK("https://www.boe.es/gazeta/dias/1810/09/25/pdfs/GEI-1810-72.pdf#page=8","Abrir facsímil")</f>
        <v>Abrir facsímil</v>
      </c>
      <c r="K2102" s="3" t="s">
        <v>76</v>
      </c>
    </row>
    <row r="2103" spans="1:11" ht="42" customHeight="1">
      <c r="A2103" s="2" t="s">
        <v>5967</v>
      </c>
      <c r="B2103" s="2" t="s">
        <v>5968</v>
      </c>
      <c r="C2103" s="2" t="s">
        <v>33</v>
      </c>
      <c r="D2103" s="2" t="s">
        <v>27</v>
      </c>
      <c r="E2103" s="4">
        <v>-32761</v>
      </c>
      <c r="F2103" s="3" t="s">
        <v>811</v>
      </c>
      <c r="G2103" s="3" t="s">
        <v>140</v>
      </c>
      <c r="H2103" s="2" t="s">
        <v>21</v>
      </c>
      <c r="I2103" s="2" t="s">
        <v>5969</v>
      </c>
      <c r="J2103" s="3" t="str">
        <f>HYPERLINK("https://www.boe.es/gazeta/dias/1810/04/20/pdfs/GEI-1810-16.pdf#page=8","Abrir facsímil")</f>
        <v>Abrir facsímil</v>
      </c>
      <c r="K2103" s="3" t="s">
        <v>23</v>
      </c>
    </row>
    <row r="2104" spans="1:11" ht="42" customHeight="1">
      <c r="A2104" s="2" t="s">
        <v>5970</v>
      </c>
      <c r="B2104" s="2" t="s">
        <v>5971</v>
      </c>
      <c r="C2104" s="2" t="s">
        <v>26</v>
      </c>
      <c r="D2104" s="2" t="s">
        <v>27</v>
      </c>
      <c r="E2104" s="4">
        <v>-32809</v>
      </c>
      <c r="F2104" s="3" t="s">
        <v>1873</v>
      </c>
      <c r="G2104" s="3" t="s">
        <v>735</v>
      </c>
      <c r="H2104" s="2" t="s">
        <v>74</v>
      </c>
      <c r="I2104" s="2" t="s">
        <v>5972</v>
      </c>
      <c r="J2104" s="3" t="str">
        <f>HYPERLINK("https://www.boe.es/gazeta/dias/1810/03/03/pdfs/GMD-1810-62.pdf#page=4","Abrir facsímil")</f>
        <v>Abrir facsímil</v>
      </c>
      <c r="K2104" s="3" t="s">
        <v>76</v>
      </c>
    </row>
    <row r="2105" spans="1:11" ht="42" customHeight="1">
      <c r="A2105" s="2" t="s">
        <v>5970</v>
      </c>
      <c r="B2105" s="2" t="s">
        <v>5971</v>
      </c>
      <c r="C2105" s="2" t="s">
        <v>26</v>
      </c>
      <c r="D2105" s="2" t="s">
        <v>39</v>
      </c>
      <c r="E2105" s="4">
        <v>-32701</v>
      </c>
      <c r="F2105" s="3" t="s">
        <v>40</v>
      </c>
      <c r="G2105" s="3" t="s">
        <v>315</v>
      </c>
      <c r="H2105" s="2" t="s">
        <v>74</v>
      </c>
      <c r="I2105" s="2" t="s">
        <v>5973</v>
      </c>
      <c r="J2105" s="3" t="str">
        <f>HYPERLINK("https://www.boe.es/gazeta/dias/1810/06/19/pdfs/GMD-C-1810-170.pdf#page=2","Abrir facsímil")</f>
        <v>Abrir facsímil</v>
      </c>
      <c r="K2105" s="3" t="s">
        <v>76</v>
      </c>
    </row>
    <row r="2106" spans="1:11" ht="42" customHeight="1">
      <c r="A2106" s="2" t="s">
        <v>5974</v>
      </c>
      <c r="B2106" s="2" t="s">
        <v>5975</v>
      </c>
      <c r="C2106" s="2" t="s">
        <v>26</v>
      </c>
      <c r="D2106" s="2" t="s">
        <v>27</v>
      </c>
      <c r="E2106" s="4">
        <v>-32633</v>
      </c>
      <c r="F2106" s="3" t="s">
        <v>1230</v>
      </c>
      <c r="G2106" s="3" t="s">
        <v>632</v>
      </c>
      <c r="H2106" s="2" t="s">
        <v>74</v>
      </c>
      <c r="I2106" s="2" t="s">
        <v>5976</v>
      </c>
      <c r="J2106" s="3" t="str">
        <f>HYPERLINK("https://www.boe.es/gazeta/dias/1810/08/26/pdfs/GMD-1810-238.pdf#page=4","Abrir facsímil")</f>
        <v>Abrir facsímil</v>
      </c>
      <c r="K2106" s="3" t="s">
        <v>76</v>
      </c>
    </row>
    <row r="2107" spans="1:11" ht="42" customHeight="1">
      <c r="A2107" s="2" t="s">
        <v>5977</v>
      </c>
      <c r="B2107" s="2" t="s">
        <v>5978</v>
      </c>
      <c r="C2107" s="2" t="s">
        <v>26</v>
      </c>
      <c r="D2107" s="2" t="s">
        <v>27</v>
      </c>
      <c r="E2107" s="4">
        <v>-32720</v>
      </c>
      <c r="F2107" s="3" t="s">
        <v>3377</v>
      </c>
      <c r="G2107" s="3" t="s">
        <v>3378</v>
      </c>
      <c r="H2107" s="2" t="s">
        <v>74</v>
      </c>
      <c r="I2107" s="2" t="s">
        <v>5979</v>
      </c>
      <c r="J2107" s="3" t="str">
        <f>HYPERLINK("https://www.boe.es/gazeta/dias/1810/05/31/pdfs/GMD-1810-151.pdf#page=4","Abrir facsímil")</f>
        <v>Abrir facsímil</v>
      </c>
      <c r="K2107" s="3" t="s">
        <v>76</v>
      </c>
    </row>
    <row r="2108" spans="1:11" ht="42" customHeight="1">
      <c r="A2108" s="2" t="s">
        <v>5980</v>
      </c>
      <c r="B2108" s="2" t="s">
        <v>5981</v>
      </c>
      <c r="C2108" s="2" t="s">
        <v>88</v>
      </c>
      <c r="D2108" s="2" t="s">
        <v>117</v>
      </c>
      <c r="E2108" s="4">
        <v>-32675</v>
      </c>
      <c r="F2108" s="3" t="s">
        <v>729</v>
      </c>
      <c r="G2108" s="3" t="s">
        <v>227</v>
      </c>
      <c r="H2108" s="2" t="s">
        <v>74</v>
      </c>
      <c r="I2108" s="2" t="s">
        <v>5982</v>
      </c>
      <c r="J2108" s="3" t="str">
        <f>HYPERLINK("https://www.boe.es/gazeta/dias/1810/07/15/pdfs/GMD-1810-196.pdf#page=3","Abrir facsímil")</f>
        <v>Abrir facsímil</v>
      </c>
      <c r="K2108" s="3" t="s">
        <v>76</v>
      </c>
    </row>
    <row r="2109" spans="1:11" ht="42" customHeight="1">
      <c r="A2109" s="2" t="s">
        <v>5983</v>
      </c>
      <c r="B2109" s="2" t="s">
        <v>5984</v>
      </c>
      <c r="C2109" s="2" t="s">
        <v>317</v>
      </c>
      <c r="D2109" s="2" t="s">
        <v>27</v>
      </c>
      <c r="E2109" s="4">
        <v>-32652</v>
      </c>
      <c r="F2109" s="3" t="s">
        <v>3295</v>
      </c>
      <c r="G2109" s="3" t="s">
        <v>5985</v>
      </c>
      <c r="H2109" s="2" t="s">
        <v>74</v>
      </c>
      <c r="I2109" s="2" t="s">
        <v>5986</v>
      </c>
      <c r="J2109" s="3" t="str">
        <f>HYPERLINK("https://www.boe.es/gazeta/dias/1810/08/07/pdfs/GEI-1810-52.pdf#page=1","Abrir facsímil")</f>
        <v>Abrir facsímil</v>
      </c>
      <c r="K2109" s="3" t="s">
        <v>76</v>
      </c>
    </row>
    <row r="2110" spans="1:11" ht="42" customHeight="1">
      <c r="A2110" s="2" t="s">
        <v>5987</v>
      </c>
      <c r="B2110" s="2" t="s">
        <v>5988</v>
      </c>
      <c r="C2110" s="2" t="s">
        <v>317</v>
      </c>
      <c r="D2110" s="2" t="s">
        <v>27</v>
      </c>
      <c r="E2110" s="4">
        <v>-32534</v>
      </c>
      <c r="F2110" s="3" t="s">
        <v>2242</v>
      </c>
      <c r="G2110" s="3" t="s">
        <v>35</v>
      </c>
      <c r="H2110" s="2" t="s">
        <v>74</v>
      </c>
      <c r="I2110" s="2" t="s">
        <v>5989</v>
      </c>
      <c r="J2110" s="3" t="str">
        <f>HYPERLINK("https://www.boe.es/gazeta/dias/1810/12/03/pdfs/GMD-1810-337.pdf#page=2","Abrir facsímil")</f>
        <v>Abrir facsímil</v>
      </c>
      <c r="K2110" s="3" t="s">
        <v>76</v>
      </c>
    </row>
    <row r="2111" spans="1:11" ht="42" customHeight="1">
      <c r="A2111" s="2" t="s">
        <v>5990</v>
      </c>
      <c r="B2111" s="2" t="s">
        <v>5991</v>
      </c>
      <c r="C2111" s="2" t="s">
        <v>317</v>
      </c>
      <c r="D2111" s="2" t="s">
        <v>27</v>
      </c>
      <c r="E2111" s="4">
        <v>-32652</v>
      </c>
      <c r="F2111" s="3" t="s">
        <v>3295</v>
      </c>
      <c r="G2111" s="3" t="s">
        <v>5985</v>
      </c>
      <c r="H2111" s="2" t="s">
        <v>74</v>
      </c>
      <c r="I2111" s="2" t="s">
        <v>5992</v>
      </c>
      <c r="J2111" s="3" t="str">
        <f>HYPERLINK("https://www.boe.es/gazeta/dias/1810/08/07/pdfs/GEI-1810-52.pdf#page=1","Abrir facsímil")</f>
        <v>Abrir facsímil</v>
      </c>
      <c r="K2111" s="3" t="s">
        <v>76</v>
      </c>
    </row>
    <row r="2112" spans="1:11" ht="42" customHeight="1">
      <c r="A2112" s="2" t="s">
        <v>5993</v>
      </c>
      <c r="B2112" s="2" t="s">
        <v>5994</v>
      </c>
      <c r="C2112" s="2" t="s">
        <v>26</v>
      </c>
      <c r="D2112" s="2" t="s">
        <v>18</v>
      </c>
      <c r="E2112" s="4">
        <v>-32829</v>
      </c>
      <c r="F2112" s="3" t="s">
        <v>1126</v>
      </c>
      <c r="G2112" s="3" t="s">
        <v>29</v>
      </c>
      <c r="H2112" s="2" t="s">
        <v>74</v>
      </c>
      <c r="I2112" s="2" t="s">
        <v>5995</v>
      </c>
      <c r="J2112" s="3" t="str">
        <f>HYPERLINK("https://www.boe.es/gazeta/dias/1810/02/11/pdfs/GMD-1810-42.pdf#page=2","Abrir facsímil")</f>
        <v>Abrir facsímil</v>
      </c>
      <c r="K2112" s="3" t="s">
        <v>76</v>
      </c>
    </row>
    <row r="2113" spans="1:11" ht="42" customHeight="1">
      <c r="A2113" s="2" t="s">
        <v>5996</v>
      </c>
      <c r="B2113" s="2" t="s">
        <v>5997</v>
      </c>
      <c r="C2113" s="2" t="s">
        <v>26</v>
      </c>
      <c r="D2113" s="2" t="s">
        <v>27</v>
      </c>
      <c r="E2113" s="4">
        <v>-32563</v>
      </c>
      <c r="F2113" s="3" t="s">
        <v>535</v>
      </c>
      <c r="G2113" s="3" t="s">
        <v>3597</v>
      </c>
      <c r="H2113" s="2" t="s">
        <v>74</v>
      </c>
      <c r="I2113" s="2" t="s">
        <v>5998</v>
      </c>
      <c r="J2113" s="3" t="str">
        <f>HYPERLINK("https://www.boe.es/gazeta/dias/1810/11/04/pdfs/GMD-1810-308.pdf#page=23","Abrir facsímil")</f>
        <v>Abrir facsímil</v>
      </c>
      <c r="K2113" s="3" t="s">
        <v>76</v>
      </c>
    </row>
    <row r="2114" spans="1:11" ht="42" customHeight="1">
      <c r="A2114" s="2" t="s">
        <v>5999</v>
      </c>
      <c r="B2114" s="2" t="s">
        <v>6000</v>
      </c>
      <c r="C2114" s="2" t="s">
        <v>225</v>
      </c>
      <c r="D2114" s="2" t="s">
        <v>27</v>
      </c>
      <c r="E2114" s="4">
        <v>-32792</v>
      </c>
      <c r="F2114" s="3" t="s">
        <v>4405</v>
      </c>
      <c r="G2114" s="3" t="s">
        <v>20</v>
      </c>
      <c r="H2114" s="2" t="s">
        <v>74</v>
      </c>
      <c r="I2114" s="2" t="s">
        <v>6001</v>
      </c>
      <c r="J2114" s="3" t="str">
        <f>HYPERLINK("https://www.boe.es/gazeta/dias/1810/03/20/pdfs/GMD-1810-79.pdf#page=4","Abrir facsímil")</f>
        <v>Abrir facsímil</v>
      </c>
      <c r="K2114" s="3" t="s">
        <v>76</v>
      </c>
    </row>
    <row r="2115" spans="1:11" ht="42" customHeight="1">
      <c r="A2115" s="2" t="s">
        <v>6002</v>
      </c>
      <c r="B2115" s="2" t="s">
        <v>6003</v>
      </c>
      <c r="C2115" s="2" t="s">
        <v>17</v>
      </c>
      <c r="D2115" s="2" t="s">
        <v>27</v>
      </c>
      <c r="E2115" s="4">
        <v>-32522</v>
      </c>
      <c r="F2115" s="3" t="s">
        <v>1168</v>
      </c>
      <c r="G2115" s="3" t="s">
        <v>90</v>
      </c>
      <c r="H2115" s="2" t="s">
        <v>74</v>
      </c>
      <c r="I2115" s="2" t="s">
        <v>6004</v>
      </c>
      <c r="J2115" s="3" t="str">
        <f>HYPERLINK("https://www.boe.es/gazeta/dias/1810/12/15/pdfs/GMD-1810-349.pdf#page=3","Abrir facsímil")</f>
        <v>Abrir facsímil</v>
      </c>
      <c r="K2115" s="3" t="s">
        <v>76</v>
      </c>
    </row>
    <row r="2116" spans="1:11" ht="42" customHeight="1">
      <c r="A2116" s="2" t="s">
        <v>6005</v>
      </c>
      <c r="B2116" s="2" t="s">
        <v>6006</v>
      </c>
      <c r="C2116" s="2" t="s">
        <v>26</v>
      </c>
      <c r="D2116" s="2" t="s">
        <v>27</v>
      </c>
      <c r="E2116" s="4">
        <v>-32591</v>
      </c>
      <c r="F2116" s="3" t="s">
        <v>377</v>
      </c>
      <c r="G2116" s="3" t="s">
        <v>140</v>
      </c>
      <c r="H2116" s="2" t="s">
        <v>74</v>
      </c>
      <c r="I2116" s="2" t="s">
        <v>6007</v>
      </c>
      <c r="J2116" s="3" t="str">
        <f>HYPERLINK("https://www.boe.es/gazeta/dias/1810/10/07/pdfs/GMD-1810-280.pdf#page=4","Abrir facsímil")</f>
        <v>Abrir facsímil</v>
      </c>
      <c r="K2116" s="3" t="s">
        <v>76</v>
      </c>
    </row>
    <row r="2117" spans="1:11" ht="42" customHeight="1">
      <c r="A2117" s="2" t="s">
        <v>6008</v>
      </c>
      <c r="B2117" s="2" t="s">
        <v>6009</v>
      </c>
      <c r="C2117" s="2" t="s">
        <v>33</v>
      </c>
      <c r="D2117" s="2" t="s">
        <v>18</v>
      </c>
      <c r="E2117" s="4">
        <v>-32860</v>
      </c>
      <c r="F2117" s="3" t="s">
        <v>504</v>
      </c>
      <c r="G2117" s="3" t="s">
        <v>90</v>
      </c>
      <c r="H2117" s="2" t="s">
        <v>74</v>
      </c>
      <c r="I2117" s="2" t="s">
        <v>6010</v>
      </c>
      <c r="J2117" s="3" t="str">
        <f>HYPERLINK("https://www.boe.es/gazeta/dias/1810/01/11/pdfs/GGB-1810-5.pdf#page=7","Abrir facsímil")</f>
        <v>Abrir facsímil</v>
      </c>
      <c r="K2117" s="3" t="s">
        <v>76</v>
      </c>
    </row>
    <row r="2118" spans="1:11" ht="42" customHeight="1">
      <c r="A2118" s="2" t="s">
        <v>6011</v>
      </c>
      <c r="B2118" s="2" t="s">
        <v>6012</v>
      </c>
      <c r="C2118" s="2" t="s">
        <v>88</v>
      </c>
      <c r="D2118" s="2" t="s">
        <v>27</v>
      </c>
      <c r="E2118" s="4">
        <v>-32714</v>
      </c>
      <c r="F2118" s="3" t="s">
        <v>977</v>
      </c>
      <c r="G2118" s="3" t="s">
        <v>180</v>
      </c>
      <c r="H2118" s="2" t="s">
        <v>21</v>
      </c>
      <c r="I2118" s="2" t="s">
        <v>6013</v>
      </c>
      <c r="J2118" s="3" t="str">
        <f>HYPERLINK("https://www.boe.es/gazeta/dias/1810/06/06/pdfs/GMD-1810-157.pdf#page=1","Abrir facsímil")</f>
        <v>Abrir facsímil</v>
      </c>
      <c r="K2118" s="3" t="s">
        <v>23</v>
      </c>
    </row>
    <row r="2119" spans="1:11" ht="42" customHeight="1">
      <c r="A2119" s="2" t="s">
        <v>6014</v>
      </c>
      <c r="B2119" s="2" t="s">
        <v>6015</v>
      </c>
      <c r="C2119" s="2" t="s">
        <v>26</v>
      </c>
      <c r="D2119" s="2" t="s">
        <v>220</v>
      </c>
      <c r="E2119" s="4">
        <v>-32653</v>
      </c>
      <c r="F2119" s="3" t="s">
        <v>1043</v>
      </c>
      <c r="G2119" s="3" t="s">
        <v>1044</v>
      </c>
      <c r="H2119" s="2" t="s">
        <v>21</v>
      </c>
      <c r="I2119" s="2" t="s">
        <v>6016</v>
      </c>
      <c r="J2119" s="3" t="str">
        <f>HYPERLINK("https://www.boe.es/gazeta/dias/1810/08/06/pdfs/GMD-1810-218.pdf#page=1","Abrir facsímil")</f>
        <v>Abrir facsímil</v>
      </c>
      <c r="K2119" s="3" t="s">
        <v>23</v>
      </c>
    </row>
    <row r="2120" spans="1:11" ht="42" customHeight="1">
      <c r="A2120" s="2" t="s">
        <v>6017</v>
      </c>
      <c r="B2120" s="2" t="s">
        <v>6018</v>
      </c>
      <c r="C2120" s="2" t="s">
        <v>26</v>
      </c>
      <c r="D2120" s="2" t="s">
        <v>27</v>
      </c>
      <c r="E2120" s="4">
        <v>-32700</v>
      </c>
      <c r="F2120" s="3" t="s">
        <v>89</v>
      </c>
      <c r="G2120" s="3" t="s">
        <v>29</v>
      </c>
      <c r="H2120" s="2" t="s">
        <v>74</v>
      </c>
      <c r="I2120" s="2" t="s">
        <v>6019</v>
      </c>
      <c r="J2120" s="3" t="str">
        <f>HYPERLINK("https://www.boe.es/gazeta/dias/1810/06/20/pdfs/GMD-1810-171.pdf#page=3","Abrir facsímil")</f>
        <v>Abrir facsímil</v>
      </c>
      <c r="K2120" s="3" t="s">
        <v>76</v>
      </c>
    </row>
    <row r="2121" spans="1:11" ht="42" customHeight="1">
      <c r="A2121" s="2" t="s">
        <v>6020</v>
      </c>
      <c r="B2121" s="2" t="s">
        <v>6021</v>
      </c>
      <c r="C2121" s="2" t="s">
        <v>26</v>
      </c>
      <c r="D2121" s="2" t="s">
        <v>39</v>
      </c>
      <c r="E2121" s="4">
        <v>-32749</v>
      </c>
      <c r="F2121" s="3" t="s">
        <v>803</v>
      </c>
      <c r="G2121" s="3" t="s">
        <v>213</v>
      </c>
      <c r="H2121" s="2" t="s">
        <v>74</v>
      </c>
      <c r="I2121" s="2" t="s">
        <v>6022</v>
      </c>
      <c r="J2121" s="3" t="str">
        <f>HYPERLINK("https://www.boe.es/gazeta/dias/1810/05/02/pdfs/GMD-C-1810-122.pdf#page=1","Abrir facsímil")</f>
        <v>Abrir facsímil</v>
      </c>
      <c r="K2121" s="3" t="s">
        <v>76</v>
      </c>
    </row>
    <row r="2122" spans="1:11" ht="42" customHeight="1">
      <c r="A2122" s="2" t="s">
        <v>6023</v>
      </c>
      <c r="B2122" s="2" t="s">
        <v>6024</v>
      </c>
      <c r="C2122" s="2" t="s">
        <v>225</v>
      </c>
      <c r="D2122" s="2" t="s">
        <v>117</v>
      </c>
      <c r="E2122" s="4">
        <v>-32743</v>
      </c>
      <c r="F2122" s="3" t="s">
        <v>2265</v>
      </c>
      <c r="G2122" s="3" t="s">
        <v>458</v>
      </c>
      <c r="H2122" s="2" t="s">
        <v>74</v>
      </c>
      <c r="I2122" s="2" t="s">
        <v>6025</v>
      </c>
      <c r="J2122" s="3" t="str">
        <f>HYPERLINK("https://www.boe.es/gazeta/dias/1810/05/08/pdfs/GEI-1810-22.pdf#page=7","Abrir facsímil")</f>
        <v>Abrir facsímil</v>
      </c>
      <c r="K2122" s="3" t="s">
        <v>76</v>
      </c>
    </row>
    <row r="2123" spans="1:11" ht="42" customHeight="1">
      <c r="A2123" s="2" t="s">
        <v>6026</v>
      </c>
      <c r="B2123" s="2" t="s">
        <v>6027</v>
      </c>
      <c r="C2123" s="2" t="s">
        <v>88</v>
      </c>
      <c r="D2123" s="2" t="s">
        <v>39</v>
      </c>
      <c r="E2123" s="4">
        <v>-32865</v>
      </c>
      <c r="F2123" s="3" t="s">
        <v>5499</v>
      </c>
      <c r="G2123" s="3" t="s">
        <v>29</v>
      </c>
      <c r="H2123" s="2" t="s">
        <v>74</v>
      </c>
      <c r="I2123" s="2" t="s">
        <v>6028</v>
      </c>
      <c r="J2123" s="3" t="str">
        <f>HYPERLINK("https://www.boe.es/gazeta/dias/1810/01/06/pdfs/GGB-E-1810-3.pdf#page=3","Abrir facsímil")</f>
        <v>Abrir facsímil</v>
      </c>
      <c r="K2123" s="3" t="s">
        <v>76</v>
      </c>
    </row>
    <row r="2124" spans="1:11" ht="42" customHeight="1">
      <c r="A2124" s="2" t="s">
        <v>6029</v>
      </c>
      <c r="B2124" s="2" t="s">
        <v>6030</v>
      </c>
      <c r="C2124" s="2" t="s">
        <v>26</v>
      </c>
      <c r="D2124" s="2" t="s">
        <v>39</v>
      </c>
      <c r="E2124" s="4">
        <v>-32702</v>
      </c>
      <c r="F2124" s="3" t="s">
        <v>179</v>
      </c>
      <c r="G2124" s="3" t="s">
        <v>213</v>
      </c>
      <c r="H2124" s="2" t="s">
        <v>21</v>
      </c>
      <c r="I2124" s="2" t="s">
        <v>6031</v>
      </c>
      <c r="J2124" s="3" t="str">
        <f>HYPERLINK("https://www.boe.es/gazeta/dias/1810/06/18/pdfs/GMD-C-1810-169.pdf#page=4","Abrir facsímil")</f>
        <v>Abrir facsímil</v>
      </c>
      <c r="K2124" s="3" t="s">
        <v>23</v>
      </c>
    </row>
    <row r="2125" spans="1:11" ht="42" customHeight="1">
      <c r="A2125" s="2" t="s">
        <v>6032</v>
      </c>
      <c r="B2125" s="2" t="s">
        <v>6033</v>
      </c>
      <c r="C2125" s="2" t="s">
        <v>26</v>
      </c>
      <c r="D2125" s="2" t="s">
        <v>27</v>
      </c>
      <c r="E2125" s="4">
        <v>-32595</v>
      </c>
      <c r="F2125" s="3" t="s">
        <v>700</v>
      </c>
      <c r="G2125" s="3" t="s">
        <v>701</v>
      </c>
      <c r="H2125" s="2" t="s">
        <v>74</v>
      </c>
      <c r="I2125" s="2" t="s">
        <v>6034</v>
      </c>
      <c r="J2125" s="3" t="str">
        <f>HYPERLINK("https://www.boe.es/gazeta/dias/1810/10/03/pdfs/GMD-1810-276.pdf#page=3","Abrir facsímil")</f>
        <v>Abrir facsímil</v>
      </c>
      <c r="K2125" s="3" t="s">
        <v>76</v>
      </c>
    </row>
    <row r="2126" spans="1:11" ht="42" customHeight="1">
      <c r="A2126" s="2" t="s">
        <v>6035</v>
      </c>
      <c r="B2126" s="2" t="s">
        <v>6036</v>
      </c>
      <c r="C2126" s="2" t="s">
        <v>88</v>
      </c>
      <c r="D2126" s="2" t="s">
        <v>27</v>
      </c>
      <c r="E2126" s="4">
        <v>-32735</v>
      </c>
      <c r="F2126" s="3" t="s">
        <v>612</v>
      </c>
      <c r="G2126" s="3" t="s">
        <v>359</v>
      </c>
      <c r="H2126" s="2" t="s">
        <v>74</v>
      </c>
      <c r="I2126" s="2" t="s">
        <v>6037</v>
      </c>
      <c r="J2126" s="3" t="str">
        <f>HYPERLINK("https://www.boe.es/gazeta/dias/1810/05/16/pdfs/GMD-1810-136.pdf#page=3","Abrir facsímil")</f>
        <v>Abrir facsímil</v>
      </c>
      <c r="K2126" s="3" t="s">
        <v>76</v>
      </c>
    </row>
    <row r="2127" spans="1:11" ht="42" customHeight="1">
      <c r="A2127" s="2" t="s">
        <v>6038</v>
      </c>
      <c r="B2127" s="2" t="s">
        <v>6039</v>
      </c>
      <c r="C2127" s="2" t="s">
        <v>26</v>
      </c>
      <c r="D2127" s="2" t="s">
        <v>39</v>
      </c>
      <c r="E2127" s="4">
        <v>-32702</v>
      </c>
      <c r="F2127" s="3" t="s">
        <v>179</v>
      </c>
      <c r="G2127" s="3" t="s">
        <v>517</v>
      </c>
      <c r="H2127" s="2" t="s">
        <v>74</v>
      </c>
      <c r="I2127" s="2" t="s">
        <v>6040</v>
      </c>
      <c r="J2127" s="3" t="str">
        <f>HYPERLINK("https://www.boe.es/gazeta/dias/1810/06/18/pdfs/GMD-C-1810-169.pdf#page=3","Abrir facsímil")</f>
        <v>Abrir facsímil</v>
      </c>
      <c r="K2127" s="3" t="s">
        <v>76</v>
      </c>
    </row>
    <row r="2128" spans="1:11" ht="42" customHeight="1">
      <c r="A2128" s="2" t="s">
        <v>6041</v>
      </c>
      <c r="B2128" s="2" t="s">
        <v>6042</v>
      </c>
      <c r="C2128" s="2" t="s">
        <v>26</v>
      </c>
      <c r="D2128" s="2" t="s">
        <v>39</v>
      </c>
      <c r="E2128" s="4">
        <v>-32749</v>
      </c>
      <c r="F2128" s="3" t="s">
        <v>803</v>
      </c>
      <c r="G2128" s="3" t="s">
        <v>213</v>
      </c>
      <c r="H2128" s="2" t="s">
        <v>74</v>
      </c>
      <c r="I2128" s="2" t="s">
        <v>6043</v>
      </c>
      <c r="J2128" s="3" t="str">
        <f>HYPERLINK("https://www.boe.es/gazeta/dias/1810/05/02/pdfs/GMD-C-1810-122.pdf#page=1","Abrir facsímil")</f>
        <v>Abrir facsímil</v>
      </c>
      <c r="K2128" s="3" t="s">
        <v>76</v>
      </c>
    </row>
    <row r="2129" spans="1:11" ht="42" customHeight="1">
      <c r="A2129" s="2" t="s">
        <v>6041</v>
      </c>
      <c r="B2129" s="2" t="s">
        <v>6042</v>
      </c>
      <c r="C2129" s="2" t="s">
        <v>26</v>
      </c>
      <c r="D2129" s="2" t="s">
        <v>27</v>
      </c>
      <c r="E2129" s="4">
        <v>-32607</v>
      </c>
      <c r="F2129" s="3" t="s">
        <v>6044</v>
      </c>
      <c r="G2129" s="3" t="s">
        <v>99</v>
      </c>
      <c r="H2129" s="2" t="s">
        <v>74</v>
      </c>
      <c r="I2129" s="2" t="s">
        <v>6045</v>
      </c>
      <c r="J2129" s="3" t="str">
        <f>HYPERLINK("https://www.boe.es/gazeta/dias/1810/09/21/pdfs/GMD-1810-264.pdf#page=3","Abrir facsímil")</f>
        <v>Abrir facsímil</v>
      </c>
      <c r="K2129" s="3" t="s">
        <v>76</v>
      </c>
    </row>
    <row r="2130" spans="1:11" ht="42" customHeight="1">
      <c r="A2130" s="2" t="s">
        <v>6046</v>
      </c>
      <c r="B2130" s="2" t="s">
        <v>6047</v>
      </c>
      <c r="C2130" s="2" t="s">
        <v>26</v>
      </c>
      <c r="D2130" s="2" t="s">
        <v>39</v>
      </c>
      <c r="E2130" s="4">
        <v>-32661</v>
      </c>
      <c r="F2130" s="3" t="s">
        <v>157</v>
      </c>
      <c r="G2130" s="3" t="s">
        <v>158</v>
      </c>
      <c r="H2130" s="2" t="s">
        <v>74</v>
      </c>
      <c r="I2130" s="2" t="s">
        <v>6048</v>
      </c>
      <c r="J2130" s="3" t="str">
        <f>HYPERLINK("https://www.boe.es/gazeta/dias/1810/07/29/pdfs/GMD-C-1810-210.pdf#page=1","Abrir facsímil")</f>
        <v>Abrir facsímil</v>
      </c>
      <c r="K2130" s="3" t="s">
        <v>76</v>
      </c>
    </row>
    <row r="2131" spans="1:11" ht="42" customHeight="1">
      <c r="A2131" s="2" t="s">
        <v>6049</v>
      </c>
      <c r="B2131" s="2" t="s">
        <v>6050</v>
      </c>
      <c r="C2131" s="2" t="s">
        <v>26</v>
      </c>
      <c r="D2131" s="2" t="s">
        <v>39</v>
      </c>
      <c r="E2131" s="4">
        <v>-32702</v>
      </c>
      <c r="F2131" s="3" t="s">
        <v>179</v>
      </c>
      <c r="G2131" s="3" t="s">
        <v>517</v>
      </c>
      <c r="H2131" s="2" t="s">
        <v>74</v>
      </c>
      <c r="I2131" s="2" t="s">
        <v>6051</v>
      </c>
      <c r="J2131" s="3" t="str">
        <f>HYPERLINK("https://www.boe.es/gazeta/dias/1810/06/18/pdfs/GMD-C-1810-169.pdf#page=3","Abrir facsímil")</f>
        <v>Abrir facsímil</v>
      </c>
      <c r="K2131" s="3" t="s">
        <v>76</v>
      </c>
    </row>
    <row r="2132" spans="1:11" ht="42" customHeight="1">
      <c r="A2132" s="2" t="s">
        <v>6052</v>
      </c>
      <c r="B2132" s="2" t="s">
        <v>6053</v>
      </c>
      <c r="C2132" s="2" t="s">
        <v>88</v>
      </c>
      <c r="D2132" s="2" t="s">
        <v>117</v>
      </c>
      <c r="E2132" s="4">
        <v>-32652</v>
      </c>
      <c r="F2132" s="3" t="s">
        <v>731</v>
      </c>
      <c r="G2132" s="3" t="s">
        <v>735</v>
      </c>
      <c r="H2132" s="2" t="s">
        <v>74</v>
      </c>
      <c r="I2132" s="2" t="s">
        <v>6054</v>
      </c>
      <c r="J2132" s="3" t="str">
        <f>HYPERLINK("https://www.boe.es/gazeta/dias/1810/08/07/pdfs/GMD-1810-219.pdf#page=4","Abrir facsímil")</f>
        <v>Abrir facsímil</v>
      </c>
      <c r="K2132" s="3" t="s">
        <v>76</v>
      </c>
    </row>
    <row r="2133" spans="1:11" ht="42" customHeight="1">
      <c r="A2133" s="2" t="s">
        <v>6055</v>
      </c>
      <c r="B2133" s="2" t="s">
        <v>6056</v>
      </c>
      <c r="C2133" s="2" t="s">
        <v>26</v>
      </c>
      <c r="D2133" s="2" t="s">
        <v>27</v>
      </c>
      <c r="E2133" s="4">
        <v>-32561</v>
      </c>
      <c r="F2133" s="3" t="s">
        <v>273</v>
      </c>
      <c r="G2133" s="3" t="s">
        <v>90</v>
      </c>
      <c r="H2133" s="2" t="s">
        <v>74</v>
      </c>
      <c r="I2133" s="2" t="s">
        <v>6057</v>
      </c>
      <c r="J2133" s="3" t="str">
        <f>HYPERLINK("https://www.boe.es/gazeta/dias/1810/11/06/pdfs/GEI-1810-91.pdf#page=3","Abrir facsímil")</f>
        <v>Abrir facsímil</v>
      </c>
      <c r="K2133" s="3" t="s">
        <v>76</v>
      </c>
    </row>
    <row r="2134" spans="1:11" ht="42" customHeight="1">
      <c r="A2134" s="2" t="s">
        <v>6058</v>
      </c>
      <c r="B2134" s="2" t="s">
        <v>6059</v>
      </c>
      <c r="C2134" s="2" t="s">
        <v>26</v>
      </c>
      <c r="D2134" s="2" t="s">
        <v>27</v>
      </c>
      <c r="E2134" s="4">
        <v>-32820</v>
      </c>
      <c r="F2134" s="3" t="s">
        <v>226</v>
      </c>
      <c r="G2134" s="3" t="s">
        <v>227</v>
      </c>
      <c r="H2134" s="2" t="s">
        <v>74</v>
      </c>
      <c r="I2134" s="2" t="s">
        <v>6060</v>
      </c>
      <c r="J2134" s="3" t="str">
        <f>HYPERLINK("https://www.boe.es/gazeta/dias/1810/02/20/pdfs/GMD-1810-51.pdf#page=4","Abrir facsímil")</f>
        <v>Abrir facsímil</v>
      </c>
      <c r="K2134" s="3" t="s">
        <v>76</v>
      </c>
    </row>
    <row r="2135" spans="1:11" ht="42" customHeight="1">
      <c r="A2135" s="2" t="s">
        <v>6061</v>
      </c>
      <c r="B2135" s="2" t="s">
        <v>6062</v>
      </c>
      <c r="C2135" s="2" t="s">
        <v>317</v>
      </c>
      <c r="D2135" s="2" t="s">
        <v>39</v>
      </c>
      <c r="E2135" s="4">
        <v>-32701</v>
      </c>
      <c r="F2135" s="3" t="s">
        <v>40</v>
      </c>
      <c r="G2135" s="3" t="s">
        <v>41</v>
      </c>
      <c r="H2135" s="2" t="s">
        <v>74</v>
      </c>
      <c r="I2135" s="2" t="s">
        <v>6063</v>
      </c>
      <c r="J2135" s="3" t="str">
        <f>HYPERLINK("https://www.boe.es/gazeta/dias/1810/06/19/pdfs/GMD-C-1810-170.pdf#page=3","Abrir facsímil")</f>
        <v>Abrir facsímil</v>
      </c>
      <c r="K2135" s="3" t="s">
        <v>76</v>
      </c>
    </row>
    <row r="2136" spans="1:11" ht="42" customHeight="1">
      <c r="A2136" s="2" t="s">
        <v>6064</v>
      </c>
      <c r="B2136" s="2" t="s">
        <v>6065</v>
      </c>
      <c r="C2136" s="2" t="s">
        <v>26</v>
      </c>
      <c r="D2136" s="2" t="s">
        <v>27</v>
      </c>
      <c r="E2136" s="4">
        <v>-32834</v>
      </c>
      <c r="F2136" s="3" t="s">
        <v>2746</v>
      </c>
      <c r="G2136" s="3" t="s">
        <v>29</v>
      </c>
      <c r="H2136" s="2" t="s">
        <v>74</v>
      </c>
      <c r="I2136" s="2" t="s">
        <v>6066</v>
      </c>
      <c r="J2136" s="3" t="str">
        <f>HYPERLINK("https://www.boe.es/gazeta/dias/1810/02/06/pdfs/GMD-1810-37.pdf#page=2","Abrir facsímil")</f>
        <v>Abrir facsímil</v>
      </c>
      <c r="K2136" s="3" t="s">
        <v>76</v>
      </c>
    </row>
    <row r="2137" spans="1:11" ht="42" customHeight="1">
      <c r="A2137" s="2" t="s">
        <v>6067</v>
      </c>
      <c r="B2137" s="2" t="s">
        <v>6068</v>
      </c>
      <c r="C2137" s="2" t="s">
        <v>88</v>
      </c>
      <c r="D2137" s="2" t="s">
        <v>18</v>
      </c>
      <c r="E2137" s="4">
        <v>-32704</v>
      </c>
      <c r="F2137" s="3" t="s">
        <v>94</v>
      </c>
      <c r="G2137" s="3" t="s">
        <v>20</v>
      </c>
      <c r="H2137" s="2" t="s">
        <v>74</v>
      </c>
      <c r="I2137" s="2" t="s">
        <v>6069</v>
      </c>
      <c r="J2137" s="3" t="str">
        <f>HYPERLINK("https://www.boe.es/gazeta/dias/1810/06/16/pdfs/GMD-1810-167.pdf#page=4","Abrir facsímil")</f>
        <v>Abrir facsímil</v>
      </c>
      <c r="K2137" s="3" t="s">
        <v>76</v>
      </c>
    </row>
    <row r="2138" spans="1:11" ht="42" customHeight="1">
      <c r="A2138" s="2" t="s">
        <v>6070</v>
      </c>
      <c r="B2138" s="2" t="s">
        <v>6071</v>
      </c>
      <c r="C2138" s="2" t="s">
        <v>26</v>
      </c>
      <c r="D2138" s="2" t="s">
        <v>27</v>
      </c>
      <c r="E2138" s="4">
        <v>-32526</v>
      </c>
      <c r="F2138" s="3" t="s">
        <v>530</v>
      </c>
      <c r="G2138" s="3" t="s">
        <v>636</v>
      </c>
      <c r="H2138" s="2" t="s">
        <v>74</v>
      </c>
      <c r="I2138" s="2" t="s">
        <v>6072</v>
      </c>
      <c r="J2138" s="3" t="str">
        <f>HYPERLINK("https://www.boe.es/gazeta/dias/1810/12/11/pdfs/GEI-1810-106.pdf#page=3","Abrir facsímil")</f>
        <v>Abrir facsímil</v>
      </c>
      <c r="K2138" s="3" t="s">
        <v>76</v>
      </c>
    </row>
    <row r="2139" spans="1:11" ht="42" customHeight="1">
      <c r="A2139" s="2" t="s">
        <v>6073</v>
      </c>
      <c r="B2139" s="2" t="s">
        <v>6074</v>
      </c>
      <c r="C2139" s="2" t="s">
        <v>26</v>
      </c>
      <c r="D2139" s="2" t="s">
        <v>39</v>
      </c>
      <c r="E2139" s="4">
        <v>-32701</v>
      </c>
      <c r="F2139" s="3" t="s">
        <v>40</v>
      </c>
      <c r="G2139" s="3" t="s">
        <v>41</v>
      </c>
      <c r="H2139" s="2" t="s">
        <v>74</v>
      </c>
      <c r="I2139" s="2" t="s">
        <v>6075</v>
      </c>
      <c r="J2139" s="3" t="str">
        <f>HYPERLINK("https://www.boe.es/gazeta/dias/1810/06/19/pdfs/GMD-C-1810-170.pdf#page=3","Abrir facsímil")</f>
        <v>Abrir facsímil</v>
      </c>
      <c r="K2139" s="3" t="s">
        <v>76</v>
      </c>
    </row>
    <row r="2140" spans="1:11" ht="42" customHeight="1">
      <c r="A2140" s="2" t="s">
        <v>6076</v>
      </c>
      <c r="B2140" s="2" t="s">
        <v>6077</v>
      </c>
      <c r="C2140" s="2" t="s">
        <v>225</v>
      </c>
      <c r="D2140" s="2" t="s">
        <v>117</v>
      </c>
      <c r="E2140" s="4">
        <v>-32691</v>
      </c>
      <c r="F2140" s="3" t="s">
        <v>727</v>
      </c>
      <c r="G2140" s="3" t="s">
        <v>807</v>
      </c>
      <c r="H2140" s="2" t="s">
        <v>74</v>
      </c>
      <c r="I2140" s="2" t="s">
        <v>6078</v>
      </c>
      <c r="J2140" s="3" t="str">
        <f>HYPERLINK("https://www.boe.es/gazeta/dias/1810/06/29/pdfs/GMD-1810-180.pdf#page=3","Abrir facsímil")</f>
        <v>Abrir facsímil</v>
      </c>
      <c r="K2140" s="3" t="s">
        <v>76</v>
      </c>
    </row>
    <row r="2141" spans="1:11" ht="42" customHeight="1">
      <c r="A2141" s="2" t="s">
        <v>6079</v>
      </c>
      <c r="B2141" s="2" t="s">
        <v>6080</v>
      </c>
      <c r="C2141" s="2" t="s">
        <v>88</v>
      </c>
      <c r="D2141" s="2" t="s">
        <v>117</v>
      </c>
      <c r="E2141" s="4">
        <v>-32645</v>
      </c>
      <c r="F2141" s="3" t="s">
        <v>122</v>
      </c>
      <c r="G2141" s="3" t="s">
        <v>147</v>
      </c>
      <c r="H2141" s="2" t="s">
        <v>74</v>
      </c>
      <c r="I2141" s="2" t="s">
        <v>6081</v>
      </c>
      <c r="J2141" s="3" t="str">
        <f>HYPERLINK("https://www.boe.es/gazeta/dias/1810/08/14/pdfs/GEI-1810-56.pdf#page=16","Abrir facsímil")</f>
        <v>Abrir facsímil</v>
      </c>
      <c r="K2141" s="3" t="s">
        <v>76</v>
      </c>
    </row>
    <row r="2142" spans="1:11" ht="42" customHeight="1">
      <c r="A2142" s="2" t="s">
        <v>6082</v>
      </c>
      <c r="B2142" s="2" t="s">
        <v>6083</v>
      </c>
      <c r="C2142" s="2" t="s">
        <v>26</v>
      </c>
      <c r="D2142" s="2" t="s">
        <v>27</v>
      </c>
      <c r="E2142" s="4">
        <v>-32684</v>
      </c>
      <c r="F2142" s="3" t="s">
        <v>1373</v>
      </c>
      <c r="G2142" s="3" t="s">
        <v>3538</v>
      </c>
      <c r="H2142" s="2" t="s">
        <v>74</v>
      </c>
      <c r="I2142" s="2" t="s">
        <v>6084</v>
      </c>
      <c r="J2142" s="3" t="str">
        <f>HYPERLINK("https://www.boe.es/gazeta/dias/1810/07/06/pdfs/GEI-1810-42.pdf#page=2","Abrir facsímil")</f>
        <v>Abrir facsímil</v>
      </c>
      <c r="K2142" s="3" t="s">
        <v>76</v>
      </c>
    </row>
    <row r="2143" spans="1:11" ht="42" customHeight="1">
      <c r="A2143" s="2" t="s">
        <v>6085</v>
      </c>
      <c r="B2143" s="2" t="s">
        <v>6086</v>
      </c>
      <c r="C2143" s="2" t="s">
        <v>26</v>
      </c>
      <c r="D2143" s="2" t="s">
        <v>27</v>
      </c>
      <c r="E2143" s="4">
        <v>-32526</v>
      </c>
      <c r="F2143" s="3" t="s">
        <v>530</v>
      </c>
      <c r="G2143" s="3" t="s">
        <v>531</v>
      </c>
      <c r="H2143" s="2" t="s">
        <v>74</v>
      </c>
      <c r="I2143" s="2" t="s">
        <v>6087</v>
      </c>
      <c r="J2143" s="3" t="str">
        <f>HYPERLINK("https://www.boe.es/gazeta/dias/1810/12/11/pdfs/GEI-1810-106.pdf#page=2","Abrir facsímil")</f>
        <v>Abrir facsímil</v>
      </c>
      <c r="K2143" s="3" t="s">
        <v>76</v>
      </c>
    </row>
    <row r="2144" spans="1:11" ht="42" customHeight="1">
      <c r="A2144" s="2" t="s">
        <v>6088</v>
      </c>
      <c r="B2144" s="2" t="s">
        <v>6089</v>
      </c>
      <c r="C2144" s="2" t="s">
        <v>26</v>
      </c>
      <c r="D2144" s="2" t="s">
        <v>39</v>
      </c>
      <c r="E2144" s="4">
        <v>-32702</v>
      </c>
      <c r="F2144" s="3" t="s">
        <v>179</v>
      </c>
      <c r="G2144" s="3" t="s">
        <v>517</v>
      </c>
      <c r="H2144" s="2" t="s">
        <v>74</v>
      </c>
      <c r="I2144" s="2" t="s">
        <v>6090</v>
      </c>
      <c r="J2144" s="3" t="str">
        <f>HYPERLINK("https://www.boe.es/gazeta/dias/1810/06/18/pdfs/GMD-C-1810-169.pdf#page=3","Abrir facsímil")</f>
        <v>Abrir facsímil</v>
      </c>
      <c r="K2144" s="3" t="s">
        <v>76</v>
      </c>
    </row>
    <row r="2145" spans="1:11" ht="42" customHeight="1">
      <c r="A2145" s="2" t="s">
        <v>6091</v>
      </c>
      <c r="B2145" s="2" t="s">
        <v>6092</v>
      </c>
      <c r="C2145" s="2" t="s">
        <v>26</v>
      </c>
      <c r="D2145" s="2" t="s">
        <v>39</v>
      </c>
      <c r="E2145" s="4">
        <v>-32702</v>
      </c>
      <c r="F2145" s="3" t="s">
        <v>179</v>
      </c>
      <c r="G2145" s="3" t="s">
        <v>180</v>
      </c>
      <c r="H2145" s="2" t="s">
        <v>74</v>
      </c>
      <c r="I2145" s="2" t="s">
        <v>6093</v>
      </c>
      <c r="J2145" s="3" t="str">
        <f>HYPERLINK("https://www.boe.es/gazeta/dias/1810/06/18/pdfs/GMD-C-1810-169.pdf#page=2","Abrir facsímil")</f>
        <v>Abrir facsímil</v>
      </c>
      <c r="K2145" s="3" t="s">
        <v>76</v>
      </c>
    </row>
    <row r="2146" spans="1:11" ht="42" customHeight="1">
      <c r="A2146" s="2" t="s">
        <v>6094</v>
      </c>
      <c r="B2146" s="2" t="s">
        <v>6095</v>
      </c>
      <c r="C2146" s="2" t="s">
        <v>26</v>
      </c>
      <c r="D2146" s="2" t="s">
        <v>18</v>
      </c>
      <c r="E2146" s="4">
        <v>-32741</v>
      </c>
      <c r="F2146" s="3" t="s">
        <v>98</v>
      </c>
      <c r="G2146" s="3" t="s">
        <v>99</v>
      </c>
      <c r="H2146" s="2" t="s">
        <v>21</v>
      </c>
      <c r="I2146" s="2" t="s">
        <v>6096</v>
      </c>
      <c r="J2146" s="3" t="str">
        <f>HYPERLINK("https://www.boe.es/gazeta/dias/1810/05/10/pdfs/GMD-1810-130.pdf#page=3","Abrir facsímil")</f>
        <v>Abrir facsímil</v>
      </c>
      <c r="K2146" s="3" t="s">
        <v>23</v>
      </c>
    </row>
    <row r="2147" spans="1:11" ht="42" customHeight="1">
      <c r="A2147" s="2" t="s">
        <v>6097</v>
      </c>
      <c r="B2147" s="2" t="s">
        <v>6098</v>
      </c>
      <c r="C2147" s="2" t="s">
        <v>26</v>
      </c>
      <c r="D2147" s="2" t="s">
        <v>27</v>
      </c>
      <c r="E2147" s="4">
        <v>-32839</v>
      </c>
      <c r="F2147" s="3" t="s">
        <v>28</v>
      </c>
      <c r="G2147" s="3" t="s">
        <v>29</v>
      </c>
      <c r="H2147" s="2" t="s">
        <v>74</v>
      </c>
      <c r="I2147" s="2" t="s">
        <v>6099</v>
      </c>
      <c r="J2147" s="3" t="str">
        <f>HYPERLINK("https://www.boe.es/gazeta/dias/1810/02/01/pdfs/GMD-1810-32.pdf#page=3","Abrir facsímil")</f>
        <v>Abrir facsímil</v>
      </c>
      <c r="K2147" s="3" t="s">
        <v>76</v>
      </c>
    </row>
    <row r="2148" spans="1:11" ht="42" customHeight="1">
      <c r="A2148" s="2" t="s">
        <v>6100</v>
      </c>
      <c r="B2148" s="2" t="s">
        <v>6101</v>
      </c>
      <c r="C2148" s="2" t="s">
        <v>225</v>
      </c>
      <c r="D2148" s="2" t="s">
        <v>27</v>
      </c>
      <c r="E2148" s="4">
        <v>-32581</v>
      </c>
      <c r="F2148" s="3" t="s">
        <v>6102</v>
      </c>
      <c r="G2148" s="3" t="s">
        <v>6103</v>
      </c>
      <c r="H2148" s="2" t="s">
        <v>74</v>
      </c>
      <c r="I2148" s="2" t="s">
        <v>6104</v>
      </c>
      <c r="J2148" s="3" t="str">
        <f>HYPERLINK("https://www.boe.es/gazeta/dias/1810/10/17/pdfs/GMD-1810-290.pdf#page=3","Abrir facsímil")</f>
        <v>Abrir facsímil</v>
      </c>
      <c r="K2148" s="3" t="s">
        <v>76</v>
      </c>
    </row>
    <row r="2149" spans="1:11" ht="42" customHeight="1">
      <c r="A2149" s="2" t="s">
        <v>6105</v>
      </c>
      <c r="B2149" s="2" t="s">
        <v>6106</v>
      </c>
      <c r="C2149" s="2" t="s">
        <v>33</v>
      </c>
      <c r="D2149" s="2" t="s">
        <v>18</v>
      </c>
      <c r="E2149" s="4">
        <v>-32601</v>
      </c>
      <c r="F2149" s="3" t="s">
        <v>392</v>
      </c>
      <c r="G2149" s="3" t="s">
        <v>35</v>
      </c>
      <c r="H2149" s="2" t="s">
        <v>74</v>
      </c>
      <c r="I2149" s="2" t="s">
        <v>6107</v>
      </c>
      <c r="J2149" s="3" t="str">
        <f>HYPERLINK("https://www.boe.es/gazeta/dias/1810/09/27/pdfs/GEI-1810-74E.pdf#page=2","Abrir facsímil")</f>
        <v>Abrir facsímil</v>
      </c>
      <c r="K2149" s="3" t="s">
        <v>76</v>
      </c>
    </row>
    <row r="2150" spans="1:11" ht="42" customHeight="1">
      <c r="A2150" s="2" t="s">
        <v>6108</v>
      </c>
      <c r="B2150" s="2" t="s">
        <v>6109</v>
      </c>
      <c r="C2150" s="2" t="s">
        <v>225</v>
      </c>
      <c r="D2150" s="2" t="s">
        <v>27</v>
      </c>
      <c r="E2150" s="4">
        <v>-32820</v>
      </c>
      <c r="F2150" s="3" t="s">
        <v>226</v>
      </c>
      <c r="G2150" s="3" t="s">
        <v>356</v>
      </c>
      <c r="H2150" s="2" t="s">
        <v>74</v>
      </c>
      <c r="I2150" s="2" t="s">
        <v>6110</v>
      </c>
      <c r="J2150" s="3" t="str">
        <f>HYPERLINK("https://www.boe.es/gazeta/dias/1810/02/20/pdfs/GMD-1810-51.pdf#page=3","Abrir facsímil")</f>
        <v>Abrir facsímil</v>
      </c>
      <c r="K2150" s="3" t="s">
        <v>76</v>
      </c>
    </row>
    <row r="2151" spans="1:11" ht="42" customHeight="1">
      <c r="A2151" s="2" t="s">
        <v>6111</v>
      </c>
      <c r="B2151" s="2" t="s">
        <v>6112</v>
      </c>
      <c r="C2151" s="2" t="s">
        <v>88</v>
      </c>
      <c r="D2151" s="2" t="s">
        <v>27</v>
      </c>
      <c r="E2151" s="4">
        <v>-32652</v>
      </c>
      <c r="F2151" s="3" t="s">
        <v>731</v>
      </c>
      <c r="G2151" s="3" t="s">
        <v>735</v>
      </c>
      <c r="H2151" s="2" t="s">
        <v>74</v>
      </c>
      <c r="I2151" s="2" t="s">
        <v>6113</v>
      </c>
      <c r="J2151" s="3" t="str">
        <f>HYPERLINK("https://www.boe.es/gazeta/dias/1810/08/07/pdfs/GMD-1810-219.pdf#page=4","Abrir facsímil")</f>
        <v>Abrir facsímil</v>
      </c>
      <c r="K2151" s="3" t="s">
        <v>76</v>
      </c>
    </row>
    <row r="2152" spans="1:11" ht="42" customHeight="1">
      <c r="A2152" s="2" t="s">
        <v>6114</v>
      </c>
      <c r="B2152" s="2" t="s">
        <v>6115</v>
      </c>
      <c r="C2152" s="2" t="s">
        <v>88</v>
      </c>
      <c r="D2152" s="2" t="s">
        <v>27</v>
      </c>
      <c r="E2152" s="4">
        <v>-32720</v>
      </c>
      <c r="F2152" s="3" t="s">
        <v>3377</v>
      </c>
      <c r="G2152" s="3" t="s">
        <v>3378</v>
      </c>
      <c r="H2152" s="2" t="s">
        <v>74</v>
      </c>
      <c r="I2152" s="2" t="s">
        <v>6116</v>
      </c>
      <c r="J2152" s="3" t="str">
        <f>HYPERLINK("https://www.boe.es/gazeta/dias/1810/05/31/pdfs/GMD-1810-151.pdf#page=4","Abrir facsímil")</f>
        <v>Abrir facsímil</v>
      </c>
      <c r="K2152" s="3" t="s">
        <v>76</v>
      </c>
    </row>
    <row r="2153" spans="1:11" ht="42" customHeight="1">
      <c r="A2153" s="2" t="s">
        <v>6117</v>
      </c>
      <c r="B2153" s="2" t="s">
        <v>6118</v>
      </c>
      <c r="C2153" s="2" t="s">
        <v>26</v>
      </c>
      <c r="D2153" s="2" t="s">
        <v>27</v>
      </c>
      <c r="E2153" s="4">
        <v>-32764</v>
      </c>
      <c r="F2153" s="3" t="s">
        <v>640</v>
      </c>
      <c r="G2153" s="3" t="s">
        <v>4676</v>
      </c>
      <c r="H2153" s="2" t="s">
        <v>74</v>
      </c>
      <c r="I2153" s="2" t="s">
        <v>6119</v>
      </c>
      <c r="J2153" s="3" t="str">
        <f>HYPERLINK("https://www.boe.es/gazeta/dias/1810/04/17/pdfs/GEI-1810-15.pdf#page=5","Abrir facsímil")</f>
        <v>Abrir facsímil</v>
      </c>
      <c r="K2153" s="3" t="s">
        <v>76</v>
      </c>
    </row>
    <row r="2154" spans="1:11" ht="42" customHeight="1">
      <c r="A2154" s="2" t="s">
        <v>6120</v>
      </c>
      <c r="B2154" s="2" t="s">
        <v>6121</v>
      </c>
      <c r="C2154" s="2" t="s">
        <v>88</v>
      </c>
      <c r="D2154" s="2" t="s">
        <v>117</v>
      </c>
      <c r="E2154" s="4">
        <v>-32764</v>
      </c>
      <c r="F2154" s="3" t="s">
        <v>640</v>
      </c>
      <c r="G2154" s="3" t="s">
        <v>6122</v>
      </c>
      <c r="H2154" s="2" t="s">
        <v>74</v>
      </c>
      <c r="I2154" s="2" t="s">
        <v>6123</v>
      </c>
      <c r="J2154" s="3" t="str">
        <f>HYPERLINK("https://www.boe.es/gazeta/dias/1810/04/17/pdfs/GEI-1810-15.pdf#page=4","Abrir facsímil")</f>
        <v>Abrir facsímil</v>
      </c>
      <c r="K2154" s="3" t="s">
        <v>76</v>
      </c>
    </row>
    <row r="2155" spans="1:11" ht="42" customHeight="1">
      <c r="A2155" s="2" t="s">
        <v>6124</v>
      </c>
      <c r="B2155" s="2" t="s">
        <v>6125</v>
      </c>
      <c r="C2155" s="2" t="s">
        <v>88</v>
      </c>
      <c r="D2155" s="2" t="s">
        <v>27</v>
      </c>
      <c r="E2155" s="4">
        <v>-32587</v>
      </c>
      <c r="F2155" s="3" t="s">
        <v>103</v>
      </c>
      <c r="G2155" s="3" t="s">
        <v>180</v>
      </c>
      <c r="H2155" s="2" t="s">
        <v>74</v>
      </c>
      <c r="I2155" s="2" t="s">
        <v>6126</v>
      </c>
      <c r="J2155" s="3" t="str">
        <f>HYPERLINK("https://www.boe.es/gazeta/dias/1810/10/11/pdfs/GEI-1810-80.pdf#page=8","Abrir facsímil")</f>
        <v>Abrir facsímil</v>
      </c>
      <c r="K2155" s="3" t="s">
        <v>76</v>
      </c>
    </row>
    <row r="2156" spans="1:11" ht="42" customHeight="1">
      <c r="A2156" s="2" t="s">
        <v>6124</v>
      </c>
      <c r="B2156" s="2" t="s">
        <v>6125</v>
      </c>
      <c r="C2156" s="2" t="s">
        <v>88</v>
      </c>
      <c r="D2156" s="2" t="s">
        <v>27</v>
      </c>
      <c r="E2156" s="4">
        <v>-32508</v>
      </c>
      <c r="F2156" s="3" t="s">
        <v>864</v>
      </c>
      <c r="G2156" s="3" t="s">
        <v>1764</v>
      </c>
      <c r="H2156" s="2" t="s">
        <v>74</v>
      </c>
      <c r="I2156" s="2" t="s">
        <v>6127</v>
      </c>
      <c r="J2156" s="3" t="str">
        <f>HYPERLINK("https://www.boe.es/gazeta/dias/1810/12/29/pdfs/GEI-1810-114.pdf#page=7","Abrir facsímil")</f>
        <v>Abrir facsímil</v>
      </c>
      <c r="K2156" s="3" t="s">
        <v>76</v>
      </c>
    </row>
    <row r="2157" spans="1:11" ht="42" customHeight="1">
      <c r="A2157" s="2" t="s">
        <v>6128</v>
      </c>
      <c r="B2157" s="2" t="s">
        <v>6129</v>
      </c>
      <c r="C2157" s="2" t="s">
        <v>26</v>
      </c>
      <c r="D2157" s="2" t="s">
        <v>27</v>
      </c>
      <c r="E2157" s="4">
        <v>-32557</v>
      </c>
      <c r="F2157" s="3" t="s">
        <v>837</v>
      </c>
      <c r="G2157" s="3" t="s">
        <v>2073</v>
      </c>
      <c r="H2157" s="2" t="s">
        <v>74</v>
      </c>
      <c r="I2157" s="2" t="s">
        <v>6130</v>
      </c>
      <c r="J2157" s="3" t="str">
        <f>HYPERLINK("https://www.boe.es/gazeta/dias/1810/11/10/pdfs/GEI-1810-93.pdf#page=7","Abrir facsímil")</f>
        <v>Abrir facsímil</v>
      </c>
      <c r="K2157" s="3" t="s">
        <v>76</v>
      </c>
    </row>
    <row r="2158" spans="1:11" ht="42" customHeight="1">
      <c r="A2158" s="2" t="s">
        <v>6131</v>
      </c>
      <c r="B2158" s="2" t="s">
        <v>6132</v>
      </c>
      <c r="C2158" s="2" t="s">
        <v>225</v>
      </c>
      <c r="D2158" s="2" t="s">
        <v>27</v>
      </c>
      <c r="E2158" s="4">
        <v>-32729</v>
      </c>
      <c r="F2158" s="3" t="s">
        <v>174</v>
      </c>
      <c r="G2158" s="3" t="s">
        <v>2671</v>
      </c>
      <c r="H2158" s="2" t="s">
        <v>74</v>
      </c>
      <c r="I2158" s="2" t="s">
        <v>6133</v>
      </c>
      <c r="J2158" s="3" t="str">
        <f>HYPERLINK("https://www.boe.es/gazeta/dias/1810/05/22/pdfs/GEI-1810-28.pdf#page=6","Abrir facsímil")</f>
        <v>Abrir facsímil</v>
      </c>
      <c r="K2158" s="3" t="s">
        <v>76</v>
      </c>
    </row>
    <row r="2159" spans="1:11" ht="42" customHeight="1">
      <c r="A2159" s="2" t="s">
        <v>6134</v>
      </c>
      <c r="B2159" s="2" t="s">
        <v>6135</v>
      </c>
      <c r="C2159" s="2" t="s">
        <v>26</v>
      </c>
      <c r="D2159" s="2" t="s">
        <v>27</v>
      </c>
      <c r="E2159" s="4">
        <v>-32809</v>
      </c>
      <c r="F2159" s="3" t="s">
        <v>1873</v>
      </c>
      <c r="G2159" s="3" t="s">
        <v>735</v>
      </c>
      <c r="H2159" s="2" t="s">
        <v>74</v>
      </c>
      <c r="I2159" s="2" t="s">
        <v>6136</v>
      </c>
      <c r="J2159" s="3" t="str">
        <f>HYPERLINK("https://www.boe.es/gazeta/dias/1810/03/03/pdfs/GMD-1810-62.pdf#page=4","Abrir facsímil")</f>
        <v>Abrir facsímil</v>
      </c>
      <c r="K2159" s="3" t="s">
        <v>76</v>
      </c>
    </row>
    <row r="2160" spans="1:11" ht="42" customHeight="1">
      <c r="A2160" s="2" t="s">
        <v>6137</v>
      </c>
      <c r="B2160" s="2" t="s">
        <v>6138</v>
      </c>
      <c r="C2160" s="2" t="s">
        <v>26</v>
      </c>
      <c r="D2160" s="2" t="s">
        <v>27</v>
      </c>
      <c r="E2160" s="4">
        <v>-32610</v>
      </c>
      <c r="F2160" s="3" t="s">
        <v>4991</v>
      </c>
      <c r="G2160" s="3" t="s">
        <v>6139</v>
      </c>
      <c r="H2160" s="2" t="s">
        <v>74</v>
      </c>
      <c r="I2160" s="2" t="s">
        <v>6140</v>
      </c>
      <c r="J2160" s="3" t="str">
        <f>HYPERLINK("https://www.boe.es/gazeta/dias/1810/09/18/pdfs/GEI-1810-69.pdf#page=11","Abrir facsímil")</f>
        <v>Abrir facsímil</v>
      </c>
      <c r="K2160" s="3" t="s">
        <v>76</v>
      </c>
    </row>
    <row r="2161" spans="1:11" ht="42" customHeight="1">
      <c r="A2161" s="2" t="s">
        <v>6141</v>
      </c>
      <c r="B2161" s="2" t="s">
        <v>6142</v>
      </c>
      <c r="C2161" s="2" t="s">
        <v>88</v>
      </c>
      <c r="D2161" s="2" t="s">
        <v>117</v>
      </c>
      <c r="E2161" s="4">
        <v>-32811</v>
      </c>
      <c r="F2161" s="3" t="s">
        <v>6143</v>
      </c>
      <c r="G2161" s="3" t="s">
        <v>99</v>
      </c>
      <c r="H2161" s="2" t="s">
        <v>74</v>
      </c>
      <c r="I2161" s="2" t="s">
        <v>6144</v>
      </c>
      <c r="J2161" s="3" t="str">
        <f>HYPERLINK("https://www.boe.es/gazeta/dias/1810/03/01/pdfs/GMD-1810-60.pdf#page=3","Abrir facsímil")</f>
        <v>Abrir facsímil</v>
      </c>
      <c r="K2161" s="3" t="s">
        <v>76</v>
      </c>
    </row>
    <row r="2162" spans="1:11" ht="42" customHeight="1">
      <c r="A2162" s="2" t="s">
        <v>6145</v>
      </c>
      <c r="B2162" s="2" t="s">
        <v>6146</v>
      </c>
      <c r="C2162" s="2" t="s">
        <v>930</v>
      </c>
      <c r="D2162" s="2" t="s">
        <v>18</v>
      </c>
      <c r="E2162" s="4">
        <v>-32582</v>
      </c>
      <c r="F2162" s="3" t="s">
        <v>3849</v>
      </c>
      <c r="G2162" s="3" t="s">
        <v>5822</v>
      </c>
      <c r="H2162" s="2" t="s">
        <v>74</v>
      </c>
      <c r="I2162" s="2" t="s">
        <v>6147</v>
      </c>
      <c r="J2162" s="3" t="str">
        <f>HYPERLINK("https://www.boe.es/gazeta/dias/1810/10/16/pdfs/GEI-1810-82.pdf#page=8","Abrir facsímil")</f>
        <v>Abrir facsímil</v>
      </c>
      <c r="K2162" s="3" t="s">
        <v>76</v>
      </c>
    </row>
    <row r="2163" spans="1:11" ht="42" customHeight="1">
      <c r="A2163" s="2" t="s">
        <v>6148</v>
      </c>
      <c r="B2163" s="2" t="s">
        <v>6149</v>
      </c>
      <c r="C2163" s="2" t="s">
        <v>26</v>
      </c>
      <c r="D2163" s="2" t="s">
        <v>27</v>
      </c>
      <c r="E2163" s="4">
        <v>-32543</v>
      </c>
      <c r="F2163" s="3" t="s">
        <v>69</v>
      </c>
      <c r="G2163" s="3" t="s">
        <v>70</v>
      </c>
      <c r="H2163" s="2" t="s">
        <v>74</v>
      </c>
      <c r="I2163" s="2" t="s">
        <v>6150</v>
      </c>
      <c r="J2163" s="3" t="str">
        <f>HYPERLINK("https://www.boe.es/gazeta/dias/1810/11/24/pdfs/GEI-1810-99.pdf#page=8","Abrir facsímil")</f>
        <v>Abrir facsímil</v>
      </c>
      <c r="K2163" s="3" t="s">
        <v>76</v>
      </c>
    </row>
    <row r="2164" spans="1:11" ht="42" customHeight="1">
      <c r="A2164" s="2" t="s">
        <v>6151</v>
      </c>
      <c r="B2164" s="2" t="s">
        <v>6152</v>
      </c>
      <c r="C2164" s="2" t="s">
        <v>26</v>
      </c>
      <c r="D2164" s="2" t="s">
        <v>27</v>
      </c>
      <c r="E2164" s="4">
        <v>-32772</v>
      </c>
      <c r="F2164" s="3" t="s">
        <v>398</v>
      </c>
      <c r="G2164" s="3" t="s">
        <v>99</v>
      </c>
      <c r="H2164" s="2" t="s">
        <v>74</v>
      </c>
      <c r="I2164" s="2" t="s">
        <v>6153</v>
      </c>
      <c r="J2164" s="3" t="str">
        <f>HYPERLINK("https://www.boe.es/gazeta/dias/1810/04/09/pdfs/GMD-1810-99.pdf#page=3","Abrir facsímil")</f>
        <v>Abrir facsímil</v>
      </c>
      <c r="K2164" s="3" t="s">
        <v>76</v>
      </c>
    </row>
    <row r="2165" spans="1:11" ht="42" customHeight="1">
      <c r="A2165" s="2" t="s">
        <v>6154</v>
      </c>
      <c r="B2165" s="2" t="s">
        <v>6155</v>
      </c>
      <c r="C2165" s="2" t="s">
        <v>26</v>
      </c>
      <c r="D2165" s="2" t="s">
        <v>18</v>
      </c>
      <c r="E2165" s="4">
        <v>-32829</v>
      </c>
      <c r="F2165" s="3" t="s">
        <v>1126</v>
      </c>
      <c r="G2165" s="3" t="s">
        <v>180</v>
      </c>
      <c r="H2165" s="2" t="s">
        <v>74</v>
      </c>
      <c r="I2165" s="2" t="s">
        <v>6156</v>
      </c>
      <c r="J2165" s="3" t="str">
        <f>HYPERLINK("https://www.boe.es/gazeta/dias/1810/02/11/pdfs/GMD-1810-42.pdf#page=4","Abrir facsímil")</f>
        <v>Abrir facsímil</v>
      </c>
      <c r="K2165" s="3" t="s">
        <v>76</v>
      </c>
    </row>
    <row r="2166" spans="1:11" ht="42" customHeight="1">
      <c r="A2166" s="2" t="s">
        <v>6157</v>
      </c>
      <c r="B2166" s="2" t="s">
        <v>6158</v>
      </c>
      <c r="C2166" s="2" t="s">
        <v>88</v>
      </c>
      <c r="D2166" s="2" t="s">
        <v>27</v>
      </c>
      <c r="E2166" s="4">
        <v>-32728</v>
      </c>
      <c r="F2166" s="3" t="s">
        <v>269</v>
      </c>
      <c r="G2166" s="3" t="s">
        <v>70</v>
      </c>
      <c r="H2166" s="2" t="s">
        <v>74</v>
      </c>
      <c r="I2166" s="2" t="s">
        <v>6159</v>
      </c>
      <c r="J2166" s="3" t="str">
        <f>HYPERLINK("https://www.boe.es/gazeta/dias/1810/05/23/pdfs/GMD-1810-143.pdf#page=4","Abrir facsímil")</f>
        <v>Abrir facsímil</v>
      </c>
      <c r="K2166" s="3" t="s">
        <v>76</v>
      </c>
    </row>
    <row r="2167" spans="1:11" ht="42" customHeight="1">
      <c r="A2167" s="2" t="s">
        <v>6160</v>
      </c>
      <c r="B2167" s="2" t="s">
        <v>6161</v>
      </c>
      <c r="C2167" s="2" t="s">
        <v>88</v>
      </c>
      <c r="D2167" s="2" t="s">
        <v>117</v>
      </c>
      <c r="E2167" s="4">
        <v>-32827</v>
      </c>
      <c r="F2167" s="3" t="s">
        <v>290</v>
      </c>
      <c r="G2167" s="3" t="s">
        <v>1322</v>
      </c>
      <c r="H2167" s="2" t="s">
        <v>74</v>
      </c>
      <c r="I2167" s="2" t="s">
        <v>6162</v>
      </c>
      <c r="J2167" s="3" t="str">
        <f>HYPERLINK("https://www.boe.es/gazeta/dias/1810/02/13/pdfs/GMD-1810-44.pdf#page=1","Abrir facsímil")</f>
        <v>Abrir facsímil</v>
      </c>
      <c r="K2167" s="3" t="s">
        <v>76</v>
      </c>
    </row>
    <row r="2168" spans="1:11" ht="42" customHeight="1">
      <c r="A2168" s="2" t="s">
        <v>6160</v>
      </c>
      <c r="B2168" s="2" t="s">
        <v>6161</v>
      </c>
      <c r="C2168" s="2" t="s">
        <v>88</v>
      </c>
      <c r="D2168" s="2" t="s">
        <v>27</v>
      </c>
      <c r="E2168" s="4">
        <v>-32823</v>
      </c>
      <c r="F2168" s="3" t="s">
        <v>4250</v>
      </c>
      <c r="G2168" s="3" t="s">
        <v>3296</v>
      </c>
      <c r="H2168" s="2" t="s">
        <v>74</v>
      </c>
      <c r="I2168" s="2" t="s">
        <v>6163</v>
      </c>
      <c r="J2168" s="3" t="str">
        <f>HYPERLINK("https://www.boe.es/gazeta/dias/1810/02/17/pdfs/GMD-1810-48.pdf#page=1","Abrir facsímil")</f>
        <v>Abrir facsímil</v>
      </c>
      <c r="K2168" s="3" t="s">
        <v>76</v>
      </c>
    </row>
    <row r="2169" spans="1:11" ht="42" customHeight="1">
      <c r="A2169" s="2" t="s">
        <v>6160</v>
      </c>
      <c r="B2169" s="2" t="s">
        <v>6161</v>
      </c>
      <c r="C2169" s="2" t="s">
        <v>88</v>
      </c>
      <c r="D2169" s="2" t="s">
        <v>117</v>
      </c>
      <c r="E2169" s="4">
        <v>-32778</v>
      </c>
      <c r="F2169" s="3" t="s">
        <v>4255</v>
      </c>
      <c r="G2169" s="3" t="s">
        <v>6164</v>
      </c>
      <c r="H2169" s="2" t="s">
        <v>74</v>
      </c>
      <c r="I2169" s="2" t="s">
        <v>6165</v>
      </c>
      <c r="J2169" s="3" t="str">
        <f>HYPERLINK("https://www.boe.es/gazeta/dias/1810/04/03/pdfs/GMD-1810-93.pdf#page=1","Abrir facsímil")</f>
        <v>Abrir facsímil</v>
      </c>
      <c r="K2169" s="3" t="s">
        <v>76</v>
      </c>
    </row>
    <row r="2170" spans="1:11" ht="42" customHeight="1">
      <c r="A2170" s="2" t="s">
        <v>6166</v>
      </c>
      <c r="B2170" s="2" t="s">
        <v>6167</v>
      </c>
      <c r="C2170" s="2" t="s">
        <v>26</v>
      </c>
      <c r="D2170" s="2" t="s">
        <v>27</v>
      </c>
      <c r="E2170" s="4">
        <v>-32514</v>
      </c>
      <c r="F2170" s="3" t="s">
        <v>3658</v>
      </c>
      <c r="G2170" s="3" t="s">
        <v>213</v>
      </c>
      <c r="H2170" s="2" t="s">
        <v>74</v>
      </c>
      <c r="I2170" s="2" t="s">
        <v>6168</v>
      </c>
      <c r="J2170" s="3" t="str">
        <f>HYPERLINK("https://www.boe.es/gazeta/dias/1810/12/23/pdfs/GMD-1810-357.pdf#page=1","Abrir facsímil")</f>
        <v>Abrir facsímil</v>
      </c>
      <c r="K2170" s="3" t="s">
        <v>76</v>
      </c>
    </row>
    <row r="2171" spans="1:11" ht="42" customHeight="1">
      <c r="A2171" s="2" t="s">
        <v>6169</v>
      </c>
      <c r="B2171" s="2" t="s">
        <v>6170</v>
      </c>
      <c r="C2171" s="2" t="s">
        <v>26</v>
      </c>
      <c r="D2171" s="2" t="s">
        <v>27</v>
      </c>
      <c r="E2171" s="4">
        <v>-32803</v>
      </c>
      <c r="F2171" s="3" t="s">
        <v>4052</v>
      </c>
      <c r="G2171" s="3" t="s">
        <v>695</v>
      </c>
      <c r="H2171" s="2" t="s">
        <v>74</v>
      </c>
      <c r="I2171" s="2" t="s">
        <v>6171</v>
      </c>
      <c r="J2171" s="3" t="str">
        <f>HYPERLINK("https://www.boe.es/gazeta/dias/1810/03/09/pdfs/GMD-1810-68.pdf#page=4","Abrir facsímil")</f>
        <v>Abrir facsímil</v>
      </c>
      <c r="K2171" s="3" t="s">
        <v>76</v>
      </c>
    </row>
    <row r="2172" spans="1:11" ht="42" customHeight="1">
      <c r="A2172" s="2" t="s">
        <v>6169</v>
      </c>
      <c r="B2172" s="2" t="s">
        <v>6170</v>
      </c>
      <c r="C2172" s="2" t="s">
        <v>26</v>
      </c>
      <c r="D2172" s="2" t="s">
        <v>27</v>
      </c>
      <c r="E2172" s="4">
        <v>-32798</v>
      </c>
      <c r="F2172" s="3" t="s">
        <v>2002</v>
      </c>
      <c r="G2172" s="3" t="s">
        <v>90</v>
      </c>
      <c r="H2172" s="2" t="s">
        <v>74</v>
      </c>
      <c r="I2172" s="2" t="s">
        <v>6172</v>
      </c>
      <c r="J2172" s="3" t="str">
        <f>HYPERLINK("https://www.boe.es/gazeta/dias/1810/03/14/pdfs/GMD-1810-73.pdf#page=4","Abrir facsímil")</f>
        <v>Abrir facsímil</v>
      </c>
      <c r="K2172" s="3" t="s">
        <v>76</v>
      </c>
    </row>
    <row r="2173" spans="1:11" ht="42" customHeight="1">
      <c r="A2173" s="2" t="s">
        <v>6173</v>
      </c>
      <c r="B2173" s="2" t="s">
        <v>6174</v>
      </c>
      <c r="C2173" s="2" t="s">
        <v>225</v>
      </c>
      <c r="D2173" s="2" t="s">
        <v>117</v>
      </c>
      <c r="E2173" s="4">
        <v>-32542</v>
      </c>
      <c r="F2173" s="3" t="s">
        <v>6175</v>
      </c>
      <c r="G2173" s="3" t="s">
        <v>5985</v>
      </c>
      <c r="H2173" s="2" t="s">
        <v>74</v>
      </c>
      <c r="I2173" s="2" t="s">
        <v>6176</v>
      </c>
      <c r="J2173" s="3" t="str">
        <f>HYPERLINK("https://www.boe.es/gazeta/dias/1810/11/25/pdfs/GMD-1810-329.pdf#page=2","Abrir facsímil")</f>
        <v>Abrir facsímil</v>
      </c>
      <c r="K2173" s="3" t="s">
        <v>76</v>
      </c>
    </row>
    <row r="2174" spans="1:11" ht="42" customHeight="1">
      <c r="A2174" s="2" t="s">
        <v>6177</v>
      </c>
      <c r="B2174" s="2" t="s">
        <v>6178</v>
      </c>
      <c r="C2174" s="2" t="s">
        <v>195</v>
      </c>
      <c r="D2174" s="2" t="s">
        <v>27</v>
      </c>
      <c r="E2174" s="4">
        <v>-32784</v>
      </c>
      <c r="F2174" s="3" t="s">
        <v>429</v>
      </c>
      <c r="G2174" s="3" t="s">
        <v>1821</v>
      </c>
      <c r="H2174" s="2" t="s">
        <v>74</v>
      </c>
      <c r="I2174" s="2" t="s">
        <v>6179</v>
      </c>
      <c r="J2174" s="3" t="str">
        <f>HYPERLINK("https://www.boe.es/gazeta/dias/1810/03/28/pdfs/GMD-1810-87.pdf#page=4","Abrir facsímil")</f>
        <v>Abrir facsímil</v>
      </c>
      <c r="K2174" s="3" t="s">
        <v>76</v>
      </c>
    </row>
    <row r="2175" spans="1:11" ht="42" customHeight="1">
      <c r="A2175" s="2" t="s">
        <v>6180</v>
      </c>
      <c r="B2175" s="2" t="s">
        <v>6181</v>
      </c>
      <c r="C2175" s="2" t="s">
        <v>88</v>
      </c>
      <c r="D2175" s="2" t="s">
        <v>27</v>
      </c>
      <c r="E2175" s="4">
        <v>-32763</v>
      </c>
      <c r="F2175" s="3" t="s">
        <v>1146</v>
      </c>
      <c r="G2175" s="3" t="s">
        <v>140</v>
      </c>
      <c r="H2175" s="2" t="s">
        <v>74</v>
      </c>
      <c r="I2175" s="2" t="s">
        <v>6182</v>
      </c>
      <c r="J2175" s="3" t="str">
        <f>HYPERLINK("https://www.boe.es/gazeta/dias/1810/04/18/pdfs/GMD-1810-108.pdf#page=3","Abrir facsímil")</f>
        <v>Abrir facsímil</v>
      </c>
      <c r="K2175" s="3" t="s">
        <v>76</v>
      </c>
    </row>
    <row r="2176" spans="1:11" ht="42" customHeight="1">
      <c r="A2176" s="2" t="s">
        <v>6183</v>
      </c>
      <c r="B2176" s="2" t="s">
        <v>6184</v>
      </c>
      <c r="C2176" s="2" t="s">
        <v>225</v>
      </c>
      <c r="D2176" s="2" t="s">
        <v>27</v>
      </c>
      <c r="E2176" s="4">
        <v>-32766</v>
      </c>
      <c r="F2176" s="3" t="s">
        <v>492</v>
      </c>
      <c r="G2176" s="3" t="s">
        <v>291</v>
      </c>
      <c r="H2176" s="2" t="s">
        <v>74</v>
      </c>
      <c r="I2176" s="2" t="s">
        <v>6185</v>
      </c>
      <c r="J2176" s="3" t="str">
        <f>HYPERLINK("https://www.boe.es/gazeta/dias/1810/04/15/pdfs/GMD-1810-105.pdf#page=2","Abrir facsímil")</f>
        <v>Abrir facsímil</v>
      </c>
      <c r="K2176" s="3" t="s">
        <v>76</v>
      </c>
    </row>
    <row r="2177" spans="1:11" ht="42" customHeight="1">
      <c r="A2177" s="2" t="s">
        <v>6186</v>
      </c>
      <c r="B2177" s="2" t="s">
        <v>6187</v>
      </c>
      <c r="C2177" s="2" t="s">
        <v>26</v>
      </c>
      <c r="D2177" s="2" t="s">
        <v>27</v>
      </c>
      <c r="E2177" s="4">
        <v>-32710</v>
      </c>
      <c r="F2177" s="3" t="s">
        <v>126</v>
      </c>
      <c r="G2177" s="3" t="s">
        <v>20</v>
      </c>
      <c r="H2177" s="2" t="s">
        <v>74</v>
      </c>
      <c r="I2177" s="2" t="s">
        <v>6188</v>
      </c>
      <c r="J2177" s="3" t="str">
        <f>HYPERLINK("https://www.boe.es/gazeta/dias/1810/06/10/pdfs/GMD-1810-161.pdf#page=4","Abrir facsímil")</f>
        <v>Abrir facsímil</v>
      </c>
      <c r="K2177" s="3" t="s">
        <v>76</v>
      </c>
    </row>
    <row r="2178" spans="1:11" ht="42" customHeight="1">
      <c r="A2178" s="2" t="s">
        <v>6189</v>
      </c>
      <c r="B2178" s="2" t="s">
        <v>6190</v>
      </c>
      <c r="C2178" s="2" t="s">
        <v>26</v>
      </c>
      <c r="D2178" s="2" t="s">
        <v>27</v>
      </c>
      <c r="E2178" s="4">
        <v>-32575</v>
      </c>
      <c r="F2178" s="3" t="s">
        <v>135</v>
      </c>
      <c r="G2178" s="3" t="s">
        <v>140</v>
      </c>
      <c r="H2178" s="2" t="s">
        <v>74</v>
      </c>
      <c r="I2178" s="2" t="s">
        <v>6191</v>
      </c>
      <c r="J2178" s="3" t="str">
        <f>HYPERLINK("https://www.boe.es/gazeta/dias/1810/10/23/pdfs/GEI-1810-85.pdf#page=10","Abrir facsímil")</f>
        <v>Abrir facsímil</v>
      </c>
      <c r="K2178" s="3" t="s">
        <v>76</v>
      </c>
    </row>
    <row r="2179" spans="1:11" ht="42" customHeight="1">
      <c r="A2179" s="2" t="s">
        <v>6192</v>
      </c>
      <c r="B2179" s="2" t="s">
        <v>6193</v>
      </c>
      <c r="C2179" s="2" t="s">
        <v>26</v>
      </c>
      <c r="D2179" s="2" t="s">
        <v>39</v>
      </c>
      <c r="E2179" s="4">
        <v>-32702</v>
      </c>
      <c r="F2179" s="3" t="s">
        <v>179</v>
      </c>
      <c r="G2179" s="3" t="s">
        <v>180</v>
      </c>
      <c r="H2179" s="2" t="s">
        <v>74</v>
      </c>
      <c r="I2179" s="2" t="s">
        <v>6194</v>
      </c>
      <c r="J2179" s="3" t="str">
        <f>HYPERLINK("https://www.boe.es/gazeta/dias/1810/06/18/pdfs/GMD-C-1810-169.pdf#page=2","Abrir facsímil")</f>
        <v>Abrir facsímil</v>
      </c>
      <c r="K2179" s="3" t="s">
        <v>76</v>
      </c>
    </row>
    <row r="2180" spans="1:11" ht="42" customHeight="1">
      <c r="A2180" s="2" t="s">
        <v>6195</v>
      </c>
      <c r="B2180" s="2" t="s">
        <v>6196</v>
      </c>
      <c r="C2180" s="2" t="s">
        <v>26</v>
      </c>
      <c r="D2180" s="2" t="s">
        <v>27</v>
      </c>
      <c r="E2180" s="4">
        <v>-32526</v>
      </c>
      <c r="F2180" s="3" t="s">
        <v>530</v>
      </c>
      <c r="G2180" s="3" t="s">
        <v>531</v>
      </c>
      <c r="H2180" s="2" t="s">
        <v>74</v>
      </c>
      <c r="I2180" s="2" t="s">
        <v>6197</v>
      </c>
      <c r="J2180" s="3" t="str">
        <f>HYPERLINK("https://www.boe.es/gazeta/dias/1810/12/11/pdfs/GEI-1810-106.pdf#page=2","Abrir facsímil")</f>
        <v>Abrir facsímil</v>
      </c>
      <c r="K2180" s="3" t="s">
        <v>76</v>
      </c>
    </row>
    <row r="2181" spans="1:11" ht="42" customHeight="1">
      <c r="A2181" s="2" t="s">
        <v>6198</v>
      </c>
      <c r="B2181" s="2" t="s">
        <v>6199</v>
      </c>
      <c r="C2181" s="2" t="s">
        <v>88</v>
      </c>
      <c r="D2181" s="2" t="s">
        <v>27</v>
      </c>
      <c r="E2181" s="4">
        <v>-32721</v>
      </c>
      <c r="F2181" s="3" t="s">
        <v>3437</v>
      </c>
      <c r="G2181" s="3" t="s">
        <v>20</v>
      </c>
      <c r="H2181" s="2" t="s">
        <v>74</v>
      </c>
      <c r="I2181" s="2" t="s">
        <v>6200</v>
      </c>
      <c r="J2181" s="3" t="str">
        <f>HYPERLINK("https://www.boe.es/gazeta/dias/1810/05/30/pdfs/GMD-1810-150.pdf#page=4","Abrir facsímil")</f>
        <v>Abrir facsímil</v>
      </c>
      <c r="K2181" s="3" t="s">
        <v>76</v>
      </c>
    </row>
    <row r="2182" spans="1:11" ht="42" customHeight="1">
      <c r="A2182" s="2" t="s">
        <v>6201</v>
      </c>
      <c r="B2182" s="2" t="s">
        <v>6202</v>
      </c>
      <c r="C2182" s="2" t="s">
        <v>26</v>
      </c>
      <c r="D2182" s="2" t="s">
        <v>39</v>
      </c>
      <c r="E2182" s="4">
        <v>-32661</v>
      </c>
      <c r="F2182" s="3" t="s">
        <v>157</v>
      </c>
      <c r="G2182" s="3" t="s">
        <v>592</v>
      </c>
      <c r="H2182" s="2" t="s">
        <v>74</v>
      </c>
      <c r="I2182" s="2" t="s">
        <v>6203</v>
      </c>
      <c r="J2182" s="3" t="str">
        <f>HYPERLINK("https://www.boe.es/gazeta/dias/1810/07/29/pdfs/GMD-C-1810-210.pdf#page=2","Abrir facsímil")</f>
        <v>Abrir facsímil</v>
      </c>
      <c r="K2182" s="3" t="s">
        <v>76</v>
      </c>
    </row>
    <row r="2183" spans="1:11" ht="42" customHeight="1">
      <c r="A2183" s="2" t="s">
        <v>6204</v>
      </c>
      <c r="B2183" s="2" t="s">
        <v>6205</v>
      </c>
      <c r="C2183" s="2" t="s">
        <v>26</v>
      </c>
      <c r="D2183" s="2" t="s">
        <v>27</v>
      </c>
      <c r="E2183" s="4">
        <v>-32735</v>
      </c>
      <c r="F2183" s="3" t="s">
        <v>612</v>
      </c>
      <c r="G2183" s="3" t="s">
        <v>359</v>
      </c>
      <c r="H2183" s="2" t="s">
        <v>74</v>
      </c>
      <c r="I2183" s="2" t="s">
        <v>6206</v>
      </c>
      <c r="J2183" s="3" t="str">
        <f>HYPERLINK("https://www.boe.es/gazeta/dias/1810/05/16/pdfs/GMD-1810-136.pdf#page=3","Abrir facsímil")</f>
        <v>Abrir facsímil</v>
      </c>
      <c r="K2183" s="3" t="s">
        <v>76</v>
      </c>
    </row>
    <row r="2184" spans="1:11" ht="42" customHeight="1">
      <c r="A2184" s="2" t="s">
        <v>6207</v>
      </c>
      <c r="B2184" s="2" t="s">
        <v>6208</v>
      </c>
      <c r="C2184" s="2" t="s">
        <v>26</v>
      </c>
      <c r="D2184" s="2" t="s">
        <v>18</v>
      </c>
      <c r="E2184" s="4">
        <v>-32715</v>
      </c>
      <c r="F2184" s="3" t="s">
        <v>1029</v>
      </c>
      <c r="G2184" s="3" t="s">
        <v>6209</v>
      </c>
      <c r="H2184" s="2" t="s">
        <v>74</v>
      </c>
      <c r="I2184" s="2" t="s">
        <v>6210</v>
      </c>
      <c r="J2184" s="3" t="str">
        <f>HYPERLINK("https://www.boe.es/gazeta/dias/1810/06/05/pdfs/GEI-1810-33.pdf#page=6","Abrir facsímil")</f>
        <v>Abrir facsímil</v>
      </c>
      <c r="K2184" s="3" t="s">
        <v>76</v>
      </c>
    </row>
    <row r="2185" spans="1:11" ht="42" customHeight="1">
      <c r="A2185" s="2" t="s">
        <v>6211</v>
      </c>
      <c r="B2185" s="2" t="s">
        <v>6212</v>
      </c>
      <c r="C2185" s="2" t="s">
        <v>88</v>
      </c>
      <c r="D2185" s="2" t="s">
        <v>220</v>
      </c>
      <c r="E2185" s="4">
        <v>-32534</v>
      </c>
      <c r="F2185" s="3" t="s">
        <v>2242</v>
      </c>
      <c r="G2185" s="3" t="s">
        <v>35</v>
      </c>
      <c r="H2185" s="2" t="s">
        <v>74</v>
      </c>
      <c r="I2185" s="2" t="s">
        <v>6213</v>
      </c>
      <c r="J2185" s="3" t="str">
        <f>HYPERLINK("https://www.boe.es/gazeta/dias/1810/12/03/pdfs/GMD-1810-337.pdf#page=2","Abrir facsímil")</f>
        <v>Abrir facsímil</v>
      </c>
      <c r="K2185" s="3" t="s">
        <v>76</v>
      </c>
    </row>
    <row r="2186" spans="1:11" ht="42" customHeight="1">
      <c r="A2186" s="2" t="s">
        <v>6214</v>
      </c>
      <c r="B2186" s="2" t="s">
        <v>6215</v>
      </c>
      <c r="C2186" s="2" t="s">
        <v>225</v>
      </c>
      <c r="D2186" s="2" t="s">
        <v>27</v>
      </c>
      <c r="E2186" s="4">
        <v>-32660</v>
      </c>
      <c r="F2186" s="3" t="s">
        <v>6216</v>
      </c>
      <c r="G2186" s="3" t="s">
        <v>90</v>
      </c>
      <c r="H2186" s="2" t="s">
        <v>74</v>
      </c>
      <c r="I2186" s="2" t="s">
        <v>6217</v>
      </c>
      <c r="J2186" s="3" t="str">
        <f>HYPERLINK("https://www.boe.es/gazeta/dias/1810/07/30/pdfs/GMD-1810-211.pdf#page=2","Abrir facsímil")</f>
        <v>Abrir facsímil</v>
      </c>
      <c r="K2186" s="3" t="s">
        <v>76</v>
      </c>
    </row>
    <row r="2187" spans="1:11" ht="42" customHeight="1">
      <c r="A2187" s="2" t="s">
        <v>6218</v>
      </c>
      <c r="B2187" s="2" t="s">
        <v>6219</v>
      </c>
      <c r="C2187" s="2" t="s">
        <v>317</v>
      </c>
      <c r="D2187" s="2" t="s">
        <v>27</v>
      </c>
      <c r="E2187" s="4">
        <v>-32832</v>
      </c>
      <c r="F2187" s="3" t="s">
        <v>5089</v>
      </c>
      <c r="G2187" s="3" t="s">
        <v>140</v>
      </c>
      <c r="H2187" s="2" t="s">
        <v>74</v>
      </c>
      <c r="I2187" s="2" t="s">
        <v>6220</v>
      </c>
      <c r="J2187" s="3" t="str">
        <f>HYPERLINK("https://www.boe.es/gazeta/dias/1810/02/08/pdfs/GMD-1810-39.pdf#page=3","Abrir facsímil")</f>
        <v>Abrir facsímil</v>
      </c>
      <c r="K2187" s="3" t="s">
        <v>76</v>
      </c>
    </row>
    <row r="2188" spans="1:11" ht="42" customHeight="1">
      <c r="A2188" s="2" t="s">
        <v>6221</v>
      </c>
      <c r="B2188" s="2" t="s">
        <v>6222</v>
      </c>
      <c r="C2188" s="2" t="s">
        <v>26</v>
      </c>
      <c r="D2188" s="2" t="s">
        <v>39</v>
      </c>
      <c r="E2188" s="4">
        <v>-32701</v>
      </c>
      <c r="F2188" s="3" t="s">
        <v>40</v>
      </c>
      <c r="G2188" s="3" t="s">
        <v>315</v>
      </c>
      <c r="H2188" s="2" t="s">
        <v>74</v>
      </c>
      <c r="I2188" s="2" t="s">
        <v>6223</v>
      </c>
      <c r="J2188" s="3" t="str">
        <f>HYPERLINK("https://www.boe.es/gazeta/dias/1810/06/19/pdfs/GMD-C-1810-170.pdf#page=2","Abrir facsímil")</f>
        <v>Abrir facsímil</v>
      </c>
      <c r="K2188" s="3" t="s">
        <v>76</v>
      </c>
    </row>
    <row r="2189" spans="1:11" ht="42" customHeight="1">
      <c r="A2189" s="2" t="s">
        <v>6224</v>
      </c>
      <c r="B2189" s="2" t="s">
        <v>6225</v>
      </c>
      <c r="C2189" s="2" t="s">
        <v>26</v>
      </c>
      <c r="D2189" s="2" t="s">
        <v>27</v>
      </c>
      <c r="E2189" s="4">
        <v>-32526</v>
      </c>
      <c r="F2189" s="3" t="s">
        <v>530</v>
      </c>
      <c r="G2189" s="3" t="s">
        <v>531</v>
      </c>
      <c r="H2189" s="2" t="s">
        <v>74</v>
      </c>
      <c r="I2189" s="2" t="s">
        <v>6226</v>
      </c>
      <c r="J2189" s="3" t="str">
        <f>HYPERLINK("https://www.boe.es/gazeta/dias/1810/12/11/pdfs/GEI-1810-106.pdf#page=2","Abrir facsímil")</f>
        <v>Abrir facsímil</v>
      </c>
      <c r="K2189" s="3" t="s">
        <v>76</v>
      </c>
    </row>
    <row r="2190" spans="1:11" ht="42" customHeight="1">
      <c r="A2190" s="2" t="s">
        <v>6227</v>
      </c>
      <c r="B2190" s="2" t="s">
        <v>6228</v>
      </c>
      <c r="C2190" s="2" t="s">
        <v>26</v>
      </c>
      <c r="D2190" s="2" t="s">
        <v>39</v>
      </c>
      <c r="E2190" s="4">
        <v>-32701</v>
      </c>
      <c r="F2190" s="3" t="s">
        <v>40</v>
      </c>
      <c r="G2190" s="3" t="s">
        <v>41</v>
      </c>
      <c r="H2190" s="2" t="s">
        <v>74</v>
      </c>
      <c r="I2190" s="2" t="s">
        <v>6229</v>
      </c>
      <c r="J2190" s="3" t="str">
        <f>HYPERLINK("https://www.boe.es/gazeta/dias/1810/06/19/pdfs/GMD-C-1810-170.pdf#page=3","Abrir facsímil")</f>
        <v>Abrir facsímil</v>
      </c>
      <c r="K2190" s="3" t="s">
        <v>76</v>
      </c>
    </row>
    <row r="2191" spans="1:11" ht="42" customHeight="1">
      <c r="A2191" s="2" t="s">
        <v>6230</v>
      </c>
      <c r="B2191" s="2" t="s">
        <v>6231</v>
      </c>
      <c r="C2191" s="2" t="s">
        <v>26</v>
      </c>
      <c r="D2191" s="2" t="s">
        <v>27</v>
      </c>
      <c r="E2191" s="4">
        <v>-32722</v>
      </c>
      <c r="F2191" s="3" t="s">
        <v>856</v>
      </c>
      <c r="G2191" s="3" t="s">
        <v>668</v>
      </c>
      <c r="H2191" s="2" t="s">
        <v>74</v>
      </c>
      <c r="I2191" s="2" t="s">
        <v>6232</v>
      </c>
      <c r="J2191" s="3" t="str">
        <f>HYPERLINK("https://www.boe.es/gazeta/dias/1810/05/29/pdfs/GEI-1810-31.pdf#page=12","Abrir facsímil")</f>
        <v>Abrir facsímil</v>
      </c>
      <c r="K2191" s="3" t="s">
        <v>76</v>
      </c>
    </row>
    <row r="2192" spans="1:11" ht="42" customHeight="1">
      <c r="A2192" s="2" t="s">
        <v>6233</v>
      </c>
      <c r="B2192" s="2" t="s">
        <v>6234</v>
      </c>
      <c r="C2192" s="2" t="s">
        <v>26</v>
      </c>
      <c r="D2192" s="2" t="s">
        <v>18</v>
      </c>
      <c r="E2192" s="4">
        <v>-32701</v>
      </c>
      <c r="F2192" s="3" t="s">
        <v>40</v>
      </c>
      <c r="G2192" s="3" t="s">
        <v>333</v>
      </c>
      <c r="H2192" s="2" t="s">
        <v>74</v>
      </c>
      <c r="I2192" s="2" t="s">
        <v>6235</v>
      </c>
      <c r="J2192" s="3" t="str">
        <f>HYPERLINK("https://www.boe.es/gazeta/dias/1810/06/19/pdfs/GMD-C-1810-170.pdf#page=4","Abrir facsímil")</f>
        <v>Abrir facsímil</v>
      </c>
      <c r="K2192" s="3" t="s">
        <v>76</v>
      </c>
    </row>
    <row r="2193" spans="1:11" ht="42" customHeight="1">
      <c r="A2193" s="2" t="s">
        <v>6236</v>
      </c>
      <c r="B2193" s="2" t="s">
        <v>6237</v>
      </c>
      <c r="C2193" s="2" t="s">
        <v>26</v>
      </c>
      <c r="D2193" s="2" t="s">
        <v>27</v>
      </c>
      <c r="E2193" s="4">
        <v>-32722</v>
      </c>
      <c r="F2193" s="3" t="s">
        <v>856</v>
      </c>
      <c r="G2193" s="3" t="s">
        <v>857</v>
      </c>
      <c r="H2193" s="2" t="s">
        <v>74</v>
      </c>
      <c r="I2193" s="2" t="s">
        <v>6238</v>
      </c>
      <c r="J2193" s="3" t="str">
        <f>HYPERLINK("https://www.boe.es/gazeta/dias/1810/05/29/pdfs/GEI-1810-31.pdf#page=11","Abrir facsímil")</f>
        <v>Abrir facsímil</v>
      </c>
      <c r="K2193" s="3" t="s">
        <v>76</v>
      </c>
    </row>
    <row r="2194" spans="1:11" ht="42" customHeight="1">
      <c r="A2194" s="2" t="s">
        <v>6239</v>
      </c>
      <c r="B2194" s="2" t="s">
        <v>6240</v>
      </c>
      <c r="C2194" s="2" t="s">
        <v>88</v>
      </c>
      <c r="D2194" s="2" t="s">
        <v>117</v>
      </c>
      <c r="E2194" s="4">
        <v>-32716</v>
      </c>
      <c r="F2194" s="3" t="s">
        <v>624</v>
      </c>
      <c r="G2194" s="3" t="s">
        <v>140</v>
      </c>
      <c r="H2194" s="2" t="s">
        <v>74</v>
      </c>
      <c r="I2194" s="2" t="s">
        <v>6241</v>
      </c>
      <c r="J2194" s="3" t="str">
        <f>HYPERLINK("https://www.boe.es/gazeta/dias/1810/06/04/pdfs/GMD-1810-155.pdf#page=4","Abrir facsímil")</f>
        <v>Abrir facsímil</v>
      </c>
      <c r="K2194" s="3" t="s">
        <v>76</v>
      </c>
    </row>
    <row r="2195" spans="1:11" ht="42" customHeight="1">
      <c r="A2195" s="2" t="s">
        <v>6242</v>
      </c>
      <c r="B2195" s="2" t="s">
        <v>6243</v>
      </c>
      <c r="C2195" s="2" t="s">
        <v>26</v>
      </c>
      <c r="D2195" s="2" t="s">
        <v>39</v>
      </c>
      <c r="E2195" s="4">
        <v>-32701</v>
      </c>
      <c r="F2195" s="3" t="s">
        <v>40</v>
      </c>
      <c r="G2195" s="3" t="s">
        <v>170</v>
      </c>
      <c r="H2195" s="2" t="s">
        <v>74</v>
      </c>
      <c r="I2195" s="2" t="s">
        <v>6244</v>
      </c>
      <c r="J2195" s="3" t="str">
        <f>HYPERLINK("https://www.boe.es/gazeta/dias/1810/06/19/pdfs/GMD-C-1810-170.pdf#page=1","Abrir facsímil")</f>
        <v>Abrir facsímil</v>
      </c>
      <c r="K2195" s="3" t="s">
        <v>76</v>
      </c>
    </row>
    <row r="2196" spans="1:11" ht="42" customHeight="1">
      <c r="A2196" s="2" t="s">
        <v>6245</v>
      </c>
      <c r="B2196" s="2" t="s">
        <v>6246</v>
      </c>
      <c r="C2196" s="2" t="s">
        <v>88</v>
      </c>
      <c r="D2196" s="2" t="s">
        <v>117</v>
      </c>
      <c r="E2196" s="4">
        <v>-32566</v>
      </c>
      <c r="F2196" s="3" t="s">
        <v>649</v>
      </c>
      <c r="G2196" s="3" t="s">
        <v>650</v>
      </c>
      <c r="H2196" s="2" t="s">
        <v>74</v>
      </c>
      <c r="I2196" s="2" t="s">
        <v>6247</v>
      </c>
      <c r="J2196" s="3" t="str">
        <f>HYPERLINK("https://www.boe.es/gazeta/dias/1810/11/01/pdfs/GEI-1810-89.pdf#page=6","Abrir facsímil")</f>
        <v>Abrir facsímil</v>
      </c>
      <c r="K2196" s="3" t="s">
        <v>76</v>
      </c>
    </row>
    <row r="2197" spans="1:11" ht="42" customHeight="1">
      <c r="A2197" s="2" t="s">
        <v>6248</v>
      </c>
      <c r="B2197" s="2" t="s">
        <v>6249</v>
      </c>
      <c r="C2197" s="2" t="s">
        <v>26</v>
      </c>
      <c r="D2197" s="2" t="s">
        <v>27</v>
      </c>
      <c r="E2197" s="4">
        <v>-32582</v>
      </c>
      <c r="F2197" s="3" t="s">
        <v>3849</v>
      </c>
      <c r="G2197" s="3" t="s">
        <v>5822</v>
      </c>
      <c r="H2197" s="2" t="s">
        <v>74</v>
      </c>
      <c r="I2197" s="2" t="s">
        <v>6250</v>
      </c>
      <c r="J2197" s="3" t="str">
        <f>HYPERLINK("https://www.boe.es/gazeta/dias/1810/10/16/pdfs/GEI-1810-82.pdf#page=8","Abrir facsímil")</f>
        <v>Abrir facsímil</v>
      </c>
      <c r="K2197" s="3" t="s">
        <v>76</v>
      </c>
    </row>
    <row r="2198" spans="1:11" ht="42" customHeight="1">
      <c r="A2198" s="2" t="s">
        <v>6251</v>
      </c>
      <c r="B2198" s="2" t="s">
        <v>6252</v>
      </c>
      <c r="C2198" s="2" t="s">
        <v>88</v>
      </c>
      <c r="D2198" s="2" t="s">
        <v>18</v>
      </c>
      <c r="E2198" s="4">
        <v>-32519</v>
      </c>
      <c r="F2198" s="3" t="s">
        <v>2299</v>
      </c>
      <c r="G2198" s="3" t="s">
        <v>2300</v>
      </c>
      <c r="H2198" s="2" t="s">
        <v>74</v>
      </c>
      <c r="I2198" s="2" t="s">
        <v>6253</v>
      </c>
      <c r="J2198" s="3" t="str">
        <f>HYPERLINK("https://www.boe.es/gazeta/dias/1810/12/18/pdfs/GEI-1810-109.pdf#page=8","Abrir facsímil")</f>
        <v>Abrir facsímil</v>
      </c>
      <c r="K2198" s="3" t="s">
        <v>76</v>
      </c>
    </row>
    <row r="2199" spans="1:11" ht="42" customHeight="1">
      <c r="A2199" s="2" t="s">
        <v>6254</v>
      </c>
      <c r="B2199" s="2" t="s">
        <v>6255</v>
      </c>
      <c r="C2199" s="2" t="s">
        <v>26</v>
      </c>
      <c r="D2199" s="2" t="s">
        <v>18</v>
      </c>
      <c r="E2199" s="4">
        <v>-32701</v>
      </c>
      <c r="F2199" s="3" t="s">
        <v>40</v>
      </c>
      <c r="G2199" s="3" t="s">
        <v>333</v>
      </c>
      <c r="H2199" s="2" t="s">
        <v>74</v>
      </c>
      <c r="I2199" s="2" t="s">
        <v>6256</v>
      </c>
      <c r="J2199" s="3" t="str">
        <f>HYPERLINK("https://www.boe.es/gazeta/dias/1810/06/19/pdfs/GMD-C-1810-170.pdf#page=4","Abrir facsímil")</f>
        <v>Abrir facsímil</v>
      </c>
      <c r="K2199" s="3" t="s">
        <v>76</v>
      </c>
    </row>
    <row r="2200" spans="1:11" ht="42" customHeight="1">
      <c r="A2200" s="2" t="s">
        <v>6257</v>
      </c>
      <c r="B2200" s="2" t="s">
        <v>6258</v>
      </c>
      <c r="C2200" s="2" t="s">
        <v>26</v>
      </c>
      <c r="D2200" s="2" t="s">
        <v>39</v>
      </c>
      <c r="E2200" s="4">
        <v>-32701</v>
      </c>
      <c r="F2200" s="3" t="s">
        <v>40</v>
      </c>
      <c r="G2200" s="3" t="s">
        <v>333</v>
      </c>
      <c r="H2200" s="2" t="s">
        <v>74</v>
      </c>
      <c r="I2200" s="2" t="s">
        <v>6259</v>
      </c>
      <c r="J2200" s="3" t="str">
        <f>HYPERLINK("https://www.boe.es/gazeta/dias/1810/06/19/pdfs/GMD-C-1810-170.pdf#page=4","Abrir facsímil")</f>
        <v>Abrir facsímil</v>
      </c>
      <c r="K2200" s="3" t="s">
        <v>76</v>
      </c>
    </row>
    <row r="2201" spans="1:11" ht="42" customHeight="1">
      <c r="A2201" s="2" t="s">
        <v>6260</v>
      </c>
      <c r="B2201" s="2" t="s">
        <v>6261</v>
      </c>
      <c r="C2201" s="2" t="s">
        <v>26</v>
      </c>
      <c r="D2201" s="2" t="s">
        <v>27</v>
      </c>
      <c r="E2201" s="4">
        <v>-32729</v>
      </c>
      <c r="F2201" s="3" t="s">
        <v>174</v>
      </c>
      <c r="G2201" s="3" t="s">
        <v>175</v>
      </c>
      <c r="H2201" s="2" t="s">
        <v>74</v>
      </c>
      <c r="I2201" s="2" t="s">
        <v>6262</v>
      </c>
      <c r="J2201" s="3" t="str">
        <f>HYPERLINK("https://www.boe.es/gazeta/dias/1810/05/22/pdfs/GEI-1810-28.pdf#page=10","Abrir facsímil")</f>
        <v>Abrir facsímil</v>
      </c>
      <c r="K2201" s="3" t="s">
        <v>76</v>
      </c>
    </row>
    <row r="2202" spans="1:11" ht="42" customHeight="1">
      <c r="A2202" s="2" t="s">
        <v>6263</v>
      </c>
      <c r="B2202" s="2" t="s">
        <v>6264</v>
      </c>
      <c r="C2202" s="2" t="s">
        <v>26</v>
      </c>
      <c r="D2202" s="2" t="s">
        <v>39</v>
      </c>
      <c r="E2202" s="4">
        <v>-32650</v>
      </c>
      <c r="F2202" s="3" t="s">
        <v>765</v>
      </c>
      <c r="G2202" s="3" t="s">
        <v>766</v>
      </c>
      <c r="H2202" s="2" t="s">
        <v>21</v>
      </c>
      <c r="I2202" s="2" t="s">
        <v>6265</v>
      </c>
      <c r="J2202" s="3" t="str">
        <f>HYPERLINK("https://www.boe.es/gazeta/dias/1810/08/09/pdfs/GMD-C-1810-221.pdf#page=3","Abrir facsímil")</f>
        <v>Abrir facsímil</v>
      </c>
      <c r="K2202" s="3" t="s">
        <v>23</v>
      </c>
    </row>
    <row r="2203" spans="1:11" ht="42" customHeight="1">
      <c r="A2203" s="2" t="s">
        <v>6266</v>
      </c>
      <c r="B2203" s="2" t="s">
        <v>6267</v>
      </c>
      <c r="C2203" s="2" t="s">
        <v>26</v>
      </c>
      <c r="D2203" s="2" t="s">
        <v>39</v>
      </c>
      <c r="E2203" s="4">
        <v>-32702</v>
      </c>
      <c r="F2203" s="3" t="s">
        <v>179</v>
      </c>
      <c r="G2203" s="3" t="s">
        <v>119</v>
      </c>
      <c r="H2203" s="2" t="s">
        <v>74</v>
      </c>
      <c r="I2203" s="2" t="s">
        <v>6268</v>
      </c>
      <c r="J2203" s="3" t="str">
        <f>HYPERLINK("https://www.boe.es/gazeta/dias/1810/06/18/pdfs/GMD-C-1810-169.pdf#page=1","Abrir facsímil")</f>
        <v>Abrir facsímil</v>
      </c>
      <c r="K2203" s="3" t="s">
        <v>76</v>
      </c>
    </row>
    <row r="2204" spans="1:11" ht="42" customHeight="1">
      <c r="A2204" s="2" t="s">
        <v>6269</v>
      </c>
      <c r="B2204" s="2" t="s">
        <v>6270</v>
      </c>
      <c r="C2204" s="2" t="s">
        <v>26</v>
      </c>
      <c r="D2204" s="2" t="s">
        <v>39</v>
      </c>
      <c r="E2204" s="4">
        <v>-32702</v>
      </c>
      <c r="F2204" s="3" t="s">
        <v>179</v>
      </c>
      <c r="G2204" s="3" t="s">
        <v>180</v>
      </c>
      <c r="H2204" s="2" t="s">
        <v>74</v>
      </c>
      <c r="I2204" s="2" t="s">
        <v>6271</v>
      </c>
      <c r="J2204" s="3" t="str">
        <f>HYPERLINK("https://www.boe.es/gazeta/dias/1810/06/18/pdfs/GMD-C-1810-169.pdf#page=2","Abrir facsímil")</f>
        <v>Abrir facsímil</v>
      </c>
      <c r="K2204" s="3" t="s">
        <v>76</v>
      </c>
    </row>
    <row r="2205" spans="1:11" ht="42" customHeight="1">
      <c r="A2205" s="2" t="s">
        <v>6272</v>
      </c>
      <c r="B2205" s="2" t="s">
        <v>6273</v>
      </c>
      <c r="C2205" s="2" t="s">
        <v>26</v>
      </c>
      <c r="D2205" s="2" t="s">
        <v>39</v>
      </c>
      <c r="E2205" s="4">
        <v>-32749</v>
      </c>
      <c r="F2205" s="3" t="s">
        <v>803</v>
      </c>
      <c r="G2205" s="3" t="s">
        <v>213</v>
      </c>
      <c r="H2205" s="2" t="s">
        <v>74</v>
      </c>
      <c r="I2205" s="2" t="s">
        <v>6274</v>
      </c>
      <c r="J2205" s="3" t="str">
        <f>HYPERLINK("https://www.boe.es/gazeta/dias/1810/05/02/pdfs/GMD-C-1810-122.pdf#page=2","Abrir facsímil")</f>
        <v>Abrir facsímil</v>
      </c>
      <c r="K2205" s="3" t="s">
        <v>76</v>
      </c>
    </row>
    <row r="2206" spans="1:11" ht="42" customHeight="1">
      <c r="A2206" s="2" t="s">
        <v>6275</v>
      </c>
      <c r="B2206" s="2" t="s">
        <v>6276</v>
      </c>
      <c r="C2206" s="2" t="s">
        <v>88</v>
      </c>
      <c r="D2206" s="2" t="s">
        <v>117</v>
      </c>
      <c r="E2206" s="4">
        <v>-32742</v>
      </c>
      <c r="F2206" s="3" t="s">
        <v>2306</v>
      </c>
      <c r="G2206" s="3" t="s">
        <v>735</v>
      </c>
      <c r="H2206" s="2" t="s">
        <v>74</v>
      </c>
      <c r="I2206" s="2" t="s">
        <v>6277</v>
      </c>
      <c r="J2206" s="3" t="str">
        <f>HYPERLINK("https://www.boe.es/gazeta/dias/1810/05/09/pdfs/GMD-1810-129.pdf#page=4","Abrir facsímil")</f>
        <v>Abrir facsímil</v>
      </c>
      <c r="K2206" s="3" t="s">
        <v>76</v>
      </c>
    </row>
    <row r="2207" spans="1:11" ht="42" customHeight="1">
      <c r="A2207" s="2" t="s">
        <v>6278</v>
      </c>
      <c r="B2207" s="2" t="s">
        <v>6279</v>
      </c>
      <c r="C2207" s="2" t="s">
        <v>26</v>
      </c>
      <c r="D2207" s="2" t="s">
        <v>220</v>
      </c>
      <c r="E2207" s="4">
        <v>-32528</v>
      </c>
      <c r="F2207" s="3" t="s">
        <v>3058</v>
      </c>
      <c r="G2207" s="3" t="s">
        <v>35</v>
      </c>
      <c r="H2207" s="2" t="s">
        <v>74</v>
      </c>
      <c r="I2207" s="2" t="s">
        <v>6280</v>
      </c>
      <c r="J2207" s="3" t="str">
        <f>HYPERLINK("https://www.boe.es/gazeta/dias/1810/12/09/pdfs/GMD-1810-343.pdf#page=2","Abrir facsímil")</f>
        <v>Abrir facsímil</v>
      </c>
      <c r="K2207" s="3" t="s">
        <v>76</v>
      </c>
    </row>
    <row r="2208" spans="1:11" ht="42" customHeight="1">
      <c r="A2208" s="2" t="s">
        <v>6281</v>
      </c>
      <c r="B2208" s="2" t="s">
        <v>6282</v>
      </c>
      <c r="C2208" s="2" t="s">
        <v>26</v>
      </c>
      <c r="D2208" s="2" t="s">
        <v>39</v>
      </c>
      <c r="E2208" s="4">
        <v>-32686</v>
      </c>
      <c r="F2208" s="3" t="s">
        <v>3230</v>
      </c>
      <c r="G2208" s="3" t="s">
        <v>735</v>
      </c>
      <c r="H2208" s="2" t="s">
        <v>21</v>
      </c>
      <c r="I2208" s="2" t="s">
        <v>6283</v>
      </c>
      <c r="J2208" s="3" t="str">
        <f>HYPERLINK("https://www.boe.es/gazeta/dias/1810/07/04/pdfs/GMD-C-1810-185.pdf#page=2","Abrir facsímil")</f>
        <v>Abrir facsímil</v>
      </c>
      <c r="K2208" s="3" t="s">
        <v>23</v>
      </c>
    </row>
    <row r="2209" spans="1:11" ht="42" customHeight="1">
      <c r="A2209" s="2" t="s">
        <v>6284</v>
      </c>
      <c r="B2209" s="2" t="s">
        <v>6285</v>
      </c>
      <c r="C2209" s="2" t="s">
        <v>26</v>
      </c>
      <c r="D2209" s="2" t="s">
        <v>27</v>
      </c>
      <c r="E2209" s="4">
        <v>-32571</v>
      </c>
      <c r="F2209" s="3" t="s">
        <v>737</v>
      </c>
      <c r="G2209" s="3" t="s">
        <v>2879</v>
      </c>
      <c r="H2209" s="2" t="s">
        <v>74</v>
      </c>
      <c r="I2209" s="2" t="s">
        <v>6286</v>
      </c>
      <c r="J2209" s="3" t="str">
        <f>HYPERLINK("https://www.boe.es/gazeta/dias/1810/10/27/pdfs/GEI-1810-87.pdf#page=6","Abrir facsímil")</f>
        <v>Abrir facsímil</v>
      </c>
      <c r="K2209" s="3" t="s">
        <v>76</v>
      </c>
    </row>
    <row r="2210" spans="1:11" ht="42" customHeight="1">
      <c r="A2210" s="2" t="s">
        <v>6287</v>
      </c>
      <c r="B2210" s="2" t="s">
        <v>6288</v>
      </c>
      <c r="C2210" s="2" t="s">
        <v>26</v>
      </c>
      <c r="D2210" s="2" t="s">
        <v>27</v>
      </c>
      <c r="E2210" s="4">
        <v>-32575</v>
      </c>
      <c r="F2210" s="3" t="s">
        <v>135</v>
      </c>
      <c r="G2210" s="3" t="s">
        <v>136</v>
      </c>
      <c r="H2210" s="2" t="s">
        <v>74</v>
      </c>
      <c r="I2210" s="2" t="s">
        <v>6289</v>
      </c>
      <c r="J2210" s="3" t="str">
        <f>HYPERLINK("https://www.boe.es/gazeta/dias/1810/10/23/pdfs/GEI-1810-85.pdf#page=11","Abrir facsímil")</f>
        <v>Abrir facsímil</v>
      </c>
      <c r="K2210" s="3" t="s">
        <v>76</v>
      </c>
    </row>
    <row r="2211" spans="1:11" ht="42" customHeight="1">
      <c r="A2211" s="2" t="s">
        <v>6290</v>
      </c>
      <c r="B2211" s="2" t="s">
        <v>6291</v>
      </c>
      <c r="C2211" s="2" t="s">
        <v>33</v>
      </c>
      <c r="D2211" s="2" t="s">
        <v>27</v>
      </c>
      <c r="E2211" s="4">
        <v>-32544</v>
      </c>
      <c r="F2211" s="3" t="s">
        <v>1239</v>
      </c>
      <c r="G2211" s="3" t="s">
        <v>99</v>
      </c>
      <c r="H2211" s="2" t="s">
        <v>74</v>
      </c>
      <c r="I2211" s="2" t="s">
        <v>6292</v>
      </c>
      <c r="J2211" s="3" t="str">
        <f>HYPERLINK("https://www.boe.es/gazeta/dias/1810/11/23/pdfs/GMD-1810-327.pdf#page=3","Abrir facsímil")</f>
        <v>Abrir facsímil</v>
      </c>
      <c r="K2211" s="3" t="s">
        <v>76</v>
      </c>
    </row>
    <row r="2212" spans="1:11" ht="42" customHeight="1">
      <c r="A2212" s="2" t="s">
        <v>6293</v>
      </c>
      <c r="B2212" s="2" t="s">
        <v>6294</v>
      </c>
      <c r="C2212" s="2" t="s">
        <v>33</v>
      </c>
      <c r="D2212" s="2" t="s">
        <v>27</v>
      </c>
      <c r="E2212" s="4">
        <v>-32752</v>
      </c>
      <c r="F2212" s="3" t="s">
        <v>601</v>
      </c>
      <c r="G2212" s="3" t="s">
        <v>668</v>
      </c>
      <c r="H2212" s="2" t="s">
        <v>74</v>
      </c>
      <c r="I2212" s="2" t="s">
        <v>6295</v>
      </c>
      <c r="J2212" s="3" t="str">
        <f>HYPERLINK("https://www.boe.es/gazeta/dias/1810/04/29/pdfs/GMD-1810-119.pdf#page=3","Abrir facsímil")</f>
        <v>Abrir facsímil</v>
      </c>
      <c r="K2212" s="3" t="s">
        <v>76</v>
      </c>
    </row>
    <row r="2213" spans="1:11" ht="42" customHeight="1">
      <c r="A2213" s="2" t="s">
        <v>6296</v>
      </c>
      <c r="B2213" s="2" t="s">
        <v>6297</v>
      </c>
      <c r="C2213" s="2" t="s">
        <v>26</v>
      </c>
      <c r="D2213" s="2" t="s">
        <v>39</v>
      </c>
      <c r="E2213" s="4">
        <v>-32661</v>
      </c>
      <c r="F2213" s="3" t="s">
        <v>157</v>
      </c>
      <c r="G2213" s="3" t="s">
        <v>592</v>
      </c>
      <c r="H2213" s="2" t="s">
        <v>74</v>
      </c>
      <c r="I2213" s="2" t="s">
        <v>6298</v>
      </c>
      <c r="J2213" s="3" t="str">
        <f>HYPERLINK("https://www.boe.es/gazeta/dias/1810/07/29/pdfs/GMD-C-1810-210.pdf#page=2","Abrir facsímil")</f>
        <v>Abrir facsímil</v>
      </c>
      <c r="K2213" s="3" t="s">
        <v>76</v>
      </c>
    </row>
    <row r="2214" spans="1:11" ht="42" customHeight="1">
      <c r="A2214" s="2" t="s">
        <v>6299</v>
      </c>
      <c r="B2214" s="2" t="s">
        <v>6300</v>
      </c>
      <c r="C2214" s="2" t="s">
        <v>26</v>
      </c>
      <c r="D2214" s="2" t="s">
        <v>39</v>
      </c>
      <c r="E2214" s="4">
        <v>-32661</v>
      </c>
      <c r="F2214" s="3" t="s">
        <v>157</v>
      </c>
      <c r="G2214" s="3" t="s">
        <v>592</v>
      </c>
      <c r="H2214" s="2" t="s">
        <v>74</v>
      </c>
      <c r="I2214" s="2" t="s">
        <v>6301</v>
      </c>
      <c r="J2214" s="3" t="str">
        <f>HYPERLINK("https://www.boe.es/gazeta/dias/1810/07/29/pdfs/GMD-C-1810-210.pdf#page=2","Abrir facsímil")</f>
        <v>Abrir facsímil</v>
      </c>
      <c r="K2214" s="3" t="s">
        <v>76</v>
      </c>
    </row>
    <row r="2215" spans="1:11" ht="42" customHeight="1">
      <c r="A2215" s="2" t="s">
        <v>6302</v>
      </c>
      <c r="B2215" s="2" t="s">
        <v>6303</v>
      </c>
      <c r="C2215" s="2" t="s">
        <v>26</v>
      </c>
      <c r="D2215" s="2" t="s">
        <v>27</v>
      </c>
      <c r="E2215" s="4">
        <v>-32673</v>
      </c>
      <c r="F2215" s="3" t="s">
        <v>2174</v>
      </c>
      <c r="G2215" s="3" t="s">
        <v>5512</v>
      </c>
      <c r="H2215" s="2" t="s">
        <v>74</v>
      </c>
      <c r="I2215" s="2" t="s">
        <v>6304</v>
      </c>
      <c r="J2215" s="3" t="str">
        <f>HYPERLINK("https://www.boe.es/gazeta/dias/1810/07/17/pdfs/GEI-1810-45.pdf#page=12","Abrir facsímil")</f>
        <v>Abrir facsímil</v>
      </c>
      <c r="K2215" s="3" t="s">
        <v>76</v>
      </c>
    </row>
    <row r="2216" spans="1:11" ht="42" customHeight="1">
      <c r="A2216" s="2" t="s">
        <v>6305</v>
      </c>
      <c r="B2216" s="2" t="s">
        <v>6306</v>
      </c>
      <c r="C2216" s="2" t="s">
        <v>26</v>
      </c>
      <c r="D2216" s="2" t="s">
        <v>27</v>
      </c>
      <c r="E2216" s="4">
        <v>-32804</v>
      </c>
      <c r="F2216" s="3" t="s">
        <v>583</v>
      </c>
      <c r="G2216" s="3" t="s">
        <v>6307</v>
      </c>
      <c r="H2216" s="2" t="s">
        <v>74</v>
      </c>
      <c r="I2216" s="2" t="s">
        <v>6308</v>
      </c>
      <c r="J2216" s="3" t="str">
        <f>HYPERLINK("https://www.boe.es/gazeta/dias/1810/03/08/pdfs/GMD-1810-67.pdf#page=4","Abrir facsímil")</f>
        <v>Abrir facsímil</v>
      </c>
      <c r="K2216" s="3" t="s">
        <v>76</v>
      </c>
    </row>
    <row r="2217" spans="1:11" ht="42" customHeight="1">
      <c r="A2217" s="2" t="s">
        <v>6309</v>
      </c>
      <c r="B2217" s="2" t="s">
        <v>6310</v>
      </c>
      <c r="C2217" s="2" t="s">
        <v>195</v>
      </c>
      <c r="D2217" s="2" t="s">
        <v>27</v>
      </c>
      <c r="E2217" s="4">
        <v>-32799</v>
      </c>
      <c r="F2217" s="3" t="s">
        <v>2252</v>
      </c>
      <c r="G2217" s="3" t="s">
        <v>2253</v>
      </c>
      <c r="H2217" s="2" t="s">
        <v>74</v>
      </c>
      <c r="I2217" s="2" t="s">
        <v>6311</v>
      </c>
      <c r="J2217" s="3" t="str">
        <f>HYPERLINK("https://www.boe.es/gazeta/dias/1810/03/13/pdfs/GMD-1810-72.pdf#page=4","Abrir facsímil")</f>
        <v>Abrir facsímil</v>
      </c>
      <c r="K2217" s="3" t="s">
        <v>76</v>
      </c>
    </row>
    <row r="2218" spans="1:11" ht="42" customHeight="1">
      <c r="A2218" s="2" t="s">
        <v>6312</v>
      </c>
      <c r="B2218" s="2" t="s">
        <v>6313</v>
      </c>
      <c r="C2218" s="2" t="s">
        <v>17</v>
      </c>
      <c r="D2218" s="2" t="s">
        <v>27</v>
      </c>
      <c r="E2218" s="4">
        <v>-32775</v>
      </c>
      <c r="F2218" s="3" t="s">
        <v>308</v>
      </c>
      <c r="G2218" s="3" t="s">
        <v>140</v>
      </c>
      <c r="H2218" s="2" t="s">
        <v>74</v>
      </c>
      <c r="I2218" s="2" t="s">
        <v>6314</v>
      </c>
      <c r="J2218" s="3" t="str">
        <f>HYPERLINK("https://www.boe.es/gazeta/dias/1810/04/06/pdfs/GMD-1810-96.pdf#page=3","Abrir facsímil")</f>
        <v>Abrir facsímil</v>
      </c>
      <c r="K2218" s="3" t="s">
        <v>76</v>
      </c>
    </row>
    <row r="2219" spans="1:11" ht="42" customHeight="1">
      <c r="A2219" s="2" t="s">
        <v>6315</v>
      </c>
      <c r="B2219" s="2" t="s">
        <v>6316</v>
      </c>
      <c r="C2219" s="2" t="s">
        <v>195</v>
      </c>
      <c r="D2219" s="2" t="s">
        <v>27</v>
      </c>
      <c r="E2219" s="4">
        <v>-32784</v>
      </c>
      <c r="F2219" s="3" t="s">
        <v>429</v>
      </c>
      <c r="G2219" s="3" t="s">
        <v>131</v>
      </c>
      <c r="H2219" s="2" t="s">
        <v>74</v>
      </c>
      <c r="I2219" s="2" t="s">
        <v>6317</v>
      </c>
      <c r="J2219" s="3" t="str">
        <f>HYPERLINK("https://www.boe.es/gazeta/dias/1810/03/28/pdfs/GMD-1810-87.pdf#page=3","Abrir facsímil")</f>
        <v>Abrir facsímil</v>
      </c>
      <c r="K2219" s="3" t="s">
        <v>76</v>
      </c>
    </row>
    <row r="2220" spans="1:11" ht="42" customHeight="1">
      <c r="A2220" s="2" t="s">
        <v>6318</v>
      </c>
      <c r="B2220" s="2" t="s">
        <v>6319</v>
      </c>
      <c r="C2220" s="2" t="s">
        <v>195</v>
      </c>
      <c r="D2220" s="2" t="s">
        <v>27</v>
      </c>
      <c r="E2220" s="4">
        <v>-32784</v>
      </c>
      <c r="F2220" s="3" t="s">
        <v>429</v>
      </c>
      <c r="G2220" s="3" t="s">
        <v>131</v>
      </c>
      <c r="H2220" s="2" t="s">
        <v>74</v>
      </c>
      <c r="I2220" s="2" t="s">
        <v>6320</v>
      </c>
      <c r="J2220" s="3" t="str">
        <f>HYPERLINK("https://www.boe.es/gazeta/dias/1810/03/28/pdfs/GMD-1810-87.pdf#page=3","Abrir facsímil")</f>
        <v>Abrir facsímil</v>
      </c>
      <c r="K2220" s="3" t="s">
        <v>76</v>
      </c>
    </row>
    <row r="2221" spans="1:11" ht="42" customHeight="1">
      <c r="A2221" s="2" t="s">
        <v>6321</v>
      </c>
      <c r="B2221" s="2" t="s">
        <v>6322</v>
      </c>
      <c r="C2221" s="2" t="s">
        <v>26</v>
      </c>
      <c r="D2221" s="2" t="s">
        <v>27</v>
      </c>
      <c r="E2221" s="4">
        <v>-32666</v>
      </c>
      <c r="F2221" s="3" t="s">
        <v>346</v>
      </c>
      <c r="G2221" s="3" t="s">
        <v>2477</v>
      </c>
      <c r="H2221" s="2" t="s">
        <v>74</v>
      </c>
      <c r="I2221" s="2" t="s">
        <v>6323</v>
      </c>
      <c r="J2221" s="3" t="str">
        <f>HYPERLINK("https://www.boe.es/gazeta/dias/1810/07/24/pdfs/GEI-1810-47.pdf#page=5","Abrir facsímil")</f>
        <v>Abrir facsímil</v>
      </c>
      <c r="K2221" s="3" t="s">
        <v>76</v>
      </c>
    </row>
    <row r="2222" spans="1:11" ht="42" customHeight="1">
      <c r="A2222" s="2" t="s">
        <v>6324</v>
      </c>
      <c r="B2222" s="2" t="s">
        <v>6325</v>
      </c>
      <c r="C2222" s="2" t="s">
        <v>26</v>
      </c>
      <c r="D2222" s="2" t="s">
        <v>27</v>
      </c>
      <c r="E2222" s="4">
        <v>-32710</v>
      </c>
      <c r="F2222" s="3" t="s">
        <v>126</v>
      </c>
      <c r="G2222" s="3" t="s">
        <v>35</v>
      </c>
      <c r="H2222" s="2" t="s">
        <v>74</v>
      </c>
      <c r="I2222" s="2" t="s">
        <v>6326</v>
      </c>
      <c r="J2222" s="3" t="str">
        <f>HYPERLINK("https://www.boe.es/gazeta/dias/1810/06/10/pdfs/GMD-1810-161.pdf#page=2","Abrir facsímil")</f>
        <v>Abrir facsímil</v>
      </c>
      <c r="K2222" s="3" t="s">
        <v>76</v>
      </c>
    </row>
    <row r="2223" spans="1:11" ht="42" customHeight="1">
      <c r="A2223" s="2" t="s">
        <v>6327</v>
      </c>
      <c r="B2223" s="2" t="s">
        <v>6328</v>
      </c>
      <c r="C2223" s="2" t="s">
        <v>26</v>
      </c>
      <c r="D2223" s="2" t="s">
        <v>39</v>
      </c>
      <c r="E2223" s="4">
        <v>-32702</v>
      </c>
      <c r="F2223" s="3" t="s">
        <v>179</v>
      </c>
      <c r="G2223" s="3" t="s">
        <v>180</v>
      </c>
      <c r="H2223" s="2" t="s">
        <v>74</v>
      </c>
      <c r="I2223" s="2" t="s">
        <v>6329</v>
      </c>
      <c r="J2223" s="3" t="str">
        <f>HYPERLINK("https://www.boe.es/gazeta/dias/1810/06/18/pdfs/GMD-C-1810-169.pdf#page=2","Abrir facsímil")</f>
        <v>Abrir facsímil</v>
      </c>
      <c r="K2223" s="3" t="s">
        <v>76</v>
      </c>
    </row>
    <row r="2224" spans="1:11" ht="42" customHeight="1">
      <c r="A2224" s="2" t="s">
        <v>6330</v>
      </c>
      <c r="B2224" s="2" t="s">
        <v>6331</v>
      </c>
      <c r="C2224" s="2" t="s">
        <v>26</v>
      </c>
      <c r="D2224" s="2" t="s">
        <v>220</v>
      </c>
      <c r="E2224" s="4">
        <v>-32591</v>
      </c>
      <c r="F2224" s="3" t="s">
        <v>377</v>
      </c>
      <c r="G2224" s="3" t="s">
        <v>136</v>
      </c>
      <c r="H2224" s="2" t="s">
        <v>74</v>
      </c>
      <c r="I2224" s="2" t="s">
        <v>6332</v>
      </c>
      <c r="J2224" s="3" t="str">
        <f>HYPERLINK("https://www.boe.es/gazeta/dias/1810/10/07/pdfs/GMD-1810-280.pdf#page=3","Abrir facsímil")</f>
        <v>Abrir facsímil</v>
      </c>
      <c r="K2224" s="3" t="s">
        <v>76</v>
      </c>
    </row>
    <row r="2225" spans="1:11" ht="42" customHeight="1">
      <c r="A2225" s="2" t="s">
        <v>6333</v>
      </c>
      <c r="B2225" s="2" t="s">
        <v>6334</v>
      </c>
      <c r="C2225" s="2" t="s">
        <v>317</v>
      </c>
      <c r="D2225" s="2" t="s">
        <v>27</v>
      </c>
      <c r="E2225" s="4">
        <v>-32803</v>
      </c>
      <c r="F2225" s="3" t="s">
        <v>4052</v>
      </c>
      <c r="G2225" s="3" t="s">
        <v>99</v>
      </c>
      <c r="H2225" s="2" t="s">
        <v>74</v>
      </c>
      <c r="I2225" s="2" t="s">
        <v>6335</v>
      </c>
      <c r="J2225" s="3" t="str">
        <f>HYPERLINK("https://www.boe.es/gazeta/dias/1810/03/09/pdfs/GMD-1810-68.pdf#page=3","Abrir facsímil")</f>
        <v>Abrir facsímil</v>
      </c>
      <c r="K2225" s="3" t="s">
        <v>76</v>
      </c>
    </row>
    <row r="2226" spans="1:11" ht="42" customHeight="1">
      <c r="A2226" s="2" t="s">
        <v>6336</v>
      </c>
      <c r="B2226" s="2" t="s">
        <v>6337</v>
      </c>
      <c r="C2226" s="2" t="s">
        <v>225</v>
      </c>
      <c r="D2226" s="2" t="s">
        <v>27</v>
      </c>
      <c r="E2226" s="4">
        <v>-32764</v>
      </c>
      <c r="F2226" s="3" t="s">
        <v>640</v>
      </c>
      <c r="G2226" s="3" t="s">
        <v>641</v>
      </c>
      <c r="H2226" s="2" t="s">
        <v>74</v>
      </c>
      <c r="I2226" s="2" t="s">
        <v>6338</v>
      </c>
      <c r="J2226" s="3" t="str">
        <f>HYPERLINK("https://www.boe.es/gazeta/dias/1810/04/17/pdfs/GEI-1810-15.pdf#page=8","Abrir facsímil")</f>
        <v>Abrir facsímil</v>
      </c>
      <c r="K2226" s="3" t="s">
        <v>76</v>
      </c>
    </row>
    <row r="2227" spans="1:11" ht="42" customHeight="1">
      <c r="A2227" s="2" t="s">
        <v>6339</v>
      </c>
      <c r="B2227" s="2" t="s">
        <v>6340</v>
      </c>
      <c r="C2227" s="2" t="s">
        <v>26</v>
      </c>
      <c r="D2227" s="2" t="s">
        <v>27</v>
      </c>
      <c r="E2227" s="4">
        <v>-32669</v>
      </c>
      <c r="F2227" s="3" t="s">
        <v>217</v>
      </c>
      <c r="G2227" s="3" t="s">
        <v>29</v>
      </c>
      <c r="H2227" s="2" t="s">
        <v>74</v>
      </c>
      <c r="I2227" s="2" t="s">
        <v>6341</v>
      </c>
      <c r="J2227" s="3" t="str">
        <f>HYPERLINK("https://www.boe.es/gazeta/dias/1810/07/21/pdfs/GMD-1810-202.pdf#page=3","Abrir facsímil")</f>
        <v>Abrir facsímil</v>
      </c>
      <c r="K2227" s="3" t="s">
        <v>76</v>
      </c>
    </row>
    <row r="2228" spans="1:11" ht="42" customHeight="1">
      <c r="A2228" s="2" t="s">
        <v>6342</v>
      </c>
      <c r="B2228" s="2" t="s">
        <v>6343</v>
      </c>
      <c r="C2228" s="2" t="s">
        <v>225</v>
      </c>
      <c r="D2228" s="2" t="s">
        <v>27</v>
      </c>
      <c r="E2228" s="4">
        <v>-32531</v>
      </c>
      <c r="F2228" s="3" t="s">
        <v>2023</v>
      </c>
      <c r="G2228" s="3" t="s">
        <v>29</v>
      </c>
      <c r="H2228" s="2" t="s">
        <v>74</v>
      </c>
      <c r="I2228" s="2" t="s">
        <v>6344</v>
      </c>
      <c r="J2228" s="3" t="str">
        <f>HYPERLINK("https://www.boe.es/gazeta/dias/1810/12/06/pdfs/GMD-1810-340.pdf#page=4","Abrir facsímil")</f>
        <v>Abrir facsímil</v>
      </c>
      <c r="K2228" s="3" t="s">
        <v>76</v>
      </c>
    </row>
    <row r="2229" spans="1:11" ht="42" customHeight="1">
      <c r="A2229" s="2" t="s">
        <v>6345</v>
      </c>
      <c r="B2229" s="2" t="s">
        <v>6346</v>
      </c>
      <c r="C2229" s="2" t="s">
        <v>26</v>
      </c>
      <c r="D2229" s="2" t="s">
        <v>27</v>
      </c>
      <c r="E2229" s="4">
        <v>-32557</v>
      </c>
      <c r="F2229" s="3" t="s">
        <v>837</v>
      </c>
      <c r="G2229" s="3" t="s">
        <v>2073</v>
      </c>
      <c r="H2229" s="2" t="s">
        <v>74</v>
      </c>
      <c r="I2229" s="2" t="s">
        <v>6347</v>
      </c>
      <c r="J2229" s="3" t="str">
        <f>HYPERLINK("https://www.boe.es/gazeta/dias/1810/11/10/pdfs/GEI-1810-93.pdf#page=7","Abrir facsímil")</f>
        <v>Abrir facsímil</v>
      </c>
      <c r="K2229" s="3" t="s">
        <v>76</v>
      </c>
    </row>
    <row r="2230" spans="1:11" ht="42" customHeight="1">
      <c r="A2230" s="2" t="s">
        <v>6348</v>
      </c>
      <c r="B2230" s="2" t="s">
        <v>6349</v>
      </c>
      <c r="C2230" s="2" t="s">
        <v>88</v>
      </c>
      <c r="D2230" s="2" t="s">
        <v>117</v>
      </c>
      <c r="E2230" s="4">
        <v>-32865</v>
      </c>
      <c r="F2230" s="3" t="s">
        <v>4391</v>
      </c>
      <c r="G2230" s="3" t="s">
        <v>1044</v>
      </c>
      <c r="H2230" s="2" t="s">
        <v>74</v>
      </c>
      <c r="I2230" s="2" t="s">
        <v>6350</v>
      </c>
      <c r="J2230" s="3" t="str">
        <f>HYPERLINK("https://www.boe.es/gazeta/dias/1810/01/06/pdfs/GGB-1810-3.pdf#page=8","Abrir facsímil")</f>
        <v>Abrir facsímil</v>
      </c>
      <c r="K2230" s="3" t="s">
        <v>76</v>
      </c>
    </row>
    <row r="2231" spans="1:11" ht="42" customHeight="1">
      <c r="A2231" s="2" t="s">
        <v>6351</v>
      </c>
      <c r="B2231" s="2" t="s">
        <v>6352</v>
      </c>
      <c r="C2231" s="2" t="s">
        <v>225</v>
      </c>
      <c r="D2231" s="2" t="s">
        <v>27</v>
      </c>
      <c r="E2231" s="4">
        <v>-32544</v>
      </c>
      <c r="F2231" s="3" t="s">
        <v>1239</v>
      </c>
      <c r="G2231" s="3" t="s">
        <v>99</v>
      </c>
      <c r="H2231" s="2" t="s">
        <v>74</v>
      </c>
      <c r="I2231" s="2" t="s">
        <v>6353</v>
      </c>
      <c r="J2231" s="3" t="str">
        <f>HYPERLINK("https://www.boe.es/gazeta/dias/1810/11/23/pdfs/GMD-1810-327.pdf#page=3","Abrir facsímil")</f>
        <v>Abrir facsímil</v>
      </c>
      <c r="K2231" s="3" t="s">
        <v>76</v>
      </c>
    </row>
    <row r="2232" spans="1:11" ht="42" customHeight="1">
      <c r="A2232" s="2" t="s">
        <v>6354</v>
      </c>
      <c r="B2232" s="2" t="s">
        <v>6355</v>
      </c>
      <c r="C2232" s="2" t="s">
        <v>26</v>
      </c>
      <c r="D2232" s="2" t="s">
        <v>27</v>
      </c>
      <c r="E2232" s="4">
        <v>-32543</v>
      </c>
      <c r="F2232" s="3" t="s">
        <v>69</v>
      </c>
      <c r="G2232" s="3" t="s">
        <v>70</v>
      </c>
      <c r="H2232" s="2" t="s">
        <v>74</v>
      </c>
      <c r="I2232" s="2" t="s">
        <v>6356</v>
      </c>
      <c r="J2232" s="3" t="str">
        <f>HYPERLINK("https://www.boe.es/gazeta/dias/1810/11/24/pdfs/GEI-1810-99.pdf#page=8","Abrir facsímil")</f>
        <v>Abrir facsímil</v>
      </c>
      <c r="K2232" s="3" t="s">
        <v>76</v>
      </c>
    </row>
    <row r="2233" spans="1:11" ht="42" customHeight="1">
      <c r="A2233" s="2" t="s">
        <v>6357</v>
      </c>
      <c r="B2233" s="2" t="s">
        <v>6358</v>
      </c>
      <c r="C2233" s="2" t="s">
        <v>26</v>
      </c>
      <c r="D2233" s="2" t="s">
        <v>27</v>
      </c>
      <c r="E2233" s="4">
        <v>-32784</v>
      </c>
      <c r="F2233" s="3" t="s">
        <v>429</v>
      </c>
      <c r="G2233" s="3" t="s">
        <v>131</v>
      </c>
      <c r="H2233" s="2" t="s">
        <v>74</v>
      </c>
      <c r="I2233" s="2" t="s">
        <v>6359</v>
      </c>
      <c r="J2233" s="3" t="str">
        <f>HYPERLINK("https://www.boe.es/gazeta/dias/1810/03/28/pdfs/GMD-1810-87.pdf#page=3","Abrir facsímil")</f>
        <v>Abrir facsímil</v>
      </c>
      <c r="K2233" s="3" t="s">
        <v>76</v>
      </c>
    </row>
    <row r="2234" spans="1:11" ht="42" customHeight="1">
      <c r="A2234" s="2" t="s">
        <v>6360</v>
      </c>
      <c r="B2234" s="2" t="s">
        <v>6361</v>
      </c>
      <c r="C2234" s="2" t="s">
        <v>26</v>
      </c>
      <c r="D2234" s="2" t="s">
        <v>39</v>
      </c>
      <c r="E2234" s="4">
        <v>-32701</v>
      </c>
      <c r="F2234" s="3" t="s">
        <v>40</v>
      </c>
      <c r="G2234" s="3" t="s">
        <v>315</v>
      </c>
      <c r="H2234" s="2" t="s">
        <v>74</v>
      </c>
      <c r="I2234" s="2" t="s">
        <v>6362</v>
      </c>
      <c r="J2234" s="3" t="str">
        <f>HYPERLINK("https://www.boe.es/gazeta/dias/1810/06/19/pdfs/GMD-C-1810-170.pdf#page=2","Abrir facsímil")</f>
        <v>Abrir facsímil</v>
      </c>
      <c r="K2234" s="3" t="s">
        <v>76</v>
      </c>
    </row>
    <row r="2235" spans="1:11" ht="42" customHeight="1">
      <c r="A2235" s="2" t="s">
        <v>6363</v>
      </c>
      <c r="B2235" s="2" t="s">
        <v>6364</v>
      </c>
      <c r="C2235" s="2" t="s">
        <v>88</v>
      </c>
      <c r="D2235" s="2" t="s">
        <v>39</v>
      </c>
      <c r="E2235" s="4">
        <v>-32677</v>
      </c>
      <c r="F2235" s="3" t="s">
        <v>549</v>
      </c>
      <c r="G2235" s="3" t="s">
        <v>70</v>
      </c>
      <c r="H2235" s="2" t="s">
        <v>74</v>
      </c>
      <c r="I2235" s="2" t="s">
        <v>6365</v>
      </c>
      <c r="J2235" s="3" t="str">
        <f>HYPERLINK("https://www.boe.es/gazeta/dias/1810/07/13/pdfs/GEI-D-1810-44.pdf#page=8","Abrir facsímil")</f>
        <v>Abrir facsímil</v>
      </c>
      <c r="K2235" s="3" t="s">
        <v>76</v>
      </c>
    </row>
    <row r="2236" spans="1:11" ht="42" customHeight="1">
      <c r="A2236" s="2" t="s">
        <v>6366</v>
      </c>
      <c r="B2236" s="2" t="s">
        <v>6367</v>
      </c>
      <c r="C2236" s="2" t="s">
        <v>33</v>
      </c>
      <c r="D2236" s="2" t="s">
        <v>220</v>
      </c>
      <c r="E2236" s="4">
        <v>-32867</v>
      </c>
      <c r="F2236" s="3" t="s">
        <v>712</v>
      </c>
      <c r="G2236" s="3" t="s">
        <v>291</v>
      </c>
      <c r="H2236" s="2" t="s">
        <v>74</v>
      </c>
      <c r="I2236" s="2" t="s">
        <v>6368</v>
      </c>
      <c r="J2236" s="3" t="str">
        <f>HYPERLINK("https://www.boe.es/gazeta/dias/1810/01/04/pdfs/GGB-1810-2.pdf#page=8","Abrir facsímil")</f>
        <v>Abrir facsímil</v>
      </c>
      <c r="K2236" s="3" t="s">
        <v>76</v>
      </c>
    </row>
    <row r="2237" spans="1:11" ht="42" customHeight="1">
      <c r="A2237" s="2" t="s">
        <v>6369</v>
      </c>
      <c r="B2237" s="2" t="s">
        <v>6370</v>
      </c>
      <c r="C2237" s="2" t="s">
        <v>26</v>
      </c>
      <c r="D2237" s="2" t="s">
        <v>39</v>
      </c>
      <c r="E2237" s="4">
        <v>-32684</v>
      </c>
      <c r="F2237" s="3" t="s">
        <v>372</v>
      </c>
      <c r="G2237" s="3" t="s">
        <v>2049</v>
      </c>
      <c r="H2237" s="2" t="s">
        <v>74</v>
      </c>
      <c r="I2237" s="2" t="s">
        <v>6371</v>
      </c>
      <c r="J2237" s="3" t="str">
        <f>HYPERLINK("https://www.boe.es/gazeta/dias/1810/07/06/pdfs/GEI-D-1810-42.pdf#page=7","Abrir facsímil")</f>
        <v>Abrir facsímil</v>
      </c>
      <c r="K2237" s="3" t="s">
        <v>76</v>
      </c>
    </row>
    <row r="2238" spans="1:11" ht="42" customHeight="1">
      <c r="A2238" s="2" t="s">
        <v>6372</v>
      </c>
      <c r="B2238" s="2" t="s">
        <v>6373</v>
      </c>
      <c r="C2238" s="2" t="s">
        <v>33</v>
      </c>
      <c r="D2238" s="2" t="s">
        <v>220</v>
      </c>
      <c r="E2238" s="4">
        <v>-32739</v>
      </c>
      <c r="F2238" s="3" t="s">
        <v>724</v>
      </c>
      <c r="G2238" s="3" t="s">
        <v>2035</v>
      </c>
      <c r="H2238" s="2" t="s">
        <v>74</v>
      </c>
      <c r="I2238" s="2" t="s">
        <v>6374</v>
      </c>
      <c r="J2238" s="3" t="str">
        <f>HYPERLINK("https://www.boe.es/gazeta/dias/1810/05/12/pdfs/GMD-1810-132.pdf#page=2","Abrir facsímil")</f>
        <v>Abrir facsímil</v>
      </c>
      <c r="K2238" s="3" t="s">
        <v>76</v>
      </c>
    </row>
    <row r="2239" spans="1:11" ht="42" customHeight="1">
      <c r="A2239" s="2" t="s">
        <v>6375</v>
      </c>
      <c r="B2239" s="2" t="s">
        <v>6376</v>
      </c>
      <c r="C2239" s="2" t="s">
        <v>317</v>
      </c>
      <c r="D2239" s="2" t="s">
        <v>18</v>
      </c>
      <c r="E2239" s="4">
        <v>-32565</v>
      </c>
      <c r="F2239" s="3" t="s">
        <v>743</v>
      </c>
      <c r="G2239" s="3" t="s">
        <v>915</v>
      </c>
      <c r="H2239" s="2" t="s">
        <v>74</v>
      </c>
      <c r="I2239" s="2" t="s">
        <v>6377</v>
      </c>
      <c r="J2239" s="3" t="str">
        <f>HYPERLINK("https://www.boe.es/gazeta/dias/1810/11/02/pdfs/GMD-1810-306.pdf#page=1","Abrir facsímil")</f>
        <v>Abrir facsímil</v>
      </c>
      <c r="K2239" s="3" t="s">
        <v>76</v>
      </c>
    </row>
    <row r="2240" spans="1:11" ht="42" customHeight="1">
      <c r="A2240" s="2" t="s">
        <v>6378</v>
      </c>
      <c r="B2240" s="2" t="s">
        <v>6379</v>
      </c>
      <c r="C2240" s="2" t="s">
        <v>88</v>
      </c>
      <c r="D2240" s="2" t="s">
        <v>117</v>
      </c>
      <c r="E2240" s="4">
        <v>-32841</v>
      </c>
      <c r="F2240" s="3" t="s">
        <v>4274</v>
      </c>
      <c r="G2240" s="3" t="s">
        <v>6380</v>
      </c>
      <c r="H2240" s="2" t="s">
        <v>74</v>
      </c>
      <c r="I2240" s="2" t="s">
        <v>6381</v>
      </c>
      <c r="J2240" s="3" t="str">
        <f>HYPERLINK("https://www.boe.es/gazeta/dias/1810/01/30/pdfs/GMD-1810-30.pdf#page=1","Abrir facsímil")</f>
        <v>Abrir facsímil</v>
      </c>
      <c r="K2240" s="3" t="s">
        <v>76</v>
      </c>
    </row>
    <row r="2241" spans="1:11" ht="42" customHeight="1">
      <c r="A2241" s="2" t="s">
        <v>6382</v>
      </c>
      <c r="B2241" s="2" t="s">
        <v>6383</v>
      </c>
      <c r="C2241" s="2" t="s">
        <v>225</v>
      </c>
      <c r="D2241" s="2" t="s">
        <v>220</v>
      </c>
      <c r="E2241" s="4">
        <v>-32565</v>
      </c>
      <c r="F2241" s="3" t="s">
        <v>743</v>
      </c>
      <c r="G2241" s="3" t="s">
        <v>915</v>
      </c>
      <c r="H2241" s="2" t="s">
        <v>74</v>
      </c>
      <c r="I2241" s="2" t="s">
        <v>6384</v>
      </c>
      <c r="J2241" s="3" t="str">
        <f>HYPERLINK("https://www.boe.es/gazeta/dias/1810/11/02/pdfs/GMD-1810-306.pdf#page=1","Abrir facsímil")</f>
        <v>Abrir facsímil</v>
      </c>
      <c r="K2241" s="3" t="s">
        <v>76</v>
      </c>
    </row>
    <row r="2242" spans="1:11" ht="42" customHeight="1">
      <c r="A2242" s="2" t="s">
        <v>6385</v>
      </c>
      <c r="B2242" s="2" t="s">
        <v>6386</v>
      </c>
      <c r="C2242" s="2" t="s">
        <v>26</v>
      </c>
      <c r="D2242" s="2" t="s">
        <v>27</v>
      </c>
      <c r="E2242" s="4">
        <v>-32761</v>
      </c>
      <c r="F2242" s="3" t="s">
        <v>811</v>
      </c>
      <c r="G2242" s="3" t="s">
        <v>140</v>
      </c>
      <c r="H2242" s="2" t="s">
        <v>74</v>
      </c>
      <c r="I2242" s="2" t="s">
        <v>6387</v>
      </c>
      <c r="J2242" s="3" t="str">
        <f>HYPERLINK("https://www.boe.es/gazeta/dias/1810/04/20/pdfs/GEI-1810-16.pdf#page=8","Abrir facsímil")</f>
        <v>Abrir facsímil</v>
      </c>
      <c r="K2242" s="3" t="s">
        <v>76</v>
      </c>
    </row>
    <row r="2243" spans="1:11" ht="42" customHeight="1">
      <c r="A2243" s="2" t="s">
        <v>6388</v>
      </c>
      <c r="B2243" s="2" t="s">
        <v>6389</v>
      </c>
      <c r="C2243" s="2" t="s">
        <v>26</v>
      </c>
      <c r="D2243" s="2" t="s">
        <v>39</v>
      </c>
      <c r="E2243" s="4">
        <v>-32687</v>
      </c>
      <c r="F2243" s="3" t="s">
        <v>304</v>
      </c>
      <c r="G2243" s="3" t="s">
        <v>140</v>
      </c>
      <c r="H2243" s="2" t="s">
        <v>74</v>
      </c>
      <c r="I2243" s="2" t="s">
        <v>6390</v>
      </c>
      <c r="J2243" s="3" t="str">
        <f>HYPERLINK("https://www.boe.es/gazeta/dias/1810/07/03/pdfs/GMD-C-1810-184.pdf#page=2","Abrir facsímil")</f>
        <v>Abrir facsímil</v>
      </c>
      <c r="K2243" s="3" t="s">
        <v>76</v>
      </c>
    </row>
    <row r="2244" spans="1:11" ht="42" customHeight="1">
      <c r="A2244" s="2" t="s">
        <v>6391</v>
      </c>
      <c r="B2244" s="2" t="s">
        <v>6392</v>
      </c>
      <c r="C2244" s="2" t="s">
        <v>33</v>
      </c>
      <c r="D2244" s="2" t="s">
        <v>58</v>
      </c>
      <c r="E2244" s="4">
        <v>-32601</v>
      </c>
      <c r="F2244" s="3" t="s">
        <v>392</v>
      </c>
      <c r="G2244" s="3" t="s">
        <v>1430</v>
      </c>
      <c r="H2244" s="2" t="s">
        <v>74</v>
      </c>
      <c r="I2244" s="2" t="s">
        <v>6393</v>
      </c>
      <c r="J2244" s="3" t="str">
        <f>HYPERLINK("https://www.boe.es/gazeta/dias/1810/09/27/pdfs/GEI-1810-74E.pdf#page=3","Abrir facsímil")</f>
        <v>Abrir facsímil</v>
      </c>
      <c r="K2244" s="3" t="s">
        <v>76</v>
      </c>
    </row>
    <row r="2245" spans="1:11" ht="42" customHeight="1">
      <c r="A2245" s="2" t="s">
        <v>6394</v>
      </c>
      <c r="B2245" s="2" t="s">
        <v>6395</v>
      </c>
      <c r="C2245" s="2" t="s">
        <v>88</v>
      </c>
      <c r="D2245" s="2" t="s">
        <v>27</v>
      </c>
      <c r="E2245" s="4">
        <v>-32557</v>
      </c>
      <c r="F2245" s="3" t="s">
        <v>837</v>
      </c>
      <c r="G2245" s="3" t="s">
        <v>2073</v>
      </c>
      <c r="H2245" s="2" t="s">
        <v>74</v>
      </c>
      <c r="I2245" s="2" t="s">
        <v>6396</v>
      </c>
      <c r="J2245" s="3" t="str">
        <f>HYPERLINK("https://www.boe.es/gazeta/dias/1810/11/10/pdfs/GEI-1810-93.pdf#page=7","Abrir facsímil")</f>
        <v>Abrir facsímil</v>
      </c>
      <c r="K2245" s="3" t="s">
        <v>76</v>
      </c>
    </row>
    <row r="2246" spans="1:11" ht="42" customHeight="1">
      <c r="A2246" s="2" t="s">
        <v>6397</v>
      </c>
      <c r="B2246" s="2" t="s">
        <v>6398</v>
      </c>
      <c r="C2246" s="2" t="s">
        <v>26</v>
      </c>
      <c r="D2246" s="2" t="s">
        <v>58</v>
      </c>
      <c r="E2246" s="4">
        <v>-32601</v>
      </c>
      <c r="F2246" s="3" t="s">
        <v>392</v>
      </c>
      <c r="G2246" s="3" t="s">
        <v>35</v>
      </c>
      <c r="H2246" s="2" t="s">
        <v>74</v>
      </c>
      <c r="I2246" s="2" t="s">
        <v>6399</v>
      </c>
      <c r="J2246" s="3" t="str">
        <f>HYPERLINK("https://www.boe.es/gazeta/dias/1810/09/27/pdfs/GEI-1810-74E.pdf#page=2","Abrir facsímil")</f>
        <v>Abrir facsímil</v>
      </c>
      <c r="K2246" s="3" t="s">
        <v>76</v>
      </c>
    </row>
    <row r="2247" spans="1:11" ht="42" customHeight="1">
      <c r="A2247" s="2" t="s">
        <v>6400</v>
      </c>
      <c r="B2247" s="2" t="s">
        <v>6401</v>
      </c>
      <c r="C2247" s="2" t="s">
        <v>88</v>
      </c>
      <c r="D2247" s="2" t="s">
        <v>27</v>
      </c>
      <c r="E2247" s="4">
        <v>-32867</v>
      </c>
      <c r="F2247" s="3" t="s">
        <v>712</v>
      </c>
      <c r="G2247" s="3" t="s">
        <v>291</v>
      </c>
      <c r="H2247" s="2" t="s">
        <v>74</v>
      </c>
      <c r="I2247" s="2" t="s">
        <v>6402</v>
      </c>
      <c r="J2247" s="3" t="str">
        <f>HYPERLINK("https://www.boe.es/gazeta/dias/1810/01/04/pdfs/GGB-1810-2.pdf#page=8","Abrir facsímil")</f>
        <v>Abrir facsímil</v>
      </c>
      <c r="K2247" s="3" t="s">
        <v>76</v>
      </c>
    </row>
    <row r="2248" spans="1:11" ht="42" customHeight="1">
      <c r="A2248" s="2" t="s">
        <v>6403</v>
      </c>
      <c r="B2248" s="2" t="s">
        <v>6404</v>
      </c>
      <c r="C2248" s="2" t="s">
        <v>225</v>
      </c>
      <c r="D2248" s="2" t="s">
        <v>27</v>
      </c>
      <c r="E2248" s="4">
        <v>-32693</v>
      </c>
      <c r="F2248" s="3" t="s">
        <v>54</v>
      </c>
      <c r="G2248" s="3" t="s">
        <v>90</v>
      </c>
      <c r="H2248" s="2" t="s">
        <v>74</v>
      </c>
      <c r="I2248" s="2" t="s">
        <v>6405</v>
      </c>
      <c r="J2248" s="3" t="str">
        <f>HYPERLINK("https://www.boe.es/gazeta/dias/1810/06/27/pdfs/GMD-1810-178.pdf#page=2","Abrir facsímil")</f>
        <v>Abrir facsímil</v>
      </c>
      <c r="K2248" s="3" t="s">
        <v>76</v>
      </c>
    </row>
    <row r="2249" spans="1:11" ht="42" customHeight="1">
      <c r="A2249" s="2" t="s">
        <v>6406</v>
      </c>
      <c r="B2249" s="2" t="s">
        <v>6407</v>
      </c>
      <c r="C2249" s="2" t="s">
        <v>26</v>
      </c>
      <c r="D2249" s="2" t="s">
        <v>18</v>
      </c>
      <c r="E2249" s="4">
        <v>-32820</v>
      </c>
      <c r="F2249" s="3" t="s">
        <v>226</v>
      </c>
      <c r="G2249" s="3" t="s">
        <v>356</v>
      </c>
      <c r="H2249" s="2" t="s">
        <v>74</v>
      </c>
      <c r="I2249" s="2" t="s">
        <v>6408</v>
      </c>
      <c r="J2249" s="3" t="str">
        <f>HYPERLINK("https://www.boe.es/gazeta/dias/1810/02/20/pdfs/GMD-1810-51.pdf#page=3","Abrir facsímil")</f>
        <v>Abrir facsímil</v>
      </c>
      <c r="K2249" s="3" t="s">
        <v>76</v>
      </c>
    </row>
    <row r="2250" spans="1:11" ht="42" customHeight="1">
      <c r="A2250" s="2" t="s">
        <v>6409</v>
      </c>
      <c r="B2250" s="2" t="s">
        <v>6410</v>
      </c>
      <c r="C2250" s="2" t="s">
        <v>317</v>
      </c>
      <c r="D2250" s="2" t="s">
        <v>27</v>
      </c>
      <c r="E2250" s="4">
        <v>-32712</v>
      </c>
      <c r="F2250" s="3" t="s">
        <v>6411</v>
      </c>
      <c r="G2250" s="3" t="s">
        <v>227</v>
      </c>
      <c r="H2250" s="2" t="s">
        <v>74</v>
      </c>
      <c r="I2250" s="2" t="s">
        <v>6412</v>
      </c>
      <c r="J2250" s="3" t="str">
        <f>HYPERLINK("https://www.boe.es/gazeta/dias/1810/06/08/pdfs/GMD-1810-159.pdf#page=3","Abrir facsímil")</f>
        <v>Abrir facsímil</v>
      </c>
      <c r="K2250" s="3" t="s">
        <v>76</v>
      </c>
    </row>
    <row r="2251" spans="1:11" ht="42" customHeight="1">
      <c r="A2251" s="2" t="s">
        <v>6413</v>
      </c>
      <c r="B2251" s="2" t="s">
        <v>6414</v>
      </c>
      <c r="C2251" s="2" t="s">
        <v>26</v>
      </c>
      <c r="D2251" s="2" t="s">
        <v>39</v>
      </c>
      <c r="E2251" s="4">
        <v>-32661</v>
      </c>
      <c r="F2251" s="3" t="s">
        <v>157</v>
      </c>
      <c r="G2251" s="3" t="s">
        <v>158</v>
      </c>
      <c r="H2251" s="2" t="s">
        <v>74</v>
      </c>
      <c r="I2251" s="2" t="s">
        <v>6415</v>
      </c>
      <c r="J2251" s="3" t="str">
        <f>HYPERLINK("https://www.boe.es/gazeta/dias/1810/07/29/pdfs/GMD-C-1810-210.pdf#page=1","Abrir facsímil")</f>
        <v>Abrir facsímil</v>
      </c>
      <c r="K2251" s="3" t="s">
        <v>76</v>
      </c>
    </row>
    <row r="2252" spans="1:11" ht="42" customHeight="1">
      <c r="A2252" s="2" t="s">
        <v>6416</v>
      </c>
      <c r="B2252" s="2" t="s">
        <v>6417</v>
      </c>
      <c r="C2252" s="2" t="s">
        <v>17</v>
      </c>
      <c r="D2252" s="2" t="s">
        <v>27</v>
      </c>
      <c r="E2252" s="4">
        <v>-32592</v>
      </c>
      <c r="F2252" s="3" t="s">
        <v>2782</v>
      </c>
      <c r="G2252" s="3" t="s">
        <v>2864</v>
      </c>
      <c r="H2252" s="2" t="s">
        <v>74</v>
      </c>
      <c r="I2252" s="2" t="s">
        <v>6418</v>
      </c>
      <c r="J2252" s="3" t="str">
        <f>HYPERLINK("https://www.boe.es/gazeta/dias/1810/10/06/pdfs/GMD-1810-279.pdf#page=4","Abrir facsímil")</f>
        <v>Abrir facsímil</v>
      </c>
      <c r="K2252" s="3" t="s">
        <v>76</v>
      </c>
    </row>
    <row r="2253" spans="1:11" ht="42" customHeight="1">
      <c r="A2253" s="2" t="s">
        <v>6419</v>
      </c>
      <c r="B2253" s="2" t="s">
        <v>6420</v>
      </c>
      <c r="C2253" s="2" t="s">
        <v>26</v>
      </c>
      <c r="D2253" s="2" t="s">
        <v>27</v>
      </c>
      <c r="E2253" s="4">
        <v>-32787</v>
      </c>
      <c r="F2253" s="3" t="s">
        <v>4797</v>
      </c>
      <c r="G2253" s="3" t="s">
        <v>213</v>
      </c>
      <c r="H2253" s="2" t="s">
        <v>74</v>
      </c>
      <c r="I2253" s="2" t="s">
        <v>6421</v>
      </c>
      <c r="J2253" s="3" t="str">
        <f>HYPERLINK("https://www.boe.es/gazeta/dias/1810/03/25/pdfs/GMD-1810-84.pdf#page=4","Abrir facsímil")</f>
        <v>Abrir facsímil</v>
      </c>
      <c r="K2253" s="3" t="s">
        <v>76</v>
      </c>
    </row>
    <row r="2254" spans="1:11" ht="42" customHeight="1">
      <c r="A2254" s="2" t="s">
        <v>6422</v>
      </c>
      <c r="B2254" s="2" t="s">
        <v>6423</v>
      </c>
      <c r="C2254" s="2" t="s">
        <v>88</v>
      </c>
      <c r="D2254" s="2" t="s">
        <v>117</v>
      </c>
      <c r="E2254" s="4">
        <v>-32842</v>
      </c>
      <c r="F2254" s="3" t="s">
        <v>1291</v>
      </c>
      <c r="G2254" s="3" t="s">
        <v>1292</v>
      </c>
      <c r="H2254" s="2" t="s">
        <v>74</v>
      </c>
      <c r="I2254" s="2" t="s">
        <v>6424</v>
      </c>
      <c r="J2254" s="3" t="str">
        <f>HYPERLINK("https://www.boe.es/gazeta/dias/1810/01/29/pdfs/GMD-1810-29.pdf#page=3","Abrir facsímil")</f>
        <v>Abrir facsímil</v>
      </c>
      <c r="K2254" s="3" t="s">
        <v>76</v>
      </c>
    </row>
    <row r="2255" spans="1:11" ht="42" customHeight="1">
      <c r="A2255" s="2" t="s">
        <v>6425</v>
      </c>
      <c r="B2255" s="2" t="s">
        <v>6426</v>
      </c>
      <c r="C2255" s="2" t="s">
        <v>26</v>
      </c>
      <c r="D2255" s="2" t="s">
        <v>39</v>
      </c>
      <c r="E2255" s="4">
        <v>-32661</v>
      </c>
      <c r="F2255" s="3" t="s">
        <v>157</v>
      </c>
      <c r="G2255" s="3" t="s">
        <v>592</v>
      </c>
      <c r="H2255" s="2" t="s">
        <v>74</v>
      </c>
      <c r="I2255" s="2" t="s">
        <v>6427</v>
      </c>
      <c r="J2255" s="3" t="str">
        <f>HYPERLINK("https://www.boe.es/gazeta/dias/1810/07/29/pdfs/GMD-C-1810-210.pdf#page=2","Abrir facsímil")</f>
        <v>Abrir facsímil</v>
      </c>
      <c r="K2255" s="3" t="s">
        <v>76</v>
      </c>
    </row>
    <row r="2256" spans="1:11" ht="42" customHeight="1">
      <c r="A2256" s="2" t="s">
        <v>6428</v>
      </c>
      <c r="B2256" s="2" t="s">
        <v>6429</v>
      </c>
      <c r="C2256" s="2" t="s">
        <v>26</v>
      </c>
      <c r="D2256" s="2" t="s">
        <v>27</v>
      </c>
      <c r="E2256" s="4">
        <v>-32558</v>
      </c>
      <c r="F2256" s="3" t="s">
        <v>241</v>
      </c>
      <c r="G2256" s="3" t="s">
        <v>99</v>
      </c>
      <c r="H2256" s="2" t="s">
        <v>74</v>
      </c>
      <c r="I2256" s="2" t="s">
        <v>6430</v>
      </c>
      <c r="J2256" s="3" t="str">
        <f>HYPERLINK("https://www.boe.es/gazeta/dias/1810/11/09/pdfs/GMD-1810-313.pdf#page=3","Abrir facsímil")</f>
        <v>Abrir facsímil</v>
      </c>
      <c r="K2256" s="3" t="s">
        <v>76</v>
      </c>
    </row>
    <row r="2257" spans="1:11" ht="42" customHeight="1">
      <c r="A2257" s="2" t="s">
        <v>6431</v>
      </c>
      <c r="B2257" s="2" t="s">
        <v>6432</v>
      </c>
      <c r="C2257" s="2" t="s">
        <v>26</v>
      </c>
      <c r="D2257" s="2" t="s">
        <v>27</v>
      </c>
      <c r="E2257" s="4">
        <v>-32526</v>
      </c>
      <c r="F2257" s="3" t="s">
        <v>530</v>
      </c>
      <c r="G2257" s="3" t="s">
        <v>531</v>
      </c>
      <c r="H2257" s="2" t="s">
        <v>74</v>
      </c>
      <c r="I2257" s="2" t="s">
        <v>6433</v>
      </c>
      <c r="J2257" s="3" t="str">
        <f>HYPERLINK("https://www.boe.es/gazeta/dias/1810/12/11/pdfs/GEI-1810-106.pdf#page=2","Abrir facsímil")</f>
        <v>Abrir facsímil</v>
      </c>
      <c r="K2257" s="3" t="s">
        <v>76</v>
      </c>
    </row>
    <row r="2258" spans="1:11" ht="42" customHeight="1">
      <c r="A2258" s="2" t="s">
        <v>6434</v>
      </c>
      <c r="B2258" s="2" t="s">
        <v>6435</v>
      </c>
      <c r="C2258" s="2" t="s">
        <v>88</v>
      </c>
      <c r="D2258" s="2" t="s">
        <v>18</v>
      </c>
      <c r="E2258" s="4">
        <v>-32678</v>
      </c>
      <c r="F2258" s="3" t="s">
        <v>3679</v>
      </c>
      <c r="G2258" s="3" t="s">
        <v>971</v>
      </c>
      <c r="H2258" s="2" t="s">
        <v>74</v>
      </c>
      <c r="I2258" s="2" t="s">
        <v>6436</v>
      </c>
      <c r="J2258" s="3" t="str">
        <f>HYPERLINK("https://www.boe.es/gazeta/dias/1810/07/12/pdfs/GMD-1810-193.pdf#page=1","Abrir facsímil")</f>
        <v>Abrir facsímil</v>
      </c>
      <c r="K2258" s="3" t="s">
        <v>76</v>
      </c>
    </row>
    <row r="2259" spans="1:11" ht="42" customHeight="1">
      <c r="A2259" s="2" t="s">
        <v>6437</v>
      </c>
      <c r="B2259" s="2" t="s">
        <v>6438</v>
      </c>
      <c r="C2259" s="2" t="s">
        <v>26</v>
      </c>
      <c r="D2259" s="2" t="s">
        <v>27</v>
      </c>
      <c r="E2259" s="4">
        <v>-32649</v>
      </c>
      <c r="F2259" s="3" t="s">
        <v>190</v>
      </c>
      <c r="G2259" s="3" t="s">
        <v>213</v>
      </c>
      <c r="H2259" s="2" t="s">
        <v>74</v>
      </c>
      <c r="I2259" s="2" t="s">
        <v>6439</v>
      </c>
      <c r="J2259" s="3" t="str">
        <f>HYPERLINK("https://www.boe.es/gazeta/dias/1810/08/10/pdfs/GEI-1810-54.pdf#page=11","Abrir facsímil")</f>
        <v>Abrir facsímil</v>
      </c>
      <c r="K2259" s="3" t="s">
        <v>76</v>
      </c>
    </row>
    <row r="2260" spans="1:11" ht="42" customHeight="1">
      <c r="A2260" s="2" t="s">
        <v>6440</v>
      </c>
      <c r="B2260" s="2" t="s">
        <v>6441</v>
      </c>
      <c r="C2260" s="2" t="s">
        <v>26</v>
      </c>
      <c r="D2260" s="2" t="s">
        <v>27</v>
      </c>
      <c r="E2260" s="4">
        <v>-32689</v>
      </c>
      <c r="F2260" s="3" t="s">
        <v>571</v>
      </c>
      <c r="G2260" s="3" t="s">
        <v>140</v>
      </c>
      <c r="H2260" s="2" t="s">
        <v>74</v>
      </c>
      <c r="I2260" s="2" t="s">
        <v>6442</v>
      </c>
      <c r="J2260" s="3" t="str">
        <f>HYPERLINK("https://www.boe.es/gazeta/dias/1810/07/01/pdfs/GMD-1810-182.pdf#page=4","Abrir facsímil")</f>
        <v>Abrir facsímil</v>
      </c>
      <c r="K2260" s="3" t="s">
        <v>76</v>
      </c>
    </row>
    <row r="2261" spans="1:11" ht="42" customHeight="1">
      <c r="A2261" s="2" t="s">
        <v>6443</v>
      </c>
      <c r="B2261" s="2" t="s">
        <v>6444</v>
      </c>
      <c r="C2261" s="2" t="s">
        <v>26</v>
      </c>
      <c r="D2261" s="2" t="s">
        <v>27</v>
      </c>
      <c r="E2261" s="4">
        <v>-32689</v>
      </c>
      <c r="F2261" s="3" t="s">
        <v>571</v>
      </c>
      <c r="G2261" s="3" t="s">
        <v>140</v>
      </c>
      <c r="H2261" s="2" t="s">
        <v>74</v>
      </c>
      <c r="I2261" s="2" t="s">
        <v>6445</v>
      </c>
      <c r="J2261" s="3" t="str">
        <f>HYPERLINK("https://www.boe.es/gazeta/dias/1810/07/01/pdfs/GMD-1810-182.pdf#page=4","Abrir facsímil")</f>
        <v>Abrir facsímil</v>
      </c>
      <c r="K2261" s="3" t="s">
        <v>76</v>
      </c>
    </row>
    <row r="2262" spans="1:11" ht="42" customHeight="1">
      <c r="A2262" s="2" t="s">
        <v>6446</v>
      </c>
      <c r="B2262" s="2" t="s">
        <v>6447</v>
      </c>
      <c r="C2262" s="2" t="s">
        <v>26</v>
      </c>
      <c r="D2262" s="2" t="s">
        <v>18</v>
      </c>
      <c r="E2262" s="4">
        <v>-32751</v>
      </c>
      <c r="F2262" s="3" t="s">
        <v>1205</v>
      </c>
      <c r="G2262" s="3" t="s">
        <v>191</v>
      </c>
      <c r="H2262" s="2" t="s">
        <v>74</v>
      </c>
      <c r="I2262" s="2" t="s">
        <v>6448</v>
      </c>
      <c r="J2262" s="3" t="str">
        <f>HYPERLINK("https://www.boe.es/gazeta/dias/1810/04/30/pdfs/GMD-1810-120.pdf#page=3","Abrir facsímil")</f>
        <v>Abrir facsímil</v>
      </c>
      <c r="K2262" s="3" t="s">
        <v>76</v>
      </c>
    </row>
    <row r="2263" spans="1:11" ht="42" customHeight="1">
      <c r="A2263" s="2" t="s">
        <v>6449</v>
      </c>
      <c r="B2263" s="2" t="s">
        <v>6450</v>
      </c>
      <c r="C2263" s="2" t="s">
        <v>88</v>
      </c>
      <c r="D2263" s="2" t="s">
        <v>27</v>
      </c>
      <c r="E2263" s="4">
        <v>-32729</v>
      </c>
      <c r="F2263" s="3" t="s">
        <v>174</v>
      </c>
      <c r="G2263" s="3" t="s">
        <v>151</v>
      </c>
      <c r="H2263" s="2" t="s">
        <v>21</v>
      </c>
      <c r="I2263" s="2" t="s">
        <v>6451</v>
      </c>
      <c r="J2263" s="3" t="str">
        <f>HYPERLINK("https://www.boe.es/gazeta/dias/1810/05/22/pdfs/GEI-1810-28.pdf#page=12","Abrir facsímil")</f>
        <v>Abrir facsímil</v>
      </c>
      <c r="K2263" s="3" t="s">
        <v>23</v>
      </c>
    </row>
    <row r="2264" spans="1:11" ht="42" customHeight="1">
      <c r="A2264" s="2" t="s">
        <v>6452</v>
      </c>
      <c r="B2264" s="2" t="s">
        <v>6453</v>
      </c>
      <c r="C2264" s="2" t="s">
        <v>33</v>
      </c>
      <c r="D2264" s="2" t="s">
        <v>18</v>
      </c>
      <c r="E2264" s="4">
        <v>-32734</v>
      </c>
      <c r="F2264" s="3" t="s">
        <v>19</v>
      </c>
      <c r="G2264" s="3" t="s">
        <v>20</v>
      </c>
      <c r="H2264" s="2" t="s">
        <v>74</v>
      </c>
      <c r="I2264" s="2" t="s">
        <v>6454</v>
      </c>
      <c r="J2264" s="3" t="str">
        <f>HYPERLINK("https://www.boe.es/gazeta/dias/1810/05/17/pdfs/GMD-1810-137.pdf#page=4","Abrir facsímil")</f>
        <v>Abrir facsímil</v>
      </c>
      <c r="K2264" s="3" t="s">
        <v>76</v>
      </c>
    </row>
    <row r="2265" spans="1:11" ht="42" customHeight="1">
      <c r="A2265" s="2" t="s">
        <v>6455</v>
      </c>
      <c r="B2265" s="2" t="s">
        <v>6456</v>
      </c>
      <c r="C2265" s="2" t="s">
        <v>88</v>
      </c>
      <c r="D2265" s="2" t="s">
        <v>117</v>
      </c>
      <c r="E2265" s="4">
        <v>-32631</v>
      </c>
      <c r="F2265" s="3" t="s">
        <v>497</v>
      </c>
      <c r="G2265" s="3" t="s">
        <v>498</v>
      </c>
      <c r="H2265" s="2" t="s">
        <v>74</v>
      </c>
      <c r="I2265" s="2" t="s">
        <v>6457</v>
      </c>
      <c r="J2265" s="3" t="str">
        <f>HYPERLINK("https://www.boe.es/gazeta/dias/1810/08/28/pdfs/GMD-1810-240.pdf#page=2","Abrir facsímil")</f>
        <v>Abrir facsímil</v>
      </c>
      <c r="K2265" s="3" t="s">
        <v>76</v>
      </c>
    </row>
    <row r="2266" spans="1:11" ht="42" customHeight="1">
      <c r="A2266" s="2" t="s">
        <v>6458</v>
      </c>
      <c r="B2266" s="2" t="s">
        <v>6459</v>
      </c>
      <c r="C2266" s="2" t="s">
        <v>225</v>
      </c>
      <c r="D2266" s="2" t="s">
        <v>27</v>
      </c>
      <c r="E2266" s="4">
        <v>-32722</v>
      </c>
      <c r="F2266" s="3" t="s">
        <v>856</v>
      </c>
      <c r="G2266" s="3" t="s">
        <v>2077</v>
      </c>
      <c r="H2266" s="2" t="s">
        <v>74</v>
      </c>
      <c r="I2266" s="2" t="s">
        <v>6460</v>
      </c>
      <c r="J2266" s="3" t="str">
        <f>HYPERLINK("https://www.boe.es/gazeta/dias/1810/05/29/pdfs/GEI-1810-31.pdf#page=10","Abrir facsímil")</f>
        <v>Abrir facsímil</v>
      </c>
      <c r="K2266" s="3" t="s">
        <v>76</v>
      </c>
    </row>
    <row r="2267" spans="1:11" ht="42" customHeight="1">
      <c r="A2267" s="2" t="s">
        <v>6461</v>
      </c>
      <c r="B2267" s="2" t="s">
        <v>6462</v>
      </c>
      <c r="C2267" s="2" t="s">
        <v>26</v>
      </c>
      <c r="D2267" s="2" t="s">
        <v>27</v>
      </c>
      <c r="E2267" s="4">
        <v>-32803</v>
      </c>
      <c r="F2267" s="3" t="s">
        <v>4052</v>
      </c>
      <c r="G2267" s="3" t="s">
        <v>695</v>
      </c>
      <c r="H2267" s="2" t="s">
        <v>74</v>
      </c>
      <c r="I2267" s="2" t="s">
        <v>6463</v>
      </c>
      <c r="J2267" s="3" t="str">
        <f>HYPERLINK("https://www.boe.es/gazeta/dias/1810/03/09/pdfs/GMD-1810-68.pdf#page=4","Abrir facsímil")</f>
        <v>Abrir facsímil</v>
      </c>
      <c r="K2267" s="3" t="s">
        <v>76</v>
      </c>
    </row>
    <row r="2268" spans="1:11" ht="42" customHeight="1">
      <c r="A2268" s="2" t="s">
        <v>6464</v>
      </c>
      <c r="B2268" s="2" t="s">
        <v>6465</v>
      </c>
      <c r="C2268" s="2" t="s">
        <v>26</v>
      </c>
      <c r="D2268" s="2" t="s">
        <v>39</v>
      </c>
      <c r="E2268" s="4">
        <v>-32684</v>
      </c>
      <c r="F2268" s="3" t="s">
        <v>295</v>
      </c>
      <c r="G2268" s="3" t="s">
        <v>4095</v>
      </c>
      <c r="H2268" s="2" t="s">
        <v>74</v>
      </c>
      <c r="I2268" s="2" t="s">
        <v>6466</v>
      </c>
      <c r="J2268" s="3" t="str">
        <f>HYPERLINK("https://www.boe.es/gazeta/dias/1810/07/06/pdfs/GMD-C-1810-187.pdf#page=3","Abrir facsímil")</f>
        <v>Abrir facsímil</v>
      </c>
      <c r="K2268" s="3" t="s">
        <v>76</v>
      </c>
    </row>
    <row r="2269" spans="1:11" ht="42" customHeight="1">
      <c r="A2269" s="2" t="s">
        <v>6467</v>
      </c>
      <c r="B2269" s="2" t="s">
        <v>6468</v>
      </c>
      <c r="C2269" s="2" t="s">
        <v>317</v>
      </c>
      <c r="D2269" s="2" t="s">
        <v>39</v>
      </c>
      <c r="E2269" s="4">
        <v>-32684</v>
      </c>
      <c r="F2269" s="3" t="s">
        <v>295</v>
      </c>
      <c r="G2269" s="3" t="s">
        <v>296</v>
      </c>
      <c r="H2269" s="2" t="s">
        <v>74</v>
      </c>
      <c r="I2269" s="2" t="s">
        <v>6469</v>
      </c>
      <c r="J2269" s="3" t="str">
        <f>HYPERLINK("https://www.boe.es/gazeta/dias/1810/07/06/pdfs/GMD-C-1810-187.pdf#page=4","Abrir facsímil")</f>
        <v>Abrir facsímil</v>
      </c>
      <c r="K2269" s="3" t="s">
        <v>76</v>
      </c>
    </row>
    <row r="2270" spans="1:11" ht="42" customHeight="1">
      <c r="A2270" s="2" t="s">
        <v>6470</v>
      </c>
      <c r="B2270" s="2" t="s">
        <v>6471</v>
      </c>
      <c r="C2270" s="2" t="s">
        <v>88</v>
      </c>
      <c r="D2270" s="2" t="s">
        <v>117</v>
      </c>
      <c r="E2270" s="4">
        <v>-32729</v>
      </c>
      <c r="F2270" s="3" t="s">
        <v>174</v>
      </c>
      <c r="G2270" s="3" t="s">
        <v>2671</v>
      </c>
      <c r="H2270" s="2" t="s">
        <v>74</v>
      </c>
      <c r="I2270" s="2" t="s">
        <v>6472</v>
      </c>
      <c r="J2270" s="3" t="str">
        <f>HYPERLINK("https://www.boe.es/gazeta/dias/1810/05/22/pdfs/GEI-1810-28.pdf#page=6","Abrir facsímil")</f>
        <v>Abrir facsímil</v>
      </c>
      <c r="K2270" s="3" t="s">
        <v>76</v>
      </c>
    </row>
    <row r="2271" spans="1:11" ht="42" customHeight="1">
      <c r="A2271" s="2" t="s">
        <v>6473</v>
      </c>
      <c r="B2271" s="2" t="s">
        <v>6474</v>
      </c>
      <c r="C2271" s="2" t="s">
        <v>26</v>
      </c>
      <c r="D2271" s="2" t="s">
        <v>27</v>
      </c>
      <c r="E2271" s="4">
        <v>-32519</v>
      </c>
      <c r="F2271" s="3" t="s">
        <v>2299</v>
      </c>
      <c r="G2271" s="3" t="s">
        <v>2300</v>
      </c>
      <c r="H2271" s="2" t="s">
        <v>21</v>
      </c>
      <c r="I2271" s="2" t="s">
        <v>6475</v>
      </c>
      <c r="J2271" s="3" t="str">
        <f>HYPERLINK("https://www.boe.es/gazeta/dias/1810/12/18/pdfs/GEI-1810-109.pdf#page=8","Abrir facsímil")</f>
        <v>Abrir facsímil</v>
      </c>
      <c r="K2271" s="3" t="s">
        <v>23</v>
      </c>
    </row>
    <row r="2272" spans="1:11" ht="42" customHeight="1">
      <c r="A2272" s="2" t="s">
        <v>6476</v>
      </c>
      <c r="B2272" s="2" t="s">
        <v>6477</v>
      </c>
      <c r="C2272" s="2" t="s">
        <v>33</v>
      </c>
      <c r="D2272" s="2" t="s">
        <v>27</v>
      </c>
      <c r="E2272" s="4">
        <v>-32543</v>
      </c>
      <c r="F2272" s="3" t="s">
        <v>69</v>
      </c>
      <c r="G2272" s="3" t="s">
        <v>70</v>
      </c>
      <c r="H2272" s="2" t="s">
        <v>74</v>
      </c>
      <c r="I2272" s="2" t="s">
        <v>6478</v>
      </c>
      <c r="J2272" s="3" t="str">
        <f>HYPERLINK("https://www.boe.es/gazeta/dias/1810/11/24/pdfs/GEI-1810-99.pdf#page=8","Abrir facsímil")</f>
        <v>Abrir facsímil</v>
      </c>
      <c r="K2272" s="3" t="s">
        <v>76</v>
      </c>
    </row>
    <row r="2273" spans="1:11" ht="42" customHeight="1">
      <c r="A2273" s="2" t="s">
        <v>6479</v>
      </c>
      <c r="B2273" s="2" t="s">
        <v>6480</v>
      </c>
      <c r="C2273" s="2" t="s">
        <v>88</v>
      </c>
      <c r="D2273" s="2" t="s">
        <v>39</v>
      </c>
      <c r="E2273" s="4">
        <v>-32698</v>
      </c>
      <c r="F2273" s="3" t="s">
        <v>6481</v>
      </c>
      <c r="G2273" s="3" t="s">
        <v>213</v>
      </c>
      <c r="H2273" s="2" t="s">
        <v>74</v>
      </c>
      <c r="I2273" s="2" t="s">
        <v>6482</v>
      </c>
      <c r="J2273" s="3" t="str">
        <f>HYPERLINK("https://www.boe.es/gazeta/dias/1810/06/22/pdfs/GMD-C-1810-173.pdf#page=1","Abrir facsímil")</f>
        <v>Abrir facsímil</v>
      </c>
      <c r="K2273" s="3" t="s">
        <v>76</v>
      </c>
    </row>
    <row r="2274" spans="1:11" ht="42" customHeight="1">
      <c r="A2274" s="2" t="s">
        <v>6483</v>
      </c>
      <c r="B2274" s="2" t="s">
        <v>6484</v>
      </c>
      <c r="C2274" s="2" t="s">
        <v>930</v>
      </c>
      <c r="D2274" s="2" t="s">
        <v>39</v>
      </c>
      <c r="E2274" s="4">
        <v>-32684</v>
      </c>
      <c r="F2274" s="3" t="s">
        <v>372</v>
      </c>
      <c r="G2274" s="3" t="s">
        <v>2049</v>
      </c>
      <c r="H2274" s="2" t="s">
        <v>74</v>
      </c>
      <c r="I2274" s="2" t="s">
        <v>6485</v>
      </c>
      <c r="J2274" s="3" t="str">
        <f>HYPERLINK("https://www.boe.es/gazeta/dias/1810/07/06/pdfs/GEI-D-1810-42.pdf#page=7","Abrir facsímil")</f>
        <v>Abrir facsímil</v>
      </c>
      <c r="K2274" s="3" t="s">
        <v>76</v>
      </c>
    </row>
    <row r="2275" spans="1:11" ht="42" customHeight="1">
      <c r="A2275" s="2" t="s">
        <v>6486</v>
      </c>
      <c r="B2275" s="2" t="s">
        <v>6487</v>
      </c>
      <c r="C2275" s="2" t="s">
        <v>26</v>
      </c>
      <c r="D2275" s="2" t="s">
        <v>39</v>
      </c>
      <c r="E2275" s="4">
        <v>-32684</v>
      </c>
      <c r="F2275" s="3" t="s">
        <v>372</v>
      </c>
      <c r="G2275" s="3" t="s">
        <v>6488</v>
      </c>
      <c r="H2275" s="2" t="s">
        <v>74</v>
      </c>
      <c r="I2275" s="2" t="s">
        <v>6489</v>
      </c>
      <c r="J2275" s="3" t="str">
        <f>HYPERLINK("https://www.boe.es/gazeta/dias/1810/07/06/pdfs/GEI-D-1810-42.pdf#page=5","Abrir facsímil")</f>
        <v>Abrir facsímil</v>
      </c>
      <c r="K2275" s="3" t="s">
        <v>76</v>
      </c>
    </row>
    <row r="2276" spans="1:11" ht="42" customHeight="1">
      <c r="A2276" s="2" t="s">
        <v>6486</v>
      </c>
      <c r="B2276" s="2" t="s">
        <v>6487</v>
      </c>
      <c r="C2276" s="2" t="s">
        <v>26</v>
      </c>
      <c r="D2276" s="2" t="s">
        <v>27</v>
      </c>
      <c r="E2276" s="4">
        <v>-32624</v>
      </c>
      <c r="F2276" s="3" t="s">
        <v>2176</v>
      </c>
      <c r="G2276" s="3" t="s">
        <v>1590</v>
      </c>
      <c r="H2276" s="2" t="s">
        <v>74</v>
      </c>
      <c r="I2276" s="2" t="s">
        <v>6490</v>
      </c>
      <c r="J2276" s="3" t="str">
        <f>HYPERLINK("https://www.boe.es/gazeta/dias/1810/09/04/pdfs/GEI-1810-64.pdf#page=8","Abrir facsímil")</f>
        <v>Abrir facsímil</v>
      </c>
      <c r="K2276" s="3" t="s">
        <v>76</v>
      </c>
    </row>
    <row r="2277" spans="1:11" ht="42" customHeight="1">
      <c r="A2277" s="2" t="s">
        <v>6486</v>
      </c>
      <c r="B2277" s="2" t="s">
        <v>6487</v>
      </c>
      <c r="C2277" s="2" t="s">
        <v>33</v>
      </c>
      <c r="D2277" s="2" t="s">
        <v>220</v>
      </c>
      <c r="E2277" s="4">
        <v>-32621</v>
      </c>
      <c r="F2277" s="3" t="s">
        <v>6491</v>
      </c>
      <c r="G2277" s="3" t="s">
        <v>6492</v>
      </c>
      <c r="H2277" s="2" t="s">
        <v>74</v>
      </c>
      <c r="I2277" s="2" t="s">
        <v>6493</v>
      </c>
      <c r="J2277" s="3" t="str">
        <f>HYPERLINK("https://www.boe.es/gazeta/dias/1810/09/07/pdfs/GEI-D-1810-65.pdf#page=4","Abrir facsímil")</f>
        <v>Abrir facsímil</v>
      </c>
      <c r="K2277" s="3" t="s">
        <v>76</v>
      </c>
    </row>
    <row r="2278" spans="1:11" ht="42" customHeight="1">
      <c r="A2278" s="2" t="s">
        <v>6494</v>
      </c>
      <c r="B2278" s="2" t="s">
        <v>6495</v>
      </c>
      <c r="C2278" s="2" t="s">
        <v>33</v>
      </c>
      <c r="D2278" s="2" t="s">
        <v>18</v>
      </c>
      <c r="E2278" s="4">
        <v>-32608</v>
      </c>
      <c r="F2278" s="3" t="s">
        <v>781</v>
      </c>
      <c r="G2278" s="3" t="s">
        <v>213</v>
      </c>
      <c r="H2278" s="2" t="s">
        <v>74</v>
      </c>
      <c r="I2278" s="2" t="s">
        <v>6496</v>
      </c>
      <c r="J2278" s="3" t="str">
        <f>HYPERLINK("https://www.boe.es/gazeta/dias/1810/09/20/pdfs/GEI-1810-70.pdf#page=8","Abrir facsímil")</f>
        <v>Abrir facsímil</v>
      </c>
      <c r="K2278" s="3" t="s">
        <v>76</v>
      </c>
    </row>
    <row r="2279" spans="1:11" ht="42" customHeight="1">
      <c r="A2279" s="2" t="s">
        <v>6497</v>
      </c>
      <c r="B2279" s="2" t="s">
        <v>6498</v>
      </c>
      <c r="C2279" s="2" t="s">
        <v>26</v>
      </c>
      <c r="D2279" s="2" t="s">
        <v>27</v>
      </c>
      <c r="E2279" s="4">
        <v>-32804</v>
      </c>
      <c r="F2279" s="3" t="s">
        <v>583</v>
      </c>
      <c r="G2279" s="3" t="s">
        <v>6307</v>
      </c>
      <c r="H2279" s="2" t="s">
        <v>74</v>
      </c>
      <c r="I2279" s="2" t="s">
        <v>6499</v>
      </c>
      <c r="J2279" s="3" t="str">
        <f>HYPERLINK("https://www.boe.es/gazeta/dias/1810/03/08/pdfs/GMD-1810-67.pdf#page=4","Abrir facsímil")</f>
        <v>Abrir facsímil</v>
      </c>
      <c r="K2279" s="3" t="s">
        <v>76</v>
      </c>
    </row>
    <row r="2280" spans="1:11" ht="42" customHeight="1">
      <c r="A2280" s="2" t="s">
        <v>6500</v>
      </c>
      <c r="B2280" s="2" t="s">
        <v>6501</v>
      </c>
      <c r="C2280" s="2" t="s">
        <v>26</v>
      </c>
      <c r="D2280" s="2" t="s">
        <v>27</v>
      </c>
      <c r="E2280" s="4">
        <v>-32803</v>
      </c>
      <c r="F2280" s="3" t="s">
        <v>4052</v>
      </c>
      <c r="G2280" s="3" t="s">
        <v>695</v>
      </c>
      <c r="H2280" s="2" t="s">
        <v>74</v>
      </c>
      <c r="I2280" s="2" t="s">
        <v>6502</v>
      </c>
      <c r="J2280" s="3" t="str">
        <f>HYPERLINK("https://www.boe.es/gazeta/dias/1810/03/09/pdfs/GMD-1810-68.pdf#page=4","Abrir facsímil")</f>
        <v>Abrir facsímil</v>
      </c>
      <c r="K2280" s="3" t="s">
        <v>76</v>
      </c>
    </row>
    <row r="2281" spans="1:11" ht="42" customHeight="1">
      <c r="A2281" s="2" t="s">
        <v>6497</v>
      </c>
      <c r="B2281" s="2" t="s">
        <v>6498</v>
      </c>
      <c r="C2281" s="2" t="s">
        <v>26</v>
      </c>
      <c r="D2281" s="2" t="s">
        <v>27</v>
      </c>
      <c r="E2281" s="4">
        <v>-32800</v>
      </c>
      <c r="F2281" s="3" t="s">
        <v>388</v>
      </c>
      <c r="G2281" s="3" t="s">
        <v>90</v>
      </c>
      <c r="H2281" s="2" t="s">
        <v>74</v>
      </c>
      <c r="I2281" s="2" t="s">
        <v>6503</v>
      </c>
      <c r="J2281" s="3" t="str">
        <f>HYPERLINK("https://www.boe.es/gazeta/dias/1810/03/12/pdfs/GMD-1810-71.pdf#page=4","Abrir facsímil")</f>
        <v>Abrir facsímil</v>
      </c>
      <c r="K2281" s="3" t="s">
        <v>76</v>
      </c>
    </row>
    <row r="2282" spans="1:11" ht="42" customHeight="1">
      <c r="A2282" s="2" t="s">
        <v>6497</v>
      </c>
      <c r="B2282" s="2" t="s">
        <v>6498</v>
      </c>
      <c r="C2282" s="2" t="s">
        <v>26</v>
      </c>
      <c r="D2282" s="2" t="s">
        <v>27</v>
      </c>
      <c r="E2282" s="4">
        <v>-32798</v>
      </c>
      <c r="F2282" s="3" t="s">
        <v>2002</v>
      </c>
      <c r="G2282" s="3" t="s">
        <v>90</v>
      </c>
      <c r="H2282" s="2" t="s">
        <v>74</v>
      </c>
      <c r="I2282" s="2" t="s">
        <v>6504</v>
      </c>
      <c r="J2282" s="3" t="str">
        <f>HYPERLINK("https://www.boe.es/gazeta/dias/1810/03/14/pdfs/GMD-1810-73.pdf#page=4","Abrir facsímil")</f>
        <v>Abrir facsímil</v>
      </c>
      <c r="K2282" s="3" t="s">
        <v>76</v>
      </c>
    </row>
    <row r="2283" spans="1:11" ht="42" customHeight="1">
      <c r="A2283" s="2" t="s">
        <v>6505</v>
      </c>
      <c r="B2283" s="2" t="s">
        <v>6506</v>
      </c>
      <c r="C2283" s="2" t="s">
        <v>317</v>
      </c>
      <c r="D2283" s="2" t="s">
        <v>27</v>
      </c>
      <c r="E2283" s="4">
        <v>-32750</v>
      </c>
      <c r="F2283" s="3" t="s">
        <v>6507</v>
      </c>
      <c r="G2283" s="3" t="s">
        <v>140</v>
      </c>
      <c r="H2283" s="2" t="s">
        <v>74</v>
      </c>
      <c r="I2283" s="2" t="s">
        <v>6508</v>
      </c>
      <c r="J2283" s="3" t="str">
        <f>HYPERLINK("https://www.boe.es/gazeta/dias/1810/05/01/pdfs/GMD-1810-121.pdf#page=2","Abrir facsímil")</f>
        <v>Abrir facsímil</v>
      </c>
      <c r="K2283" s="3" t="s">
        <v>76</v>
      </c>
    </row>
    <row r="2284" spans="1:11" ht="42" customHeight="1">
      <c r="A2284" s="2" t="s">
        <v>6509</v>
      </c>
      <c r="B2284" s="2" t="s">
        <v>6510</v>
      </c>
      <c r="C2284" s="2" t="s">
        <v>88</v>
      </c>
      <c r="D2284" s="2" t="s">
        <v>58</v>
      </c>
      <c r="E2284" s="4">
        <v>-32651</v>
      </c>
      <c r="F2284" s="3" t="s">
        <v>59</v>
      </c>
      <c r="G2284" s="3" t="s">
        <v>5204</v>
      </c>
      <c r="H2284" s="2" t="s">
        <v>74</v>
      </c>
      <c r="I2284" s="2" t="s">
        <v>6511</v>
      </c>
      <c r="J2284" s="3" t="str">
        <f>HYPERLINK("https://www.boe.es/gazeta/dias/1810/08/08/pdfs/GEI-1810-53E.pdf#page=10","Abrir facsímil")</f>
        <v>Abrir facsímil</v>
      </c>
      <c r="K2284" s="3" t="s">
        <v>76</v>
      </c>
    </row>
    <row r="2285" spans="1:11" ht="42" customHeight="1">
      <c r="A2285" s="2" t="s">
        <v>6512</v>
      </c>
      <c r="B2285" s="2" t="s">
        <v>6513</v>
      </c>
      <c r="C2285" s="2" t="s">
        <v>225</v>
      </c>
      <c r="D2285" s="2" t="s">
        <v>18</v>
      </c>
      <c r="E2285" s="4">
        <v>-32550</v>
      </c>
      <c r="F2285" s="3" t="s">
        <v>1472</v>
      </c>
      <c r="G2285" s="3" t="s">
        <v>3210</v>
      </c>
      <c r="H2285" s="2" t="s">
        <v>74</v>
      </c>
      <c r="I2285" s="2" t="s">
        <v>6514</v>
      </c>
      <c r="J2285" s="3" t="str">
        <f>HYPERLINK("https://www.boe.es/gazeta/dias/1810/11/17/pdfs/GEI-1810-96.pdf#page=7","Abrir facsímil")</f>
        <v>Abrir facsímil</v>
      </c>
      <c r="K2285" s="3" t="s">
        <v>76</v>
      </c>
    </row>
    <row r="2286" spans="1:11" ht="42" customHeight="1">
      <c r="A2286" s="2" t="s">
        <v>6515</v>
      </c>
      <c r="B2286" s="2" t="s">
        <v>6516</v>
      </c>
      <c r="C2286" s="2" t="s">
        <v>225</v>
      </c>
      <c r="D2286" s="2" t="s">
        <v>27</v>
      </c>
      <c r="E2286" s="4">
        <v>-32764</v>
      </c>
      <c r="F2286" s="3" t="s">
        <v>640</v>
      </c>
      <c r="G2286" s="3" t="s">
        <v>641</v>
      </c>
      <c r="H2286" s="2" t="s">
        <v>74</v>
      </c>
      <c r="I2286" s="2" t="s">
        <v>6517</v>
      </c>
      <c r="J2286" s="3" t="str">
        <f>HYPERLINK("https://www.boe.es/gazeta/dias/1810/04/17/pdfs/GEI-1810-15.pdf#page=8","Abrir facsímil")</f>
        <v>Abrir facsímil</v>
      </c>
      <c r="K2286" s="3" t="s">
        <v>76</v>
      </c>
    </row>
    <row r="2287" spans="1:11" ht="42" customHeight="1">
      <c r="A2287" s="2" t="s">
        <v>6518</v>
      </c>
      <c r="B2287" s="2" t="s">
        <v>6519</v>
      </c>
      <c r="C2287" s="2" t="s">
        <v>26</v>
      </c>
      <c r="D2287" s="2" t="s">
        <v>18</v>
      </c>
      <c r="E2287" s="4">
        <v>-32827</v>
      </c>
      <c r="F2287" s="3" t="s">
        <v>290</v>
      </c>
      <c r="G2287" s="3" t="s">
        <v>291</v>
      </c>
      <c r="H2287" s="2" t="s">
        <v>74</v>
      </c>
      <c r="I2287" s="2" t="s">
        <v>6520</v>
      </c>
      <c r="J2287" s="3" t="str">
        <f>HYPERLINK("https://www.boe.es/gazeta/dias/1810/02/13/pdfs/GMD-1810-44.pdf#page=4","Abrir facsímil")</f>
        <v>Abrir facsímil</v>
      </c>
      <c r="K2287" s="3" t="s">
        <v>76</v>
      </c>
    </row>
    <row r="2288" spans="1:11" ht="42" customHeight="1">
      <c r="A2288" s="2" t="s">
        <v>6521</v>
      </c>
      <c r="B2288" s="2" t="s">
        <v>6522</v>
      </c>
      <c r="C2288" s="2" t="s">
        <v>26</v>
      </c>
      <c r="D2288" s="2" t="s">
        <v>27</v>
      </c>
      <c r="E2288" s="4">
        <v>-32772</v>
      </c>
      <c r="F2288" s="3" t="s">
        <v>398</v>
      </c>
      <c r="G2288" s="3" t="s">
        <v>99</v>
      </c>
      <c r="H2288" s="2" t="s">
        <v>74</v>
      </c>
      <c r="I2288" s="2" t="s">
        <v>6523</v>
      </c>
      <c r="J2288" s="3" t="str">
        <f>HYPERLINK("https://www.boe.es/gazeta/dias/1810/04/09/pdfs/GMD-1810-99.pdf#page=3","Abrir facsímil")</f>
        <v>Abrir facsímil</v>
      </c>
      <c r="K2288" s="3" t="s">
        <v>76</v>
      </c>
    </row>
    <row r="2289" spans="1:11" ht="42" customHeight="1">
      <c r="A2289" s="2" t="s">
        <v>6524</v>
      </c>
      <c r="B2289" s="2" t="s">
        <v>6525</v>
      </c>
      <c r="C2289" s="2" t="s">
        <v>26</v>
      </c>
      <c r="D2289" s="2" t="s">
        <v>39</v>
      </c>
      <c r="E2289" s="4">
        <v>-32701</v>
      </c>
      <c r="F2289" s="3" t="s">
        <v>40</v>
      </c>
      <c r="G2289" s="3" t="s">
        <v>41</v>
      </c>
      <c r="H2289" s="2" t="s">
        <v>74</v>
      </c>
      <c r="I2289" s="2" t="s">
        <v>6526</v>
      </c>
      <c r="J2289" s="3" t="str">
        <f>HYPERLINK("https://www.boe.es/gazeta/dias/1810/06/19/pdfs/GMD-C-1810-170.pdf#page=3","Abrir facsímil")</f>
        <v>Abrir facsímil</v>
      </c>
      <c r="K2289" s="3" t="s">
        <v>76</v>
      </c>
    </row>
    <row r="2290" spans="1:11" ht="42" customHeight="1">
      <c r="A2290" s="2" t="s">
        <v>6527</v>
      </c>
      <c r="B2290" s="2" t="s">
        <v>6528</v>
      </c>
      <c r="C2290" s="2" t="s">
        <v>26</v>
      </c>
      <c r="D2290" s="2" t="s">
        <v>27</v>
      </c>
      <c r="E2290" s="4">
        <v>-32534</v>
      </c>
      <c r="F2290" s="3" t="s">
        <v>2242</v>
      </c>
      <c r="G2290" s="3" t="s">
        <v>1722</v>
      </c>
      <c r="H2290" s="2" t="s">
        <v>74</v>
      </c>
      <c r="I2290" s="2" t="s">
        <v>6529</v>
      </c>
      <c r="J2290" s="3" t="str">
        <f>HYPERLINK("https://www.boe.es/gazeta/dias/1810/12/03/pdfs/GMD-1810-337.pdf#page=4","Abrir facsímil")</f>
        <v>Abrir facsímil</v>
      </c>
      <c r="K2290" s="3" t="s">
        <v>76</v>
      </c>
    </row>
    <row r="2291" spans="1:11" ht="42" customHeight="1">
      <c r="A2291" s="2" t="s">
        <v>6530</v>
      </c>
      <c r="B2291" s="2" t="s">
        <v>6531</v>
      </c>
      <c r="C2291" s="2" t="s">
        <v>225</v>
      </c>
      <c r="D2291" s="2" t="s">
        <v>27</v>
      </c>
      <c r="E2291" s="4">
        <v>-32771</v>
      </c>
      <c r="F2291" s="3" t="s">
        <v>543</v>
      </c>
      <c r="G2291" s="3" t="s">
        <v>65</v>
      </c>
      <c r="H2291" s="2" t="s">
        <v>74</v>
      </c>
      <c r="I2291" s="2" t="s">
        <v>6532</v>
      </c>
      <c r="J2291" s="3" t="str">
        <f>HYPERLINK("https://www.boe.es/gazeta/dias/1810/04/10/pdfs/GEI-1810-13.pdf#page=7","Abrir facsímil")</f>
        <v>Abrir facsímil</v>
      </c>
      <c r="K2291" s="3" t="s">
        <v>76</v>
      </c>
    </row>
    <row r="2292" spans="1:11" ht="42" customHeight="1">
      <c r="A2292" s="2" t="s">
        <v>6533</v>
      </c>
      <c r="B2292" s="2" t="s">
        <v>6534</v>
      </c>
      <c r="C2292" s="2" t="s">
        <v>88</v>
      </c>
      <c r="D2292" s="2" t="s">
        <v>27</v>
      </c>
      <c r="E2292" s="4">
        <v>-32710</v>
      </c>
      <c r="F2292" s="3" t="s">
        <v>126</v>
      </c>
      <c r="G2292" s="3" t="s">
        <v>184</v>
      </c>
      <c r="H2292" s="2" t="s">
        <v>74</v>
      </c>
      <c r="I2292" s="2" t="s">
        <v>6535</v>
      </c>
      <c r="J2292" s="3" t="str">
        <f>HYPERLINK("https://www.boe.es/gazeta/dias/1810/06/10/pdfs/GMD-1810-161.pdf#page=3","Abrir facsímil")</f>
        <v>Abrir facsímil</v>
      </c>
      <c r="K2292" s="3" t="s">
        <v>76</v>
      </c>
    </row>
    <row r="2293" spans="1:11" ht="42" customHeight="1">
      <c r="A2293" s="2" t="s">
        <v>6536</v>
      </c>
      <c r="B2293" s="2" t="s">
        <v>6537</v>
      </c>
      <c r="C2293" s="2" t="s">
        <v>88</v>
      </c>
      <c r="D2293" s="2" t="s">
        <v>18</v>
      </c>
      <c r="E2293" s="4">
        <v>-32842</v>
      </c>
      <c r="F2293" s="3" t="s">
        <v>1291</v>
      </c>
      <c r="G2293" s="3" t="s">
        <v>1292</v>
      </c>
      <c r="H2293" s="2" t="s">
        <v>74</v>
      </c>
      <c r="I2293" s="2" t="s">
        <v>6538</v>
      </c>
      <c r="J2293" s="3" t="str">
        <f>HYPERLINK("https://www.boe.es/gazeta/dias/1810/01/29/pdfs/GMD-1810-29.pdf#page=3","Abrir facsímil")</f>
        <v>Abrir facsímil</v>
      </c>
      <c r="K2293" s="3" t="s">
        <v>76</v>
      </c>
    </row>
    <row r="2294" spans="1:11" ht="42" customHeight="1">
      <c r="A2294" s="2" t="s">
        <v>6539</v>
      </c>
      <c r="B2294" s="2" t="s">
        <v>6540</v>
      </c>
      <c r="C2294" s="2" t="s">
        <v>88</v>
      </c>
      <c r="D2294" s="2" t="s">
        <v>27</v>
      </c>
      <c r="E2294" s="4">
        <v>-32754</v>
      </c>
      <c r="F2294" s="3" t="s">
        <v>1057</v>
      </c>
      <c r="G2294" s="3" t="s">
        <v>1477</v>
      </c>
      <c r="H2294" s="2" t="s">
        <v>74</v>
      </c>
      <c r="I2294" s="2" t="s">
        <v>6541</v>
      </c>
      <c r="J2294" s="3" t="str">
        <f>HYPERLINK("https://www.boe.es/gazeta/dias/1810/04/27/pdfs/GEI-1810-18.pdf#page=5","Abrir facsímil")</f>
        <v>Abrir facsímil</v>
      </c>
      <c r="K2294" s="3" t="s">
        <v>76</v>
      </c>
    </row>
    <row r="2295" spans="1:11" ht="42" customHeight="1">
      <c r="A2295" s="2" t="s">
        <v>6542</v>
      </c>
      <c r="B2295" s="2" t="s">
        <v>6543</v>
      </c>
      <c r="C2295" s="2" t="s">
        <v>26</v>
      </c>
      <c r="D2295" s="2" t="s">
        <v>27</v>
      </c>
      <c r="E2295" s="4">
        <v>-32729</v>
      </c>
      <c r="F2295" s="3" t="s">
        <v>174</v>
      </c>
      <c r="G2295" s="3" t="s">
        <v>886</v>
      </c>
      <c r="H2295" s="2" t="s">
        <v>74</v>
      </c>
      <c r="I2295" s="2" t="s">
        <v>6544</v>
      </c>
      <c r="J2295" s="3" t="str">
        <f>HYPERLINK("https://www.boe.es/gazeta/dias/1810/05/22/pdfs/GEI-1810-28.pdf#page=11","Abrir facsímil")</f>
        <v>Abrir facsímil</v>
      </c>
      <c r="K2295" s="3" t="s">
        <v>76</v>
      </c>
    </row>
    <row r="2296" spans="1:11" ht="42" customHeight="1">
      <c r="A2296" s="2" t="s">
        <v>6545</v>
      </c>
      <c r="B2296" s="2" t="s">
        <v>6546</v>
      </c>
      <c r="C2296" s="2" t="s">
        <v>88</v>
      </c>
      <c r="D2296" s="2" t="s">
        <v>27</v>
      </c>
      <c r="E2296" s="4">
        <v>-32703</v>
      </c>
      <c r="F2296" s="3" t="s">
        <v>1213</v>
      </c>
      <c r="G2296" s="3" t="s">
        <v>1214</v>
      </c>
      <c r="H2296" s="2" t="s">
        <v>74</v>
      </c>
      <c r="I2296" s="2" t="s">
        <v>6547</v>
      </c>
      <c r="J2296" s="3" t="str">
        <f>HYPERLINK("https://www.boe.es/gazeta/dias/1810/06/17/pdfs/GMD-1810-168.pdf#page=4","Abrir facsímil")</f>
        <v>Abrir facsímil</v>
      </c>
      <c r="K2296" s="3" t="s">
        <v>76</v>
      </c>
    </row>
    <row r="2297" spans="1:11" ht="42" customHeight="1">
      <c r="A2297" s="2" t="s">
        <v>6548</v>
      </c>
      <c r="B2297" s="2" t="s">
        <v>6549</v>
      </c>
      <c r="C2297" s="2" t="s">
        <v>26</v>
      </c>
      <c r="D2297" s="2" t="s">
        <v>58</v>
      </c>
      <c r="E2297" s="4">
        <v>-32795</v>
      </c>
      <c r="F2297" s="3" t="s">
        <v>2320</v>
      </c>
      <c r="G2297" s="3" t="s">
        <v>4341</v>
      </c>
      <c r="H2297" s="2" t="s">
        <v>74</v>
      </c>
      <c r="I2297" s="2" t="s">
        <v>6550</v>
      </c>
      <c r="J2297" s="3" t="str">
        <f>HYPERLINK("https://www.boe.es/gazeta/dias/1810/03/17/pdfs/GEI-1810-3E.pdf#page=3","Abrir facsímil")</f>
        <v>Abrir facsímil</v>
      </c>
      <c r="K2297" s="3" t="s">
        <v>76</v>
      </c>
    </row>
    <row r="2298" spans="1:11" ht="42" customHeight="1">
      <c r="A2298" s="2" t="s">
        <v>6551</v>
      </c>
      <c r="B2298" s="2" t="s">
        <v>6552</v>
      </c>
      <c r="C2298" s="2" t="s">
        <v>26</v>
      </c>
      <c r="D2298" s="2" t="s">
        <v>27</v>
      </c>
      <c r="E2298" s="4">
        <v>-32837</v>
      </c>
      <c r="F2298" s="3" t="s">
        <v>196</v>
      </c>
      <c r="G2298" s="3" t="s">
        <v>213</v>
      </c>
      <c r="H2298" s="2" t="s">
        <v>74</v>
      </c>
      <c r="I2298" s="2" t="s">
        <v>6553</v>
      </c>
      <c r="J2298" s="3" t="str">
        <f>HYPERLINK("https://www.boe.es/gazeta/dias/1810/02/03/pdfs/GMD-1810-34.pdf#page=2","Abrir facsímil")</f>
        <v>Abrir facsímil</v>
      </c>
      <c r="K2298" s="3" t="s">
        <v>76</v>
      </c>
    </row>
    <row r="2299" spans="1:11" ht="42" customHeight="1">
      <c r="A2299" s="2" t="s">
        <v>6554</v>
      </c>
      <c r="B2299" s="2" t="s">
        <v>6555</v>
      </c>
      <c r="C2299" s="2" t="s">
        <v>88</v>
      </c>
      <c r="D2299" s="2" t="s">
        <v>27</v>
      </c>
      <c r="E2299" s="4">
        <v>-32784</v>
      </c>
      <c r="F2299" s="3" t="s">
        <v>429</v>
      </c>
      <c r="G2299" s="3" t="s">
        <v>1821</v>
      </c>
      <c r="H2299" s="2" t="s">
        <v>74</v>
      </c>
      <c r="I2299" s="2" t="s">
        <v>6556</v>
      </c>
      <c r="J2299" s="3" t="str">
        <f>HYPERLINK("https://www.boe.es/gazeta/dias/1810/03/28/pdfs/GMD-1810-87.pdf#page=4","Abrir facsímil")</f>
        <v>Abrir facsímil</v>
      </c>
      <c r="K2299" s="3" t="s">
        <v>76</v>
      </c>
    </row>
    <row r="2300" spans="1:11" ht="42" customHeight="1">
      <c r="A2300" s="2" t="s">
        <v>6557</v>
      </c>
      <c r="B2300" s="2" t="s">
        <v>6558</v>
      </c>
      <c r="C2300" s="2" t="s">
        <v>33</v>
      </c>
      <c r="D2300" s="2" t="s">
        <v>220</v>
      </c>
      <c r="E2300" s="4">
        <v>-32744</v>
      </c>
      <c r="F2300" s="3" t="s">
        <v>1570</v>
      </c>
      <c r="G2300" s="3" t="s">
        <v>35</v>
      </c>
      <c r="H2300" s="2" t="s">
        <v>74</v>
      </c>
      <c r="I2300" s="2" t="s">
        <v>6559</v>
      </c>
      <c r="J2300" s="3" t="str">
        <f>HYPERLINK("https://www.boe.es/gazeta/dias/1810/05/07/pdfs/GMD-1810-127.pdf#page=2","Abrir facsímil")</f>
        <v>Abrir facsímil</v>
      </c>
      <c r="K2300" s="3" t="s">
        <v>76</v>
      </c>
    </row>
    <row r="2301" spans="1:11" ht="42" customHeight="1">
      <c r="A2301" s="2" t="s">
        <v>6560</v>
      </c>
      <c r="B2301" s="2" t="s">
        <v>6561</v>
      </c>
      <c r="C2301" s="2" t="s">
        <v>26</v>
      </c>
      <c r="D2301" s="2" t="s">
        <v>39</v>
      </c>
      <c r="E2301" s="4">
        <v>-32701</v>
      </c>
      <c r="F2301" s="3" t="s">
        <v>40</v>
      </c>
      <c r="G2301" s="3" t="s">
        <v>315</v>
      </c>
      <c r="H2301" s="2" t="s">
        <v>74</v>
      </c>
      <c r="I2301" s="2" t="s">
        <v>6562</v>
      </c>
      <c r="J2301" s="3" t="str">
        <f>HYPERLINK("https://www.boe.es/gazeta/dias/1810/06/19/pdfs/GMD-C-1810-170.pdf#page=2","Abrir facsímil")</f>
        <v>Abrir facsímil</v>
      </c>
      <c r="K2301" s="3" t="s">
        <v>76</v>
      </c>
    </row>
    <row r="2302" spans="1:11" ht="42" customHeight="1">
      <c r="A2302" s="2" t="s">
        <v>6563</v>
      </c>
      <c r="B2302" s="2" t="s">
        <v>6564</v>
      </c>
      <c r="C2302" s="2" t="s">
        <v>88</v>
      </c>
      <c r="D2302" s="2" t="s">
        <v>27</v>
      </c>
      <c r="E2302" s="4">
        <v>-32557</v>
      </c>
      <c r="F2302" s="3" t="s">
        <v>837</v>
      </c>
      <c r="G2302" s="3" t="s">
        <v>2073</v>
      </c>
      <c r="H2302" s="2" t="s">
        <v>74</v>
      </c>
      <c r="I2302" s="2" t="s">
        <v>6565</v>
      </c>
      <c r="J2302" s="3" t="str">
        <f>HYPERLINK("https://www.boe.es/gazeta/dias/1810/11/10/pdfs/GEI-1810-93.pdf#page=7","Abrir facsímil")</f>
        <v>Abrir facsímil</v>
      </c>
      <c r="K2302" s="3" t="s">
        <v>76</v>
      </c>
    </row>
    <row r="2303" spans="1:11" ht="42" customHeight="1">
      <c r="A2303" s="2" t="s">
        <v>6566</v>
      </c>
      <c r="B2303" s="2" t="s">
        <v>6567</v>
      </c>
      <c r="C2303" s="2" t="s">
        <v>17</v>
      </c>
      <c r="D2303" s="2" t="s">
        <v>27</v>
      </c>
      <c r="E2303" s="4">
        <v>-32738</v>
      </c>
      <c r="F2303" s="3" t="s">
        <v>321</v>
      </c>
      <c r="G2303" s="3" t="s">
        <v>140</v>
      </c>
      <c r="H2303" s="2" t="s">
        <v>74</v>
      </c>
      <c r="I2303" s="2" t="s">
        <v>6568</v>
      </c>
      <c r="J2303" s="3" t="str">
        <f>HYPERLINK("https://www.boe.es/gazeta/dias/1810/05/13/pdfs/GMD-1810-133.pdf#page=4","Abrir facsímil")</f>
        <v>Abrir facsímil</v>
      </c>
      <c r="K2303" s="3" t="s">
        <v>76</v>
      </c>
    </row>
    <row r="2304" spans="1:11" ht="42" customHeight="1">
      <c r="A2304" s="2" t="s">
        <v>6569</v>
      </c>
      <c r="B2304" s="2" t="s">
        <v>6570</v>
      </c>
      <c r="C2304" s="2" t="s">
        <v>26</v>
      </c>
      <c r="D2304" s="2" t="s">
        <v>27</v>
      </c>
      <c r="E2304" s="4">
        <v>-32526</v>
      </c>
      <c r="F2304" s="3" t="s">
        <v>530</v>
      </c>
      <c r="G2304" s="3" t="s">
        <v>531</v>
      </c>
      <c r="H2304" s="2" t="s">
        <v>74</v>
      </c>
      <c r="I2304" s="2" t="s">
        <v>6571</v>
      </c>
      <c r="J2304" s="3" t="str">
        <f>HYPERLINK("https://www.boe.es/gazeta/dias/1810/12/11/pdfs/GEI-1810-106.pdf#page=2","Abrir facsímil")</f>
        <v>Abrir facsímil</v>
      </c>
      <c r="K2304" s="3" t="s">
        <v>76</v>
      </c>
    </row>
    <row r="2305" spans="1:11" ht="42" customHeight="1">
      <c r="A2305" s="2" t="s">
        <v>6572</v>
      </c>
      <c r="B2305" s="2" t="s">
        <v>6573</v>
      </c>
      <c r="C2305" s="2" t="s">
        <v>17</v>
      </c>
      <c r="D2305" s="2" t="s">
        <v>27</v>
      </c>
      <c r="E2305" s="4">
        <v>-32682</v>
      </c>
      <c r="F2305" s="3" t="s">
        <v>4623</v>
      </c>
      <c r="G2305" s="3" t="s">
        <v>113</v>
      </c>
      <c r="H2305" s="2" t="s">
        <v>74</v>
      </c>
      <c r="I2305" s="2" t="s">
        <v>6574</v>
      </c>
      <c r="J2305" s="3" t="str">
        <f>HYPERLINK("https://www.boe.es/gazeta/dias/1810/07/08/pdfs/GMD-1810-189.pdf#page=4","Abrir facsímil")</f>
        <v>Abrir facsímil</v>
      </c>
      <c r="K2305" s="3" t="s">
        <v>76</v>
      </c>
    </row>
    <row r="2306" spans="1:11" ht="42" customHeight="1">
      <c r="A2306" s="2" t="s">
        <v>6575</v>
      </c>
      <c r="B2306" s="2" t="s">
        <v>6576</v>
      </c>
      <c r="C2306" s="2" t="s">
        <v>26</v>
      </c>
      <c r="D2306" s="2" t="s">
        <v>27</v>
      </c>
      <c r="E2306" s="4">
        <v>-32591</v>
      </c>
      <c r="F2306" s="3" t="s">
        <v>377</v>
      </c>
      <c r="G2306" s="3" t="s">
        <v>140</v>
      </c>
      <c r="H2306" s="2" t="s">
        <v>21</v>
      </c>
      <c r="I2306" s="2" t="s">
        <v>6577</v>
      </c>
      <c r="J2306" s="3" t="str">
        <f>HYPERLINK("https://www.boe.es/gazeta/dias/1810/10/07/pdfs/GMD-1810-280.pdf#page=4","Abrir facsímil")</f>
        <v>Abrir facsímil</v>
      </c>
      <c r="K2306" s="3" t="s">
        <v>23</v>
      </c>
    </row>
    <row r="2307" spans="1:11" ht="42" customHeight="1">
      <c r="A2307" s="2" t="s">
        <v>6578</v>
      </c>
      <c r="B2307" s="2" t="s">
        <v>6579</v>
      </c>
      <c r="C2307" s="2" t="s">
        <v>225</v>
      </c>
      <c r="D2307" s="2" t="s">
        <v>27</v>
      </c>
      <c r="E2307" s="4">
        <v>-32520</v>
      </c>
      <c r="F2307" s="3" t="s">
        <v>2109</v>
      </c>
      <c r="G2307" s="3" t="s">
        <v>2110</v>
      </c>
      <c r="H2307" s="2" t="s">
        <v>74</v>
      </c>
      <c r="I2307" s="2" t="s">
        <v>6580</v>
      </c>
      <c r="J2307" s="3" t="str">
        <f>HYPERLINK("https://www.boe.es/gazeta/dias/1810/12/17/pdfs/GMD-1810-351.pdf#page=2","Abrir facsímil")</f>
        <v>Abrir facsímil</v>
      </c>
      <c r="K2307" s="3" t="s">
        <v>76</v>
      </c>
    </row>
    <row r="2308" spans="1:11" ht="42" customHeight="1">
      <c r="A2308" s="2" t="s">
        <v>6581</v>
      </c>
      <c r="B2308" s="2" t="s">
        <v>6582</v>
      </c>
      <c r="C2308" s="2" t="s">
        <v>26</v>
      </c>
      <c r="D2308" s="2" t="s">
        <v>27</v>
      </c>
      <c r="E2308" s="4">
        <v>-32756</v>
      </c>
      <c r="F2308" s="3" t="s">
        <v>203</v>
      </c>
      <c r="G2308" s="3" t="s">
        <v>180</v>
      </c>
      <c r="H2308" s="2" t="s">
        <v>74</v>
      </c>
      <c r="I2308" s="2" t="s">
        <v>6583</v>
      </c>
      <c r="J2308" s="3" t="str">
        <f>HYPERLINK("https://www.boe.es/gazeta/dias/1810/04/25/pdfs/GMD-1810-115.pdf#page=4","Abrir facsímil")</f>
        <v>Abrir facsímil</v>
      </c>
      <c r="K2308" s="3" t="s">
        <v>76</v>
      </c>
    </row>
    <row r="2309" spans="1:11" ht="42" customHeight="1">
      <c r="A2309" s="2" t="s">
        <v>6584</v>
      </c>
      <c r="B2309" s="2" t="s">
        <v>6585</v>
      </c>
      <c r="C2309" s="2" t="s">
        <v>17</v>
      </c>
      <c r="D2309" s="2" t="s">
        <v>27</v>
      </c>
      <c r="E2309" s="4">
        <v>-32842</v>
      </c>
      <c r="F2309" s="3" t="s">
        <v>1291</v>
      </c>
      <c r="G2309" s="3" t="s">
        <v>1292</v>
      </c>
      <c r="H2309" s="2" t="s">
        <v>74</v>
      </c>
      <c r="I2309" s="2" t="s">
        <v>6586</v>
      </c>
      <c r="J2309" s="3" t="str">
        <f>HYPERLINK("https://www.boe.es/gazeta/dias/1810/01/29/pdfs/GMD-1810-29.pdf#page=3","Abrir facsímil")</f>
        <v>Abrir facsímil</v>
      </c>
      <c r="K2309" s="3" t="s">
        <v>76</v>
      </c>
    </row>
    <row r="2310" spans="1:11" ht="42" customHeight="1">
      <c r="A2310" s="2" t="s">
        <v>6587</v>
      </c>
      <c r="B2310" s="2" t="s">
        <v>6588</v>
      </c>
      <c r="C2310" s="2" t="s">
        <v>26</v>
      </c>
      <c r="D2310" s="2" t="s">
        <v>39</v>
      </c>
      <c r="E2310" s="4">
        <v>-32702</v>
      </c>
      <c r="F2310" s="3" t="s">
        <v>179</v>
      </c>
      <c r="G2310" s="3" t="s">
        <v>119</v>
      </c>
      <c r="H2310" s="2" t="s">
        <v>74</v>
      </c>
      <c r="I2310" s="2" t="s">
        <v>6589</v>
      </c>
      <c r="J2310" s="3" t="str">
        <f>HYPERLINK("https://www.boe.es/gazeta/dias/1810/06/18/pdfs/GMD-C-1810-169.pdf#page=1","Abrir facsímil")</f>
        <v>Abrir facsímil</v>
      </c>
      <c r="K2310" s="3" t="s">
        <v>76</v>
      </c>
    </row>
    <row r="2311" spans="1:11" ht="42" customHeight="1">
      <c r="A2311" s="2" t="s">
        <v>6590</v>
      </c>
      <c r="B2311" s="2" t="s">
        <v>6591</v>
      </c>
      <c r="C2311" s="2" t="s">
        <v>33</v>
      </c>
      <c r="D2311" s="2" t="s">
        <v>27</v>
      </c>
      <c r="E2311" s="4">
        <v>-32543</v>
      </c>
      <c r="F2311" s="3" t="s">
        <v>69</v>
      </c>
      <c r="G2311" s="3" t="s">
        <v>70</v>
      </c>
      <c r="H2311" s="2" t="s">
        <v>74</v>
      </c>
      <c r="I2311" s="2" t="s">
        <v>6592</v>
      </c>
      <c r="J2311" s="3" t="str">
        <f>HYPERLINK("https://www.boe.es/gazeta/dias/1810/11/24/pdfs/GEI-1810-99.pdf#page=8","Abrir facsímil")</f>
        <v>Abrir facsímil</v>
      </c>
      <c r="K2311" s="3" t="s">
        <v>76</v>
      </c>
    </row>
    <row r="2312" spans="1:11" ht="42" customHeight="1">
      <c r="A2312" s="2" t="s">
        <v>6593</v>
      </c>
      <c r="B2312" s="2" t="s">
        <v>6594</v>
      </c>
      <c r="C2312" s="2" t="s">
        <v>88</v>
      </c>
      <c r="D2312" s="2" t="s">
        <v>27</v>
      </c>
      <c r="E2312" s="4">
        <v>-32710</v>
      </c>
      <c r="F2312" s="3" t="s">
        <v>126</v>
      </c>
      <c r="G2312" s="3" t="s">
        <v>35</v>
      </c>
      <c r="H2312" s="2" t="s">
        <v>74</v>
      </c>
      <c r="I2312" s="2" t="s">
        <v>6595</v>
      </c>
      <c r="J2312" s="3" t="str">
        <f>HYPERLINK("https://www.boe.es/gazeta/dias/1810/06/10/pdfs/GMD-1810-161.pdf#page=2","Abrir facsímil")</f>
        <v>Abrir facsímil</v>
      </c>
      <c r="K2312" s="3" t="s">
        <v>76</v>
      </c>
    </row>
    <row r="2313" spans="1:11" ht="42" customHeight="1">
      <c r="A2313" s="2" t="s">
        <v>6596</v>
      </c>
      <c r="B2313" s="2" t="s">
        <v>6597</v>
      </c>
      <c r="C2313" s="2" t="s">
        <v>26</v>
      </c>
      <c r="D2313" s="2" t="s">
        <v>27</v>
      </c>
      <c r="E2313" s="4">
        <v>-32837</v>
      </c>
      <c r="F2313" s="3" t="s">
        <v>196</v>
      </c>
      <c r="G2313" s="3" t="s">
        <v>213</v>
      </c>
      <c r="H2313" s="2" t="s">
        <v>74</v>
      </c>
      <c r="I2313" s="2" t="s">
        <v>6598</v>
      </c>
      <c r="J2313" s="3" t="str">
        <f>HYPERLINK("https://www.boe.es/gazeta/dias/1810/02/03/pdfs/GMD-1810-34.pdf#page=2","Abrir facsímil")</f>
        <v>Abrir facsímil</v>
      </c>
      <c r="K2313" s="3" t="s">
        <v>76</v>
      </c>
    </row>
    <row r="2314" spans="1:11" ht="42" customHeight="1">
      <c r="A2314" s="2" t="s">
        <v>6599</v>
      </c>
      <c r="B2314" s="2" t="s">
        <v>6600</v>
      </c>
      <c r="C2314" s="2" t="s">
        <v>88</v>
      </c>
      <c r="D2314" s="2" t="s">
        <v>27</v>
      </c>
      <c r="E2314" s="4">
        <v>-32729</v>
      </c>
      <c r="F2314" s="3" t="s">
        <v>174</v>
      </c>
      <c r="G2314" s="3" t="s">
        <v>274</v>
      </c>
      <c r="H2314" s="2" t="s">
        <v>74</v>
      </c>
      <c r="I2314" s="2" t="s">
        <v>6601</v>
      </c>
      <c r="J2314" s="3" t="str">
        <f>HYPERLINK("https://www.boe.es/gazeta/dias/1810/05/22/pdfs/GEI-1810-28.pdf#page=8","Abrir facsímil")</f>
        <v>Abrir facsímil</v>
      </c>
      <c r="K2314" s="3" t="s">
        <v>76</v>
      </c>
    </row>
    <row r="2315" spans="1:11" ht="42" customHeight="1">
      <c r="A2315" s="2" t="s">
        <v>6602</v>
      </c>
      <c r="B2315" s="2" t="s">
        <v>6603</v>
      </c>
      <c r="C2315" s="2" t="s">
        <v>26</v>
      </c>
      <c r="D2315" s="2" t="s">
        <v>18</v>
      </c>
      <c r="E2315" s="4">
        <v>-32809</v>
      </c>
      <c r="F2315" s="3" t="s">
        <v>1873</v>
      </c>
      <c r="G2315" s="3" t="s">
        <v>735</v>
      </c>
      <c r="H2315" s="2" t="s">
        <v>74</v>
      </c>
      <c r="I2315" s="2" t="s">
        <v>6604</v>
      </c>
      <c r="J2315" s="3" t="str">
        <f>HYPERLINK("https://www.boe.es/gazeta/dias/1810/03/03/pdfs/GMD-1810-62.pdf#page=4","Abrir facsímil")</f>
        <v>Abrir facsímil</v>
      </c>
      <c r="K2315" s="3" t="s">
        <v>76</v>
      </c>
    </row>
    <row r="2316" spans="1:11" ht="42" customHeight="1">
      <c r="A2316" s="2" t="s">
        <v>6605</v>
      </c>
      <c r="B2316" s="2" t="s">
        <v>6606</v>
      </c>
      <c r="C2316" s="2" t="s">
        <v>26</v>
      </c>
      <c r="D2316" s="2" t="s">
        <v>27</v>
      </c>
      <c r="E2316" s="4">
        <v>-32575</v>
      </c>
      <c r="F2316" s="3" t="s">
        <v>135</v>
      </c>
      <c r="G2316" s="3" t="s">
        <v>136</v>
      </c>
      <c r="H2316" s="2" t="s">
        <v>74</v>
      </c>
      <c r="I2316" s="2" t="s">
        <v>6607</v>
      </c>
      <c r="J2316" s="3" t="str">
        <f>HYPERLINK("https://www.boe.es/gazeta/dias/1810/10/23/pdfs/GEI-1810-85.pdf#page=11","Abrir facsímil")</f>
        <v>Abrir facsímil</v>
      </c>
      <c r="K2316" s="3" t="s">
        <v>76</v>
      </c>
    </row>
    <row r="2317" spans="1:11" ht="42" customHeight="1">
      <c r="A2317" s="2" t="s">
        <v>6608</v>
      </c>
      <c r="B2317" s="2" t="s">
        <v>6609</v>
      </c>
      <c r="C2317" s="2" t="s">
        <v>26</v>
      </c>
      <c r="D2317" s="2" t="s">
        <v>27</v>
      </c>
      <c r="E2317" s="4">
        <v>-32837</v>
      </c>
      <c r="F2317" s="3" t="s">
        <v>196</v>
      </c>
      <c r="G2317" s="3" t="s">
        <v>213</v>
      </c>
      <c r="H2317" s="2" t="s">
        <v>74</v>
      </c>
      <c r="I2317" s="2" t="s">
        <v>6610</v>
      </c>
      <c r="J2317" s="3" t="str">
        <f>HYPERLINK("https://www.boe.es/gazeta/dias/1810/02/03/pdfs/GMD-1810-34.pdf#page=2","Abrir facsímil")</f>
        <v>Abrir facsímil</v>
      </c>
      <c r="K2317" s="3" t="s">
        <v>76</v>
      </c>
    </row>
    <row r="2318" spans="1:11" ht="42" customHeight="1">
      <c r="A2318" s="2" t="s">
        <v>6611</v>
      </c>
      <c r="B2318" s="2" t="s">
        <v>6612</v>
      </c>
      <c r="C2318" s="2" t="s">
        <v>88</v>
      </c>
      <c r="D2318" s="2" t="s">
        <v>27</v>
      </c>
      <c r="E2318" s="4">
        <v>-32846</v>
      </c>
      <c r="F2318" s="3" t="s">
        <v>1153</v>
      </c>
      <c r="G2318" s="3" t="s">
        <v>29</v>
      </c>
      <c r="H2318" s="2" t="s">
        <v>74</v>
      </c>
      <c r="I2318" s="2" t="s">
        <v>6613</v>
      </c>
      <c r="J2318" s="3" t="str">
        <f>HYPERLINK("https://www.boe.es/gazeta/dias/1810/01/25/pdfs/GMD-1810-25.pdf#page=2","Abrir facsímil")</f>
        <v>Abrir facsímil</v>
      </c>
      <c r="K2318" s="3" t="s">
        <v>76</v>
      </c>
    </row>
    <row r="2319" spans="1:11" ht="42" customHeight="1">
      <c r="A2319" s="2" t="s">
        <v>6614</v>
      </c>
      <c r="B2319" s="2" t="s">
        <v>6615</v>
      </c>
      <c r="C2319" s="2" t="s">
        <v>111</v>
      </c>
      <c r="D2319" s="2" t="s">
        <v>58</v>
      </c>
      <c r="E2319" s="4">
        <v>-32651</v>
      </c>
      <c r="F2319" s="3" t="s">
        <v>59</v>
      </c>
      <c r="G2319" s="3" t="s">
        <v>6616</v>
      </c>
      <c r="H2319" s="2" t="s">
        <v>74</v>
      </c>
      <c r="I2319" s="2" t="s">
        <v>6617</v>
      </c>
      <c r="J2319" s="3" t="str">
        <f>HYPERLINK("https://www.boe.es/gazeta/dias/1810/08/08/pdfs/GEI-1810-53E.pdf#page=9","Abrir facsímil")</f>
        <v>Abrir facsímil</v>
      </c>
      <c r="K2319" s="3" t="s">
        <v>76</v>
      </c>
    </row>
    <row r="2320" spans="1:11" ht="42" customHeight="1">
      <c r="A2320" s="2" t="s">
        <v>6618</v>
      </c>
      <c r="B2320" s="2" t="s">
        <v>6619</v>
      </c>
      <c r="C2320" s="2" t="s">
        <v>26</v>
      </c>
      <c r="D2320" s="2" t="s">
        <v>58</v>
      </c>
      <c r="E2320" s="4">
        <v>-32601</v>
      </c>
      <c r="F2320" s="3" t="s">
        <v>392</v>
      </c>
      <c r="G2320" s="3" t="s">
        <v>35</v>
      </c>
      <c r="H2320" s="2" t="s">
        <v>74</v>
      </c>
      <c r="I2320" s="2" t="s">
        <v>6620</v>
      </c>
      <c r="J2320" s="3" t="str">
        <f>HYPERLINK("https://www.boe.es/gazeta/dias/1810/09/27/pdfs/GEI-1810-74E.pdf#page=2","Abrir facsímil")</f>
        <v>Abrir facsímil</v>
      </c>
      <c r="K2320" s="3" t="s">
        <v>76</v>
      </c>
    </row>
    <row r="2321" spans="1:11" ht="42" customHeight="1">
      <c r="A2321" s="2" t="s">
        <v>6621</v>
      </c>
      <c r="B2321" s="2" t="s">
        <v>6622</v>
      </c>
      <c r="C2321" s="2" t="s">
        <v>26</v>
      </c>
      <c r="D2321" s="2" t="s">
        <v>27</v>
      </c>
      <c r="E2321" s="4">
        <v>-32590</v>
      </c>
      <c r="F2321" s="3" t="s">
        <v>4283</v>
      </c>
      <c r="G2321" s="3" t="s">
        <v>6623</v>
      </c>
      <c r="H2321" s="2" t="s">
        <v>74</v>
      </c>
      <c r="I2321" s="2" t="s">
        <v>6624</v>
      </c>
      <c r="J2321" s="3" t="str">
        <f>HYPERLINK("https://www.boe.es/gazeta/dias/1810/10/08/pdfs/GMD-1810-281.pdf#page=3","Abrir facsímil")</f>
        <v>Abrir facsímil</v>
      </c>
      <c r="K2321" s="3" t="s">
        <v>76</v>
      </c>
    </row>
    <row r="2322" spans="1:11" ht="42" customHeight="1">
      <c r="A2322" s="2" t="s">
        <v>6625</v>
      </c>
      <c r="B2322" s="2" t="s">
        <v>6626</v>
      </c>
      <c r="C2322" s="2" t="s">
        <v>88</v>
      </c>
      <c r="D2322" s="2" t="s">
        <v>27</v>
      </c>
      <c r="E2322" s="4">
        <v>-32710</v>
      </c>
      <c r="F2322" s="3" t="s">
        <v>126</v>
      </c>
      <c r="G2322" s="3" t="s">
        <v>35</v>
      </c>
      <c r="H2322" s="2" t="s">
        <v>74</v>
      </c>
      <c r="I2322" s="2" t="s">
        <v>6627</v>
      </c>
      <c r="J2322" s="3" t="str">
        <f>HYPERLINK("https://www.boe.es/gazeta/dias/1810/06/10/pdfs/GMD-1810-161.pdf#page=2","Abrir facsímil")</f>
        <v>Abrir facsímil</v>
      </c>
      <c r="K2322" s="3" t="s">
        <v>76</v>
      </c>
    </row>
    <row r="2323" spans="1:11" ht="42" customHeight="1">
      <c r="A2323" s="2" t="s">
        <v>6628</v>
      </c>
      <c r="B2323" s="2" t="s">
        <v>6629</v>
      </c>
      <c r="C2323" s="2" t="s">
        <v>26</v>
      </c>
      <c r="D2323" s="2" t="s">
        <v>39</v>
      </c>
      <c r="E2323" s="4">
        <v>-32661</v>
      </c>
      <c r="F2323" s="3" t="s">
        <v>157</v>
      </c>
      <c r="G2323" s="3" t="s">
        <v>592</v>
      </c>
      <c r="H2323" s="2" t="s">
        <v>74</v>
      </c>
      <c r="I2323" s="2" t="s">
        <v>6630</v>
      </c>
      <c r="J2323" s="3" t="str">
        <f>HYPERLINK("https://www.boe.es/gazeta/dias/1810/07/29/pdfs/GMD-C-1810-210.pdf#page=2","Abrir facsímil")</f>
        <v>Abrir facsímil</v>
      </c>
      <c r="K2323" s="3" t="s">
        <v>76</v>
      </c>
    </row>
    <row r="2324" spans="1:11" ht="42" customHeight="1">
      <c r="A2324" s="2" t="s">
        <v>6631</v>
      </c>
      <c r="B2324" s="2" t="s">
        <v>6632</v>
      </c>
      <c r="C2324" s="2" t="s">
        <v>26</v>
      </c>
      <c r="D2324" s="2" t="s">
        <v>18</v>
      </c>
      <c r="E2324" s="4">
        <v>-32659</v>
      </c>
      <c r="F2324" s="3" t="s">
        <v>1684</v>
      </c>
      <c r="G2324" s="3" t="s">
        <v>29</v>
      </c>
      <c r="H2324" s="2" t="s">
        <v>74</v>
      </c>
      <c r="I2324" s="2" t="s">
        <v>6633</v>
      </c>
      <c r="J2324" s="3" t="str">
        <f>HYPERLINK("https://www.boe.es/gazeta/dias/1810/07/31/pdfs/GMD-1810-212.pdf#page=4","Abrir facsímil")</f>
        <v>Abrir facsímil</v>
      </c>
      <c r="K2324" s="3" t="s">
        <v>76</v>
      </c>
    </row>
    <row r="2325" spans="1:11" ht="42" customHeight="1">
      <c r="A2325" s="2" t="s">
        <v>6634</v>
      </c>
      <c r="B2325" s="2" t="s">
        <v>6635</v>
      </c>
      <c r="C2325" s="2" t="s">
        <v>26</v>
      </c>
      <c r="D2325" s="2" t="s">
        <v>27</v>
      </c>
      <c r="E2325" s="4">
        <v>-32575</v>
      </c>
      <c r="F2325" s="3" t="s">
        <v>135</v>
      </c>
      <c r="G2325" s="3" t="s">
        <v>136</v>
      </c>
      <c r="H2325" s="2" t="s">
        <v>74</v>
      </c>
      <c r="I2325" s="2" t="s">
        <v>6636</v>
      </c>
      <c r="J2325" s="3" t="str">
        <f>HYPERLINK("https://www.boe.es/gazeta/dias/1810/10/23/pdfs/GEI-1810-85.pdf#page=11","Abrir facsímil")</f>
        <v>Abrir facsímil</v>
      </c>
      <c r="K2325" s="3" t="s">
        <v>76</v>
      </c>
    </row>
    <row r="2326" spans="1:11" ht="42" customHeight="1">
      <c r="A2326" s="2" t="s">
        <v>6637</v>
      </c>
      <c r="B2326" s="2" t="s">
        <v>6638</v>
      </c>
      <c r="C2326" s="2" t="s">
        <v>26</v>
      </c>
      <c r="D2326" s="2" t="s">
        <v>27</v>
      </c>
      <c r="E2326" s="4">
        <v>-32585</v>
      </c>
      <c r="F2326" s="3" t="s">
        <v>260</v>
      </c>
      <c r="G2326" s="3" t="s">
        <v>180</v>
      </c>
      <c r="H2326" s="2" t="s">
        <v>74</v>
      </c>
      <c r="I2326" s="2" t="s">
        <v>6639</v>
      </c>
      <c r="J2326" s="3" t="str">
        <f>HYPERLINK("https://www.boe.es/gazeta/dias/1810/10/13/pdfs/GEI-1810-81.pdf#page=7","Abrir facsímil")</f>
        <v>Abrir facsímil</v>
      </c>
      <c r="K2326" s="3" t="s">
        <v>76</v>
      </c>
    </row>
    <row r="2327" spans="1:11" ht="42" customHeight="1">
      <c r="A2327" s="2" t="s">
        <v>6640</v>
      </c>
      <c r="B2327" s="2" t="s">
        <v>6641</v>
      </c>
      <c r="C2327" s="2" t="s">
        <v>26</v>
      </c>
      <c r="D2327" s="2" t="s">
        <v>27</v>
      </c>
      <c r="E2327" s="4">
        <v>-32599</v>
      </c>
      <c r="F2327" s="3" t="s">
        <v>6642</v>
      </c>
      <c r="G2327" s="3" t="s">
        <v>6643</v>
      </c>
      <c r="H2327" s="2" t="s">
        <v>74</v>
      </c>
      <c r="I2327" s="2" t="s">
        <v>6644</v>
      </c>
      <c r="J2327" s="3" t="str">
        <f>HYPERLINK("https://www.boe.es/gazeta/dias/1810/09/29/pdfs/GEI-1810-75.pdf#page=8","Abrir facsímil")</f>
        <v>Abrir facsímil</v>
      </c>
      <c r="K2327" s="3" t="s">
        <v>76</v>
      </c>
    </row>
    <row r="2328" spans="1:11" ht="42" customHeight="1">
      <c r="A2328" s="2" t="s">
        <v>6645</v>
      </c>
      <c r="B2328" s="2" t="s">
        <v>6646</v>
      </c>
      <c r="C2328" s="2" t="s">
        <v>88</v>
      </c>
      <c r="D2328" s="2" t="s">
        <v>117</v>
      </c>
      <c r="E2328" s="4">
        <v>-32603</v>
      </c>
      <c r="F2328" s="3" t="s">
        <v>2163</v>
      </c>
      <c r="G2328" s="3" t="s">
        <v>29</v>
      </c>
      <c r="H2328" s="2" t="s">
        <v>74</v>
      </c>
      <c r="I2328" s="2" t="s">
        <v>6647</v>
      </c>
      <c r="J2328" s="3" t="str">
        <f>HYPERLINK("https://www.boe.es/gazeta/dias/1810/09/25/pdfs/GEI-1810-72.pdf#page=8","Abrir facsímil")</f>
        <v>Abrir facsímil</v>
      </c>
      <c r="K2328" s="3" t="s">
        <v>76</v>
      </c>
    </row>
    <row r="2329" spans="1:11" ht="42" customHeight="1">
      <c r="A2329" s="2" t="s">
        <v>6648</v>
      </c>
      <c r="B2329" s="2" t="s">
        <v>6649</v>
      </c>
      <c r="C2329" s="2" t="s">
        <v>26</v>
      </c>
      <c r="D2329" s="2" t="s">
        <v>39</v>
      </c>
      <c r="E2329" s="4">
        <v>-32701</v>
      </c>
      <c r="F2329" s="3" t="s">
        <v>40</v>
      </c>
      <c r="G2329" s="3" t="s">
        <v>315</v>
      </c>
      <c r="H2329" s="2" t="s">
        <v>74</v>
      </c>
      <c r="I2329" s="2" t="s">
        <v>6650</v>
      </c>
      <c r="J2329" s="3" t="str">
        <f>HYPERLINK("https://www.boe.es/gazeta/dias/1810/06/19/pdfs/GMD-C-1810-170.pdf#page=2","Abrir facsímil")</f>
        <v>Abrir facsímil</v>
      </c>
      <c r="K2329" s="3" t="s">
        <v>76</v>
      </c>
    </row>
    <row r="2330" spans="1:11" ht="42" customHeight="1">
      <c r="A2330" s="2" t="s">
        <v>6651</v>
      </c>
      <c r="B2330" s="2" t="s">
        <v>6652</v>
      </c>
      <c r="C2330" s="2" t="s">
        <v>26</v>
      </c>
      <c r="D2330" s="2" t="s">
        <v>39</v>
      </c>
      <c r="E2330" s="4">
        <v>-32684</v>
      </c>
      <c r="F2330" s="3" t="s">
        <v>372</v>
      </c>
      <c r="G2330" s="3" t="s">
        <v>373</v>
      </c>
      <c r="H2330" s="2" t="s">
        <v>74</v>
      </c>
      <c r="I2330" s="2" t="s">
        <v>6653</v>
      </c>
      <c r="J2330" s="3" t="str">
        <f>HYPERLINK("https://www.boe.es/gazeta/dias/1810/07/06/pdfs/GEI-D-1810-42.pdf#page=8","Abrir facsímil")</f>
        <v>Abrir facsímil</v>
      </c>
      <c r="K2330" s="3" t="s">
        <v>76</v>
      </c>
    </row>
    <row r="2331" spans="1:11" ht="42" customHeight="1">
      <c r="A2331" s="2" t="s">
        <v>6654</v>
      </c>
      <c r="B2331" s="2" t="s">
        <v>6655</v>
      </c>
      <c r="C2331" s="2" t="s">
        <v>26</v>
      </c>
      <c r="D2331" s="2" t="s">
        <v>39</v>
      </c>
      <c r="E2331" s="4">
        <v>-32701</v>
      </c>
      <c r="F2331" s="3" t="s">
        <v>40</v>
      </c>
      <c r="G2331" s="3" t="s">
        <v>315</v>
      </c>
      <c r="H2331" s="2" t="s">
        <v>74</v>
      </c>
      <c r="I2331" s="2" t="s">
        <v>6656</v>
      </c>
      <c r="J2331" s="3" t="str">
        <f>HYPERLINK("https://www.boe.es/gazeta/dias/1810/06/19/pdfs/GMD-C-1810-170.pdf#page=2","Abrir facsímil")</f>
        <v>Abrir facsímil</v>
      </c>
      <c r="K2331" s="3" t="s">
        <v>76</v>
      </c>
    </row>
    <row r="2332" spans="1:11" ht="42" customHeight="1">
      <c r="A2332" s="2" t="s">
        <v>6657</v>
      </c>
      <c r="B2332" s="2" t="s">
        <v>6658</v>
      </c>
      <c r="C2332" s="2" t="s">
        <v>26</v>
      </c>
      <c r="D2332" s="2" t="s">
        <v>39</v>
      </c>
      <c r="E2332" s="4">
        <v>-32701</v>
      </c>
      <c r="F2332" s="3" t="s">
        <v>40</v>
      </c>
      <c r="G2332" s="3" t="s">
        <v>41</v>
      </c>
      <c r="H2332" s="2" t="s">
        <v>74</v>
      </c>
      <c r="I2332" s="2" t="s">
        <v>6659</v>
      </c>
      <c r="J2332" s="3" t="str">
        <f>HYPERLINK("https://www.boe.es/gazeta/dias/1810/06/19/pdfs/GMD-C-1810-170.pdf#page=3","Abrir facsímil")</f>
        <v>Abrir facsímil</v>
      </c>
      <c r="K2332" s="3" t="s">
        <v>76</v>
      </c>
    </row>
    <row r="2333" spans="1:11" ht="42" customHeight="1">
      <c r="A2333" s="2" t="s">
        <v>6660</v>
      </c>
      <c r="B2333" s="2" t="s">
        <v>6661</v>
      </c>
      <c r="C2333" s="2" t="s">
        <v>317</v>
      </c>
      <c r="D2333" s="2" t="s">
        <v>39</v>
      </c>
      <c r="E2333" s="4">
        <v>-32701</v>
      </c>
      <c r="F2333" s="3" t="s">
        <v>40</v>
      </c>
      <c r="G2333" s="3" t="s">
        <v>315</v>
      </c>
      <c r="H2333" s="2" t="s">
        <v>74</v>
      </c>
      <c r="I2333" s="2" t="s">
        <v>6662</v>
      </c>
      <c r="J2333" s="3" t="str">
        <f>HYPERLINK("https://www.boe.es/gazeta/dias/1810/06/19/pdfs/GMD-C-1810-170.pdf#page=2","Abrir facsímil")</f>
        <v>Abrir facsímil</v>
      </c>
      <c r="K2333" s="3" t="s">
        <v>76</v>
      </c>
    </row>
    <row r="2334" spans="1:11" ht="42" customHeight="1">
      <c r="A2334" s="2" t="s">
        <v>6663</v>
      </c>
      <c r="B2334" s="2" t="s">
        <v>6664</v>
      </c>
      <c r="C2334" s="2" t="s">
        <v>88</v>
      </c>
      <c r="D2334" s="2" t="s">
        <v>27</v>
      </c>
      <c r="E2334" s="4">
        <v>-32815</v>
      </c>
      <c r="F2334" s="3" t="s">
        <v>1201</v>
      </c>
      <c r="G2334" s="3" t="s">
        <v>70</v>
      </c>
      <c r="H2334" s="2" t="s">
        <v>74</v>
      </c>
      <c r="I2334" s="2" t="s">
        <v>6665</v>
      </c>
      <c r="J2334" s="3" t="str">
        <f>HYPERLINK("https://www.boe.es/gazeta/dias/1810/02/25/pdfs/GMD-1810-56.pdf#page=3","Abrir facsímil")</f>
        <v>Abrir facsímil</v>
      </c>
      <c r="K2334" s="3" t="s">
        <v>76</v>
      </c>
    </row>
    <row r="2335" spans="1:11" ht="42" customHeight="1">
      <c r="A2335" s="2" t="s">
        <v>6666</v>
      </c>
      <c r="B2335" s="2" t="s">
        <v>6667</v>
      </c>
      <c r="C2335" s="2" t="s">
        <v>26</v>
      </c>
      <c r="D2335" s="2" t="s">
        <v>27</v>
      </c>
      <c r="E2335" s="4">
        <v>-32837</v>
      </c>
      <c r="F2335" s="3" t="s">
        <v>196</v>
      </c>
      <c r="G2335" s="3" t="s">
        <v>140</v>
      </c>
      <c r="H2335" s="2" t="s">
        <v>74</v>
      </c>
      <c r="I2335" s="2" t="s">
        <v>6668</v>
      </c>
      <c r="J2335" s="3" t="str">
        <f>HYPERLINK("https://www.boe.es/gazeta/dias/1810/02/03/pdfs/GMD-1810-34.pdf#page=4","Abrir facsímil")</f>
        <v>Abrir facsímil</v>
      </c>
      <c r="K2335" s="3" t="s">
        <v>76</v>
      </c>
    </row>
    <row r="2336" spans="1:11" ht="42" customHeight="1">
      <c r="A2336" s="2" t="s">
        <v>6669</v>
      </c>
      <c r="B2336" s="2" t="s">
        <v>6670</v>
      </c>
      <c r="C2336" s="2" t="s">
        <v>26</v>
      </c>
      <c r="D2336" s="2" t="s">
        <v>27</v>
      </c>
      <c r="E2336" s="4">
        <v>-32584</v>
      </c>
      <c r="F2336" s="3" t="s">
        <v>1560</v>
      </c>
      <c r="G2336" s="3" t="s">
        <v>971</v>
      </c>
      <c r="H2336" s="2" t="s">
        <v>74</v>
      </c>
      <c r="I2336" s="2" t="s">
        <v>6671</v>
      </c>
      <c r="J2336" s="3" t="str">
        <f>HYPERLINK("https://www.boe.es/gazeta/dias/1810/10/14/pdfs/GMD-1810-287.pdf#page=3","Abrir facsímil")</f>
        <v>Abrir facsímil</v>
      </c>
      <c r="K2336" s="3" t="s">
        <v>76</v>
      </c>
    </row>
    <row r="2337" spans="1:11" ht="42" customHeight="1">
      <c r="A2337" s="2" t="s">
        <v>6672</v>
      </c>
      <c r="B2337" s="2" t="s">
        <v>6673</v>
      </c>
      <c r="C2337" s="2" t="s">
        <v>26</v>
      </c>
      <c r="D2337" s="2" t="s">
        <v>27</v>
      </c>
      <c r="E2337" s="4">
        <v>-32595</v>
      </c>
      <c r="F2337" s="3" t="s">
        <v>700</v>
      </c>
      <c r="G2337" s="3" t="s">
        <v>29</v>
      </c>
      <c r="H2337" s="2" t="s">
        <v>74</v>
      </c>
      <c r="I2337" s="2" t="s">
        <v>6674</v>
      </c>
      <c r="J2337" s="3" t="str">
        <f>HYPERLINK("https://www.boe.es/gazeta/dias/1810/10/03/pdfs/GMD-1810-276.pdf#page=4","Abrir facsímil")</f>
        <v>Abrir facsímil</v>
      </c>
      <c r="K2337" s="3" t="s">
        <v>76</v>
      </c>
    </row>
    <row r="2338" spans="1:11" ht="42" customHeight="1">
      <c r="A2338" s="2" t="s">
        <v>6675</v>
      </c>
      <c r="B2338" s="2" t="s">
        <v>6676</v>
      </c>
      <c r="C2338" s="2" t="s">
        <v>17</v>
      </c>
      <c r="D2338" s="2" t="s">
        <v>27</v>
      </c>
      <c r="E2338" s="4">
        <v>-32648</v>
      </c>
      <c r="F2338" s="3" t="s">
        <v>575</v>
      </c>
      <c r="G2338" s="3" t="s">
        <v>140</v>
      </c>
      <c r="H2338" s="2" t="s">
        <v>74</v>
      </c>
      <c r="I2338" s="2" t="s">
        <v>6677</v>
      </c>
      <c r="J2338" s="3" t="str">
        <f>HYPERLINK("https://www.boe.es/gazeta/dias/1810/08/11/pdfs/GMD-1810-223.pdf#page=4","Abrir facsímil")</f>
        <v>Abrir facsímil</v>
      </c>
      <c r="K2338" s="3" t="s">
        <v>76</v>
      </c>
    </row>
    <row r="2339" spans="1:11" ht="42" customHeight="1">
      <c r="A2339" s="2" t="s">
        <v>6678</v>
      </c>
      <c r="B2339" s="2" t="s">
        <v>6679</v>
      </c>
      <c r="C2339" s="2" t="s">
        <v>26</v>
      </c>
      <c r="D2339" s="2" t="s">
        <v>27</v>
      </c>
      <c r="E2339" s="4">
        <v>-32710</v>
      </c>
      <c r="F2339" s="3" t="s">
        <v>126</v>
      </c>
      <c r="G2339" s="3" t="s">
        <v>35</v>
      </c>
      <c r="H2339" s="2" t="s">
        <v>74</v>
      </c>
      <c r="I2339" s="2" t="s">
        <v>6680</v>
      </c>
      <c r="J2339" s="3" t="str">
        <f>HYPERLINK("https://www.boe.es/gazeta/dias/1810/06/10/pdfs/GMD-1810-161.pdf#page=2","Abrir facsímil")</f>
        <v>Abrir facsímil</v>
      </c>
      <c r="K2339" s="3" t="s">
        <v>76</v>
      </c>
    </row>
    <row r="2340" spans="1:11" ht="42" customHeight="1">
      <c r="A2340" s="2" t="s">
        <v>6681</v>
      </c>
      <c r="B2340" s="2" t="s">
        <v>6682</v>
      </c>
      <c r="C2340" s="2" t="s">
        <v>26</v>
      </c>
      <c r="D2340" s="2" t="s">
        <v>39</v>
      </c>
      <c r="E2340" s="4">
        <v>-32661</v>
      </c>
      <c r="F2340" s="3" t="s">
        <v>157</v>
      </c>
      <c r="G2340" s="3" t="s">
        <v>592</v>
      </c>
      <c r="H2340" s="2" t="s">
        <v>74</v>
      </c>
      <c r="I2340" s="2" t="s">
        <v>6683</v>
      </c>
      <c r="J2340" s="3" t="str">
        <f>HYPERLINK("https://www.boe.es/gazeta/dias/1810/07/29/pdfs/GMD-C-1810-210.pdf#page=2","Abrir facsímil")</f>
        <v>Abrir facsímil</v>
      </c>
      <c r="K2340" s="3" t="s">
        <v>76</v>
      </c>
    </row>
    <row r="2341" spans="1:11" ht="42" customHeight="1">
      <c r="A2341" s="2" t="s">
        <v>6684</v>
      </c>
      <c r="B2341" s="2" t="s">
        <v>6685</v>
      </c>
      <c r="C2341" s="2" t="s">
        <v>88</v>
      </c>
      <c r="D2341" s="2" t="s">
        <v>27</v>
      </c>
      <c r="E2341" s="4">
        <v>-32698</v>
      </c>
      <c r="F2341" s="3" t="s">
        <v>2705</v>
      </c>
      <c r="G2341" s="3" t="s">
        <v>4406</v>
      </c>
      <c r="H2341" s="2" t="s">
        <v>21</v>
      </c>
      <c r="I2341" s="2" t="s">
        <v>6686</v>
      </c>
      <c r="J2341" s="3" t="str">
        <f>HYPERLINK("https://www.boe.es/gazeta/dias/1810/06/22/pdfs/GEI-1810-38.pdf#page=1","Abrir facsímil")</f>
        <v>Abrir facsímil</v>
      </c>
      <c r="K2341" s="3" t="s">
        <v>23</v>
      </c>
    </row>
    <row r="2342" spans="1:11" ht="42" customHeight="1">
      <c r="A2342" s="2" t="s">
        <v>6687</v>
      </c>
      <c r="B2342" s="2" t="s">
        <v>6688</v>
      </c>
      <c r="C2342" s="2" t="s">
        <v>26</v>
      </c>
      <c r="D2342" s="2" t="s">
        <v>39</v>
      </c>
      <c r="E2342" s="4">
        <v>-32684</v>
      </c>
      <c r="F2342" s="3" t="s">
        <v>372</v>
      </c>
      <c r="G2342" s="3" t="s">
        <v>6689</v>
      </c>
      <c r="H2342" s="2" t="s">
        <v>74</v>
      </c>
      <c r="I2342" s="2" t="s">
        <v>6690</v>
      </c>
      <c r="J2342" s="3" t="str">
        <f>HYPERLINK("https://www.boe.es/gazeta/dias/1810/07/06/pdfs/GEI-D-1810-42.pdf#page=1","Abrir facsímil")</f>
        <v>Abrir facsímil</v>
      </c>
      <c r="K2342" s="3" t="s">
        <v>76</v>
      </c>
    </row>
    <row r="2343" spans="1:11" ht="42" customHeight="1">
      <c r="A2343" s="2" t="s">
        <v>6687</v>
      </c>
      <c r="B2343" s="2" t="s">
        <v>6688</v>
      </c>
      <c r="C2343" s="2" t="s">
        <v>26</v>
      </c>
      <c r="D2343" s="2" t="s">
        <v>39</v>
      </c>
      <c r="E2343" s="4">
        <v>-32684</v>
      </c>
      <c r="F2343" s="3" t="s">
        <v>372</v>
      </c>
      <c r="G2343" s="3" t="s">
        <v>35</v>
      </c>
      <c r="H2343" s="2" t="s">
        <v>74</v>
      </c>
      <c r="I2343" s="2" t="s">
        <v>6691</v>
      </c>
      <c r="J2343" s="3" t="str">
        <f>HYPERLINK("https://www.boe.es/gazeta/dias/1810/07/06/pdfs/GEI-D-1810-42.pdf#page=2","Abrir facsímil")</f>
        <v>Abrir facsímil</v>
      </c>
      <c r="K2343" s="3" t="s">
        <v>76</v>
      </c>
    </row>
    <row r="2344" spans="1:11" ht="42" customHeight="1">
      <c r="A2344" s="2" t="s">
        <v>6687</v>
      </c>
      <c r="B2344" s="2" t="s">
        <v>6688</v>
      </c>
      <c r="C2344" s="2" t="s">
        <v>26</v>
      </c>
      <c r="D2344" s="2" t="s">
        <v>39</v>
      </c>
      <c r="E2344" s="4">
        <v>-32684</v>
      </c>
      <c r="F2344" s="3" t="s">
        <v>372</v>
      </c>
      <c r="G2344" s="3" t="s">
        <v>6692</v>
      </c>
      <c r="H2344" s="2" t="s">
        <v>74</v>
      </c>
      <c r="I2344" s="2" t="s">
        <v>6693</v>
      </c>
      <c r="J2344" s="3" t="str">
        <f>HYPERLINK("https://www.boe.es/gazeta/dias/1810/07/06/pdfs/GEI-D-1810-42.pdf#page=4","Abrir facsímil")</f>
        <v>Abrir facsímil</v>
      </c>
      <c r="K2344" s="3" t="s">
        <v>76</v>
      </c>
    </row>
    <row r="2345" spans="1:11" ht="42" customHeight="1">
      <c r="A2345" s="2" t="s">
        <v>6687</v>
      </c>
      <c r="B2345" s="2" t="s">
        <v>6688</v>
      </c>
      <c r="C2345" s="2" t="s">
        <v>26</v>
      </c>
      <c r="D2345" s="2" t="s">
        <v>39</v>
      </c>
      <c r="E2345" s="4">
        <v>-32684</v>
      </c>
      <c r="F2345" s="3" t="s">
        <v>372</v>
      </c>
      <c r="G2345" s="3" t="s">
        <v>6488</v>
      </c>
      <c r="H2345" s="2" t="s">
        <v>74</v>
      </c>
      <c r="I2345" s="2" t="s">
        <v>6694</v>
      </c>
      <c r="J2345" s="3" t="str">
        <f>HYPERLINK("https://www.boe.es/gazeta/dias/1810/07/06/pdfs/GEI-D-1810-42.pdf#page=5","Abrir facsímil")</f>
        <v>Abrir facsímil</v>
      </c>
      <c r="K2345" s="3" t="s">
        <v>76</v>
      </c>
    </row>
    <row r="2346" spans="1:11" ht="42" customHeight="1">
      <c r="A2346" s="2" t="s">
        <v>6687</v>
      </c>
      <c r="B2346" s="2" t="s">
        <v>6688</v>
      </c>
      <c r="C2346" s="2" t="s">
        <v>88</v>
      </c>
      <c r="D2346" s="2" t="s">
        <v>27</v>
      </c>
      <c r="E2346" s="4">
        <v>-32624</v>
      </c>
      <c r="F2346" s="3" t="s">
        <v>2176</v>
      </c>
      <c r="G2346" s="3" t="s">
        <v>1590</v>
      </c>
      <c r="H2346" s="2" t="s">
        <v>74</v>
      </c>
      <c r="I2346" s="2" t="s">
        <v>6695</v>
      </c>
      <c r="J2346" s="3" t="str">
        <f>HYPERLINK("https://www.boe.es/gazeta/dias/1810/09/04/pdfs/GEI-1810-64.pdf#page=8","Abrir facsímil")</f>
        <v>Abrir facsímil</v>
      </c>
      <c r="K2346" s="3" t="s">
        <v>76</v>
      </c>
    </row>
    <row r="2347" spans="1:11" ht="42" customHeight="1">
      <c r="A2347" s="2" t="s">
        <v>6687</v>
      </c>
      <c r="B2347" s="2" t="s">
        <v>6688</v>
      </c>
      <c r="C2347" s="2" t="s">
        <v>26</v>
      </c>
      <c r="D2347" s="2" t="s">
        <v>18</v>
      </c>
      <c r="E2347" s="4">
        <v>-32608</v>
      </c>
      <c r="F2347" s="3" t="s">
        <v>781</v>
      </c>
      <c r="G2347" s="3" t="s">
        <v>2147</v>
      </c>
      <c r="H2347" s="2" t="s">
        <v>74</v>
      </c>
      <c r="I2347" s="2" t="s">
        <v>6696</v>
      </c>
      <c r="J2347" s="3" t="str">
        <f>HYPERLINK("https://www.boe.es/gazeta/dias/1810/09/20/pdfs/GEI-1810-70.pdf#page=6","Abrir facsímil")</f>
        <v>Abrir facsímil</v>
      </c>
      <c r="K2347" s="3" t="s">
        <v>76</v>
      </c>
    </row>
    <row r="2348" spans="1:11" ht="42" customHeight="1">
      <c r="A2348" s="2" t="s">
        <v>6687</v>
      </c>
      <c r="B2348" s="2" t="s">
        <v>6688</v>
      </c>
      <c r="C2348" s="2" t="s">
        <v>26</v>
      </c>
      <c r="D2348" s="2" t="s">
        <v>27</v>
      </c>
      <c r="E2348" s="4">
        <v>-32608</v>
      </c>
      <c r="F2348" s="3" t="s">
        <v>781</v>
      </c>
      <c r="G2348" s="3" t="s">
        <v>213</v>
      </c>
      <c r="H2348" s="2" t="s">
        <v>74</v>
      </c>
      <c r="I2348" s="2" t="s">
        <v>6697</v>
      </c>
      <c r="J2348" s="3" t="str">
        <f>HYPERLINK("https://www.boe.es/gazeta/dias/1810/09/20/pdfs/GEI-1810-70.pdf#page=8","Abrir facsímil")</f>
        <v>Abrir facsímil</v>
      </c>
      <c r="K2348" s="3" t="s">
        <v>76</v>
      </c>
    </row>
    <row r="2349" spans="1:11" ht="42" customHeight="1">
      <c r="A2349" s="2" t="s">
        <v>6698</v>
      </c>
      <c r="B2349" s="2" t="s">
        <v>6699</v>
      </c>
      <c r="C2349" s="2" t="s">
        <v>26</v>
      </c>
      <c r="D2349" s="2" t="s">
        <v>27</v>
      </c>
      <c r="E2349" s="4">
        <v>-32624</v>
      </c>
      <c r="F2349" s="3" t="s">
        <v>2176</v>
      </c>
      <c r="G2349" s="3" t="s">
        <v>213</v>
      </c>
      <c r="H2349" s="2" t="s">
        <v>21</v>
      </c>
      <c r="I2349" s="2" t="s">
        <v>6700</v>
      </c>
      <c r="J2349" s="3" t="str">
        <f>HYPERLINK("https://www.boe.es/gazeta/dias/1810/09/04/pdfs/GEI-1810-64.pdf#page=7","Abrir facsímil")</f>
        <v>Abrir facsímil</v>
      </c>
      <c r="K2349" s="3" t="s">
        <v>23</v>
      </c>
    </row>
    <row r="2350" spans="1:11" ht="42" customHeight="1">
      <c r="A2350" s="2" t="s">
        <v>6701</v>
      </c>
      <c r="B2350" s="2" t="s">
        <v>6702</v>
      </c>
      <c r="C2350" s="2" t="s">
        <v>26</v>
      </c>
      <c r="D2350" s="2" t="s">
        <v>39</v>
      </c>
      <c r="E2350" s="4">
        <v>-32701</v>
      </c>
      <c r="F2350" s="3" t="s">
        <v>40</v>
      </c>
      <c r="G2350" s="3" t="s">
        <v>333</v>
      </c>
      <c r="H2350" s="2" t="s">
        <v>74</v>
      </c>
      <c r="I2350" s="2" t="s">
        <v>6703</v>
      </c>
      <c r="J2350" s="3" t="str">
        <f>HYPERLINK("https://www.boe.es/gazeta/dias/1810/06/19/pdfs/GMD-C-1810-170.pdf#page=4","Abrir facsímil")</f>
        <v>Abrir facsímil</v>
      </c>
      <c r="K2350" s="3" t="s">
        <v>76</v>
      </c>
    </row>
    <row r="2351" spans="1:11" ht="42" customHeight="1">
      <c r="A2351" s="2" t="s">
        <v>6704</v>
      </c>
      <c r="B2351" s="2" t="s">
        <v>6705</v>
      </c>
      <c r="C2351" s="2" t="s">
        <v>317</v>
      </c>
      <c r="D2351" s="2" t="s">
        <v>27</v>
      </c>
      <c r="E2351" s="4">
        <v>-32680</v>
      </c>
      <c r="F2351" s="3" t="s">
        <v>509</v>
      </c>
      <c r="G2351" s="3" t="s">
        <v>213</v>
      </c>
      <c r="H2351" s="2" t="s">
        <v>74</v>
      </c>
      <c r="I2351" s="2" t="s">
        <v>6706</v>
      </c>
      <c r="J2351" s="3" t="str">
        <f>HYPERLINK("https://www.boe.es/gazeta/dias/1810/07/10/pdfs/GMD-1810-191.pdf#page=4","Abrir facsímil")</f>
        <v>Abrir facsímil</v>
      </c>
      <c r="K2351" s="3" t="s">
        <v>76</v>
      </c>
    </row>
    <row r="2352" spans="1:11" ht="42" customHeight="1">
      <c r="A2352" s="2" t="s">
        <v>6707</v>
      </c>
      <c r="B2352" s="2" t="s">
        <v>6708</v>
      </c>
      <c r="C2352" s="2" t="s">
        <v>26</v>
      </c>
      <c r="D2352" s="2" t="s">
        <v>39</v>
      </c>
      <c r="E2352" s="4">
        <v>-32702</v>
      </c>
      <c r="F2352" s="3" t="s">
        <v>179</v>
      </c>
      <c r="G2352" s="3" t="s">
        <v>180</v>
      </c>
      <c r="H2352" s="2" t="s">
        <v>74</v>
      </c>
      <c r="I2352" s="2" t="s">
        <v>6709</v>
      </c>
      <c r="J2352" s="3" t="str">
        <f>HYPERLINK("https://www.boe.es/gazeta/dias/1810/06/18/pdfs/GMD-C-1810-169.pdf#page=2","Abrir facsímil")</f>
        <v>Abrir facsímil</v>
      </c>
      <c r="K2352" s="3" t="s">
        <v>76</v>
      </c>
    </row>
    <row r="2353" spans="1:11" ht="42" customHeight="1">
      <c r="A2353" s="2" t="s">
        <v>6710</v>
      </c>
      <c r="B2353" s="2" t="s">
        <v>6711</v>
      </c>
      <c r="C2353" s="2" t="s">
        <v>88</v>
      </c>
      <c r="D2353" s="2" t="s">
        <v>117</v>
      </c>
      <c r="E2353" s="4">
        <v>-32827</v>
      </c>
      <c r="F2353" s="3" t="s">
        <v>290</v>
      </c>
      <c r="G2353" s="3" t="s">
        <v>291</v>
      </c>
      <c r="H2353" s="2" t="s">
        <v>74</v>
      </c>
      <c r="I2353" s="2" t="s">
        <v>6712</v>
      </c>
      <c r="J2353" s="3" t="str">
        <f>HYPERLINK("https://www.boe.es/gazeta/dias/1810/02/13/pdfs/GMD-1810-44.pdf#page=4","Abrir facsímil")</f>
        <v>Abrir facsímil</v>
      </c>
      <c r="K2353" s="3" t="s">
        <v>76</v>
      </c>
    </row>
    <row r="2354" spans="1:11" ht="42" customHeight="1">
      <c r="A2354" s="2" t="s">
        <v>6713</v>
      </c>
      <c r="B2354" s="2" t="s">
        <v>6714</v>
      </c>
      <c r="C2354" s="2" t="s">
        <v>26</v>
      </c>
      <c r="D2354" s="2" t="s">
        <v>27</v>
      </c>
      <c r="E2354" s="4">
        <v>-32862</v>
      </c>
      <c r="F2354" s="3" t="s">
        <v>878</v>
      </c>
      <c r="G2354" s="3" t="s">
        <v>99</v>
      </c>
      <c r="H2354" s="2" t="s">
        <v>74</v>
      </c>
      <c r="I2354" s="2" t="s">
        <v>6715</v>
      </c>
      <c r="J2354" s="3" t="str">
        <f>HYPERLINK("https://www.boe.es/gazeta/dias/1810/01/09/pdfs/GMD-1810-9.pdf#page=3","Abrir facsímil")</f>
        <v>Abrir facsímil</v>
      </c>
      <c r="K2354" s="3" t="s">
        <v>76</v>
      </c>
    </row>
    <row r="2355" spans="1:11" ht="42" customHeight="1">
      <c r="A2355" s="2" t="s">
        <v>6716</v>
      </c>
      <c r="B2355" s="2" t="s">
        <v>6717</v>
      </c>
      <c r="C2355" s="2" t="s">
        <v>88</v>
      </c>
      <c r="D2355" s="2" t="s">
        <v>117</v>
      </c>
      <c r="E2355" s="4">
        <v>-32757</v>
      </c>
      <c r="F2355" s="3" t="s">
        <v>1136</v>
      </c>
      <c r="G2355" s="3" t="s">
        <v>592</v>
      </c>
      <c r="H2355" s="2" t="s">
        <v>74</v>
      </c>
      <c r="I2355" s="2" t="s">
        <v>6718</v>
      </c>
      <c r="J2355" s="3" t="str">
        <f>HYPERLINK("https://www.boe.es/gazeta/dias/1810/04/24/pdfs/GEI-1810-17.pdf#page=7","Abrir facsímil")</f>
        <v>Abrir facsímil</v>
      </c>
      <c r="K2355" s="3" t="s">
        <v>76</v>
      </c>
    </row>
    <row r="2356" spans="1:11" ht="42" customHeight="1">
      <c r="A2356" s="2" t="s">
        <v>6719</v>
      </c>
      <c r="B2356" s="2" t="s">
        <v>6720</v>
      </c>
      <c r="C2356" s="2" t="s">
        <v>26</v>
      </c>
      <c r="D2356" s="2" t="s">
        <v>27</v>
      </c>
      <c r="E2356" s="4">
        <v>-32575</v>
      </c>
      <c r="F2356" s="3" t="s">
        <v>135</v>
      </c>
      <c r="G2356" s="3" t="s">
        <v>140</v>
      </c>
      <c r="H2356" s="2" t="s">
        <v>74</v>
      </c>
      <c r="I2356" s="2" t="s">
        <v>6721</v>
      </c>
      <c r="J2356" s="3" t="str">
        <f>HYPERLINK("https://www.boe.es/gazeta/dias/1810/10/23/pdfs/GEI-1810-85.pdf#page=10","Abrir facsímil")</f>
        <v>Abrir facsímil</v>
      </c>
      <c r="K2356" s="3" t="s">
        <v>76</v>
      </c>
    </row>
    <row r="2357" spans="1:11" ht="42" customHeight="1">
      <c r="A2357" s="2" t="s">
        <v>6722</v>
      </c>
      <c r="B2357" s="2" t="s">
        <v>6723</v>
      </c>
      <c r="C2357" s="2" t="s">
        <v>33</v>
      </c>
      <c r="D2357" s="2" t="s">
        <v>39</v>
      </c>
      <c r="E2357" s="4">
        <v>-32650</v>
      </c>
      <c r="F2357" s="3" t="s">
        <v>765</v>
      </c>
      <c r="G2357" s="3" t="s">
        <v>3197</v>
      </c>
      <c r="H2357" s="2" t="s">
        <v>74</v>
      </c>
      <c r="I2357" s="2" t="s">
        <v>6724</v>
      </c>
      <c r="J2357" s="3" t="str">
        <f>HYPERLINK("https://www.boe.es/gazeta/dias/1810/08/09/pdfs/GMD-C-1810-221.pdf#page=2","Abrir facsímil")</f>
        <v>Abrir facsímil</v>
      </c>
      <c r="K2357" s="3" t="s">
        <v>76</v>
      </c>
    </row>
    <row r="2358" spans="1:11" ht="42" customHeight="1">
      <c r="A2358" s="2" t="s">
        <v>6725</v>
      </c>
      <c r="B2358" s="2" t="s">
        <v>6726</v>
      </c>
      <c r="C2358" s="2" t="s">
        <v>88</v>
      </c>
      <c r="D2358" s="2" t="s">
        <v>117</v>
      </c>
      <c r="E2358" s="4">
        <v>-32725</v>
      </c>
      <c r="F2358" s="3" t="s">
        <v>417</v>
      </c>
      <c r="G2358" s="3" t="s">
        <v>140</v>
      </c>
      <c r="H2358" s="2" t="s">
        <v>74</v>
      </c>
      <c r="I2358" s="2" t="s">
        <v>6727</v>
      </c>
      <c r="J2358" s="3" t="str">
        <f>HYPERLINK("https://www.boe.es/gazeta/dias/1810/05/26/pdfs/GMD-1810-146.pdf#page=4","Abrir facsímil")</f>
        <v>Abrir facsímil</v>
      </c>
      <c r="K2358" s="3" t="s">
        <v>76</v>
      </c>
    </row>
    <row r="2359" spans="1:11" ht="42" customHeight="1">
      <c r="A2359" s="2" t="s">
        <v>6728</v>
      </c>
      <c r="B2359" s="2" t="s">
        <v>6729</v>
      </c>
      <c r="C2359" s="2" t="s">
        <v>88</v>
      </c>
      <c r="D2359" s="2" t="s">
        <v>117</v>
      </c>
      <c r="E2359" s="4">
        <v>-32715</v>
      </c>
      <c r="F2359" s="3" t="s">
        <v>1029</v>
      </c>
      <c r="G2359" s="3" t="s">
        <v>3268</v>
      </c>
      <c r="H2359" s="2" t="s">
        <v>74</v>
      </c>
      <c r="I2359" s="2" t="s">
        <v>6730</v>
      </c>
      <c r="J2359" s="3" t="str">
        <f>HYPERLINK("https://www.boe.es/gazeta/dias/1810/06/05/pdfs/GEI-1810-33.pdf#page=12","Abrir facsímil")</f>
        <v>Abrir facsímil</v>
      </c>
      <c r="K2359" s="3" t="s">
        <v>76</v>
      </c>
    </row>
    <row r="2360" spans="1:11" ht="42" customHeight="1">
      <c r="A2360" s="2" t="s">
        <v>6731</v>
      </c>
      <c r="B2360" s="2" t="s">
        <v>6732</v>
      </c>
      <c r="C2360" s="2" t="s">
        <v>317</v>
      </c>
      <c r="D2360" s="2" t="s">
        <v>27</v>
      </c>
      <c r="E2360" s="4">
        <v>-32680</v>
      </c>
      <c r="F2360" s="3" t="s">
        <v>509</v>
      </c>
      <c r="G2360" s="3" t="s">
        <v>213</v>
      </c>
      <c r="H2360" s="2" t="s">
        <v>74</v>
      </c>
      <c r="I2360" s="2" t="s">
        <v>6733</v>
      </c>
      <c r="J2360" s="3" t="str">
        <f>HYPERLINK("https://www.boe.es/gazeta/dias/1810/07/10/pdfs/GMD-1810-191.pdf#page=4","Abrir facsímil")</f>
        <v>Abrir facsímil</v>
      </c>
      <c r="K2360" s="3" t="s">
        <v>76</v>
      </c>
    </row>
    <row r="2361" spans="1:11" ht="42" customHeight="1">
      <c r="A2361" s="2" t="s">
        <v>6734</v>
      </c>
      <c r="B2361" s="2" t="s">
        <v>6735</v>
      </c>
      <c r="C2361" s="2" t="s">
        <v>88</v>
      </c>
      <c r="D2361" s="2" t="s">
        <v>39</v>
      </c>
      <c r="E2361" s="4">
        <v>-32624</v>
      </c>
      <c r="F2361" s="3" t="s">
        <v>6736</v>
      </c>
      <c r="G2361" s="3" t="s">
        <v>6737</v>
      </c>
      <c r="H2361" s="2" t="s">
        <v>74</v>
      </c>
      <c r="I2361" s="2" t="s">
        <v>6738</v>
      </c>
      <c r="J2361" s="3" t="str">
        <f>HYPERLINK("https://www.boe.es/gazeta/dias/1810/09/04/pdfs/GEI-D-1810-64.pdf#page=1","Abrir facsímil")</f>
        <v>Abrir facsímil</v>
      </c>
      <c r="K2361" s="3" t="s">
        <v>76</v>
      </c>
    </row>
    <row r="2362" spans="1:11" ht="42" customHeight="1">
      <c r="A2362" s="2" t="s">
        <v>6739</v>
      </c>
      <c r="B2362" s="2" t="s">
        <v>6740</v>
      </c>
      <c r="C2362" s="2" t="s">
        <v>26</v>
      </c>
      <c r="D2362" s="2" t="s">
        <v>27</v>
      </c>
      <c r="E2362" s="4">
        <v>-32820</v>
      </c>
      <c r="F2362" s="3" t="s">
        <v>226</v>
      </c>
      <c r="G2362" s="3" t="s">
        <v>227</v>
      </c>
      <c r="H2362" s="2" t="s">
        <v>74</v>
      </c>
      <c r="I2362" s="2" t="s">
        <v>6741</v>
      </c>
      <c r="J2362" s="3" t="str">
        <f>HYPERLINK("https://www.boe.es/gazeta/dias/1810/02/20/pdfs/GMD-1810-51.pdf#page=4","Abrir facsímil")</f>
        <v>Abrir facsímil</v>
      </c>
      <c r="K2362" s="3" t="s">
        <v>76</v>
      </c>
    </row>
    <row r="2363" spans="1:11" ht="42" customHeight="1">
      <c r="A2363" s="2" t="s">
        <v>6742</v>
      </c>
      <c r="B2363" s="2" t="s">
        <v>6743</v>
      </c>
      <c r="C2363" s="2" t="s">
        <v>26</v>
      </c>
      <c r="D2363" s="2" t="s">
        <v>27</v>
      </c>
      <c r="E2363" s="4">
        <v>-32607</v>
      </c>
      <c r="F2363" s="3" t="s">
        <v>6044</v>
      </c>
      <c r="G2363" s="3" t="s">
        <v>20</v>
      </c>
      <c r="H2363" s="2" t="s">
        <v>74</v>
      </c>
      <c r="I2363" s="2" t="s">
        <v>6744</v>
      </c>
      <c r="J2363" s="3" t="str">
        <f>HYPERLINK("https://www.boe.es/gazeta/dias/1810/09/21/pdfs/GMD-1810-264.pdf#page=4","Abrir facsímil")</f>
        <v>Abrir facsímil</v>
      </c>
      <c r="K2363" s="3" t="s">
        <v>76</v>
      </c>
    </row>
    <row r="2364" spans="1:11" ht="42" customHeight="1">
      <c r="A2364" s="2" t="s">
        <v>6745</v>
      </c>
      <c r="B2364" s="2" t="s">
        <v>6746</v>
      </c>
      <c r="C2364" s="2" t="s">
        <v>26</v>
      </c>
      <c r="D2364" s="2" t="s">
        <v>220</v>
      </c>
      <c r="E2364" s="4">
        <v>-32698</v>
      </c>
      <c r="F2364" s="3" t="s">
        <v>2705</v>
      </c>
      <c r="G2364" s="3" t="s">
        <v>99</v>
      </c>
      <c r="H2364" s="2" t="s">
        <v>74</v>
      </c>
      <c r="I2364" s="2" t="s">
        <v>6747</v>
      </c>
      <c r="J2364" s="3" t="str">
        <f>HYPERLINK("https://www.boe.es/gazeta/dias/1810/06/22/pdfs/GEI-1810-38.pdf#page=3","Abrir facsímil")</f>
        <v>Abrir facsímil</v>
      </c>
      <c r="K2364" s="3" t="s">
        <v>76</v>
      </c>
    </row>
    <row r="2365" spans="1:11" ht="42" customHeight="1">
      <c r="A2365" s="2" t="s">
        <v>6748</v>
      </c>
      <c r="B2365" s="2" t="s">
        <v>6749</v>
      </c>
      <c r="C2365" s="2" t="s">
        <v>26</v>
      </c>
      <c r="D2365" s="2" t="s">
        <v>27</v>
      </c>
      <c r="E2365" s="4">
        <v>-32596</v>
      </c>
      <c r="F2365" s="3" t="s">
        <v>1311</v>
      </c>
      <c r="G2365" s="3" t="s">
        <v>29</v>
      </c>
      <c r="H2365" s="2" t="s">
        <v>21</v>
      </c>
      <c r="I2365" s="2" t="s">
        <v>6750</v>
      </c>
      <c r="J2365" s="3" t="str">
        <f>HYPERLINK("https://www.boe.es/gazeta/dias/1810/10/02/pdfs/GMD-1810-275.pdf#page=4","Abrir facsímil")</f>
        <v>Abrir facsímil</v>
      </c>
      <c r="K2365" s="3" t="s">
        <v>23</v>
      </c>
    </row>
    <row r="2366" spans="1:11" ht="42" customHeight="1">
      <c r="A2366" s="2" t="s">
        <v>6751</v>
      </c>
      <c r="B2366" s="2" t="s">
        <v>6752</v>
      </c>
      <c r="C2366" s="2" t="s">
        <v>17</v>
      </c>
      <c r="D2366" s="2" t="s">
        <v>27</v>
      </c>
      <c r="E2366" s="4">
        <v>-32689</v>
      </c>
      <c r="F2366" s="3" t="s">
        <v>571</v>
      </c>
      <c r="G2366" s="3" t="s">
        <v>29</v>
      </c>
      <c r="H2366" s="2" t="s">
        <v>74</v>
      </c>
      <c r="I2366" s="2" t="s">
        <v>6753</v>
      </c>
      <c r="J2366" s="3" t="str">
        <f>HYPERLINK("https://www.boe.es/gazeta/dias/1810/07/01/pdfs/GMD-1810-182.pdf#page=3","Abrir facsímil")</f>
        <v>Abrir facsímil</v>
      </c>
      <c r="K2366" s="3" t="s">
        <v>76</v>
      </c>
    </row>
    <row r="2367" spans="1:11" ht="42" customHeight="1">
      <c r="A2367" s="2" t="s">
        <v>6754</v>
      </c>
      <c r="B2367" s="2" t="s">
        <v>6755</v>
      </c>
      <c r="C2367" s="2" t="s">
        <v>26</v>
      </c>
      <c r="D2367" s="2" t="s">
        <v>39</v>
      </c>
      <c r="E2367" s="4">
        <v>-32702</v>
      </c>
      <c r="F2367" s="3" t="s">
        <v>179</v>
      </c>
      <c r="G2367" s="3" t="s">
        <v>213</v>
      </c>
      <c r="H2367" s="2" t="s">
        <v>74</v>
      </c>
      <c r="I2367" s="2" t="s">
        <v>6756</v>
      </c>
      <c r="J2367" s="3" t="str">
        <f>HYPERLINK("https://www.boe.es/gazeta/dias/1810/06/18/pdfs/GMD-C-1810-169.pdf#page=4","Abrir facsímil")</f>
        <v>Abrir facsímil</v>
      </c>
      <c r="K2367" s="3" t="s">
        <v>76</v>
      </c>
    </row>
    <row r="2368" spans="1:11" ht="42" customHeight="1">
      <c r="A2368" s="2" t="s">
        <v>6757</v>
      </c>
      <c r="B2368" s="2" t="s">
        <v>6758</v>
      </c>
      <c r="C2368" s="2" t="s">
        <v>26</v>
      </c>
      <c r="D2368" s="2" t="s">
        <v>27</v>
      </c>
      <c r="E2368" s="4">
        <v>-32575</v>
      </c>
      <c r="F2368" s="3" t="s">
        <v>135</v>
      </c>
      <c r="G2368" s="3" t="s">
        <v>136</v>
      </c>
      <c r="H2368" s="2" t="s">
        <v>74</v>
      </c>
      <c r="I2368" s="2" t="s">
        <v>6759</v>
      </c>
      <c r="J2368" s="3" t="str">
        <f>HYPERLINK("https://www.boe.es/gazeta/dias/1810/10/23/pdfs/GEI-1810-85.pdf#page=11","Abrir facsímil")</f>
        <v>Abrir facsímil</v>
      </c>
      <c r="K2368" s="3" t="s">
        <v>76</v>
      </c>
    </row>
    <row r="2369" spans="1:11" ht="42" customHeight="1">
      <c r="A2369" s="2" t="s">
        <v>6760</v>
      </c>
      <c r="B2369" s="2" t="s">
        <v>6761</v>
      </c>
      <c r="C2369" s="2" t="s">
        <v>225</v>
      </c>
      <c r="D2369" s="2" t="s">
        <v>27</v>
      </c>
      <c r="E2369" s="4">
        <v>-32729</v>
      </c>
      <c r="F2369" s="3" t="s">
        <v>174</v>
      </c>
      <c r="G2369" s="3" t="s">
        <v>2671</v>
      </c>
      <c r="H2369" s="2" t="s">
        <v>74</v>
      </c>
      <c r="I2369" s="2" t="s">
        <v>6762</v>
      </c>
      <c r="J2369" s="3" t="str">
        <f>HYPERLINK("https://www.boe.es/gazeta/dias/1810/05/22/pdfs/GEI-1810-28.pdf#page=6","Abrir facsímil")</f>
        <v>Abrir facsímil</v>
      </c>
      <c r="K2369" s="3" t="s">
        <v>76</v>
      </c>
    </row>
    <row r="2370" spans="1:11" ht="42" customHeight="1">
      <c r="A2370" s="2" t="s">
        <v>6763</v>
      </c>
      <c r="B2370" s="2" t="s">
        <v>6764</v>
      </c>
      <c r="C2370" s="2" t="s">
        <v>88</v>
      </c>
      <c r="D2370" s="2" t="s">
        <v>18</v>
      </c>
      <c r="E2370" s="4">
        <v>-32764</v>
      </c>
      <c r="F2370" s="3" t="s">
        <v>640</v>
      </c>
      <c r="G2370" s="3" t="s">
        <v>641</v>
      </c>
      <c r="H2370" s="2" t="s">
        <v>74</v>
      </c>
      <c r="I2370" s="2" t="s">
        <v>6765</v>
      </c>
      <c r="J2370" s="3" t="str">
        <f>HYPERLINK("https://www.boe.es/gazeta/dias/1810/04/17/pdfs/GEI-1810-15.pdf#page=8","Abrir facsímil")</f>
        <v>Abrir facsímil</v>
      </c>
      <c r="K2370" s="3" t="s">
        <v>76</v>
      </c>
    </row>
    <row r="2371" spans="1:11" ht="42" customHeight="1">
      <c r="A2371" s="2" t="s">
        <v>6766</v>
      </c>
      <c r="B2371" s="2" t="s">
        <v>6767</v>
      </c>
      <c r="C2371" s="2" t="s">
        <v>88</v>
      </c>
      <c r="D2371" s="2" t="s">
        <v>27</v>
      </c>
      <c r="E2371" s="4">
        <v>-32763</v>
      </c>
      <c r="F2371" s="3" t="s">
        <v>1146</v>
      </c>
      <c r="G2371" s="3" t="s">
        <v>20</v>
      </c>
      <c r="H2371" s="2" t="s">
        <v>74</v>
      </c>
      <c r="I2371" s="2" t="s">
        <v>6768</v>
      </c>
      <c r="J2371" s="3" t="str">
        <f>HYPERLINK("https://www.boe.es/gazeta/dias/1810/04/18/pdfs/GMD-1810-108.pdf#page=4","Abrir facsímil")</f>
        <v>Abrir facsímil</v>
      </c>
      <c r="K2371" s="3" t="s">
        <v>76</v>
      </c>
    </row>
    <row r="2372" spans="1:11" ht="42" customHeight="1">
      <c r="A2372" s="2" t="s">
        <v>6769</v>
      </c>
      <c r="B2372" s="2" t="s">
        <v>6770</v>
      </c>
      <c r="C2372" s="2" t="s">
        <v>88</v>
      </c>
      <c r="D2372" s="2" t="s">
        <v>39</v>
      </c>
      <c r="E2372" s="4">
        <v>-32684</v>
      </c>
      <c r="F2372" s="3" t="s">
        <v>372</v>
      </c>
      <c r="G2372" s="3" t="s">
        <v>2049</v>
      </c>
      <c r="H2372" s="2" t="s">
        <v>74</v>
      </c>
      <c r="I2372" s="2" t="s">
        <v>6771</v>
      </c>
      <c r="J2372" s="3" t="str">
        <f>HYPERLINK("https://www.boe.es/gazeta/dias/1810/07/06/pdfs/GEI-D-1810-42.pdf#page=7","Abrir facsímil")</f>
        <v>Abrir facsímil</v>
      </c>
      <c r="K2372" s="3" t="s">
        <v>76</v>
      </c>
    </row>
    <row r="2373" spans="1:11" ht="42" customHeight="1">
      <c r="A2373" s="2" t="s">
        <v>6772</v>
      </c>
      <c r="B2373" s="2" t="s">
        <v>6773</v>
      </c>
      <c r="C2373" s="2" t="s">
        <v>195</v>
      </c>
      <c r="D2373" s="2" t="s">
        <v>27</v>
      </c>
      <c r="E2373" s="4">
        <v>-32517</v>
      </c>
      <c r="F2373" s="3" t="s">
        <v>566</v>
      </c>
      <c r="G2373" s="3" t="s">
        <v>762</v>
      </c>
      <c r="H2373" s="2" t="s">
        <v>74</v>
      </c>
      <c r="I2373" s="2" t="s">
        <v>6774</v>
      </c>
      <c r="J2373" s="3" t="str">
        <f>HYPERLINK("https://www.boe.es/gazeta/dias/1810/12/20/pdfs/GEI-1810-110.pdf#page=8","Abrir facsímil")</f>
        <v>Abrir facsímil</v>
      </c>
      <c r="K2373" s="3" t="s">
        <v>76</v>
      </c>
    </row>
    <row r="2374" spans="1:11" ht="42" customHeight="1">
      <c r="A2374" s="2" t="s">
        <v>6775</v>
      </c>
      <c r="B2374" s="2" t="s">
        <v>6776</v>
      </c>
      <c r="C2374" s="2" t="s">
        <v>33</v>
      </c>
      <c r="D2374" s="2" t="s">
        <v>27</v>
      </c>
      <c r="E2374" s="4">
        <v>-32515</v>
      </c>
      <c r="F2374" s="3" t="s">
        <v>351</v>
      </c>
      <c r="G2374" s="3" t="s">
        <v>352</v>
      </c>
      <c r="H2374" s="2" t="s">
        <v>74</v>
      </c>
      <c r="I2374" s="2" t="s">
        <v>6777</v>
      </c>
      <c r="J2374" s="3" t="str">
        <f>HYPERLINK("https://www.boe.es/gazeta/dias/1810/12/22/pdfs/GEI-1810-111.pdf#page=8","Abrir facsímil")</f>
        <v>Abrir facsímil</v>
      </c>
      <c r="K2374" s="3" t="s">
        <v>76</v>
      </c>
    </row>
    <row r="2375" spans="1:11" ht="42" customHeight="1">
      <c r="A2375" s="2" t="s">
        <v>6778</v>
      </c>
      <c r="B2375" s="2" t="s">
        <v>6779</v>
      </c>
      <c r="C2375" s="2" t="s">
        <v>88</v>
      </c>
      <c r="D2375" s="2" t="s">
        <v>27</v>
      </c>
      <c r="E2375" s="4">
        <v>-32842</v>
      </c>
      <c r="F2375" s="3" t="s">
        <v>1291</v>
      </c>
      <c r="G2375" s="3" t="s">
        <v>1292</v>
      </c>
      <c r="H2375" s="2" t="s">
        <v>74</v>
      </c>
      <c r="I2375" s="2" t="s">
        <v>6780</v>
      </c>
      <c r="J2375" s="3" t="str">
        <f>HYPERLINK("https://www.boe.es/gazeta/dias/1810/01/29/pdfs/GMD-1810-29.pdf#page=3","Abrir facsímil")</f>
        <v>Abrir facsímil</v>
      </c>
      <c r="K2375" s="3" t="s">
        <v>76</v>
      </c>
    </row>
    <row r="2376" spans="1:11" ht="42" customHeight="1">
      <c r="A2376" s="2" t="s">
        <v>6781</v>
      </c>
      <c r="B2376" s="2" t="s">
        <v>6782</v>
      </c>
      <c r="C2376" s="2" t="s">
        <v>88</v>
      </c>
      <c r="D2376" s="2" t="s">
        <v>27</v>
      </c>
      <c r="E2376" s="4">
        <v>-32754</v>
      </c>
      <c r="F2376" s="3" t="s">
        <v>1057</v>
      </c>
      <c r="G2376" s="3" t="s">
        <v>1058</v>
      </c>
      <c r="H2376" s="2" t="s">
        <v>74</v>
      </c>
      <c r="I2376" s="2" t="s">
        <v>6783</v>
      </c>
      <c r="J2376" s="3" t="str">
        <f>HYPERLINK("https://www.boe.es/gazeta/dias/1810/04/27/pdfs/GEI-1810-18.pdf#page=12","Abrir facsímil")</f>
        <v>Abrir facsímil</v>
      </c>
      <c r="K2376" s="3" t="s">
        <v>76</v>
      </c>
    </row>
    <row r="2377" spans="1:11" ht="42" customHeight="1">
      <c r="A2377" s="2" t="s">
        <v>6784</v>
      </c>
      <c r="B2377" s="2" t="s">
        <v>6785</v>
      </c>
      <c r="C2377" s="2" t="s">
        <v>26</v>
      </c>
      <c r="D2377" s="2" t="s">
        <v>39</v>
      </c>
      <c r="E2377" s="4">
        <v>-32701</v>
      </c>
      <c r="F2377" s="3" t="s">
        <v>40</v>
      </c>
      <c r="G2377" s="3" t="s">
        <v>41</v>
      </c>
      <c r="H2377" s="2" t="s">
        <v>74</v>
      </c>
      <c r="I2377" s="2" t="s">
        <v>6786</v>
      </c>
      <c r="J2377" s="3" t="str">
        <f>HYPERLINK("https://www.boe.es/gazeta/dias/1810/06/19/pdfs/GMD-C-1810-170.pdf#page=3","Abrir facsímil")</f>
        <v>Abrir facsímil</v>
      </c>
      <c r="K2377" s="3" t="s">
        <v>76</v>
      </c>
    </row>
    <row r="2378" spans="1:11" ht="42" customHeight="1">
      <c r="A2378" s="2" t="s">
        <v>6787</v>
      </c>
      <c r="B2378" s="2" t="s">
        <v>6788</v>
      </c>
      <c r="C2378" s="2" t="s">
        <v>930</v>
      </c>
      <c r="D2378" s="2" t="s">
        <v>27</v>
      </c>
      <c r="E2378" s="4">
        <v>-32658</v>
      </c>
      <c r="F2378" s="3" t="s">
        <v>1224</v>
      </c>
      <c r="G2378" s="3" t="s">
        <v>140</v>
      </c>
      <c r="H2378" s="2" t="s">
        <v>74</v>
      </c>
      <c r="I2378" s="2" t="s">
        <v>6789</v>
      </c>
      <c r="J2378" s="3" t="str">
        <f>HYPERLINK("https://www.boe.es/gazeta/dias/1810/08/01/pdfs/GMD-1810-213.pdf#page=4","Abrir facsímil")</f>
        <v>Abrir facsímil</v>
      </c>
      <c r="K2378" s="3" t="s">
        <v>76</v>
      </c>
    </row>
    <row r="2379" spans="1:11" ht="42" customHeight="1">
      <c r="A2379" s="2" t="s">
        <v>6790</v>
      </c>
      <c r="B2379" s="2" t="s">
        <v>6791</v>
      </c>
      <c r="C2379" s="2" t="s">
        <v>88</v>
      </c>
      <c r="D2379" s="2" t="s">
        <v>117</v>
      </c>
      <c r="E2379" s="4">
        <v>-32715</v>
      </c>
      <c r="F2379" s="3" t="s">
        <v>6792</v>
      </c>
      <c r="G2379" s="3" t="s">
        <v>99</v>
      </c>
      <c r="H2379" s="2" t="s">
        <v>74</v>
      </c>
      <c r="I2379" s="2" t="s">
        <v>6793</v>
      </c>
      <c r="J2379" s="3" t="str">
        <f>HYPERLINK("https://www.boe.es/gazeta/dias/1810/06/05/pdfs/GEI-D-1810-33.pdf#page=3","Abrir facsímil")</f>
        <v>Abrir facsímil</v>
      </c>
      <c r="K2379" s="3" t="s">
        <v>76</v>
      </c>
    </row>
    <row r="2380" spans="1:11" ht="42" customHeight="1">
      <c r="A2380" s="2" t="s">
        <v>6794</v>
      </c>
      <c r="B2380" s="2" t="s">
        <v>6795</v>
      </c>
      <c r="C2380" s="2" t="s">
        <v>26</v>
      </c>
      <c r="D2380" s="2" t="s">
        <v>27</v>
      </c>
      <c r="E2380" s="4">
        <v>-32729</v>
      </c>
      <c r="F2380" s="3" t="s">
        <v>174</v>
      </c>
      <c r="G2380" s="3" t="s">
        <v>151</v>
      </c>
      <c r="H2380" s="2" t="s">
        <v>74</v>
      </c>
      <c r="I2380" s="2" t="s">
        <v>6796</v>
      </c>
      <c r="J2380" s="3" t="str">
        <f>HYPERLINK("https://www.boe.es/gazeta/dias/1810/05/22/pdfs/GEI-1810-28.pdf#page=12","Abrir facsímil")</f>
        <v>Abrir facsímil</v>
      </c>
      <c r="K2380" s="3" t="s">
        <v>76</v>
      </c>
    </row>
    <row r="2381" spans="1:11" ht="42" customHeight="1">
      <c r="A2381" s="2" t="s">
        <v>6797</v>
      </c>
      <c r="B2381" s="2" t="s">
        <v>6798</v>
      </c>
      <c r="C2381" s="2" t="s">
        <v>88</v>
      </c>
      <c r="D2381" s="2" t="s">
        <v>39</v>
      </c>
      <c r="E2381" s="4">
        <v>-32684</v>
      </c>
      <c r="F2381" s="3" t="s">
        <v>372</v>
      </c>
      <c r="G2381" s="3" t="s">
        <v>2049</v>
      </c>
      <c r="H2381" s="2" t="s">
        <v>74</v>
      </c>
      <c r="I2381" s="2" t="s">
        <v>6799</v>
      </c>
      <c r="J2381" s="3" t="str">
        <f>HYPERLINK("https://www.boe.es/gazeta/dias/1810/07/06/pdfs/GEI-D-1810-42.pdf#page=7","Abrir facsímil")</f>
        <v>Abrir facsímil</v>
      </c>
      <c r="K2381" s="3" t="s">
        <v>76</v>
      </c>
    </row>
    <row r="2382" spans="1:11" ht="42" customHeight="1">
      <c r="A2382" s="2" t="s">
        <v>6800</v>
      </c>
      <c r="B2382" s="2" t="s">
        <v>6801</v>
      </c>
      <c r="C2382" s="2" t="s">
        <v>88</v>
      </c>
      <c r="D2382" s="2" t="s">
        <v>117</v>
      </c>
      <c r="E2382" s="4">
        <v>-32617</v>
      </c>
      <c r="F2382" s="3" t="s">
        <v>3861</v>
      </c>
      <c r="G2382" s="3" t="s">
        <v>20</v>
      </c>
      <c r="H2382" s="2" t="s">
        <v>74</v>
      </c>
      <c r="I2382" s="2" t="s">
        <v>6802</v>
      </c>
      <c r="J2382" s="3" t="str">
        <f>HYPERLINK("https://www.boe.es/gazeta/dias/1810/09/11/pdfs/GMD-1810-254.pdf#page=4","Abrir facsímil")</f>
        <v>Abrir facsímil</v>
      </c>
      <c r="K2382" s="3" t="s">
        <v>76</v>
      </c>
    </row>
    <row r="2383" spans="1:11" ht="42" customHeight="1">
      <c r="A2383" s="2" t="s">
        <v>6803</v>
      </c>
      <c r="B2383" s="2" t="s">
        <v>6804</v>
      </c>
      <c r="C2383" s="2" t="s">
        <v>195</v>
      </c>
      <c r="D2383" s="2" t="s">
        <v>27</v>
      </c>
      <c r="E2383" s="4">
        <v>-32517</v>
      </c>
      <c r="F2383" s="3" t="s">
        <v>566</v>
      </c>
      <c r="G2383" s="3" t="s">
        <v>762</v>
      </c>
      <c r="H2383" s="2" t="s">
        <v>74</v>
      </c>
      <c r="I2383" s="2" t="s">
        <v>6805</v>
      </c>
      <c r="J2383" s="3" t="str">
        <f>HYPERLINK("https://www.boe.es/gazeta/dias/1810/12/20/pdfs/GEI-1810-110.pdf#page=8","Abrir facsímil")</f>
        <v>Abrir facsímil</v>
      </c>
      <c r="K2383" s="3" t="s">
        <v>76</v>
      </c>
    </row>
    <row r="2384" spans="1:11" ht="42" customHeight="1">
      <c r="A2384" s="2" t="s">
        <v>6806</v>
      </c>
      <c r="B2384" s="2" t="s">
        <v>6807</v>
      </c>
      <c r="C2384" s="2" t="s">
        <v>26</v>
      </c>
      <c r="D2384" s="2" t="s">
        <v>39</v>
      </c>
      <c r="E2384" s="4">
        <v>-32701</v>
      </c>
      <c r="F2384" s="3" t="s">
        <v>40</v>
      </c>
      <c r="G2384" s="3" t="s">
        <v>41</v>
      </c>
      <c r="H2384" s="2" t="s">
        <v>74</v>
      </c>
      <c r="I2384" s="2" t="s">
        <v>6808</v>
      </c>
      <c r="J2384" s="3" t="str">
        <f>HYPERLINK("https://www.boe.es/gazeta/dias/1810/06/19/pdfs/GMD-C-1810-170.pdf#page=3","Abrir facsímil")</f>
        <v>Abrir facsímil</v>
      </c>
      <c r="K2384" s="3" t="s">
        <v>76</v>
      </c>
    </row>
    <row r="2385" spans="1:11" ht="42" customHeight="1">
      <c r="A2385" s="2" t="s">
        <v>6809</v>
      </c>
      <c r="B2385" s="2" t="s">
        <v>6810</v>
      </c>
      <c r="C2385" s="2" t="s">
        <v>225</v>
      </c>
      <c r="D2385" s="2" t="s">
        <v>117</v>
      </c>
      <c r="E2385" s="4">
        <v>-32571</v>
      </c>
      <c r="F2385" s="3" t="s">
        <v>6811</v>
      </c>
      <c r="G2385" s="3" t="s">
        <v>113</v>
      </c>
      <c r="H2385" s="2" t="s">
        <v>74</v>
      </c>
      <c r="I2385" s="2" t="s">
        <v>6812</v>
      </c>
      <c r="J2385" s="3" t="str">
        <f>HYPERLINK("https://www.boe.es/gazeta/dias/1810/10/27/pdfs/GMD-1810-300.pdf#page=2","Abrir facsímil")</f>
        <v>Abrir facsímil</v>
      </c>
      <c r="K2385" s="3" t="s">
        <v>76</v>
      </c>
    </row>
    <row r="2386" spans="1:11" ht="42" customHeight="1">
      <c r="A2386" s="2" t="s">
        <v>6813</v>
      </c>
      <c r="B2386" s="2" t="s">
        <v>6814</v>
      </c>
      <c r="C2386" s="2" t="s">
        <v>26</v>
      </c>
      <c r="D2386" s="2" t="s">
        <v>27</v>
      </c>
      <c r="E2386" s="4">
        <v>-32649</v>
      </c>
      <c r="F2386" s="3" t="s">
        <v>1988</v>
      </c>
      <c r="G2386" s="3" t="s">
        <v>227</v>
      </c>
      <c r="H2386" s="2" t="s">
        <v>74</v>
      </c>
      <c r="I2386" s="2" t="s">
        <v>6815</v>
      </c>
      <c r="J2386" s="3" t="str">
        <f>HYPERLINK("https://www.boe.es/gazeta/dias/1810/08/10/pdfs/GMD-1810-222.pdf#page=4","Abrir facsímil")</f>
        <v>Abrir facsímil</v>
      </c>
      <c r="K2386" s="3" t="s">
        <v>76</v>
      </c>
    </row>
    <row r="2387" spans="1:11" ht="42" customHeight="1">
      <c r="A2387" s="2" t="s">
        <v>6816</v>
      </c>
      <c r="B2387" s="2" t="s">
        <v>6817</v>
      </c>
      <c r="C2387" s="2" t="s">
        <v>111</v>
      </c>
      <c r="D2387" s="2" t="s">
        <v>27</v>
      </c>
      <c r="E2387" s="4">
        <v>-32866</v>
      </c>
      <c r="F2387" s="3" t="s">
        <v>6818</v>
      </c>
      <c r="G2387" s="3" t="s">
        <v>213</v>
      </c>
      <c r="H2387" s="2" t="s">
        <v>21</v>
      </c>
      <c r="I2387" s="2" t="s">
        <v>6819</v>
      </c>
      <c r="J2387" s="3" t="str">
        <f>HYPERLINK("https://www.boe.es/gazeta/dias/1810/01/05/pdfs/GMD-1810-5.pdf#page=2","Abrir facsímil")</f>
        <v>Abrir facsímil</v>
      </c>
      <c r="K2387" s="3" t="s">
        <v>23</v>
      </c>
    </row>
    <row r="2388" spans="1:11" ht="42" customHeight="1">
      <c r="A2388" s="2" t="s">
        <v>6820</v>
      </c>
      <c r="B2388" s="2" t="s">
        <v>6821</v>
      </c>
      <c r="C2388" s="2" t="s">
        <v>88</v>
      </c>
      <c r="D2388" s="2" t="s">
        <v>27</v>
      </c>
      <c r="E2388" s="4">
        <v>-32710</v>
      </c>
      <c r="F2388" s="3" t="s">
        <v>126</v>
      </c>
      <c r="G2388" s="3" t="s">
        <v>184</v>
      </c>
      <c r="H2388" s="2" t="s">
        <v>74</v>
      </c>
      <c r="I2388" s="2" t="s">
        <v>6822</v>
      </c>
      <c r="J2388" s="3" t="str">
        <f>HYPERLINK("https://www.boe.es/gazeta/dias/1810/06/10/pdfs/GMD-1810-161.pdf#page=3","Abrir facsímil")</f>
        <v>Abrir facsímil</v>
      </c>
      <c r="K2388" s="3" t="s">
        <v>76</v>
      </c>
    </row>
    <row r="2389" spans="1:11" ht="42" customHeight="1">
      <c r="A2389" s="2" t="s">
        <v>6823</v>
      </c>
      <c r="B2389" s="2" t="s">
        <v>6824</v>
      </c>
      <c r="C2389" s="2" t="s">
        <v>225</v>
      </c>
      <c r="D2389" s="2" t="s">
        <v>27</v>
      </c>
      <c r="E2389" s="4">
        <v>-32729</v>
      </c>
      <c r="F2389" s="3" t="s">
        <v>174</v>
      </c>
      <c r="G2389" s="3" t="s">
        <v>2671</v>
      </c>
      <c r="H2389" s="2" t="s">
        <v>74</v>
      </c>
      <c r="I2389" s="2" t="s">
        <v>6825</v>
      </c>
      <c r="J2389" s="3" t="str">
        <f>HYPERLINK("https://www.boe.es/gazeta/dias/1810/05/22/pdfs/GEI-1810-28.pdf#page=6","Abrir facsímil")</f>
        <v>Abrir facsímil</v>
      </c>
      <c r="K2389" s="3" t="s">
        <v>76</v>
      </c>
    </row>
    <row r="2390" spans="1:11" ht="42" customHeight="1">
      <c r="A2390" s="2" t="s">
        <v>6826</v>
      </c>
      <c r="B2390" s="2" t="s">
        <v>6827</v>
      </c>
      <c r="C2390" s="2" t="s">
        <v>88</v>
      </c>
      <c r="D2390" s="2" t="s">
        <v>27</v>
      </c>
      <c r="E2390" s="4">
        <v>-32754</v>
      </c>
      <c r="F2390" s="3" t="s">
        <v>1057</v>
      </c>
      <c r="G2390" s="3" t="s">
        <v>1058</v>
      </c>
      <c r="H2390" s="2" t="s">
        <v>74</v>
      </c>
      <c r="I2390" s="2" t="s">
        <v>6828</v>
      </c>
      <c r="J2390" s="3" t="str">
        <f>HYPERLINK("https://www.boe.es/gazeta/dias/1810/04/27/pdfs/GEI-1810-18.pdf#page=12","Abrir facsímil")</f>
        <v>Abrir facsímil</v>
      </c>
      <c r="K2390" s="3" t="s">
        <v>76</v>
      </c>
    </row>
    <row r="2391" spans="1:11" ht="42" customHeight="1">
      <c r="A2391" s="2" t="s">
        <v>6829</v>
      </c>
      <c r="B2391" s="2" t="s">
        <v>6830</v>
      </c>
      <c r="C2391" s="2" t="s">
        <v>26</v>
      </c>
      <c r="D2391" s="2" t="s">
        <v>18</v>
      </c>
      <c r="E2391" s="4">
        <v>-32601</v>
      </c>
      <c r="F2391" s="3" t="s">
        <v>392</v>
      </c>
      <c r="G2391" s="3" t="s">
        <v>35</v>
      </c>
      <c r="H2391" s="2" t="s">
        <v>74</v>
      </c>
      <c r="I2391" s="2" t="s">
        <v>6831</v>
      </c>
      <c r="J2391" s="3" t="str">
        <f>HYPERLINK("https://www.boe.es/gazeta/dias/1810/09/27/pdfs/GEI-1810-74E.pdf#page=2","Abrir facsímil")</f>
        <v>Abrir facsímil</v>
      </c>
      <c r="K2391" s="3" t="s">
        <v>76</v>
      </c>
    </row>
    <row r="2392" spans="1:11" ht="42" customHeight="1">
      <c r="A2392" s="2" t="s">
        <v>6832</v>
      </c>
      <c r="B2392" s="2" t="s">
        <v>6833</v>
      </c>
      <c r="C2392" s="2" t="s">
        <v>33</v>
      </c>
      <c r="D2392" s="2" t="s">
        <v>27</v>
      </c>
      <c r="E2392" s="4">
        <v>-32735</v>
      </c>
      <c r="F2392" s="3" t="s">
        <v>612</v>
      </c>
      <c r="G2392" s="3" t="s">
        <v>701</v>
      </c>
      <c r="H2392" s="2" t="s">
        <v>74</v>
      </c>
      <c r="I2392" s="2" t="s">
        <v>6834</v>
      </c>
      <c r="J2392" s="3" t="str">
        <f>HYPERLINK("https://www.boe.es/gazeta/dias/1810/05/16/pdfs/GMD-1810-136.pdf#page=4","Abrir facsímil")</f>
        <v>Abrir facsímil</v>
      </c>
      <c r="K2392" s="3" t="s">
        <v>76</v>
      </c>
    </row>
    <row r="2393" spans="1:11" ht="42" customHeight="1">
      <c r="A2393" s="2" t="s">
        <v>6832</v>
      </c>
      <c r="B2393" s="2" t="s">
        <v>6833</v>
      </c>
      <c r="C2393" s="2" t="s">
        <v>26</v>
      </c>
      <c r="D2393" s="2" t="s">
        <v>27</v>
      </c>
      <c r="E2393" s="4">
        <v>-32563</v>
      </c>
      <c r="F2393" s="3" t="s">
        <v>535</v>
      </c>
      <c r="G2393" s="3" t="s">
        <v>5594</v>
      </c>
      <c r="H2393" s="2" t="s">
        <v>74</v>
      </c>
      <c r="I2393" s="2" t="s">
        <v>6835</v>
      </c>
      <c r="J2393" s="3" t="str">
        <f>HYPERLINK("https://www.boe.es/gazeta/dias/1810/11/04/pdfs/GMD-1810-308.pdf#page=10","Abrir facsímil")</f>
        <v>Abrir facsímil</v>
      </c>
      <c r="K2393" s="3" t="s">
        <v>76</v>
      </c>
    </row>
    <row r="2394" spans="1:11" ht="42" customHeight="1">
      <c r="A2394" s="2" t="s">
        <v>6832</v>
      </c>
      <c r="B2394" s="2" t="s">
        <v>6833</v>
      </c>
      <c r="C2394" s="2" t="s">
        <v>26</v>
      </c>
      <c r="D2394" s="2" t="s">
        <v>27</v>
      </c>
      <c r="E2394" s="4">
        <v>-32563</v>
      </c>
      <c r="F2394" s="3" t="s">
        <v>535</v>
      </c>
      <c r="G2394" s="3" t="s">
        <v>3597</v>
      </c>
      <c r="H2394" s="2" t="s">
        <v>74</v>
      </c>
      <c r="I2394" s="2" t="s">
        <v>6836</v>
      </c>
      <c r="J2394" s="3" t="str">
        <f>HYPERLINK("https://www.boe.es/gazeta/dias/1810/11/04/pdfs/GMD-1810-308.pdf#page=23","Abrir facsímil")</f>
        <v>Abrir facsímil</v>
      </c>
      <c r="K2394" s="3" t="s">
        <v>76</v>
      </c>
    </row>
    <row r="2395" spans="1:11" ht="42" customHeight="1">
      <c r="A2395" s="2" t="s">
        <v>6837</v>
      </c>
      <c r="B2395" s="2" t="s">
        <v>6838</v>
      </c>
      <c r="C2395" s="2" t="s">
        <v>26</v>
      </c>
      <c r="D2395" s="2" t="s">
        <v>27</v>
      </c>
      <c r="E2395" s="4">
        <v>-32562</v>
      </c>
      <c r="F2395" s="3" t="s">
        <v>1186</v>
      </c>
      <c r="G2395" s="3" t="s">
        <v>29</v>
      </c>
      <c r="H2395" s="2" t="s">
        <v>74</v>
      </c>
      <c r="I2395" s="2" t="s">
        <v>6839</v>
      </c>
      <c r="J2395" s="3" t="str">
        <f>HYPERLINK("https://www.boe.es/gazeta/dias/1810/11/05/pdfs/GMD-1810-309.pdf#page=2","Abrir facsímil")</f>
        <v>Abrir facsímil</v>
      </c>
      <c r="K2395" s="3" t="s">
        <v>76</v>
      </c>
    </row>
    <row r="2396" spans="1:11" ht="42" customHeight="1">
      <c r="A2396" s="2" t="s">
        <v>6840</v>
      </c>
      <c r="B2396" s="2" t="s">
        <v>6841</v>
      </c>
      <c r="C2396" s="2" t="s">
        <v>26</v>
      </c>
      <c r="D2396" s="2" t="s">
        <v>27</v>
      </c>
      <c r="E2396" s="4">
        <v>-32669</v>
      </c>
      <c r="F2396" s="3" t="s">
        <v>217</v>
      </c>
      <c r="G2396" s="3" t="s">
        <v>29</v>
      </c>
      <c r="H2396" s="2" t="s">
        <v>74</v>
      </c>
      <c r="I2396" s="2" t="s">
        <v>6842</v>
      </c>
      <c r="J2396" s="3" t="str">
        <f>HYPERLINK("https://www.boe.es/gazeta/dias/1810/07/21/pdfs/GMD-1810-202.pdf#page=3","Abrir facsímil")</f>
        <v>Abrir facsímil</v>
      </c>
      <c r="K2396" s="3" t="s">
        <v>76</v>
      </c>
    </row>
    <row r="2397" spans="1:11" ht="42" customHeight="1">
      <c r="A2397" s="2" t="s">
        <v>6843</v>
      </c>
      <c r="B2397" s="2" t="s">
        <v>6844</v>
      </c>
      <c r="C2397" s="2" t="s">
        <v>26</v>
      </c>
      <c r="D2397" s="2" t="s">
        <v>27</v>
      </c>
      <c r="E2397" s="4">
        <v>-32805</v>
      </c>
      <c r="F2397" s="3" t="s">
        <v>2068</v>
      </c>
      <c r="G2397" s="3" t="s">
        <v>70</v>
      </c>
      <c r="H2397" s="2" t="s">
        <v>74</v>
      </c>
      <c r="I2397" s="2" t="s">
        <v>6845</v>
      </c>
      <c r="J2397" s="3" t="str">
        <f>HYPERLINK("https://www.boe.es/gazeta/dias/1810/03/07/pdfs/GMD-1810-66.pdf#page=3","Abrir facsímil")</f>
        <v>Abrir facsímil</v>
      </c>
      <c r="K2397" s="3" t="s">
        <v>76</v>
      </c>
    </row>
    <row r="2398" spans="1:11" ht="42" customHeight="1">
      <c r="A2398" s="2" t="s">
        <v>6846</v>
      </c>
      <c r="B2398" s="2" t="s">
        <v>6847</v>
      </c>
      <c r="C2398" s="2" t="s">
        <v>26</v>
      </c>
      <c r="D2398" s="2" t="s">
        <v>220</v>
      </c>
      <c r="E2398" s="4">
        <v>-32659</v>
      </c>
      <c r="F2398" s="3" t="s">
        <v>328</v>
      </c>
      <c r="G2398" s="3" t="s">
        <v>119</v>
      </c>
      <c r="H2398" s="2" t="s">
        <v>74</v>
      </c>
      <c r="I2398" s="2" t="s">
        <v>6848</v>
      </c>
      <c r="J2398" s="3" t="str">
        <f>HYPERLINK("https://www.boe.es/gazeta/dias/1810/07/31/pdfs/GEI-1810-49.pdf#page=8","Abrir facsímil")</f>
        <v>Abrir facsímil</v>
      </c>
      <c r="K2398" s="3" t="s">
        <v>76</v>
      </c>
    </row>
    <row r="2399" spans="1:11" ht="42" customHeight="1">
      <c r="A2399" s="2" t="s">
        <v>6849</v>
      </c>
      <c r="B2399" s="2" t="s">
        <v>6850</v>
      </c>
      <c r="C2399" s="2" t="s">
        <v>88</v>
      </c>
      <c r="D2399" s="2" t="s">
        <v>117</v>
      </c>
      <c r="E2399" s="4">
        <v>-32739</v>
      </c>
      <c r="F2399" s="3" t="s">
        <v>724</v>
      </c>
      <c r="G2399" s="3" t="s">
        <v>20</v>
      </c>
      <c r="H2399" s="2" t="s">
        <v>74</v>
      </c>
      <c r="I2399" s="2" t="s">
        <v>6851</v>
      </c>
      <c r="J2399" s="3" t="str">
        <f>HYPERLINK("https://www.boe.es/gazeta/dias/1810/05/12/pdfs/GMD-1810-132.pdf#page=4","Abrir facsímil")</f>
        <v>Abrir facsímil</v>
      </c>
      <c r="K2399" s="3" t="s">
        <v>76</v>
      </c>
    </row>
    <row r="2400" spans="1:11" ht="42" customHeight="1">
      <c r="A2400" s="2" t="s">
        <v>6852</v>
      </c>
      <c r="B2400" s="2" t="s">
        <v>6853</v>
      </c>
      <c r="C2400" s="2" t="s">
        <v>26</v>
      </c>
      <c r="D2400" s="2" t="s">
        <v>27</v>
      </c>
      <c r="E2400" s="4">
        <v>-32839</v>
      </c>
      <c r="F2400" s="3" t="s">
        <v>28</v>
      </c>
      <c r="G2400" s="3" t="s">
        <v>29</v>
      </c>
      <c r="H2400" s="2" t="s">
        <v>74</v>
      </c>
      <c r="I2400" s="2" t="s">
        <v>6854</v>
      </c>
      <c r="J2400" s="3" t="str">
        <f>HYPERLINK("https://www.boe.es/gazeta/dias/1810/02/01/pdfs/GMD-1810-32.pdf#page=3","Abrir facsímil")</f>
        <v>Abrir facsímil</v>
      </c>
      <c r="K2400" s="3" t="s">
        <v>76</v>
      </c>
    </row>
    <row r="2401" spans="1:11" ht="42" customHeight="1">
      <c r="A2401" s="2" t="s">
        <v>6855</v>
      </c>
      <c r="B2401" s="2" t="s">
        <v>6856</v>
      </c>
      <c r="C2401" s="2" t="s">
        <v>26</v>
      </c>
      <c r="D2401" s="2" t="s">
        <v>27</v>
      </c>
      <c r="E2401" s="4">
        <v>-32743</v>
      </c>
      <c r="F2401" s="3" t="s">
        <v>5683</v>
      </c>
      <c r="G2401" s="3" t="s">
        <v>20</v>
      </c>
      <c r="H2401" s="2" t="s">
        <v>74</v>
      </c>
      <c r="I2401" s="2" t="s">
        <v>6857</v>
      </c>
      <c r="J2401" s="3" t="str">
        <f>HYPERLINK("https://www.boe.es/gazeta/dias/1810/05/08/pdfs/GMD-1810-128.pdf#page=4","Abrir facsímil")</f>
        <v>Abrir facsímil</v>
      </c>
      <c r="K2401" s="3" t="s">
        <v>76</v>
      </c>
    </row>
    <row r="2402" spans="1:11" ht="42" customHeight="1">
      <c r="A2402" s="2" t="s">
        <v>6858</v>
      </c>
      <c r="B2402" s="2" t="s">
        <v>6859</v>
      </c>
      <c r="C2402" s="2" t="s">
        <v>88</v>
      </c>
      <c r="D2402" s="2" t="s">
        <v>117</v>
      </c>
      <c r="E2402" s="4">
        <v>-32656</v>
      </c>
      <c r="F2402" s="3" t="s">
        <v>1909</v>
      </c>
      <c r="G2402" s="3" t="s">
        <v>151</v>
      </c>
      <c r="H2402" s="2" t="s">
        <v>74</v>
      </c>
      <c r="I2402" s="2" t="s">
        <v>6860</v>
      </c>
      <c r="J2402" s="3" t="str">
        <f>HYPERLINK("https://www.boe.es/gazeta/dias/1810/08/03/pdfs/GEI-1810-50.pdf#page=5","Abrir facsímil")</f>
        <v>Abrir facsímil</v>
      </c>
      <c r="K2402" s="3" t="s">
        <v>76</v>
      </c>
    </row>
    <row r="2403" spans="1:11" ht="42" customHeight="1">
      <c r="A2403" s="2" t="s">
        <v>6861</v>
      </c>
      <c r="B2403" s="2" t="s">
        <v>6862</v>
      </c>
      <c r="C2403" s="2" t="s">
        <v>88</v>
      </c>
      <c r="D2403" s="2" t="s">
        <v>117</v>
      </c>
      <c r="E2403" s="4">
        <v>-32684</v>
      </c>
      <c r="F2403" s="3" t="s">
        <v>372</v>
      </c>
      <c r="G2403" s="3" t="s">
        <v>373</v>
      </c>
      <c r="H2403" s="2" t="s">
        <v>74</v>
      </c>
      <c r="I2403" s="2" t="s">
        <v>6863</v>
      </c>
      <c r="J2403" s="3" t="str">
        <f>HYPERLINK("https://www.boe.es/gazeta/dias/1810/07/06/pdfs/GEI-D-1810-42.pdf#page=8","Abrir facsímil")</f>
        <v>Abrir facsímil</v>
      </c>
      <c r="K2403" s="3" t="s">
        <v>76</v>
      </c>
    </row>
    <row r="2404" spans="1:11" ht="42" customHeight="1">
      <c r="A2404" s="2" t="s">
        <v>6864</v>
      </c>
      <c r="B2404" s="2" t="s">
        <v>6865</v>
      </c>
      <c r="C2404" s="2" t="s">
        <v>17</v>
      </c>
      <c r="D2404" s="2" t="s">
        <v>27</v>
      </c>
      <c r="E2404" s="4">
        <v>-32741</v>
      </c>
      <c r="F2404" s="3" t="s">
        <v>98</v>
      </c>
      <c r="G2404" s="3" t="s">
        <v>90</v>
      </c>
      <c r="H2404" s="2" t="s">
        <v>74</v>
      </c>
      <c r="I2404" s="2" t="s">
        <v>6866</v>
      </c>
      <c r="J2404" s="3" t="str">
        <f>HYPERLINK("https://www.boe.es/gazeta/dias/1810/05/10/pdfs/GMD-1810-130.pdf#page=4","Abrir facsímil")</f>
        <v>Abrir facsímil</v>
      </c>
      <c r="K2404" s="3" t="s">
        <v>76</v>
      </c>
    </row>
    <row r="2405" spans="1:11" ht="42" customHeight="1">
      <c r="A2405" s="2" t="s">
        <v>6867</v>
      </c>
      <c r="B2405" s="2" t="s">
        <v>6868</v>
      </c>
      <c r="C2405" s="2" t="s">
        <v>26</v>
      </c>
      <c r="D2405" s="2" t="s">
        <v>39</v>
      </c>
      <c r="E2405" s="4">
        <v>-32702</v>
      </c>
      <c r="F2405" s="3" t="s">
        <v>179</v>
      </c>
      <c r="G2405" s="3" t="s">
        <v>119</v>
      </c>
      <c r="H2405" s="2" t="s">
        <v>74</v>
      </c>
      <c r="I2405" s="2" t="s">
        <v>6869</v>
      </c>
      <c r="J2405" s="3" t="str">
        <f>HYPERLINK("https://www.boe.es/gazeta/dias/1810/06/18/pdfs/GMD-C-1810-169.pdf#page=1","Abrir facsímil")</f>
        <v>Abrir facsímil</v>
      </c>
      <c r="K2405" s="3" t="s">
        <v>76</v>
      </c>
    </row>
    <row r="2406" spans="1:11" ht="42" customHeight="1">
      <c r="A2406" s="2" t="s">
        <v>6870</v>
      </c>
      <c r="B2406" s="2" t="s">
        <v>6871</v>
      </c>
      <c r="C2406" s="2" t="s">
        <v>88</v>
      </c>
      <c r="D2406" s="2" t="s">
        <v>27</v>
      </c>
      <c r="E2406" s="4">
        <v>-32837</v>
      </c>
      <c r="F2406" s="3" t="s">
        <v>196</v>
      </c>
      <c r="G2406" s="3" t="s">
        <v>140</v>
      </c>
      <c r="H2406" s="2" t="s">
        <v>74</v>
      </c>
      <c r="I2406" s="2" t="s">
        <v>6872</v>
      </c>
      <c r="J2406" s="3" t="str">
        <f>HYPERLINK("https://www.boe.es/gazeta/dias/1810/02/03/pdfs/GMD-1810-34.pdf#page=4","Abrir facsímil")</f>
        <v>Abrir facsímil</v>
      </c>
      <c r="K2406" s="3" t="s">
        <v>76</v>
      </c>
    </row>
    <row r="2407" spans="1:11" ht="42" customHeight="1">
      <c r="A2407" s="2" t="s">
        <v>6873</v>
      </c>
      <c r="B2407" s="2" t="s">
        <v>6874</v>
      </c>
      <c r="C2407" s="2" t="s">
        <v>88</v>
      </c>
      <c r="D2407" s="2" t="s">
        <v>117</v>
      </c>
      <c r="E2407" s="4">
        <v>-32729</v>
      </c>
      <c r="F2407" s="3" t="s">
        <v>174</v>
      </c>
      <c r="G2407" s="3" t="s">
        <v>274</v>
      </c>
      <c r="H2407" s="2" t="s">
        <v>74</v>
      </c>
      <c r="I2407" s="2" t="s">
        <v>6875</v>
      </c>
      <c r="J2407" s="3" t="str">
        <f>HYPERLINK("https://www.boe.es/gazeta/dias/1810/05/22/pdfs/GEI-1810-28.pdf#page=8","Abrir facsímil")</f>
        <v>Abrir facsímil</v>
      </c>
      <c r="K2407" s="3" t="s">
        <v>76</v>
      </c>
    </row>
    <row r="2408" spans="1:11" ht="42" customHeight="1">
      <c r="A2408" s="2" t="s">
        <v>6876</v>
      </c>
      <c r="B2408" s="2" t="s">
        <v>6877</v>
      </c>
      <c r="C2408" s="2" t="s">
        <v>317</v>
      </c>
      <c r="D2408" s="2" t="s">
        <v>27</v>
      </c>
      <c r="E2408" s="4">
        <v>-32754</v>
      </c>
      <c r="F2408" s="3" t="s">
        <v>1057</v>
      </c>
      <c r="G2408" s="3" t="s">
        <v>1058</v>
      </c>
      <c r="H2408" s="2" t="s">
        <v>74</v>
      </c>
      <c r="I2408" s="2" t="s">
        <v>6878</v>
      </c>
      <c r="J2408" s="3" t="str">
        <f>HYPERLINK("https://www.boe.es/gazeta/dias/1810/04/27/pdfs/GEI-1810-18.pdf#page=12","Abrir facsímil")</f>
        <v>Abrir facsímil</v>
      </c>
      <c r="K2408" s="3" t="s">
        <v>76</v>
      </c>
    </row>
    <row r="2409" spans="1:11" ht="42" customHeight="1">
      <c r="A2409" s="2" t="s">
        <v>6879</v>
      </c>
      <c r="B2409" s="2" t="s">
        <v>6880</v>
      </c>
      <c r="C2409" s="2" t="s">
        <v>26</v>
      </c>
      <c r="D2409" s="2" t="s">
        <v>39</v>
      </c>
      <c r="E2409" s="4">
        <v>-32661</v>
      </c>
      <c r="F2409" s="3" t="s">
        <v>157</v>
      </c>
      <c r="G2409" s="3" t="s">
        <v>158</v>
      </c>
      <c r="H2409" s="2" t="s">
        <v>74</v>
      </c>
      <c r="I2409" s="2" t="s">
        <v>6881</v>
      </c>
      <c r="J2409" s="3" t="str">
        <f>HYPERLINK("https://www.boe.es/gazeta/dias/1810/07/29/pdfs/GMD-C-1810-210.pdf#page=1","Abrir facsímil")</f>
        <v>Abrir facsímil</v>
      </c>
      <c r="K2409" s="3" t="s">
        <v>76</v>
      </c>
    </row>
    <row r="2410" spans="1:11" ht="42" customHeight="1">
      <c r="A2410" s="2" t="s">
        <v>6882</v>
      </c>
      <c r="B2410" s="2" t="s">
        <v>6883</v>
      </c>
      <c r="C2410" s="2" t="s">
        <v>26</v>
      </c>
      <c r="D2410" s="2" t="s">
        <v>27</v>
      </c>
      <c r="E2410" s="4">
        <v>-32771</v>
      </c>
      <c r="F2410" s="3" t="s">
        <v>543</v>
      </c>
      <c r="G2410" s="3" t="s">
        <v>65</v>
      </c>
      <c r="H2410" s="2" t="s">
        <v>74</v>
      </c>
      <c r="I2410" s="2" t="s">
        <v>6884</v>
      </c>
      <c r="J2410" s="3" t="str">
        <f>HYPERLINK("https://www.boe.es/gazeta/dias/1810/04/10/pdfs/GEI-1810-13.pdf#page=7","Abrir facsímil")</f>
        <v>Abrir facsímil</v>
      </c>
      <c r="K2410" s="3" t="s">
        <v>76</v>
      </c>
    </row>
    <row r="2411" spans="1:11" ht="42" customHeight="1">
      <c r="A2411" s="2" t="s">
        <v>6885</v>
      </c>
      <c r="B2411" s="2" t="s">
        <v>6886</v>
      </c>
      <c r="C2411" s="2" t="s">
        <v>26</v>
      </c>
      <c r="D2411" s="2" t="s">
        <v>27</v>
      </c>
      <c r="E2411" s="4">
        <v>-32733</v>
      </c>
      <c r="F2411" s="3" t="s">
        <v>955</v>
      </c>
      <c r="G2411" s="3" t="s">
        <v>5433</v>
      </c>
      <c r="H2411" s="2" t="s">
        <v>74</v>
      </c>
      <c r="I2411" s="2" t="s">
        <v>6887</v>
      </c>
      <c r="J2411" s="3" t="str">
        <f>HYPERLINK("https://www.boe.es/gazeta/dias/1810/05/18/pdfs/GEI-1810-27.pdf#page=3","Abrir facsímil")</f>
        <v>Abrir facsímil</v>
      </c>
      <c r="K2411" s="3" t="s">
        <v>76</v>
      </c>
    </row>
    <row r="2412" spans="1:11" ht="42" customHeight="1">
      <c r="A2412" s="2" t="s">
        <v>6888</v>
      </c>
      <c r="B2412" s="2" t="s">
        <v>6889</v>
      </c>
      <c r="C2412" s="2" t="s">
        <v>88</v>
      </c>
      <c r="D2412" s="2" t="s">
        <v>27</v>
      </c>
      <c r="E2412" s="4">
        <v>-32710</v>
      </c>
      <c r="F2412" s="3" t="s">
        <v>126</v>
      </c>
      <c r="G2412" s="3" t="s">
        <v>184</v>
      </c>
      <c r="H2412" s="2" t="s">
        <v>74</v>
      </c>
      <c r="I2412" s="2" t="s">
        <v>6890</v>
      </c>
      <c r="J2412" s="3" t="str">
        <f>HYPERLINK("https://www.boe.es/gazeta/dias/1810/06/10/pdfs/GMD-1810-161.pdf#page=3","Abrir facsímil")</f>
        <v>Abrir facsímil</v>
      </c>
      <c r="K2412" s="3" t="s">
        <v>76</v>
      </c>
    </row>
    <row r="2413" spans="1:11" ht="42" customHeight="1">
      <c r="A2413" s="2" t="s">
        <v>6891</v>
      </c>
      <c r="B2413" s="2" t="s">
        <v>6892</v>
      </c>
      <c r="C2413" s="2" t="s">
        <v>26</v>
      </c>
      <c r="D2413" s="2" t="s">
        <v>27</v>
      </c>
      <c r="E2413" s="4">
        <v>-32698</v>
      </c>
      <c r="F2413" s="3" t="s">
        <v>1721</v>
      </c>
      <c r="G2413" s="3" t="s">
        <v>1722</v>
      </c>
      <c r="H2413" s="2" t="s">
        <v>74</v>
      </c>
      <c r="I2413" s="2" t="s">
        <v>6893</v>
      </c>
      <c r="J2413" s="3" t="str">
        <f>HYPERLINK("https://www.boe.es/gazeta/dias/1810/06/22/pdfs/GMD-1810-173.pdf#page=1","Abrir facsímil")</f>
        <v>Abrir facsímil</v>
      </c>
      <c r="K2413" s="3" t="s">
        <v>76</v>
      </c>
    </row>
    <row r="2414" spans="1:11" ht="42" customHeight="1">
      <c r="A2414" s="2" t="s">
        <v>6894</v>
      </c>
      <c r="B2414" s="2" t="s">
        <v>6895</v>
      </c>
      <c r="C2414" s="2" t="s">
        <v>88</v>
      </c>
      <c r="D2414" s="2" t="s">
        <v>117</v>
      </c>
      <c r="E2414" s="4">
        <v>-32783</v>
      </c>
      <c r="F2414" s="3" t="s">
        <v>896</v>
      </c>
      <c r="G2414" s="3" t="s">
        <v>20</v>
      </c>
      <c r="H2414" s="2" t="s">
        <v>74</v>
      </c>
      <c r="I2414" s="2" t="s">
        <v>6896</v>
      </c>
      <c r="J2414" s="3" t="str">
        <f>HYPERLINK("https://www.boe.es/gazeta/dias/1810/03/29/pdfs/GMD-1810-88.pdf#page=4","Abrir facsímil")</f>
        <v>Abrir facsímil</v>
      </c>
      <c r="K2414" s="3" t="s">
        <v>76</v>
      </c>
    </row>
    <row r="2415" spans="1:11" ht="42" customHeight="1">
      <c r="A2415" s="2" t="s">
        <v>6897</v>
      </c>
      <c r="B2415" s="2" t="s">
        <v>6898</v>
      </c>
      <c r="C2415" s="2" t="s">
        <v>88</v>
      </c>
      <c r="D2415" s="2" t="s">
        <v>27</v>
      </c>
      <c r="E2415" s="4">
        <v>-32762</v>
      </c>
      <c r="F2415" s="3" t="s">
        <v>231</v>
      </c>
      <c r="G2415" s="3" t="s">
        <v>29</v>
      </c>
      <c r="H2415" s="2" t="s">
        <v>74</v>
      </c>
      <c r="I2415" s="2" t="s">
        <v>6899</v>
      </c>
      <c r="J2415" s="3" t="str">
        <f>HYPERLINK("https://www.boe.es/gazeta/dias/1810/04/19/pdfs/GMD-1810-109.pdf#page=2","Abrir facsímil")</f>
        <v>Abrir facsímil</v>
      </c>
      <c r="K2415" s="3" t="s">
        <v>76</v>
      </c>
    </row>
    <row r="2416" spans="1:11" ht="42" customHeight="1">
      <c r="A2416" s="2" t="s">
        <v>6900</v>
      </c>
      <c r="B2416" s="2" t="s">
        <v>6901</v>
      </c>
      <c r="C2416" s="2" t="s">
        <v>26</v>
      </c>
      <c r="D2416" s="2" t="s">
        <v>18</v>
      </c>
      <c r="E2416" s="4">
        <v>-32722</v>
      </c>
      <c r="F2416" s="3" t="s">
        <v>856</v>
      </c>
      <c r="G2416" s="3" t="s">
        <v>2077</v>
      </c>
      <c r="H2416" s="2" t="s">
        <v>74</v>
      </c>
      <c r="I2416" s="2" t="s">
        <v>6902</v>
      </c>
      <c r="J2416" s="3" t="str">
        <f>HYPERLINK("https://www.boe.es/gazeta/dias/1810/05/29/pdfs/GEI-1810-31.pdf#page=10","Abrir facsímil")</f>
        <v>Abrir facsímil</v>
      </c>
      <c r="K2416" s="3" t="s">
        <v>76</v>
      </c>
    </row>
    <row r="2417" spans="1:11" ht="42" customHeight="1">
      <c r="A2417" s="2" t="s">
        <v>6903</v>
      </c>
      <c r="B2417" s="2" t="s">
        <v>6904</v>
      </c>
      <c r="C2417" s="2" t="s">
        <v>26</v>
      </c>
      <c r="D2417" s="2" t="s">
        <v>39</v>
      </c>
      <c r="E2417" s="4">
        <v>-32702</v>
      </c>
      <c r="F2417" s="3" t="s">
        <v>179</v>
      </c>
      <c r="G2417" s="3" t="s">
        <v>213</v>
      </c>
      <c r="H2417" s="2" t="s">
        <v>74</v>
      </c>
      <c r="I2417" s="2" t="s">
        <v>6905</v>
      </c>
      <c r="J2417" s="3" t="str">
        <f>HYPERLINK("https://www.boe.es/gazeta/dias/1810/06/18/pdfs/GMD-C-1810-169.pdf#page=4","Abrir facsímil")</f>
        <v>Abrir facsímil</v>
      </c>
      <c r="K2417" s="3" t="s">
        <v>76</v>
      </c>
    </row>
    <row r="2418" spans="1:11" ht="42" customHeight="1">
      <c r="A2418" s="2" t="s">
        <v>6906</v>
      </c>
      <c r="B2418" s="2" t="s">
        <v>6907</v>
      </c>
      <c r="C2418" s="2" t="s">
        <v>88</v>
      </c>
      <c r="D2418" s="2" t="s">
        <v>27</v>
      </c>
      <c r="E2418" s="4">
        <v>-32710</v>
      </c>
      <c r="F2418" s="3" t="s">
        <v>126</v>
      </c>
      <c r="G2418" s="3" t="s">
        <v>184</v>
      </c>
      <c r="H2418" s="2" t="s">
        <v>74</v>
      </c>
      <c r="I2418" s="2" t="s">
        <v>6908</v>
      </c>
      <c r="J2418" s="3" t="str">
        <f>HYPERLINK("https://www.boe.es/gazeta/dias/1810/06/10/pdfs/GMD-1810-161.pdf#page=3","Abrir facsímil")</f>
        <v>Abrir facsímil</v>
      </c>
      <c r="K2418" s="3" t="s">
        <v>76</v>
      </c>
    </row>
    <row r="2419" spans="1:11" ht="42" customHeight="1">
      <c r="A2419" s="2" t="s">
        <v>6909</v>
      </c>
      <c r="B2419" s="2" t="s">
        <v>6910</v>
      </c>
      <c r="C2419" s="2" t="s">
        <v>26</v>
      </c>
      <c r="D2419" s="2" t="s">
        <v>27</v>
      </c>
      <c r="E2419" s="4">
        <v>-32647</v>
      </c>
      <c r="F2419" s="3" t="s">
        <v>118</v>
      </c>
      <c r="G2419" s="3" t="s">
        <v>119</v>
      </c>
      <c r="H2419" s="2" t="s">
        <v>74</v>
      </c>
      <c r="I2419" s="2" t="s">
        <v>6911</v>
      </c>
      <c r="J2419" s="3" t="str">
        <f>HYPERLINK("https://www.boe.es/gazeta/dias/1810/08/12/pdfs/GMD-1810-224.pdf#page=3","Abrir facsímil")</f>
        <v>Abrir facsímil</v>
      </c>
      <c r="K2419" s="3" t="s">
        <v>76</v>
      </c>
    </row>
    <row r="2420" spans="1:11" ht="42" customHeight="1">
      <c r="A2420" s="2" t="s">
        <v>6912</v>
      </c>
      <c r="B2420" s="2" t="s">
        <v>6913</v>
      </c>
      <c r="C2420" s="2" t="s">
        <v>88</v>
      </c>
      <c r="D2420" s="2" t="s">
        <v>39</v>
      </c>
      <c r="E2420" s="4">
        <v>-32677</v>
      </c>
      <c r="F2420" s="3" t="s">
        <v>549</v>
      </c>
      <c r="G2420" s="3" t="s">
        <v>70</v>
      </c>
      <c r="H2420" s="2" t="s">
        <v>74</v>
      </c>
      <c r="I2420" s="2" t="s">
        <v>6914</v>
      </c>
      <c r="J2420" s="3" t="str">
        <f>HYPERLINK("https://www.boe.es/gazeta/dias/1810/07/13/pdfs/GEI-D-1810-44.pdf#page=8","Abrir facsímil")</f>
        <v>Abrir facsímil</v>
      </c>
      <c r="K2420" s="3" t="s">
        <v>76</v>
      </c>
    </row>
    <row r="2421" spans="1:11" ht="42" customHeight="1">
      <c r="A2421" s="2" t="s">
        <v>6915</v>
      </c>
      <c r="B2421" s="2" t="s">
        <v>6916</v>
      </c>
      <c r="C2421" s="2" t="s">
        <v>33</v>
      </c>
      <c r="D2421" s="2" t="s">
        <v>27</v>
      </c>
      <c r="E2421" s="4">
        <v>-32591</v>
      </c>
      <c r="F2421" s="3" t="s">
        <v>377</v>
      </c>
      <c r="G2421" s="3" t="s">
        <v>136</v>
      </c>
      <c r="H2421" s="2" t="s">
        <v>74</v>
      </c>
      <c r="I2421" s="2" t="s">
        <v>6917</v>
      </c>
      <c r="J2421" s="3" t="str">
        <f>HYPERLINK("https://www.boe.es/gazeta/dias/1810/10/07/pdfs/GMD-1810-280.pdf#page=3","Abrir facsímil")</f>
        <v>Abrir facsímil</v>
      </c>
      <c r="K2421" s="3" t="s">
        <v>76</v>
      </c>
    </row>
    <row r="2422" spans="1:11" ht="42" customHeight="1">
      <c r="A2422" s="2" t="s">
        <v>6918</v>
      </c>
      <c r="B2422" s="2" t="s">
        <v>6919</v>
      </c>
      <c r="C2422" s="2" t="s">
        <v>33</v>
      </c>
      <c r="D2422" s="2" t="s">
        <v>27</v>
      </c>
      <c r="E2422" s="4">
        <v>-32820</v>
      </c>
      <c r="F2422" s="3" t="s">
        <v>226</v>
      </c>
      <c r="G2422" s="3" t="s">
        <v>356</v>
      </c>
      <c r="H2422" s="2" t="s">
        <v>74</v>
      </c>
      <c r="I2422" s="2" t="s">
        <v>6920</v>
      </c>
      <c r="J2422" s="3" t="str">
        <f>HYPERLINK("https://www.boe.es/gazeta/dias/1810/02/20/pdfs/GMD-1810-51.pdf#page=3","Abrir facsímil")</f>
        <v>Abrir facsímil</v>
      </c>
      <c r="K2422" s="3" t="s">
        <v>76</v>
      </c>
    </row>
    <row r="2423" spans="1:11" ht="42" customHeight="1">
      <c r="A2423" s="2" t="s">
        <v>6921</v>
      </c>
      <c r="B2423" s="2" t="s">
        <v>6922</v>
      </c>
      <c r="C2423" s="2" t="s">
        <v>88</v>
      </c>
      <c r="D2423" s="2" t="s">
        <v>27</v>
      </c>
      <c r="E2423" s="4">
        <v>-32725</v>
      </c>
      <c r="F2423" s="3" t="s">
        <v>417</v>
      </c>
      <c r="G2423" s="3" t="s">
        <v>140</v>
      </c>
      <c r="H2423" s="2" t="s">
        <v>74</v>
      </c>
      <c r="I2423" s="2" t="s">
        <v>6923</v>
      </c>
      <c r="J2423" s="3" t="str">
        <f>HYPERLINK("https://www.boe.es/gazeta/dias/1810/05/26/pdfs/GMD-1810-146.pdf#page=4","Abrir facsímil")</f>
        <v>Abrir facsímil</v>
      </c>
      <c r="K2423" s="3" t="s">
        <v>76</v>
      </c>
    </row>
    <row r="2424" spans="1:11" ht="42" customHeight="1">
      <c r="A2424" s="2" t="s">
        <v>6924</v>
      </c>
      <c r="B2424" s="2" t="s">
        <v>6925</v>
      </c>
      <c r="C2424" s="2" t="s">
        <v>26</v>
      </c>
      <c r="D2424" s="2" t="s">
        <v>27</v>
      </c>
      <c r="E2424" s="4">
        <v>-32673</v>
      </c>
      <c r="F2424" s="3" t="s">
        <v>2174</v>
      </c>
      <c r="G2424" s="3" t="s">
        <v>5512</v>
      </c>
      <c r="H2424" s="2" t="s">
        <v>74</v>
      </c>
      <c r="I2424" s="2" t="s">
        <v>6926</v>
      </c>
      <c r="J2424" s="3" t="str">
        <f>HYPERLINK("https://www.boe.es/gazeta/dias/1810/07/17/pdfs/GEI-1810-45.pdf#page=12","Abrir facsímil")</f>
        <v>Abrir facsímil</v>
      </c>
      <c r="K2424" s="3" t="s">
        <v>76</v>
      </c>
    </row>
    <row r="2425" spans="1:11" ht="42" customHeight="1">
      <c r="A2425" s="2" t="s">
        <v>6927</v>
      </c>
      <c r="B2425" s="2" t="s">
        <v>6928</v>
      </c>
      <c r="C2425" s="2" t="s">
        <v>26</v>
      </c>
      <c r="D2425" s="2" t="s">
        <v>39</v>
      </c>
      <c r="E2425" s="4">
        <v>-32701</v>
      </c>
      <c r="F2425" s="3" t="s">
        <v>40</v>
      </c>
      <c r="G2425" s="3" t="s">
        <v>315</v>
      </c>
      <c r="H2425" s="2" t="s">
        <v>74</v>
      </c>
      <c r="I2425" s="2" t="s">
        <v>6929</v>
      </c>
      <c r="J2425" s="3" t="str">
        <f>HYPERLINK("https://www.boe.es/gazeta/dias/1810/06/19/pdfs/GMD-C-1810-170.pdf#page=2","Abrir facsímil")</f>
        <v>Abrir facsímil</v>
      </c>
      <c r="K2425" s="3" t="s">
        <v>76</v>
      </c>
    </row>
    <row r="2426" spans="1:11" ht="42" customHeight="1">
      <c r="A2426" s="2" t="s">
        <v>6927</v>
      </c>
      <c r="B2426" s="2" t="s">
        <v>6928</v>
      </c>
      <c r="C2426" s="2" t="s">
        <v>26</v>
      </c>
      <c r="D2426" s="2" t="s">
        <v>27</v>
      </c>
      <c r="E2426" s="4">
        <v>-32688</v>
      </c>
      <c r="F2426" s="3" t="s">
        <v>997</v>
      </c>
      <c r="G2426" s="3" t="s">
        <v>749</v>
      </c>
      <c r="H2426" s="2" t="s">
        <v>74</v>
      </c>
      <c r="I2426" s="2" t="s">
        <v>6930</v>
      </c>
      <c r="J2426" s="3" t="str">
        <f>HYPERLINK("https://www.boe.es/gazeta/dias/1810/07/02/pdfs/GMD-1810-183.pdf#page=4","Abrir facsímil")</f>
        <v>Abrir facsímil</v>
      </c>
      <c r="K2426" s="3" t="s">
        <v>76</v>
      </c>
    </row>
    <row r="2427" spans="1:11" ht="42" customHeight="1">
      <c r="A2427" s="2" t="s">
        <v>6931</v>
      </c>
      <c r="B2427" s="2" t="s">
        <v>6932</v>
      </c>
      <c r="C2427" s="2" t="s">
        <v>88</v>
      </c>
      <c r="D2427" s="2" t="s">
        <v>27</v>
      </c>
      <c r="E2427" s="4">
        <v>-32754</v>
      </c>
      <c r="F2427" s="3" t="s">
        <v>1057</v>
      </c>
      <c r="G2427" s="3" t="s">
        <v>1058</v>
      </c>
      <c r="H2427" s="2" t="s">
        <v>74</v>
      </c>
      <c r="I2427" s="2" t="s">
        <v>6933</v>
      </c>
      <c r="J2427" s="3" t="str">
        <f>HYPERLINK("https://www.boe.es/gazeta/dias/1810/04/27/pdfs/GEI-1810-18.pdf#page=12","Abrir facsímil")</f>
        <v>Abrir facsímil</v>
      </c>
      <c r="K2427" s="3" t="s">
        <v>76</v>
      </c>
    </row>
    <row r="2428" spans="1:11" ht="42" customHeight="1">
      <c r="A2428" s="2" t="s">
        <v>6934</v>
      </c>
      <c r="B2428" s="2" t="s">
        <v>6935</v>
      </c>
      <c r="C2428" s="2" t="s">
        <v>317</v>
      </c>
      <c r="D2428" s="2" t="s">
        <v>27</v>
      </c>
      <c r="E2428" s="4">
        <v>-32563</v>
      </c>
      <c r="F2428" s="3" t="s">
        <v>535</v>
      </c>
      <c r="G2428" s="3" t="s">
        <v>1142</v>
      </c>
      <c r="H2428" s="2" t="s">
        <v>74</v>
      </c>
      <c r="I2428" s="2" t="s">
        <v>6936</v>
      </c>
      <c r="J2428" s="3" t="str">
        <f>HYPERLINK("https://www.boe.es/gazeta/dias/1810/11/04/pdfs/GMD-1810-308.pdf#page=17","Abrir facsímil")</f>
        <v>Abrir facsímil</v>
      </c>
      <c r="K2428" s="3" t="s">
        <v>76</v>
      </c>
    </row>
    <row r="2429" spans="1:11" ht="42" customHeight="1">
      <c r="A2429" s="2" t="s">
        <v>6937</v>
      </c>
      <c r="B2429" s="2" t="s">
        <v>6938</v>
      </c>
      <c r="C2429" s="2" t="s">
        <v>88</v>
      </c>
      <c r="D2429" s="2" t="s">
        <v>117</v>
      </c>
      <c r="E2429" s="4">
        <v>-32646</v>
      </c>
      <c r="F2429" s="3" t="s">
        <v>6939</v>
      </c>
      <c r="G2429" s="3" t="s">
        <v>29</v>
      </c>
      <c r="H2429" s="2" t="s">
        <v>74</v>
      </c>
      <c r="I2429" s="2" t="s">
        <v>6940</v>
      </c>
      <c r="J2429" s="3" t="str">
        <f>HYPERLINK("https://www.boe.es/gazeta/dias/1810/08/13/pdfs/GMD-1810-225.pdf#page=4","Abrir facsímil")</f>
        <v>Abrir facsímil</v>
      </c>
      <c r="K2429" s="3" t="s">
        <v>76</v>
      </c>
    </row>
    <row r="2430" spans="1:11" ht="42" customHeight="1">
      <c r="A2430" s="2" t="s">
        <v>6941</v>
      </c>
      <c r="B2430" s="2" t="s">
        <v>6942</v>
      </c>
      <c r="C2430" s="2" t="s">
        <v>26</v>
      </c>
      <c r="D2430" s="2" t="s">
        <v>18</v>
      </c>
      <c r="E2430" s="4">
        <v>-32661</v>
      </c>
      <c r="F2430" s="3" t="s">
        <v>157</v>
      </c>
      <c r="G2430" s="3" t="s">
        <v>592</v>
      </c>
      <c r="H2430" s="2" t="s">
        <v>74</v>
      </c>
      <c r="I2430" s="2" t="s">
        <v>6943</v>
      </c>
      <c r="J2430" s="3" t="str">
        <f>HYPERLINK("https://www.boe.es/gazeta/dias/1810/07/29/pdfs/GMD-C-1810-210.pdf#page=2","Abrir facsímil")</f>
        <v>Abrir facsímil</v>
      </c>
      <c r="K2430" s="3" t="s">
        <v>76</v>
      </c>
    </row>
    <row r="2431" spans="1:11" ht="42" customHeight="1">
      <c r="A2431" s="2" t="s">
        <v>6944</v>
      </c>
      <c r="B2431" s="2" t="s">
        <v>6945</v>
      </c>
      <c r="C2431" s="2" t="s">
        <v>26</v>
      </c>
      <c r="D2431" s="2" t="s">
        <v>39</v>
      </c>
      <c r="E2431" s="4">
        <v>-32701</v>
      </c>
      <c r="F2431" s="3" t="s">
        <v>40</v>
      </c>
      <c r="G2431" s="3" t="s">
        <v>333</v>
      </c>
      <c r="H2431" s="2" t="s">
        <v>74</v>
      </c>
      <c r="I2431" s="2" t="s">
        <v>6946</v>
      </c>
      <c r="J2431" s="3" t="str">
        <f>HYPERLINK("https://www.boe.es/gazeta/dias/1810/06/19/pdfs/GMD-C-1810-170.pdf#page=4","Abrir facsímil")</f>
        <v>Abrir facsímil</v>
      </c>
      <c r="K2431" s="3" t="s">
        <v>76</v>
      </c>
    </row>
    <row r="2432" spans="1:11" ht="42" customHeight="1">
      <c r="A2432" s="2" t="s">
        <v>6947</v>
      </c>
      <c r="B2432" s="2" t="s">
        <v>6948</v>
      </c>
      <c r="C2432" s="2" t="s">
        <v>26</v>
      </c>
      <c r="D2432" s="2" t="s">
        <v>27</v>
      </c>
      <c r="E2432" s="4">
        <v>-32579</v>
      </c>
      <c r="F2432" s="3" t="s">
        <v>6949</v>
      </c>
      <c r="G2432" s="3" t="s">
        <v>20</v>
      </c>
      <c r="H2432" s="2" t="s">
        <v>74</v>
      </c>
      <c r="I2432" s="2" t="s">
        <v>6950</v>
      </c>
      <c r="J2432" s="3" t="str">
        <f>HYPERLINK("https://www.boe.es/gazeta/dias/1810/10/19/pdfs/GMD-1810-292.pdf#page=4","Abrir facsímil")</f>
        <v>Abrir facsímil</v>
      </c>
      <c r="K2432" s="3" t="s">
        <v>76</v>
      </c>
    </row>
    <row r="2433" spans="1:11" ht="42" customHeight="1">
      <c r="A2433" s="2" t="s">
        <v>6951</v>
      </c>
      <c r="B2433" s="2" t="s">
        <v>6952</v>
      </c>
      <c r="C2433" s="2" t="s">
        <v>88</v>
      </c>
      <c r="D2433" s="2" t="s">
        <v>18</v>
      </c>
      <c r="E2433" s="4">
        <v>-32858</v>
      </c>
      <c r="F2433" s="3" t="s">
        <v>4182</v>
      </c>
      <c r="G2433" s="3" t="s">
        <v>2077</v>
      </c>
      <c r="H2433" s="2" t="s">
        <v>74</v>
      </c>
      <c r="I2433" s="2" t="s">
        <v>6953</v>
      </c>
      <c r="J2433" s="3" t="str">
        <f>HYPERLINK("https://www.boe.es/gazeta/dias/1810/01/13/pdfs/GGB-1810-6.pdf#page=10","Abrir facsímil")</f>
        <v>Abrir facsímil</v>
      </c>
      <c r="K2433" s="3" t="s">
        <v>76</v>
      </c>
    </row>
    <row r="2434" spans="1:11" ht="42" customHeight="1">
      <c r="A2434" s="2" t="s">
        <v>6954</v>
      </c>
      <c r="B2434" s="2" t="s">
        <v>6955</v>
      </c>
      <c r="C2434" s="2" t="s">
        <v>111</v>
      </c>
      <c r="D2434" s="2" t="s">
        <v>18</v>
      </c>
      <c r="E2434" s="4">
        <v>-32865</v>
      </c>
      <c r="F2434" s="3" t="s">
        <v>5499</v>
      </c>
      <c r="G2434" s="3" t="s">
        <v>1638</v>
      </c>
      <c r="H2434" s="2" t="s">
        <v>74</v>
      </c>
      <c r="I2434" s="2" t="s">
        <v>6956</v>
      </c>
      <c r="J2434" s="3" t="str">
        <f>HYPERLINK("https://www.boe.es/gazeta/dias/1810/01/06/pdfs/GGB-E-1810-3.pdf#page=4","Abrir facsímil")</f>
        <v>Abrir facsímil</v>
      </c>
      <c r="K2434" s="3" t="s">
        <v>76</v>
      </c>
    </row>
    <row r="2435" spans="1:11" ht="42" customHeight="1">
      <c r="A2435" s="2" t="s">
        <v>6954</v>
      </c>
      <c r="B2435" s="2" t="s">
        <v>6955</v>
      </c>
      <c r="C2435" s="2" t="s">
        <v>111</v>
      </c>
      <c r="D2435" s="2" t="s">
        <v>18</v>
      </c>
      <c r="E2435" s="4">
        <v>-32855</v>
      </c>
      <c r="F2435" s="3" t="s">
        <v>3911</v>
      </c>
      <c r="G2435" s="3" t="s">
        <v>6957</v>
      </c>
      <c r="H2435" s="2" t="s">
        <v>74</v>
      </c>
      <c r="I2435" s="2" t="s">
        <v>6958</v>
      </c>
      <c r="J2435" s="3" t="str">
        <f>HYPERLINK("https://www.boe.es/gazeta/dias/1810/01/16/pdfs/GGB-1810-7.pdf#page=7","Abrir facsímil")</f>
        <v>Abrir facsímil</v>
      </c>
      <c r="K2435" s="3" t="s">
        <v>76</v>
      </c>
    </row>
    <row r="2436" spans="1:11" ht="42" customHeight="1">
      <c r="A2436" s="2" t="s">
        <v>6959</v>
      </c>
      <c r="B2436" s="2" t="s">
        <v>6960</v>
      </c>
      <c r="C2436" s="2" t="s">
        <v>88</v>
      </c>
      <c r="D2436" s="2" t="s">
        <v>27</v>
      </c>
      <c r="E2436" s="4">
        <v>-32598</v>
      </c>
      <c r="F2436" s="3" t="s">
        <v>6961</v>
      </c>
      <c r="G2436" s="3" t="s">
        <v>180</v>
      </c>
      <c r="H2436" s="2" t="s">
        <v>74</v>
      </c>
      <c r="I2436" s="2" t="s">
        <v>6962</v>
      </c>
      <c r="J2436" s="3" t="str">
        <f>HYPERLINK("https://www.boe.es/gazeta/dias/1810/09/30/pdfs/GMD-1810-273.pdf#page=1","Abrir facsímil")</f>
        <v>Abrir facsímil</v>
      </c>
      <c r="K2436" s="3" t="s">
        <v>76</v>
      </c>
    </row>
    <row r="2437" spans="1:11" ht="42" customHeight="1">
      <c r="A2437" s="2" t="s">
        <v>6963</v>
      </c>
      <c r="B2437" s="2" t="s">
        <v>6964</v>
      </c>
      <c r="C2437" s="2" t="s">
        <v>26</v>
      </c>
      <c r="D2437" s="2" t="s">
        <v>18</v>
      </c>
      <c r="E2437" s="4">
        <v>-32701</v>
      </c>
      <c r="F2437" s="3" t="s">
        <v>40</v>
      </c>
      <c r="G2437" s="3" t="s">
        <v>333</v>
      </c>
      <c r="H2437" s="2" t="s">
        <v>74</v>
      </c>
      <c r="I2437" s="2" t="s">
        <v>6965</v>
      </c>
      <c r="J2437" s="3" t="str">
        <f>HYPERLINK("https://www.boe.es/gazeta/dias/1810/06/19/pdfs/GMD-C-1810-170.pdf#page=4","Abrir facsímil")</f>
        <v>Abrir facsímil</v>
      </c>
      <c r="K2437" s="3" t="s">
        <v>76</v>
      </c>
    </row>
    <row r="2438" spans="1:11" ht="42" customHeight="1">
      <c r="A2438" s="2" t="s">
        <v>6966</v>
      </c>
      <c r="B2438" s="2" t="s">
        <v>6967</v>
      </c>
      <c r="C2438" s="2" t="s">
        <v>195</v>
      </c>
      <c r="D2438" s="2" t="s">
        <v>220</v>
      </c>
      <c r="E2438" s="4">
        <v>-32762</v>
      </c>
      <c r="F2438" s="3" t="s">
        <v>231</v>
      </c>
      <c r="G2438" s="3" t="s">
        <v>29</v>
      </c>
      <c r="H2438" s="2" t="s">
        <v>74</v>
      </c>
      <c r="I2438" s="2" t="s">
        <v>6968</v>
      </c>
      <c r="J2438" s="3" t="str">
        <f>HYPERLINK("https://www.boe.es/gazeta/dias/1810/04/19/pdfs/GMD-1810-109.pdf#page=2","Abrir facsímil")</f>
        <v>Abrir facsímil</v>
      </c>
      <c r="K2438" s="3" t="s">
        <v>76</v>
      </c>
    </row>
    <row r="2439" spans="1:11" ht="42" customHeight="1">
      <c r="A2439" s="2" t="s">
        <v>6969</v>
      </c>
      <c r="B2439" s="2" t="s">
        <v>6970</v>
      </c>
      <c r="C2439" s="2" t="s">
        <v>26</v>
      </c>
      <c r="D2439" s="2" t="s">
        <v>27</v>
      </c>
      <c r="E2439" s="4">
        <v>-32782</v>
      </c>
      <c r="F2439" s="3" t="s">
        <v>79</v>
      </c>
      <c r="G2439" s="3" t="s">
        <v>80</v>
      </c>
      <c r="H2439" s="2" t="s">
        <v>74</v>
      </c>
      <c r="I2439" s="2" t="s">
        <v>6971</v>
      </c>
      <c r="J2439" s="3" t="str">
        <f>HYPERLINK("https://www.boe.es/gazeta/dias/1810/03/30/pdfs/GEI-1810-9.pdf#page=7","Abrir facsímil")</f>
        <v>Abrir facsímil</v>
      </c>
      <c r="K2439" s="3" t="s">
        <v>76</v>
      </c>
    </row>
    <row r="2440" spans="1:11" ht="42" customHeight="1">
      <c r="A2440" s="2" t="s">
        <v>6972</v>
      </c>
      <c r="B2440" s="2" t="s">
        <v>6973</v>
      </c>
      <c r="C2440" s="2" t="s">
        <v>26</v>
      </c>
      <c r="D2440" s="2" t="s">
        <v>27</v>
      </c>
      <c r="E2440" s="4">
        <v>-32680</v>
      </c>
      <c r="F2440" s="3" t="s">
        <v>509</v>
      </c>
      <c r="G2440" s="3" t="s">
        <v>213</v>
      </c>
      <c r="H2440" s="2" t="s">
        <v>74</v>
      </c>
      <c r="I2440" s="2" t="s">
        <v>6974</v>
      </c>
      <c r="J2440" s="3" t="str">
        <f>HYPERLINK("https://www.boe.es/gazeta/dias/1810/07/10/pdfs/GMD-1810-191.pdf#page=4","Abrir facsímil")</f>
        <v>Abrir facsímil</v>
      </c>
      <c r="K2440" s="3" t="s">
        <v>76</v>
      </c>
    </row>
    <row r="2441" spans="1:11" ht="42" customHeight="1">
      <c r="A2441" s="2" t="s">
        <v>6975</v>
      </c>
      <c r="B2441" s="2" t="s">
        <v>6976</v>
      </c>
      <c r="C2441" s="2" t="s">
        <v>26</v>
      </c>
      <c r="D2441" s="2" t="s">
        <v>27</v>
      </c>
      <c r="E2441" s="4">
        <v>-32795</v>
      </c>
      <c r="F2441" s="3" t="s">
        <v>690</v>
      </c>
      <c r="G2441" s="3" t="s">
        <v>691</v>
      </c>
      <c r="H2441" s="2" t="s">
        <v>74</v>
      </c>
      <c r="I2441" s="2" t="s">
        <v>6977</v>
      </c>
      <c r="J2441" s="3" t="str">
        <f>HYPERLINK("https://www.boe.es/gazeta/dias/1810/03/17/pdfs/GMD-1810-76.pdf#page=3","Abrir facsímil")</f>
        <v>Abrir facsímil</v>
      </c>
      <c r="K2441" s="3" t="s">
        <v>76</v>
      </c>
    </row>
    <row r="2442" spans="1:11" ht="42" customHeight="1">
      <c r="A2442" s="2" t="s">
        <v>6978</v>
      </c>
      <c r="B2442" s="2" t="s">
        <v>6979</v>
      </c>
      <c r="C2442" s="2" t="s">
        <v>26</v>
      </c>
      <c r="D2442" s="2" t="s">
        <v>27</v>
      </c>
      <c r="E2442" s="4">
        <v>-32673</v>
      </c>
      <c r="F2442" s="3" t="s">
        <v>2174</v>
      </c>
      <c r="G2442" s="3" t="s">
        <v>5512</v>
      </c>
      <c r="H2442" s="2" t="s">
        <v>74</v>
      </c>
      <c r="I2442" s="2" t="s">
        <v>6980</v>
      </c>
      <c r="J2442" s="3" t="str">
        <f>HYPERLINK("https://www.boe.es/gazeta/dias/1810/07/17/pdfs/GEI-1810-45.pdf#page=12","Abrir facsímil")</f>
        <v>Abrir facsímil</v>
      </c>
      <c r="K2442" s="3" t="s">
        <v>76</v>
      </c>
    </row>
    <row r="2443" spans="1:11" ht="42" customHeight="1">
      <c r="A2443" s="2" t="s">
        <v>6981</v>
      </c>
      <c r="B2443" s="2" t="s">
        <v>6982</v>
      </c>
      <c r="C2443" s="2" t="s">
        <v>111</v>
      </c>
      <c r="D2443" s="2" t="s">
        <v>27</v>
      </c>
      <c r="E2443" s="4">
        <v>-32642</v>
      </c>
      <c r="F2443" s="3" t="s">
        <v>2607</v>
      </c>
      <c r="G2443" s="3" t="s">
        <v>227</v>
      </c>
      <c r="H2443" s="2" t="s">
        <v>74</v>
      </c>
      <c r="I2443" s="2" t="s">
        <v>6983</v>
      </c>
      <c r="J2443" s="3" t="str">
        <f>HYPERLINK("https://www.boe.es/gazeta/dias/1810/08/17/pdfs/GMD-1810-229.pdf#page=4","Abrir facsímil")</f>
        <v>Abrir facsímil</v>
      </c>
      <c r="K2443" s="3" t="s">
        <v>76</v>
      </c>
    </row>
    <row r="2444" spans="1:11" ht="42" customHeight="1">
      <c r="A2444" s="2" t="s">
        <v>6984</v>
      </c>
      <c r="B2444" s="2" t="s">
        <v>6985</v>
      </c>
      <c r="C2444" s="2" t="s">
        <v>26</v>
      </c>
      <c r="D2444" s="2" t="s">
        <v>39</v>
      </c>
      <c r="E2444" s="4">
        <v>-32684</v>
      </c>
      <c r="F2444" s="3" t="s">
        <v>372</v>
      </c>
      <c r="G2444" s="3" t="s">
        <v>373</v>
      </c>
      <c r="H2444" s="2" t="s">
        <v>74</v>
      </c>
      <c r="I2444" s="2" t="s">
        <v>6986</v>
      </c>
      <c r="J2444" s="3" t="str">
        <f>HYPERLINK("https://www.boe.es/gazeta/dias/1810/07/06/pdfs/GEI-D-1810-42.pdf#page=8","Abrir facsímil")</f>
        <v>Abrir facsímil</v>
      </c>
      <c r="K2444" s="3" t="s">
        <v>76</v>
      </c>
    </row>
    <row r="2445" spans="1:11" ht="42" customHeight="1">
      <c r="A2445" s="2" t="s">
        <v>6987</v>
      </c>
      <c r="B2445" s="2" t="s">
        <v>6988</v>
      </c>
      <c r="C2445" s="2" t="s">
        <v>26</v>
      </c>
      <c r="D2445" s="2" t="s">
        <v>27</v>
      </c>
      <c r="E2445" s="4">
        <v>-32809</v>
      </c>
      <c r="F2445" s="3" t="s">
        <v>1873</v>
      </c>
      <c r="G2445" s="3" t="s">
        <v>735</v>
      </c>
      <c r="H2445" s="2" t="s">
        <v>74</v>
      </c>
      <c r="I2445" s="2" t="s">
        <v>6989</v>
      </c>
      <c r="J2445" s="3" t="str">
        <f>HYPERLINK("https://www.boe.es/gazeta/dias/1810/03/03/pdfs/GMD-1810-62.pdf#page=4","Abrir facsímil")</f>
        <v>Abrir facsímil</v>
      </c>
      <c r="K2445" s="3" t="s">
        <v>76</v>
      </c>
    </row>
    <row r="2446" spans="1:11" ht="42" customHeight="1">
      <c r="A2446" s="2" t="s">
        <v>6990</v>
      </c>
      <c r="B2446" s="2" t="s">
        <v>6991</v>
      </c>
      <c r="C2446" s="2" t="s">
        <v>26</v>
      </c>
      <c r="D2446" s="2" t="s">
        <v>18</v>
      </c>
      <c r="E2446" s="4">
        <v>-32620</v>
      </c>
      <c r="F2446" s="3" t="s">
        <v>1499</v>
      </c>
      <c r="G2446" s="3" t="s">
        <v>70</v>
      </c>
      <c r="H2446" s="2" t="s">
        <v>74</v>
      </c>
      <c r="I2446" s="2" t="s">
        <v>6992</v>
      </c>
      <c r="J2446" s="3" t="str">
        <f>HYPERLINK("https://www.boe.es/gazeta/dias/1810/09/08/pdfs/GMD-1810-251.pdf#page=1","Abrir facsímil")</f>
        <v>Abrir facsímil</v>
      </c>
      <c r="K2446" s="3" t="s">
        <v>76</v>
      </c>
    </row>
    <row r="2447" spans="1:11" ht="42" customHeight="1">
      <c r="A2447" s="2" t="s">
        <v>6993</v>
      </c>
      <c r="B2447" s="2" t="s">
        <v>6994</v>
      </c>
      <c r="C2447" s="2" t="s">
        <v>26</v>
      </c>
      <c r="D2447" s="2" t="s">
        <v>39</v>
      </c>
      <c r="E2447" s="4">
        <v>-32701</v>
      </c>
      <c r="F2447" s="3" t="s">
        <v>40</v>
      </c>
      <c r="G2447" s="3" t="s">
        <v>315</v>
      </c>
      <c r="H2447" s="2" t="s">
        <v>74</v>
      </c>
      <c r="I2447" s="2" t="s">
        <v>6995</v>
      </c>
      <c r="J2447" s="3" t="str">
        <f>HYPERLINK("https://www.boe.es/gazeta/dias/1810/06/19/pdfs/GMD-C-1810-170.pdf#page=2","Abrir facsímil")</f>
        <v>Abrir facsímil</v>
      </c>
      <c r="K2447" s="3" t="s">
        <v>76</v>
      </c>
    </row>
    <row r="2448" spans="1:11" ht="42" customHeight="1">
      <c r="A2448" s="2" t="s">
        <v>6993</v>
      </c>
      <c r="B2448" s="2" t="s">
        <v>6994</v>
      </c>
      <c r="C2448" s="2" t="s">
        <v>26</v>
      </c>
      <c r="D2448" s="2" t="s">
        <v>39</v>
      </c>
      <c r="E2448" s="4">
        <v>-32661</v>
      </c>
      <c r="F2448" s="3" t="s">
        <v>157</v>
      </c>
      <c r="G2448" s="3" t="s">
        <v>592</v>
      </c>
      <c r="H2448" s="2" t="s">
        <v>74</v>
      </c>
      <c r="I2448" s="2" t="s">
        <v>6996</v>
      </c>
      <c r="J2448" s="3" t="str">
        <f>HYPERLINK("https://www.boe.es/gazeta/dias/1810/07/29/pdfs/GMD-C-1810-210.pdf#page=2","Abrir facsímil")</f>
        <v>Abrir facsímil</v>
      </c>
      <c r="K2448" s="3" t="s">
        <v>76</v>
      </c>
    </row>
    <row r="2449" spans="1:11" ht="42" customHeight="1">
      <c r="A2449" s="2" t="s">
        <v>6997</v>
      </c>
      <c r="B2449" s="2" t="s">
        <v>6998</v>
      </c>
      <c r="C2449" s="2" t="s">
        <v>111</v>
      </c>
      <c r="D2449" s="2" t="s">
        <v>27</v>
      </c>
      <c r="E2449" s="4">
        <v>-32842</v>
      </c>
      <c r="F2449" s="3" t="s">
        <v>1291</v>
      </c>
      <c r="G2449" s="3" t="s">
        <v>1292</v>
      </c>
      <c r="H2449" s="2" t="s">
        <v>74</v>
      </c>
      <c r="I2449" s="2" t="s">
        <v>6999</v>
      </c>
      <c r="J2449" s="3" t="str">
        <f>HYPERLINK("https://www.boe.es/gazeta/dias/1810/01/29/pdfs/GMD-1810-29.pdf#page=3","Abrir facsímil")</f>
        <v>Abrir facsímil</v>
      </c>
      <c r="K2449" s="3" t="s">
        <v>76</v>
      </c>
    </row>
    <row r="2450" spans="1:11" ht="42" customHeight="1">
      <c r="A2450" s="2" t="s">
        <v>7000</v>
      </c>
      <c r="B2450" s="2" t="s">
        <v>7001</v>
      </c>
      <c r="C2450" s="2" t="s">
        <v>26</v>
      </c>
      <c r="D2450" s="2" t="s">
        <v>18</v>
      </c>
      <c r="E2450" s="4">
        <v>-32738</v>
      </c>
      <c r="F2450" s="3" t="s">
        <v>321</v>
      </c>
      <c r="G2450" s="3" t="s">
        <v>140</v>
      </c>
      <c r="H2450" s="2" t="s">
        <v>74</v>
      </c>
      <c r="I2450" s="2" t="s">
        <v>7002</v>
      </c>
      <c r="J2450" s="3" t="str">
        <f>HYPERLINK("https://www.boe.es/gazeta/dias/1810/05/13/pdfs/GMD-1810-133.pdf#page=4","Abrir facsímil")</f>
        <v>Abrir facsímil</v>
      </c>
      <c r="K2450" s="3" t="s">
        <v>76</v>
      </c>
    </row>
    <row r="2451" spans="1:11" ht="42" customHeight="1">
      <c r="A2451" s="2" t="s">
        <v>7003</v>
      </c>
      <c r="B2451" s="2" t="s">
        <v>7004</v>
      </c>
      <c r="C2451" s="2" t="s">
        <v>88</v>
      </c>
      <c r="D2451" s="2" t="s">
        <v>220</v>
      </c>
      <c r="E2451" s="4">
        <v>-32705</v>
      </c>
      <c r="F2451" s="3" t="s">
        <v>1158</v>
      </c>
      <c r="G2451" s="3" t="s">
        <v>1159</v>
      </c>
      <c r="H2451" s="2" t="s">
        <v>74</v>
      </c>
      <c r="I2451" s="2" t="s">
        <v>7005</v>
      </c>
      <c r="J2451" s="3" t="str">
        <f>HYPERLINK("https://www.boe.es/gazeta/dias/1810/06/15/pdfs/GMD-1810-166.pdf#page=1","Abrir facsímil")</f>
        <v>Abrir facsímil</v>
      </c>
      <c r="K2451" s="3" t="s">
        <v>76</v>
      </c>
    </row>
    <row r="2452" spans="1:11" ht="42" customHeight="1">
      <c r="A2452" s="2" t="s">
        <v>7006</v>
      </c>
      <c r="B2452" s="2" t="s">
        <v>7007</v>
      </c>
      <c r="C2452" s="2" t="s">
        <v>26</v>
      </c>
      <c r="D2452" s="2" t="s">
        <v>27</v>
      </c>
      <c r="E2452" s="4">
        <v>-32576</v>
      </c>
      <c r="F2452" s="3" t="s">
        <v>447</v>
      </c>
      <c r="G2452" s="3" t="s">
        <v>291</v>
      </c>
      <c r="H2452" s="2" t="s">
        <v>74</v>
      </c>
      <c r="I2452" s="2" t="s">
        <v>7008</v>
      </c>
      <c r="J2452" s="3" t="str">
        <f>HYPERLINK("https://www.boe.es/gazeta/dias/1810/10/22/pdfs/GMD-1810-295.pdf#page=3","Abrir facsímil")</f>
        <v>Abrir facsímil</v>
      </c>
      <c r="K2452" s="3" t="s">
        <v>76</v>
      </c>
    </row>
    <row r="2453" spans="1:11" ht="42" customHeight="1">
      <c r="A2453" s="2" t="s">
        <v>7009</v>
      </c>
      <c r="B2453" s="2" t="s">
        <v>7010</v>
      </c>
      <c r="C2453" s="2" t="s">
        <v>26</v>
      </c>
      <c r="D2453" s="2" t="s">
        <v>39</v>
      </c>
      <c r="E2453" s="4">
        <v>-32701</v>
      </c>
      <c r="F2453" s="3" t="s">
        <v>40</v>
      </c>
      <c r="G2453" s="3" t="s">
        <v>170</v>
      </c>
      <c r="H2453" s="2" t="s">
        <v>21</v>
      </c>
      <c r="I2453" s="2" t="s">
        <v>7011</v>
      </c>
      <c r="J2453" s="3" t="str">
        <f>HYPERLINK("https://www.boe.es/gazeta/dias/1810/06/19/pdfs/GMD-C-1810-170.pdf#page=1","Abrir facsímil")</f>
        <v>Abrir facsímil</v>
      </c>
      <c r="K2453" s="3" t="s">
        <v>23</v>
      </c>
    </row>
    <row r="2454" spans="1:11" ht="42" customHeight="1">
      <c r="A2454" s="2" t="s">
        <v>7012</v>
      </c>
      <c r="B2454" s="2" t="s">
        <v>7013</v>
      </c>
      <c r="C2454" s="2" t="s">
        <v>26</v>
      </c>
      <c r="D2454" s="2" t="s">
        <v>39</v>
      </c>
      <c r="E2454" s="4">
        <v>-32702</v>
      </c>
      <c r="F2454" s="3" t="s">
        <v>179</v>
      </c>
      <c r="G2454" s="3" t="s">
        <v>180</v>
      </c>
      <c r="H2454" s="2" t="s">
        <v>21</v>
      </c>
      <c r="I2454" s="2" t="s">
        <v>7014</v>
      </c>
      <c r="J2454" s="3" t="str">
        <f>HYPERLINK("https://www.boe.es/gazeta/dias/1810/06/18/pdfs/GMD-C-1810-169.pdf#page=2","Abrir facsímil")</f>
        <v>Abrir facsímil</v>
      </c>
      <c r="K2454" s="3" t="s">
        <v>23</v>
      </c>
    </row>
    <row r="2455" spans="1:11" ht="42" customHeight="1">
      <c r="A2455" s="2" t="s">
        <v>7015</v>
      </c>
      <c r="B2455" s="2" t="s">
        <v>7016</v>
      </c>
      <c r="C2455" s="2" t="s">
        <v>88</v>
      </c>
      <c r="D2455" s="2" t="s">
        <v>27</v>
      </c>
      <c r="E2455" s="4">
        <v>-32762</v>
      </c>
      <c r="F2455" s="3" t="s">
        <v>231</v>
      </c>
      <c r="G2455" s="3" t="s">
        <v>29</v>
      </c>
      <c r="H2455" s="2" t="s">
        <v>21</v>
      </c>
      <c r="I2455" s="2" t="s">
        <v>7017</v>
      </c>
      <c r="J2455" s="3" t="str">
        <f>HYPERLINK("https://www.boe.es/gazeta/dias/1810/04/19/pdfs/GMD-1810-109.pdf#page=2","Abrir facsímil")</f>
        <v>Abrir facsímil</v>
      </c>
      <c r="K2455" s="3" t="s">
        <v>23</v>
      </c>
    </row>
    <row r="2456" spans="1:11" ht="42" customHeight="1">
      <c r="A2456" s="2" t="s">
        <v>7018</v>
      </c>
      <c r="B2456" s="2" t="s">
        <v>7019</v>
      </c>
      <c r="C2456" s="2" t="s">
        <v>26</v>
      </c>
      <c r="D2456" s="2" t="s">
        <v>27</v>
      </c>
      <c r="E2456" s="4">
        <v>-32545</v>
      </c>
      <c r="F2456" s="3" t="s">
        <v>165</v>
      </c>
      <c r="G2456" s="3" t="s">
        <v>1516</v>
      </c>
      <c r="H2456" s="2" t="s">
        <v>21</v>
      </c>
      <c r="I2456" s="2" t="s">
        <v>7020</v>
      </c>
      <c r="J2456" s="3" t="str">
        <f>HYPERLINK("https://www.boe.es/gazeta/dias/1810/11/22/pdfs/GEI-1810-98.pdf#page=7","Abrir facsímil")</f>
        <v>Abrir facsímil</v>
      </c>
      <c r="K2456" s="3" t="s">
        <v>23</v>
      </c>
    </row>
    <row r="2457" spans="1:11" ht="42" customHeight="1">
      <c r="A2457" s="2" t="s">
        <v>7021</v>
      </c>
      <c r="B2457" s="2" t="s">
        <v>7022</v>
      </c>
      <c r="C2457" s="2" t="s">
        <v>26</v>
      </c>
      <c r="D2457" s="2" t="s">
        <v>27</v>
      </c>
      <c r="E2457" s="4">
        <v>-32839</v>
      </c>
      <c r="F2457" s="3" t="s">
        <v>28</v>
      </c>
      <c r="G2457" s="3" t="s">
        <v>29</v>
      </c>
      <c r="H2457" s="2" t="s">
        <v>21</v>
      </c>
      <c r="I2457" s="2" t="s">
        <v>7023</v>
      </c>
      <c r="J2457" s="3" t="str">
        <f>HYPERLINK("https://www.boe.es/gazeta/dias/1810/02/01/pdfs/GMD-1810-32.pdf#page=3","Abrir facsímil")</f>
        <v>Abrir facsímil</v>
      </c>
      <c r="K2457" s="3" t="s">
        <v>23</v>
      </c>
    </row>
    <row r="2458" spans="1:11" ht="42" customHeight="1">
      <c r="A2458" s="2" t="s">
        <v>7024</v>
      </c>
      <c r="B2458" s="2" t="s">
        <v>7025</v>
      </c>
      <c r="C2458" s="2" t="s">
        <v>88</v>
      </c>
      <c r="D2458" s="2" t="s">
        <v>27</v>
      </c>
      <c r="E2458" s="4">
        <v>-32710</v>
      </c>
      <c r="F2458" s="3" t="s">
        <v>126</v>
      </c>
      <c r="G2458" s="3" t="s">
        <v>184</v>
      </c>
      <c r="H2458" s="2" t="s">
        <v>21</v>
      </c>
      <c r="I2458" s="2" t="s">
        <v>7026</v>
      </c>
      <c r="J2458" s="3" t="str">
        <f>HYPERLINK("https://www.boe.es/gazeta/dias/1810/06/10/pdfs/GMD-1810-161.pdf#page=3","Abrir facsímil")</f>
        <v>Abrir facsímil</v>
      </c>
      <c r="K2458" s="3" t="s">
        <v>23</v>
      </c>
    </row>
    <row r="2459" spans="1:11" ht="42" customHeight="1">
      <c r="A2459" s="2" t="s">
        <v>7027</v>
      </c>
      <c r="B2459" s="2" t="s">
        <v>7028</v>
      </c>
      <c r="C2459" s="2" t="s">
        <v>88</v>
      </c>
      <c r="D2459" s="2" t="s">
        <v>39</v>
      </c>
      <c r="E2459" s="4">
        <v>-32642</v>
      </c>
      <c r="F2459" s="3" t="s">
        <v>2273</v>
      </c>
      <c r="G2459" s="3" t="s">
        <v>274</v>
      </c>
      <c r="H2459" s="2" t="s">
        <v>21</v>
      </c>
      <c r="I2459" s="2" t="s">
        <v>7029</v>
      </c>
      <c r="J2459" s="3" t="str">
        <f>HYPERLINK("https://www.boe.es/gazeta/dias/1810/08/17/pdfs/GEI-D-1810-57.pdf#page=8","Abrir facsímil")</f>
        <v>Abrir facsímil</v>
      </c>
      <c r="K2459" s="3" t="s">
        <v>23</v>
      </c>
    </row>
    <row r="2460" spans="1:11" ht="42" customHeight="1">
      <c r="A2460" s="2" t="s">
        <v>7030</v>
      </c>
      <c r="B2460" s="2" t="s">
        <v>7031</v>
      </c>
      <c r="C2460" s="2" t="s">
        <v>88</v>
      </c>
      <c r="D2460" s="2" t="s">
        <v>27</v>
      </c>
      <c r="E2460" s="4">
        <v>-32710</v>
      </c>
      <c r="F2460" s="3" t="s">
        <v>126</v>
      </c>
      <c r="G2460" s="3" t="s">
        <v>184</v>
      </c>
      <c r="H2460" s="2" t="s">
        <v>21</v>
      </c>
      <c r="I2460" s="2" t="s">
        <v>7032</v>
      </c>
      <c r="J2460" s="3" t="str">
        <f>HYPERLINK("https://www.boe.es/gazeta/dias/1810/06/10/pdfs/GMD-1810-161.pdf#page=3","Abrir facsímil")</f>
        <v>Abrir facsímil</v>
      </c>
      <c r="K2460" s="3" t="s">
        <v>23</v>
      </c>
    </row>
    <row r="2461" spans="1:11" ht="42" customHeight="1">
      <c r="A2461" s="2" t="s">
        <v>7033</v>
      </c>
      <c r="B2461" s="2" t="s">
        <v>7034</v>
      </c>
      <c r="C2461" s="2" t="s">
        <v>33</v>
      </c>
      <c r="D2461" s="2" t="s">
        <v>27</v>
      </c>
      <c r="E2461" s="4">
        <v>-32858</v>
      </c>
      <c r="F2461" s="3" t="s">
        <v>4182</v>
      </c>
      <c r="G2461" s="3" t="s">
        <v>3296</v>
      </c>
      <c r="H2461" s="2" t="s">
        <v>21</v>
      </c>
      <c r="I2461" s="2" t="s">
        <v>7035</v>
      </c>
      <c r="J2461" s="3" t="str">
        <f>HYPERLINK("https://www.boe.es/gazeta/dias/1810/01/13/pdfs/GGB-1810-6.pdf#page=4","Abrir facsímil")</f>
        <v>Abrir facsímil</v>
      </c>
      <c r="K2461" s="3" t="s">
        <v>23</v>
      </c>
    </row>
    <row r="2462" spans="1:11" ht="42" customHeight="1">
      <c r="A2462" s="2" t="s">
        <v>7033</v>
      </c>
      <c r="B2462" s="2" t="s">
        <v>7034</v>
      </c>
      <c r="C2462" s="2" t="s">
        <v>26</v>
      </c>
      <c r="D2462" s="2" t="s">
        <v>27</v>
      </c>
      <c r="E2462" s="4">
        <v>-32858</v>
      </c>
      <c r="F2462" s="3" t="s">
        <v>4182</v>
      </c>
      <c r="G2462" s="3" t="s">
        <v>915</v>
      </c>
      <c r="H2462" s="2" t="s">
        <v>21</v>
      </c>
      <c r="I2462" s="2" t="s">
        <v>7036</v>
      </c>
      <c r="J2462" s="3" t="str">
        <f>HYPERLINK("https://www.boe.es/gazeta/dias/1810/01/13/pdfs/GGB-1810-6.pdf#page=5","Abrir facsímil")</f>
        <v>Abrir facsímil</v>
      </c>
      <c r="K2462" s="3" t="s">
        <v>23</v>
      </c>
    </row>
    <row r="2463" spans="1:11" ht="42" customHeight="1">
      <c r="A2463" s="2" t="s">
        <v>7037</v>
      </c>
      <c r="B2463" s="2" t="s">
        <v>7038</v>
      </c>
      <c r="C2463" s="2" t="s">
        <v>26</v>
      </c>
      <c r="D2463" s="2" t="s">
        <v>27</v>
      </c>
      <c r="E2463" s="4">
        <v>-32591</v>
      </c>
      <c r="F2463" s="3" t="s">
        <v>377</v>
      </c>
      <c r="G2463" s="3" t="s">
        <v>140</v>
      </c>
      <c r="H2463" s="2" t="s">
        <v>21</v>
      </c>
      <c r="I2463" s="2" t="s">
        <v>7039</v>
      </c>
      <c r="J2463" s="3" t="str">
        <f>HYPERLINK("https://www.boe.es/gazeta/dias/1810/10/07/pdfs/GMD-1810-280.pdf#page=4","Abrir facsímil")</f>
        <v>Abrir facsímil</v>
      </c>
      <c r="K2463" s="3" t="s">
        <v>23</v>
      </c>
    </row>
    <row r="2464" spans="1:11" ht="42" customHeight="1">
      <c r="A2464" s="2" t="s">
        <v>7040</v>
      </c>
      <c r="B2464" s="2" t="s">
        <v>7041</v>
      </c>
      <c r="C2464" s="2" t="s">
        <v>26</v>
      </c>
      <c r="D2464" s="2" t="s">
        <v>27</v>
      </c>
      <c r="E2464" s="4">
        <v>-32736</v>
      </c>
      <c r="F2464" s="3" t="s">
        <v>400</v>
      </c>
      <c r="G2464" s="3" t="s">
        <v>592</v>
      </c>
      <c r="H2464" s="2" t="s">
        <v>74</v>
      </c>
      <c r="I2464" s="2" t="s">
        <v>7042</v>
      </c>
      <c r="J2464" s="3" t="str">
        <f>HYPERLINK("https://www.boe.es/gazeta/dias/1810/05/15/pdfs/GMD-1810-135.pdf#page=1","Abrir facsímil")</f>
        <v>Abrir facsímil</v>
      </c>
      <c r="K2464" s="3" t="s">
        <v>76</v>
      </c>
    </row>
    <row r="2465" spans="1:11" ht="42" customHeight="1">
      <c r="A2465" s="2" t="s">
        <v>7043</v>
      </c>
      <c r="B2465" s="2" t="s">
        <v>7044</v>
      </c>
      <c r="C2465" s="2" t="s">
        <v>26</v>
      </c>
      <c r="D2465" s="2" t="s">
        <v>27</v>
      </c>
      <c r="E2465" s="4">
        <v>-32724</v>
      </c>
      <c r="F2465" s="3" t="s">
        <v>1027</v>
      </c>
      <c r="G2465" s="3" t="s">
        <v>213</v>
      </c>
      <c r="H2465" s="2" t="s">
        <v>74</v>
      </c>
      <c r="I2465" s="2" t="s">
        <v>7045</v>
      </c>
      <c r="J2465" s="3" t="str">
        <f>HYPERLINK("https://www.boe.es/gazeta/dias/1810/05/27/pdfs/GMD-1810-147.pdf#page=4","Abrir facsímil")</f>
        <v>Abrir facsímil</v>
      </c>
      <c r="K2465" s="3" t="s">
        <v>76</v>
      </c>
    </row>
    <row r="2466" spans="1:11" ht="42" customHeight="1">
      <c r="A2466" s="2" t="s">
        <v>7046</v>
      </c>
      <c r="B2466" s="2" t="s">
        <v>7047</v>
      </c>
      <c r="C2466" s="2" t="s">
        <v>26</v>
      </c>
      <c r="D2466" s="2" t="s">
        <v>27</v>
      </c>
      <c r="E2466" s="4">
        <v>-32526</v>
      </c>
      <c r="F2466" s="3" t="s">
        <v>530</v>
      </c>
      <c r="G2466" s="3" t="s">
        <v>531</v>
      </c>
      <c r="H2466" s="2" t="s">
        <v>74</v>
      </c>
      <c r="I2466" s="2" t="s">
        <v>7048</v>
      </c>
      <c r="J2466" s="3" t="str">
        <f>HYPERLINK("https://www.boe.es/gazeta/dias/1810/12/11/pdfs/GEI-1810-106.pdf#page=2","Abrir facsímil")</f>
        <v>Abrir facsímil</v>
      </c>
      <c r="K2466" s="3" t="s">
        <v>76</v>
      </c>
    </row>
    <row r="2467" spans="1:11" ht="42" customHeight="1">
      <c r="A2467" s="2" t="s">
        <v>7049</v>
      </c>
      <c r="B2467" s="2" t="s">
        <v>7050</v>
      </c>
      <c r="C2467" s="2" t="s">
        <v>26</v>
      </c>
      <c r="D2467" s="2" t="s">
        <v>27</v>
      </c>
      <c r="E2467" s="4">
        <v>-32833</v>
      </c>
      <c r="F2467" s="3" t="s">
        <v>1836</v>
      </c>
      <c r="G2467" s="3" t="s">
        <v>29</v>
      </c>
      <c r="H2467" s="2" t="s">
        <v>74</v>
      </c>
      <c r="I2467" s="2" t="s">
        <v>7051</v>
      </c>
      <c r="J2467" s="3" t="str">
        <f>HYPERLINK("https://www.boe.es/gazeta/dias/1810/02/07/pdfs/GMD-1810-38.pdf#page=4","Abrir facsímil")</f>
        <v>Abrir facsímil</v>
      </c>
      <c r="K2467" s="3" t="s">
        <v>76</v>
      </c>
    </row>
    <row r="2468" spans="1:11" ht="42" customHeight="1">
      <c r="A2468" s="2" t="s">
        <v>7052</v>
      </c>
      <c r="B2468" s="2" t="s">
        <v>7053</v>
      </c>
      <c r="C2468" s="2" t="s">
        <v>17</v>
      </c>
      <c r="D2468" s="2" t="s">
        <v>27</v>
      </c>
      <c r="E2468" s="4">
        <v>-32647</v>
      </c>
      <c r="F2468" s="3" t="s">
        <v>118</v>
      </c>
      <c r="G2468" s="3" t="s">
        <v>20</v>
      </c>
      <c r="H2468" s="2" t="s">
        <v>74</v>
      </c>
      <c r="I2468" s="2" t="s">
        <v>7054</v>
      </c>
      <c r="J2468" s="3" t="str">
        <f>HYPERLINK("https://www.boe.es/gazeta/dias/1810/08/12/pdfs/GMD-1810-224.pdf#page=4","Abrir facsímil")</f>
        <v>Abrir facsímil</v>
      </c>
      <c r="K2468" s="3" t="s">
        <v>76</v>
      </c>
    </row>
    <row r="2469" spans="1:11" ht="42" customHeight="1">
      <c r="A2469" s="2" t="s">
        <v>7055</v>
      </c>
      <c r="B2469" s="2" t="s">
        <v>7056</v>
      </c>
      <c r="C2469" s="2" t="s">
        <v>26</v>
      </c>
      <c r="D2469" s="2" t="s">
        <v>27</v>
      </c>
      <c r="E2469" s="4">
        <v>-32788</v>
      </c>
      <c r="F2469" s="3" t="s">
        <v>1254</v>
      </c>
      <c r="G2469" s="3" t="s">
        <v>29</v>
      </c>
      <c r="H2469" s="2" t="s">
        <v>74</v>
      </c>
      <c r="I2469" s="2" t="s">
        <v>7057</v>
      </c>
      <c r="J2469" s="3" t="str">
        <f>HYPERLINK("https://www.boe.es/gazeta/dias/1810/03/24/pdfs/GMD-1810-83.pdf#page=2","Abrir facsímil")</f>
        <v>Abrir facsímil</v>
      </c>
      <c r="K2469" s="3" t="s">
        <v>76</v>
      </c>
    </row>
    <row r="2470" spans="1:11" ht="42" customHeight="1">
      <c r="A2470" s="2" t="s">
        <v>7058</v>
      </c>
      <c r="B2470" s="2" t="s">
        <v>7059</v>
      </c>
      <c r="C2470" s="2" t="s">
        <v>26</v>
      </c>
      <c r="D2470" s="2" t="s">
        <v>27</v>
      </c>
      <c r="E2470" s="4">
        <v>-32853</v>
      </c>
      <c r="F2470" s="3" t="s">
        <v>516</v>
      </c>
      <c r="G2470" s="3" t="s">
        <v>213</v>
      </c>
      <c r="H2470" s="2" t="s">
        <v>74</v>
      </c>
      <c r="I2470" s="2" t="s">
        <v>7060</v>
      </c>
      <c r="J2470" s="3" t="str">
        <f>HYPERLINK("https://www.boe.es/gazeta/dias/1810/01/18/pdfs/GGB-1810-8.pdf#page=4","Abrir facsímil")</f>
        <v>Abrir facsímil</v>
      </c>
      <c r="K2470" s="3" t="s">
        <v>76</v>
      </c>
    </row>
    <row r="2471" spans="1:11" ht="42" customHeight="1">
      <c r="A2471" s="2" t="s">
        <v>7058</v>
      </c>
      <c r="B2471" s="2" t="s">
        <v>7059</v>
      </c>
      <c r="C2471" s="2" t="s">
        <v>225</v>
      </c>
      <c r="D2471" s="2" t="s">
        <v>27</v>
      </c>
      <c r="E2471" s="4">
        <v>-32673</v>
      </c>
      <c r="F2471" s="3" t="s">
        <v>2174</v>
      </c>
      <c r="G2471" s="3" t="s">
        <v>140</v>
      </c>
      <c r="H2471" s="2" t="s">
        <v>74</v>
      </c>
      <c r="I2471" s="2" t="s">
        <v>7061</v>
      </c>
      <c r="J2471" s="3" t="str">
        <f>HYPERLINK("https://www.boe.es/gazeta/dias/1810/07/17/pdfs/GEI-1810-45.pdf#page=8","Abrir facsímil")</f>
        <v>Abrir facsímil</v>
      </c>
      <c r="K2471" s="3" t="s">
        <v>76</v>
      </c>
    </row>
    <row r="2472" spans="1:11" ht="42" customHeight="1">
      <c r="A2472" s="2" t="s">
        <v>7062</v>
      </c>
      <c r="B2472" s="2" t="s">
        <v>7063</v>
      </c>
      <c r="C2472" s="2" t="s">
        <v>88</v>
      </c>
      <c r="D2472" s="2" t="s">
        <v>117</v>
      </c>
      <c r="E2472" s="4">
        <v>-32725</v>
      </c>
      <c r="F2472" s="3" t="s">
        <v>417</v>
      </c>
      <c r="G2472" s="3" t="s">
        <v>140</v>
      </c>
      <c r="H2472" s="2" t="s">
        <v>74</v>
      </c>
      <c r="I2472" s="2" t="s">
        <v>7064</v>
      </c>
      <c r="J2472" s="3" t="str">
        <f>HYPERLINK("https://www.boe.es/gazeta/dias/1810/05/26/pdfs/GMD-1810-146.pdf#page=4","Abrir facsímil")</f>
        <v>Abrir facsímil</v>
      </c>
      <c r="K2472" s="3" t="s">
        <v>76</v>
      </c>
    </row>
    <row r="2473" spans="1:11" ht="42" customHeight="1">
      <c r="A2473" s="2" t="s">
        <v>7065</v>
      </c>
      <c r="B2473" s="2" t="s">
        <v>7066</v>
      </c>
      <c r="C2473" s="2" t="s">
        <v>88</v>
      </c>
      <c r="D2473" s="2" t="s">
        <v>117</v>
      </c>
      <c r="E2473" s="4">
        <v>-32724</v>
      </c>
      <c r="F2473" s="3" t="s">
        <v>1027</v>
      </c>
      <c r="G2473" s="3" t="s">
        <v>227</v>
      </c>
      <c r="H2473" s="2" t="s">
        <v>74</v>
      </c>
      <c r="I2473" s="2" t="s">
        <v>7067</v>
      </c>
      <c r="J2473" s="3" t="str">
        <f>HYPERLINK("https://www.boe.es/gazeta/dias/1810/05/27/pdfs/GMD-1810-147.pdf#page=2","Abrir facsímil")</f>
        <v>Abrir facsímil</v>
      </c>
      <c r="K2473" s="3" t="s">
        <v>76</v>
      </c>
    </row>
    <row r="2474" spans="1:11" ht="42" customHeight="1">
      <c r="A2474" s="2" t="s">
        <v>7068</v>
      </c>
      <c r="B2474" s="2" t="s">
        <v>7069</v>
      </c>
      <c r="C2474" s="2" t="s">
        <v>26</v>
      </c>
      <c r="D2474" s="2" t="s">
        <v>27</v>
      </c>
      <c r="E2474" s="4">
        <v>-32693</v>
      </c>
      <c r="F2474" s="3" t="s">
        <v>54</v>
      </c>
      <c r="G2474" s="3" t="s">
        <v>20</v>
      </c>
      <c r="H2474" s="2" t="s">
        <v>74</v>
      </c>
      <c r="I2474" s="2" t="s">
        <v>7070</v>
      </c>
      <c r="J2474" s="3" t="str">
        <f>HYPERLINK("https://www.boe.es/gazeta/dias/1810/06/27/pdfs/GMD-1810-178.pdf#page=4","Abrir facsímil")</f>
        <v>Abrir facsímil</v>
      </c>
      <c r="K2474" s="3" t="s">
        <v>76</v>
      </c>
    </row>
    <row r="2475" spans="1:11" ht="42" customHeight="1">
      <c r="A2475" s="2" t="s">
        <v>7068</v>
      </c>
      <c r="B2475" s="2" t="s">
        <v>7069</v>
      </c>
      <c r="C2475" s="2" t="s">
        <v>88</v>
      </c>
      <c r="D2475" s="2" t="s">
        <v>117</v>
      </c>
      <c r="E2475" s="4">
        <v>-32675</v>
      </c>
      <c r="F2475" s="3" t="s">
        <v>729</v>
      </c>
      <c r="G2475" s="3" t="s">
        <v>7071</v>
      </c>
      <c r="H2475" s="2" t="s">
        <v>74</v>
      </c>
      <c r="I2475" s="2" t="s">
        <v>7072</v>
      </c>
      <c r="J2475" s="3" t="str">
        <f>HYPERLINK("https://www.boe.es/gazeta/dias/1810/07/15/pdfs/GMD-1810-196.pdf#page=4","Abrir facsímil")</f>
        <v>Abrir facsímil</v>
      </c>
      <c r="K2475" s="3" t="s">
        <v>76</v>
      </c>
    </row>
    <row r="2476" spans="1:11" ht="42" customHeight="1">
      <c r="A2476" s="2" t="s">
        <v>7068</v>
      </c>
      <c r="B2476" s="2" t="s">
        <v>7069</v>
      </c>
      <c r="C2476" s="2" t="s">
        <v>17</v>
      </c>
      <c r="D2476" s="2" t="s">
        <v>18</v>
      </c>
      <c r="E2476" s="4">
        <v>-32578</v>
      </c>
      <c r="F2476" s="3" t="s">
        <v>7073</v>
      </c>
      <c r="G2476" s="3" t="s">
        <v>7074</v>
      </c>
      <c r="H2476" s="2" t="s">
        <v>74</v>
      </c>
      <c r="I2476" s="2" t="s">
        <v>7075</v>
      </c>
      <c r="J2476" s="3" t="str">
        <f>HYPERLINK("https://www.boe.es/gazeta/dias/1810/10/20/pdfs/GMD-1810-293.pdf#page=4","Abrir facsímil")</f>
        <v>Abrir facsímil</v>
      </c>
      <c r="K2476" s="3" t="s">
        <v>76</v>
      </c>
    </row>
    <row r="2477" spans="1:11" ht="42" customHeight="1">
      <c r="A2477" s="2" t="s">
        <v>7068</v>
      </c>
      <c r="B2477" s="2" t="s">
        <v>7069</v>
      </c>
      <c r="C2477" s="2" t="s">
        <v>26</v>
      </c>
      <c r="D2477" s="2" t="s">
        <v>27</v>
      </c>
      <c r="E2477" s="4">
        <v>-32506</v>
      </c>
      <c r="F2477" s="3" t="s">
        <v>7076</v>
      </c>
      <c r="G2477" s="3" t="s">
        <v>2739</v>
      </c>
      <c r="H2477" s="2" t="s">
        <v>74</v>
      </c>
      <c r="I2477" s="2" t="s">
        <v>7077</v>
      </c>
      <c r="J2477" s="3" t="str">
        <f>HYPERLINK("https://www.boe.es/gazeta/dias/1810/12/31/pdfs/GMD-1810-365.pdf#page=4","Abrir facsímil")</f>
        <v>Abrir facsímil</v>
      </c>
      <c r="K2477" s="3" t="s">
        <v>76</v>
      </c>
    </row>
    <row r="2478" spans="1:11" ht="42" customHeight="1">
      <c r="A2478" s="2" t="s">
        <v>7078</v>
      </c>
      <c r="B2478" s="2" t="s">
        <v>7079</v>
      </c>
      <c r="C2478" s="2" t="s">
        <v>111</v>
      </c>
      <c r="D2478" s="2" t="s">
        <v>27</v>
      </c>
      <c r="E2478" s="4">
        <v>-32578</v>
      </c>
      <c r="F2478" s="3" t="s">
        <v>7073</v>
      </c>
      <c r="G2478" s="3" t="s">
        <v>7074</v>
      </c>
      <c r="H2478" s="2" t="s">
        <v>74</v>
      </c>
      <c r="I2478" s="2" t="s">
        <v>7080</v>
      </c>
      <c r="J2478" s="3" t="str">
        <f>HYPERLINK("https://www.boe.es/gazeta/dias/1810/10/20/pdfs/GMD-1810-293.pdf#page=4","Abrir facsímil")</f>
        <v>Abrir facsímil</v>
      </c>
      <c r="K2478" s="3" t="s">
        <v>76</v>
      </c>
    </row>
    <row r="2479" spans="1:11" ht="42" customHeight="1">
      <c r="A2479" s="2" t="s">
        <v>7081</v>
      </c>
      <c r="B2479" s="2" t="s">
        <v>7082</v>
      </c>
      <c r="C2479" s="2" t="s">
        <v>26</v>
      </c>
      <c r="D2479" s="2" t="s">
        <v>39</v>
      </c>
      <c r="E2479" s="4">
        <v>-32686</v>
      </c>
      <c r="F2479" s="3" t="s">
        <v>3230</v>
      </c>
      <c r="G2479" s="3" t="s">
        <v>735</v>
      </c>
      <c r="H2479" s="2" t="s">
        <v>74</v>
      </c>
      <c r="I2479" s="2" t="s">
        <v>7083</v>
      </c>
      <c r="J2479" s="3" t="str">
        <f>HYPERLINK("https://www.boe.es/gazeta/dias/1810/07/04/pdfs/GMD-C-1810-185.pdf#page=2","Abrir facsímil")</f>
        <v>Abrir facsímil</v>
      </c>
      <c r="K2479" s="3" t="s">
        <v>76</v>
      </c>
    </row>
    <row r="2480" spans="1:11" ht="42" customHeight="1">
      <c r="A2480" s="2" t="s">
        <v>7084</v>
      </c>
      <c r="B2480" s="2" t="s">
        <v>7085</v>
      </c>
      <c r="C2480" s="2" t="s">
        <v>33</v>
      </c>
      <c r="D2480" s="2" t="s">
        <v>27</v>
      </c>
      <c r="E2480" s="4">
        <v>-32607</v>
      </c>
      <c r="F2480" s="3" t="s">
        <v>6044</v>
      </c>
      <c r="G2480" s="3" t="s">
        <v>99</v>
      </c>
      <c r="H2480" s="2" t="s">
        <v>74</v>
      </c>
      <c r="I2480" s="2" t="s">
        <v>7086</v>
      </c>
      <c r="J2480" s="3" t="str">
        <f>HYPERLINK("https://www.boe.es/gazeta/dias/1810/09/21/pdfs/GMD-1810-264.pdf#page=3","Abrir facsímil")</f>
        <v>Abrir facsímil</v>
      </c>
      <c r="K2480" s="3" t="s">
        <v>76</v>
      </c>
    </row>
    <row r="2481" spans="1:11" ht="42" customHeight="1">
      <c r="A2481" s="2" t="s">
        <v>7087</v>
      </c>
      <c r="B2481" s="2" t="s">
        <v>7088</v>
      </c>
      <c r="C2481" s="2" t="s">
        <v>111</v>
      </c>
      <c r="D2481" s="2" t="s">
        <v>39</v>
      </c>
      <c r="E2481" s="4">
        <v>-32670</v>
      </c>
      <c r="F2481" s="3" t="s">
        <v>2457</v>
      </c>
      <c r="G2481" s="3" t="s">
        <v>473</v>
      </c>
      <c r="H2481" s="2" t="s">
        <v>74</v>
      </c>
      <c r="I2481" s="2" t="s">
        <v>7089</v>
      </c>
      <c r="J2481" s="3" t="str">
        <f>HYPERLINK("https://www.boe.es/gazeta/dias/1810/07/20/pdfs/GMD-C-1810-201.pdf#page=4","Abrir facsímil")</f>
        <v>Abrir facsímil</v>
      </c>
      <c r="K2481" s="3" t="s">
        <v>76</v>
      </c>
    </row>
    <row r="2482" spans="1:11" ht="42" customHeight="1">
      <c r="A2482" s="2" t="s">
        <v>7090</v>
      </c>
      <c r="B2482" s="2" t="s">
        <v>7091</v>
      </c>
      <c r="C2482" s="2" t="s">
        <v>26</v>
      </c>
      <c r="D2482" s="2" t="s">
        <v>39</v>
      </c>
      <c r="E2482" s="4">
        <v>-32670</v>
      </c>
      <c r="F2482" s="3" t="s">
        <v>2457</v>
      </c>
      <c r="G2482" s="3" t="s">
        <v>1464</v>
      </c>
      <c r="H2482" s="2" t="s">
        <v>74</v>
      </c>
      <c r="I2482" s="2" t="s">
        <v>7092</v>
      </c>
      <c r="J2482" s="3" t="str">
        <f>HYPERLINK("https://www.boe.es/gazeta/dias/1810/07/20/pdfs/GMD-C-1810-201.pdf#page=3","Abrir facsímil")</f>
        <v>Abrir facsímil</v>
      </c>
      <c r="K2482" s="3" t="s">
        <v>76</v>
      </c>
    </row>
    <row r="2483" spans="1:11" ht="42" customHeight="1">
      <c r="A2483" s="2" t="s">
        <v>7093</v>
      </c>
      <c r="B2483" s="2" t="s">
        <v>7094</v>
      </c>
      <c r="C2483" s="2" t="s">
        <v>26</v>
      </c>
      <c r="D2483" s="2" t="s">
        <v>39</v>
      </c>
      <c r="E2483" s="4">
        <v>-32661</v>
      </c>
      <c r="F2483" s="3" t="s">
        <v>157</v>
      </c>
      <c r="G2483" s="3" t="s">
        <v>158</v>
      </c>
      <c r="H2483" s="2" t="s">
        <v>74</v>
      </c>
      <c r="I2483" s="2" t="s">
        <v>7095</v>
      </c>
      <c r="J2483" s="3" t="str">
        <f>HYPERLINK("https://www.boe.es/gazeta/dias/1810/07/29/pdfs/GMD-C-1810-210.pdf#page=1","Abrir facsímil")</f>
        <v>Abrir facsímil</v>
      </c>
      <c r="K2483" s="3" t="s">
        <v>76</v>
      </c>
    </row>
    <row r="2484" spans="1:11" ht="42" customHeight="1">
      <c r="A2484" s="2" t="s">
        <v>7096</v>
      </c>
      <c r="B2484" s="2" t="s">
        <v>7097</v>
      </c>
      <c r="C2484" s="2" t="s">
        <v>88</v>
      </c>
      <c r="D2484" s="2" t="s">
        <v>27</v>
      </c>
      <c r="E2484" s="4">
        <v>-32663</v>
      </c>
      <c r="F2484" s="3" t="s">
        <v>1945</v>
      </c>
      <c r="G2484" s="3" t="s">
        <v>1843</v>
      </c>
      <c r="H2484" s="2" t="s">
        <v>74</v>
      </c>
      <c r="I2484" s="2" t="s">
        <v>7098</v>
      </c>
      <c r="J2484" s="3" t="str">
        <f>HYPERLINK("https://www.boe.es/gazeta/dias/1810/07/27/pdfs/GEI-1810-48.pdf#page=3","Abrir facsímil")</f>
        <v>Abrir facsímil</v>
      </c>
      <c r="K2484" s="3" t="s">
        <v>76</v>
      </c>
    </row>
    <row r="2485" spans="1:11" ht="42" customHeight="1">
      <c r="A2485" s="2" t="s">
        <v>7099</v>
      </c>
      <c r="B2485" s="2" t="s">
        <v>7100</v>
      </c>
      <c r="C2485" s="2" t="s">
        <v>111</v>
      </c>
      <c r="D2485" s="2" t="s">
        <v>220</v>
      </c>
      <c r="E2485" s="4">
        <v>-32745</v>
      </c>
      <c r="F2485" s="3" t="s">
        <v>7101</v>
      </c>
      <c r="G2485" s="3" t="s">
        <v>7102</v>
      </c>
      <c r="H2485" s="2" t="s">
        <v>74</v>
      </c>
      <c r="I2485" s="2" t="s">
        <v>7103</v>
      </c>
      <c r="J2485" s="3" t="str">
        <f>HYPERLINK("https://www.boe.es/gazeta/dias/1810/05/06/pdfs/GMD-1810-126.pdf#page=2","Abrir facsímil")</f>
        <v>Abrir facsímil</v>
      </c>
      <c r="K2485" s="3" t="s">
        <v>76</v>
      </c>
    </row>
    <row r="2486" spans="1:11" ht="42" customHeight="1">
      <c r="A2486" s="2" t="s">
        <v>7104</v>
      </c>
      <c r="B2486" s="2" t="s">
        <v>7105</v>
      </c>
      <c r="C2486" s="2" t="s">
        <v>26</v>
      </c>
      <c r="D2486" s="2" t="s">
        <v>39</v>
      </c>
      <c r="E2486" s="4">
        <v>-32701</v>
      </c>
      <c r="F2486" s="3" t="s">
        <v>40</v>
      </c>
      <c r="G2486" s="3" t="s">
        <v>315</v>
      </c>
      <c r="H2486" s="2" t="s">
        <v>74</v>
      </c>
      <c r="I2486" s="2" t="s">
        <v>7106</v>
      </c>
      <c r="J2486" s="3" t="str">
        <f>HYPERLINK("https://www.boe.es/gazeta/dias/1810/06/19/pdfs/GMD-C-1810-170.pdf#page=2","Abrir facsímil")</f>
        <v>Abrir facsímil</v>
      </c>
      <c r="K2486" s="3" t="s">
        <v>76</v>
      </c>
    </row>
    <row r="2487" spans="1:11" ht="42" customHeight="1">
      <c r="A2487" s="2" t="s">
        <v>7107</v>
      </c>
      <c r="B2487" s="2" t="s">
        <v>7108</v>
      </c>
      <c r="C2487" s="2" t="s">
        <v>26</v>
      </c>
      <c r="D2487" s="2" t="s">
        <v>27</v>
      </c>
      <c r="E2487" s="4">
        <v>-32729</v>
      </c>
      <c r="F2487" s="3" t="s">
        <v>174</v>
      </c>
      <c r="G2487" s="3" t="s">
        <v>886</v>
      </c>
      <c r="H2487" s="2" t="s">
        <v>74</v>
      </c>
      <c r="I2487" s="2" t="s">
        <v>7109</v>
      </c>
      <c r="J2487" s="3" t="str">
        <f>HYPERLINK("https://www.boe.es/gazeta/dias/1810/05/22/pdfs/GEI-1810-28.pdf#page=11","Abrir facsímil")</f>
        <v>Abrir facsímil</v>
      </c>
      <c r="K2487" s="3" t="s">
        <v>76</v>
      </c>
    </row>
    <row r="2488" spans="1:11" ht="42" customHeight="1">
      <c r="A2488" s="2" t="s">
        <v>7110</v>
      </c>
      <c r="B2488" s="2" t="s">
        <v>7111</v>
      </c>
      <c r="C2488" s="2" t="s">
        <v>26</v>
      </c>
      <c r="D2488" s="2" t="s">
        <v>39</v>
      </c>
      <c r="E2488" s="4">
        <v>-32701</v>
      </c>
      <c r="F2488" s="3" t="s">
        <v>40</v>
      </c>
      <c r="G2488" s="3" t="s">
        <v>315</v>
      </c>
      <c r="H2488" s="2" t="s">
        <v>74</v>
      </c>
      <c r="I2488" s="2" t="s">
        <v>7112</v>
      </c>
      <c r="J2488" s="3" t="str">
        <f>HYPERLINK("https://www.boe.es/gazeta/dias/1810/06/19/pdfs/GMD-C-1810-170.pdf#page=2","Abrir facsímil")</f>
        <v>Abrir facsímil</v>
      </c>
      <c r="K2488" s="3" t="s">
        <v>76</v>
      </c>
    </row>
    <row r="2489" spans="1:11" ht="42" customHeight="1">
      <c r="A2489" s="2" t="s">
        <v>7113</v>
      </c>
      <c r="B2489" s="2" t="s">
        <v>7114</v>
      </c>
      <c r="C2489" s="2" t="s">
        <v>17</v>
      </c>
      <c r="D2489" s="2" t="s">
        <v>27</v>
      </c>
      <c r="E2489" s="4">
        <v>-32826</v>
      </c>
      <c r="F2489" s="3" t="s">
        <v>1252</v>
      </c>
      <c r="G2489" s="3" t="s">
        <v>227</v>
      </c>
      <c r="H2489" s="2" t="s">
        <v>74</v>
      </c>
      <c r="I2489" s="2" t="s">
        <v>7115</v>
      </c>
      <c r="J2489" s="3" t="str">
        <f>HYPERLINK("https://www.boe.es/gazeta/dias/1810/02/14/pdfs/GMD-1810-45.pdf#page=4","Abrir facsímil")</f>
        <v>Abrir facsímil</v>
      </c>
      <c r="K2489" s="3" t="s">
        <v>76</v>
      </c>
    </row>
    <row r="2490" spans="1:11" ht="42" customHeight="1">
      <c r="A2490" s="2" t="s">
        <v>7116</v>
      </c>
      <c r="B2490" s="2" t="s">
        <v>7117</v>
      </c>
      <c r="C2490" s="2" t="s">
        <v>26</v>
      </c>
      <c r="D2490" s="2" t="s">
        <v>39</v>
      </c>
      <c r="E2490" s="4">
        <v>-32683</v>
      </c>
      <c r="F2490" s="3" t="s">
        <v>300</v>
      </c>
      <c r="G2490" s="3" t="s">
        <v>3467</v>
      </c>
      <c r="H2490" s="2" t="s">
        <v>74</v>
      </c>
      <c r="I2490" s="2" t="s">
        <v>7118</v>
      </c>
      <c r="J2490" s="3" t="str">
        <f>HYPERLINK("https://www.boe.es/gazeta/dias/1810/07/07/pdfs/GMD-C-1810-188.pdf#page=2","Abrir facsímil")</f>
        <v>Abrir facsímil</v>
      </c>
      <c r="K2490" s="3" t="s">
        <v>76</v>
      </c>
    </row>
    <row r="2491" spans="1:11" ht="42" customHeight="1">
      <c r="A2491" s="2" t="s">
        <v>7119</v>
      </c>
      <c r="B2491" s="2" t="s">
        <v>7120</v>
      </c>
      <c r="C2491" s="2" t="s">
        <v>26</v>
      </c>
      <c r="D2491" s="2" t="s">
        <v>27</v>
      </c>
      <c r="E2491" s="4">
        <v>-32688</v>
      </c>
      <c r="F2491" s="3" t="s">
        <v>997</v>
      </c>
      <c r="G2491" s="3" t="s">
        <v>749</v>
      </c>
      <c r="H2491" s="2" t="s">
        <v>74</v>
      </c>
      <c r="I2491" s="2" t="s">
        <v>7121</v>
      </c>
      <c r="J2491" s="3" t="str">
        <f>HYPERLINK("https://www.boe.es/gazeta/dias/1810/07/02/pdfs/GMD-1810-183.pdf#page=4","Abrir facsímil")</f>
        <v>Abrir facsímil</v>
      </c>
      <c r="K2491" s="3" t="s">
        <v>76</v>
      </c>
    </row>
    <row r="2492" spans="1:11" ht="42" customHeight="1">
      <c r="A2492" s="2" t="s">
        <v>7122</v>
      </c>
      <c r="B2492" s="2" t="s">
        <v>7123</v>
      </c>
      <c r="C2492" s="2" t="s">
        <v>26</v>
      </c>
      <c r="D2492" s="2" t="s">
        <v>39</v>
      </c>
      <c r="E2492" s="4">
        <v>-32661</v>
      </c>
      <c r="F2492" s="3" t="s">
        <v>157</v>
      </c>
      <c r="G2492" s="3" t="s">
        <v>592</v>
      </c>
      <c r="H2492" s="2" t="s">
        <v>74</v>
      </c>
      <c r="I2492" s="2" t="s">
        <v>7124</v>
      </c>
      <c r="J2492" s="3" t="str">
        <f>HYPERLINK("https://www.boe.es/gazeta/dias/1810/07/29/pdfs/GMD-C-1810-210.pdf#page=2","Abrir facsímil")</f>
        <v>Abrir facsímil</v>
      </c>
      <c r="K2492" s="3" t="s">
        <v>76</v>
      </c>
    </row>
    <row r="2493" spans="1:11" ht="42" customHeight="1">
      <c r="A2493" s="2" t="s">
        <v>7125</v>
      </c>
      <c r="B2493" s="2" t="s">
        <v>7126</v>
      </c>
      <c r="C2493" s="2" t="s">
        <v>26</v>
      </c>
      <c r="D2493" s="2" t="s">
        <v>39</v>
      </c>
      <c r="E2493" s="4">
        <v>-32661</v>
      </c>
      <c r="F2493" s="3" t="s">
        <v>157</v>
      </c>
      <c r="G2493" s="3" t="s">
        <v>592</v>
      </c>
      <c r="H2493" s="2" t="s">
        <v>74</v>
      </c>
      <c r="I2493" s="2" t="s">
        <v>7127</v>
      </c>
      <c r="J2493" s="3" t="str">
        <f>HYPERLINK("https://www.boe.es/gazeta/dias/1810/07/29/pdfs/GMD-C-1810-210.pdf#page=2","Abrir facsímil")</f>
        <v>Abrir facsímil</v>
      </c>
      <c r="K2493" s="3" t="s">
        <v>76</v>
      </c>
    </row>
    <row r="2494" spans="1:11" ht="42" customHeight="1">
      <c r="A2494" s="2" t="s">
        <v>7128</v>
      </c>
      <c r="B2494" s="2" t="s">
        <v>7129</v>
      </c>
      <c r="C2494" s="2" t="s">
        <v>26</v>
      </c>
      <c r="D2494" s="2" t="s">
        <v>27</v>
      </c>
      <c r="E2494" s="4">
        <v>-32770</v>
      </c>
      <c r="F2494" s="3" t="s">
        <v>7130</v>
      </c>
      <c r="G2494" s="3" t="s">
        <v>7131</v>
      </c>
      <c r="H2494" s="2" t="s">
        <v>74</v>
      </c>
      <c r="I2494" s="2" t="s">
        <v>7132</v>
      </c>
      <c r="J2494" s="3" t="str">
        <f>HYPERLINK("https://www.boe.es/gazeta/dias/1810/04/11/pdfs/GMD-1810-101.pdf#page=2","Abrir facsímil")</f>
        <v>Abrir facsímil</v>
      </c>
      <c r="K2494" s="3" t="s">
        <v>76</v>
      </c>
    </row>
    <row r="2495" spans="1:11" ht="42" customHeight="1">
      <c r="A2495" s="2" t="s">
        <v>7133</v>
      </c>
      <c r="B2495" s="2" t="s">
        <v>7134</v>
      </c>
      <c r="C2495" s="2" t="s">
        <v>195</v>
      </c>
      <c r="D2495" s="2" t="s">
        <v>27</v>
      </c>
      <c r="E2495" s="4">
        <v>-32667</v>
      </c>
      <c r="F2495" s="3" t="s">
        <v>381</v>
      </c>
      <c r="G2495" s="3" t="s">
        <v>35</v>
      </c>
      <c r="H2495" s="2" t="s">
        <v>74</v>
      </c>
      <c r="I2495" s="2" t="s">
        <v>7135</v>
      </c>
      <c r="J2495" s="3" t="str">
        <f>HYPERLINK("https://www.boe.es/gazeta/dias/1810/07/23/pdfs/GMD-1810-204.pdf#page=2","Abrir facsímil")</f>
        <v>Abrir facsímil</v>
      </c>
      <c r="K2495" s="3" t="s">
        <v>76</v>
      </c>
    </row>
    <row r="2496" spans="1:11" ht="42" customHeight="1">
      <c r="A2496" s="2" t="s">
        <v>7136</v>
      </c>
      <c r="B2496" s="2" t="s">
        <v>7137</v>
      </c>
      <c r="C2496" s="2" t="s">
        <v>225</v>
      </c>
      <c r="D2496" s="2" t="s">
        <v>27</v>
      </c>
      <c r="E2496" s="4">
        <v>-32740</v>
      </c>
      <c r="F2496" s="3" t="s">
        <v>721</v>
      </c>
      <c r="G2496" s="3" t="s">
        <v>7138</v>
      </c>
      <c r="H2496" s="2" t="s">
        <v>74</v>
      </c>
      <c r="I2496" s="2" t="s">
        <v>7139</v>
      </c>
      <c r="J2496" s="3" t="str">
        <f>HYPERLINK("https://www.boe.es/gazeta/dias/1810/05/11/pdfs/GEI-1810-24.pdf#page=2","Abrir facsímil")</f>
        <v>Abrir facsímil</v>
      </c>
      <c r="K2496" s="3" t="s">
        <v>76</v>
      </c>
    </row>
    <row r="2497" spans="1:11" ht="42" customHeight="1">
      <c r="A2497" s="2" t="s">
        <v>7140</v>
      </c>
      <c r="B2497" s="2" t="s">
        <v>7141</v>
      </c>
      <c r="C2497" s="2" t="s">
        <v>26</v>
      </c>
      <c r="D2497" s="2" t="s">
        <v>27</v>
      </c>
      <c r="E2497" s="4">
        <v>-32719</v>
      </c>
      <c r="F2497" s="3" t="s">
        <v>965</v>
      </c>
      <c r="G2497" s="3" t="s">
        <v>7142</v>
      </c>
      <c r="H2497" s="2" t="s">
        <v>74</v>
      </c>
      <c r="I2497" s="2" t="s">
        <v>7143</v>
      </c>
      <c r="J2497" s="3" t="str">
        <f>HYPERLINK("https://www.boe.es/gazeta/dias/1810/06/01/pdfs/GMD-1810-152.pdf#page=1","Abrir facsímil")</f>
        <v>Abrir facsímil</v>
      </c>
      <c r="K2497" s="3" t="s">
        <v>76</v>
      </c>
    </row>
    <row r="2498" spans="1:11" ht="42" customHeight="1">
      <c r="A2498" s="2" t="s">
        <v>7144</v>
      </c>
      <c r="B2498" s="2" t="s">
        <v>7145</v>
      </c>
      <c r="C2498" s="2" t="s">
        <v>111</v>
      </c>
      <c r="D2498" s="2" t="s">
        <v>27</v>
      </c>
      <c r="E2498" s="4">
        <v>-32546</v>
      </c>
      <c r="F2498" s="3" t="s">
        <v>2222</v>
      </c>
      <c r="G2498" s="3" t="s">
        <v>99</v>
      </c>
      <c r="H2498" s="2" t="s">
        <v>74</v>
      </c>
      <c r="I2498" s="2" t="s">
        <v>7146</v>
      </c>
      <c r="J2498" s="3" t="str">
        <f>HYPERLINK("https://www.boe.es/gazeta/dias/1810/11/21/pdfs/GMD-1810-325.pdf#page=3","Abrir facsímil")</f>
        <v>Abrir facsímil</v>
      </c>
      <c r="K2498" s="3" t="s">
        <v>76</v>
      </c>
    </row>
    <row r="2499" spans="1:11" ht="42" customHeight="1">
      <c r="A2499" s="2" t="s">
        <v>7147</v>
      </c>
      <c r="B2499" s="2" t="s">
        <v>7148</v>
      </c>
      <c r="C2499" s="2" t="s">
        <v>225</v>
      </c>
      <c r="D2499" s="2" t="s">
        <v>220</v>
      </c>
      <c r="E2499" s="4">
        <v>-32531</v>
      </c>
      <c r="F2499" s="3" t="s">
        <v>2023</v>
      </c>
      <c r="G2499" s="3" t="s">
        <v>70</v>
      </c>
      <c r="H2499" s="2" t="s">
        <v>74</v>
      </c>
      <c r="I2499" s="2" t="s">
        <v>7149</v>
      </c>
      <c r="J2499" s="3" t="str">
        <f>HYPERLINK("https://www.boe.es/gazeta/dias/1810/12/06/pdfs/GMD-1810-340.pdf#page=3","Abrir facsímil")</f>
        <v>Abrir facsímil</v>
      </c>
      <c r="K2499" s="3" t="s">
        <v>76</v>
      </c>
    </row>
    <row r="2500" spans="1:11" ht="42" customHeight="1">
      <c r="A2500" s="2" t="s">
        <v>7150</v>
      </c>
      <c r="B2500" s="2" t="s">
        <v>7151</v>
      </c>
      <c r="C2500" s="2" t="s">
        <v>317</v>
      </c>
      <c r="D2500" s="2" t="s">
        <v>27</v>
      </c>
      <c r="E2500" s="4">
        <v>-32648</v>
      </c>
      <c r="F2500" s="3" t="s">
        <v>575</v>
      </c>
      <c r="G2500" s="3" t="s">
        <v>140</v>
      </c>
      <c r="H2500" s="2" t="s">
        <v>74</v>
      </c>
      <c r="I2500" s="2" t="s">
        <v>7152</v>
      </c>
      <c r="J2500" s="3" t="str">
        <f>HYPERLINK("https://www.boe.es/gazeta/dias/1810/08/11/pdfs/GMD-1810-223.pdf#page=3","Abrir facsímil")</f>
        <v>Abrir facsímil</v>
      </c>
      <c r="K2500" s="3" t="s">
        <v>76</v>
      </c>
    </row>
    <row r="2501" spans="1:11" ht="42" customHeight="1">
      <c r="A2501" s="2" t="s">
        <v>7153</v>
      </c>
      <c r="B2501" s="2" t="s">
        <v>7154</v>
      </c>
      <c r="C2501" s="2" t="s">
        <v>88</v>
      </c>
      <c r="D2501" s="2" t="s">
        <v>220</v>
      </c>
      <c r="E2501" s="4">
        <v>-32706</v>
      </c>
      <c r="F2501" s="3" t="s">
        <v>1210</v>
      </c>
      <c r="G2501" s="3" t="s">
        <v>1211</v>
      </c>
      <c r="H2501" s="2" t="s">
        <v>74</v>
      </c>
      <c r="I2501" s="2" t="s">
        <v>7155</v>
      </c>
      <c r="J2501" s="3" t="str">
        <f>HYPERLINK("https://www.boe.es/gazeta/dias/1810/06/14/pdfs/GMD-1810-165.pdf#page=1","Abrir facsímil")</f>
        <v>Abrir facsímil</v>
      </c>
      <c r="K2501" s="3" t="s">
        <v>76</v>
      </c>
    </row>
    <row r="2502" spans="1:11" ht="42" customHeight="1">
      <c r="A2502" s="2" t="s">
        <v>7156</v>
      </c>
      <c r="B2502" s="2" t="s">
        <v>7157</v>
      </c>
      <c r="C2502" s="2" t="s">
        <v>26</v>
      </c>
      <c r="D2502" s="2" t="s">
        <v>220</v>
      </c>
      <c r="E2502" s="4">
        <v>-32687</v>
      </c>
      <c r="F2502" s="3" t="s">
        <v>221</v>
      </c>
      <c r="G2502" s="3" t="s">
        <v>20</v>
      </c>
      <c r="H2502" s="2" t="s">
        <v>74</v>
      </c>
      <c r="I2502" s="2" t="s">
        <v>7158</v>
      </c>
      <c r="J2502" s="3" t="str">
        <f>HYPERLINK("https://www.boe.es/gazeta/dias/1810/07/03/pdfs/GMD-1810-184.pdf#page=4","Abrir facsímil")</f>
        <v>Abrir facsímil</v>
      </c>
      <c r="K2502" s="3" t="s">
        <v>76</v>
      </c>
    </row>
    <row r="2503" spans="1:11" ht="42" customHeight="1">
      <c r="A2503" s="2" t="s">
        <v>7159</v>
      </c>
      <c r="B2503" s="2" t="s">
        <v>7160</v>
      </c>
      <c r="C2503" s="2" t="s">
        <v>26</v>
      </c>
      <c r="D2503" s="2" t="s">
        <v>18</v>
      </c>
      <c r="E2503" s="4">
        <v>-32703</v>
      </c>
      <c r="F2503" s="3" t="s">
        <v>1213</v>
      </c>
      <c r="G2503" s="3" t="s">
        <v>1214</v>
      </c>
      <c r="H2503" s="2" t="s">
        <v>74</v>
      </c>
      <c r="I2503" s="2" t="s">
        <v>7161</v>
      </c>
      <c r="J2503" s="3" t="str">
        <f>HYPERLINK("https://www.boe.es/gazeta/dias/1810/06/17/pdfs/GMD-1810-168.pdf#page=4","Abrir facsímil")</f>
        <v>Abrir facsímil</v>
      </c>
      <c r="K2503" s="3" t="s">
        <v>76</v>
      </c>
    </row>
    <row r="2504" spans="1:11" ht="42" customHeight="1">
      <c r="A2504" s="2" t="s">
        <v>7162</v>
      </c>
      <c r="B2504" s="2" t="s">
        <v>7163</v>
      </c>
      <c r="C2504" s="2" t="s">
        <v>195</v>
      </c>
      <c r="D2504" s="2" t="s">
        <v>27</v>
      </c>
      <c r="E2504" s="4">
        <v>-32755</v>
      </c>
      <c r="F2504" s="3" t="s">
        <v>1641</v>
      </c>
      <c r="G2504" s="3" t="s">
        <v>2420</v>
      </c>
      <c r="H2504" s="2" t="s">
        <v>74</v>
      </c>
      <c r="I2504" s="2" t="s">
        <v>7164</v>
      </c>
      <c r="J2504" s="3" t="str">
        <f>HYPERLINK("https://www.boe.es/gazeta/dias/1810/04/26/pdfs/GMD-1810-116.pdf#page=4","Abrir facsímil")</f>
        <v>Abrir facsímil</v>
      </c>
      <c r="K2504" s="3" t="s">
        <v>76</v>
      </c>
    </row>
    <row r="2505" spans="1:11" ht="42" customHeight="1">
      <c r="A2505" s="2" t="s">
        <v>7165</v>
      </c>
      <c r="B2505" s="2" t="s">
        <v>7166</v>
      </c>
      <c r="C2505" s="2" t="s">
        <v>225</v>
      </c>
      <c r="D2505" s="2" t="s">
        <v>117</v>
      </c>
      <c r="E2505" s="4">
        <v>-32785</v>
      </c>
      <c r="F2505" s="3" t="s">
        <v>7167</v>
      </c>
      <c r="G2505" s="3" t="s">
        <v>191</v>
      </c>
      <c r="H2505" s="2" t="s">
        <v>74</v>
      </c>
      <c r="I2505" s="2" t="s">
        <v>7168</v>
      </c>
      <c r="J2505" s="3" t="str">
        <f>HYPERLINK("https://www.boe.es/gazeta/dias/1810/03/27/pdfs/GEI-1810-7.pdf#page=8","Abrir facsímil")</f>
        <v>Abrir facsímil</v>
      </c>
      <c r="K2505" s="3" t="s">
        <v>76</v>
      </c>
    </row>
    <row r="2506" spans="1:11" ht="42" customHeight="1">
      <c r="A2506" s="2" t="s">
        <v>7169</v>
      </c>
      <c r="B2506" s="2" t="s">
        <v>7170</v>
      </c>
      <c r="C2506" s="2" t="s">
        <v>88</v>
      </c>
      <c r="D2506" s="2" t="s">
        <v>117</v>
      </c>
      <c r="E2506" s="4">
        <v>-32519</v>
      </c>
      <c r="F2506" s="3" t="s">
        <v>2299</v>
      </c>
      <c r="G2506" s="3" t="s">
        <v>2300</v>
      </c>
      <c r="H2506" s="2" t="s">
        <v>74</v>
      </c>
      <c r="I2506" s="2" t="s">
        <v>7171</v>
      </c>
      <c r="J2506" s="3" t="str">
        <f>HYPERLINK("https://www.boe.es/gazeta/dias/1810/12/18/pdfs/GEI-1810-109.pdf#page=8","Abrir facsímil")</f>
        <v>Abrir facsímil</v>
      </c>
      <c r="K2506" s="3" t="s">
        <v>76</v>
      </c>
    </row>
    <row r="2507" spans="1:11" ht="42" customHeight="1">
      <c r="A2507" s="2" t="s">
        <v>7172</v>
      </c>
      <c r="B2507" s="2" t="s">
        <v>7173</v>
      </c>
      <c r="C2507" s="2" t="s">
        <v>26</v>
      </c>
      <c r="D2507" s="2" t="s">
        <v>27</v>
      </c>
      <c r="E2507" s="4">
        <v>-32684</v>
      </c>
      <c r="F2507" s="3" t="s">
        <v>1373</v>
      </c>
      <c r="G2507" s="3" t="s">
        <v>1374</v>
      </c>
      <c r="H2507" s="2" t="s">
        <v>74</v>
      </c>
      <c r="I2507" s="2" t="s">
        <v>7174</v>
      </c>
      <c r="J2507" s="3" t="str">
        <f>HYPERLINK("https://www.boe.es/gazeta/dias/1810/07/06/pdfs/GEI-1810-42.pdf#page=8","Abrir facsímil")</f>
        <v>Abrir facsímil</v>
      </c>
      <c r="K2507" s="3" t="s">
        <v>76</v>
      </c>
    </row>
    <row r="2508" spans="1:11" ht="42" customHeight="1">
      <c r="A2508" s="2" t="s">
        <v>7175</v>
      </c>
      <c r="B2508" s="2" t="s">
        <v>7176</v>
      </c>
      <c r="C2508" s="2" t="s">
        <v>33</v>
      </c>
      <c r="D2508" s="2" t="s">
        <v>27</v>
      </c>
      <c r="E2508" s="4">
        <v>-32820</v>
      </c>
      <c r="F2508" s="3" t="s">
        <v>226</v>
      </c>
      <c r="G2508" s="3" t="s">
        <v>356</v>
      </c>
      <c r="H2508" s="2" t="s">
        <v>74</v>
      </c>
      <c r="I2508" s="2" t="s">
        <v>7177</v>
      </c>
      <c r="J2508" s="3" t="str">
        <f>HYPERLINK("https://www.boe.es/gazeta/dias/1810/02/20/pdfs/GMD-1810-51.pdf#page=3","Abrir facsímil")</f>
        <v>Abrir facsímil</v>
      </c>
      <c r="K2508" s="3" t="s">
        <v>76</v>
      </c>
    </row>
    <row r="2509" spans="1:11" ht="42" customHeight="1">
      <c r="A2509" s="2" t="s">
        <v>7178</v>
      </c>
      <c r="B2509" s="2" t="s">
        <v>7179</v>
      </c>
      <c r="C2509" s="2" t="s">
        <v>33</v>
      </c>
      <c r="D2509" s="2" t="s">
        <v>27</v>
      </c>
      <c r="E2509" s="4">
        <v>-32645</v>
      </c>
      <c r="F2509" s="3" t="s">
        <v>122</v>
      </c>
      <c r="G2509" s="3" t="s">
        <v>119</v>
      </c>
      <c r="H2509" s="2" t="s">
        <v>74</v>
      </c>
      <c r="I2509" s="2" t="s">
        <v>7180</v>
      </c>
      <c r="J2509" s="3" t="str">
        <f>HYPERLINK("https://www.boe.es/gazeta/dias/1810/08/14/pdfs/GEI-1810-56.pdf#page=14","Abrir facsímil")</f>
        <v>Abrir facsímil</v>
      </c>
      <c r="K2509" s="3" t="s">
        <v>76</v>
      </c>
    </row>
    <row r="2510" spans="1:11" ht="42" customHeight="1">
      <c r="A2510" s="2" t="s">
        <v>7181</v>
      </c>
      <c r="B2510" s="2" t="s">
        <v>7182</v>
      </c>
      <c r="C2510" s="2" t="s">
        <v>26</v>
      </c>
      <c r="D2510" s="2" t="s">
        <v>27</v>
      </c>
      <c r="E2510" s="4">
        <v>-32701</v>
      </c>
      <c r="F2510" s="3" t="s">
        <v>671</v>
      </c>
      <c r="G2510" s="3" t="s">
        <v>7183</v>
      </c>
      <c r="H2510" s="2" t="s">
        <v>74</v>
      </c>
      <c r="I2510" s="2" t="s">
        <v>7184</v>
      </c>
      <c r="J2510" s="3" t="str">
        <f>HYPERLINK("https://www.boe.es/gazeta/dias/1810/06/19/pdfs/GEI-1810-37.pdf#page=3","Abrir facsímil")</f>
        <v>Abrir facsímil</v>
      </c>
      <c r="K2510" s="3" t="s">
        <v>76</v>
      </c>
    </row>
    <row r="2511" spans="1:11" ht="42" customHeight="1">
      <c r="A2511" s="2" t="s">
        <v>7185</v>
      </c>
      <c r="B2511" s="2" t="s">
        <v>7186</v>
      </c>
      <c r="C2511" s="2" t="s">
        <v>26</v>
      </c>
      <c r="D2511" s="2" t="s">
        <v>27</v>
      </c>
      <c r="E2511" s="4">
        <v>-32768</v>
      </c>
      <c r="F2511" s="3" t="s">
        <v>1930</v>
      </c>
      <c r="G2511" s="3" t="s">
        <v>3601</v>
      </c>
      <c r="H2511" s="2" t="s">
        <v>74</v>
      </c>
      <c r="I2511" s="2" t="s">
        <v>7187</v>
      </c>
      <c r="J2511" s="3" t="str">
        <f>HYPERLINK("https://www.boe.es/gazeta/dias/1810/04/13/pdfs/GEI-1810-14.pdf#page=12","Abrir facsímil")</f>
        <v>Abrir facsímil</v>
      </c>
      <c r="K2511" s="3" t="s">
        <v>76</v>
      </c>
    </row>
    <row r="2512" spans="1:11" ht="42" customHeight="1">
      <c r="A2512" s="2" t="s">
        <v>7185</v>
      </c>
      <c r="B2512" s="2" t="s">
        <v>7186</v>
      </c>
      <c r="C2512" s="2" t="s">
        <v>17</v>
      </c>
      <c r="D2512" s="2" t="s">
        <v>18</v>
      </c>
      <c r="E2512" s="4">
        <v>-32691</v>
      </c>
      <c r="F2512" s="3" t="s">
        <v>3021</v>
      </c>
      <c r="G2512" s="3" t="s">
        <v>7188</v>
      </c>
      <c r="H2512" s="2" t="s">
        <v>74</v>
      </c>
      <c r="I2512" s="2" t="s">
        <v>7189</v>
      </c>
      <c r="J2512" s="3" t="str">
        <f>HYPERLINK("https://www.boe.es/gazeta/dias/1810/06/29/pdfs/GEI-1810-40.pdf#page=6","Abrir facsímil")</f>
        <v>Abrir facsímil</v>
      </c>
      <c r="K2512" s="3" t="s">
        <v>76</v>
      </c>
    </row>
    <row r="2513" spans="1:11" ht="42" customHeight="1">
      <c r="A2513" s="2" t="s">
        <v>7185</v>
      </c>
      <c r="B2513" s="2" t="s">
        <v>7186</v>
      </c>
      <c r="C2513" s="2" t="s">
        <v>17</v>
      </c>
      <c r="D2513" s="2" t="s">
        <v>18</v>
      </c>
      <c r="E2513" s="4">
        <v>-32610</v>
      </c>
      <c r="F2513" s="3" t="s">
        <v>4991</v>
      </c>
      <c r="G2513" s="3" t="s">
        <v>5554</v>
      </c>
      <c r="H2513" s="2" t="s">
        <v>74</v>
      </c>
      <c r="I2513" s="2" t="s">
        <v>7190</v>
      </c>
      <c r="J2513" s="3" t="str">
        <f>HYPERLINK("https://www.boe.es/gazeta/dias/1810/09/18/pdfs/GEI-1810-69.pdf#page=12","Abrir facsímil")</f>
        <v>Abrir facsímil</v>
      </c>
      <c r="K2513" s="3" t="s">
        <v>76</v>
      </c>
    </row>
    <row r="2514" spans="1:11" ht="42" customHeight="1">
      <c r="A2514" s="2" t="s">
        <v>7185</v>
      </c>
      <c r="B2514" s="2" t="s">
        <v>7186</v>
      </c>
      <c r="C2514" s="2" t="s">
        <v>111</v>
      </c>
      <c r="D2514" s="2" t="s">
        <v>39</v>
      </c>
      <c r="E2514" s="4">
        <v>-32592</v>
      </c>
      <c r="F2514" s="3" t="s">
        <v>7191</v>
      </c>
      <c r="G2514" s="3" t="s">
        <v>7192</v>
      </c>
      <c r="H2514" s="2" t="s">
        <v>74</v>
      </c>
      <c r="I2514" s="2" t="s">
        <v>7193</v>
      </c>
      <c r="J2514" s="3" t="str">
        <f>HYPERLINK("https://www.boe.es/gazeta/dias/1810/10/06/pdfs/GEI-D-1810-78.pdf#page=5","Abrir facsímil")</f>
        <v>Abrir facsímil</v>
      </c>
      <c r="K2514" s="3" t="s">
        <v>76</v>
      </c>
    </row>
    <row r="2515" spans="1:11" ht="42" customHeight="1">
      <c r="A2515" s="2" t="s">
        <v>7185</v>
      </c>
      <c r="B2515" s="2" t="s">
        <v>7186</v>
      </c>
      <c r="C2515" s="2" t="s">
        <v>26</v>
      </c>
      <c r="D2515" s="2" t="s">
        <v>39</v>
      </c>
      <c r="E2515" s="4">
        <v>-32592</v>
      </c>
      <c r="F2515" s="3" t="s">
        <v>7191</v>
      </c>
      <c r="G2515" s="3" t="s">
        <v>7194</v>
      </c>
      <c r="H2515" s="2" t="s">
        <v>74</v>
      </c>
      <c r="I2515" s="2" t="s">
        <v>7195</v>
      </c>
      <c r="J2515" s="3" t="str">
        <f>HYPERLINK("https://www.boe.es/gazeta/dias/1810/10/06/pdfs/GEI-D-1810-78.pdf#page=6","Abrir facsímil")</f>
        <v>Abrir facsímil</v>
      </c>
      <c r="K2515" s="3" t="s">
        <v>76</v>
      </c>
    </row>
    <row r="2516" spans="1:11" ht="42" customHeight="1">
      <c r="A2516" s="2" t="s">
        <v>7185</v>
      </c>
      <c r="B2516" s="2" t="s">
        <v>7186</v>
      </c>
      <c r="C2516" s="2" t="s">
        <v>930</v>
      </c>
      <c r="D2516" s="2" t="s">
        <v>27</v>
      </c>
      <c r="E2516" s="4">
        <v>-32561</v>
      </c>
      <c r="F2516" s="3" t="s">
        <v>273</v>
      </c>
      <c r="G2516" s="3" t="s">
        <v>274</v>
      </c>
      <c r="H2516" s="2" t="s">
        <v>74</v>
      </c>
      <c r="I2516" s="2" t="s">
        <v>7196</v>
      </c>
      <c r="J2516" s="3" t="str">
        <f>HYPERLINK("https://www.boe.es/gazeta/dias/1810/11/06/pdfs/GEI-1810-91.pdf#page=8","Abrir facsímil")</f>
        <v>Abrir facsímil</v>
      </c>
      <c r="K2516" s="3" t="s">
        <v>76</v>
      </c>
    </row>
    <row r="2517" spans="1:11" ht="42" customHeight="1">
      <c r="A2517" s="2" t="s">
        <v>7197</v>
      </c>
      <c r="B2517" s="2" t="s">
        <v>7198</v>
      </c>
      <c r="C2517" s="2" t="s">
        <v>26</v>
      </c>
      <c r="D2517" s="2" t="s">
        <v>27</v>
      </c>
      <c r="E2517" s="4">
        <v>-32626</v>
      </c>
      <c r="F2517" s="3" t="s">
        <v>64</v>
      </c>
      <c r="G2517" s="3" t="s">
        <v>65</v>
      </c>
      <c r="H2517" s="2" t="s">
        <v>74</v>
      </c>
      <c r="I2517" s="2" t="s">
        <v>7199</v>
      </c>
      <c r="J2517" s="3" t="str">
        <f>HYPERLINK("https://www.boe.es/gazeta/dias/1810/09/02/pdfs/GMD-1810-245.pdf#page=3","Abrir facsímil")</f>
        <v>Abrir facsímil</v>
      </c>
      <c r="K2517" s="3" t="s">
        <v>76</v>
      </c>
    </row>
    <row r="2518" spans="1:11" ht="42" customHeight="1">
      <c r="A2518" s="2" t="s">
        <v>7200</v>
      </c>
      <c r="B2518" s="2" t="s">
        <v>7201</v>
      </c>
      <c r="C2518" s="2" t="s">
        <v>26</v>
      </c>
      <c r="D2518" s="2" t="s">
        <v>39</v>
      </c>
      <c r="E2518" s="4">
        <v>-32701</v>
      </c>
      <c r="F2518" s="3" t="s">
        <v>40</v>
      </c>
      <c r="G2518" s="3" t="s">
        <v>333</v>
      </c>
      <c r="H2518" s="2" t="s">
        <v>74</v>
      </c>
      <c r="I2518" s="2" t="s">
        <v>7202</v>
      </c>
      <c r="J2518" s="3" t="str">
        <f>HYPERLINK("https://www.boe.es/gazeta/dias/1810/06/19/pdfs/GMD-C-1810-170.pdf#page=4","Abrir facsímil")</f>
        <v>Abrir facsímil</v>
      </c>
      <c r="K2518" s="3" t="s">
        <v>76</v>
      </c>
    </row>
    <row r="2519" spans="1:11" ht="42" customHeight="1">
      <c r="A2519" s="2" t="s">
        <v>7203</v>
      </c>
      <c r="B2519" s="2" t="s">
        <v>7204</v>
      </c>
      <c r="C2519" s="2" t="s">
        <v>26</v>
      </c>
      <c r="D2519" s="2" t="s">
        <v>27</v>
      </c>
      <c r="E2519" s="4">
        <v>-32710</v>
      </c>
      <c r="F2519" s="3" t="s">
        <v>126</v>
      </c>
      <c r="G2519" s="3" t="s">
        <v>20</v>
      </c>
      <c r="H2519" s="2" t="s">
        <v>74</v>
      </c>
      <c r="I2519" s="2" t="s">
        <v>7205</v>
      </c>
      <c r="J2519" s="3" t="str">
        <f>HYPERLINK("https://www.boe.es/gazeta/dias/1810/06/10/pdfs/GMD-1810-161.pdf#page=4","Abrir facsímil")</f>
        <v>Abrir facsímil</v>
      </c>
      <c r="K2519" s="3" t="s">
        <v>76</v>
      </c>
    </row>
    <row r="2520" spans="1:11" ht="42" customHeight="1">
      <c r="A2520" s="2" t="s">
        <v>7203</v>
      </c>
      <c r="B2520" s="2" t="s">
        <v>7204</v>
      </c>
      <c r="C2520" s="2" t="s">
        <v>26</v>
      </c>
      <c r="D2520" s="2" t="s">
        <v>39</v>
      </c>
      <c r="E2520" s="4">
        <v>-32701</v>
      </c>
      <c r="F2520" s="3" t="s">
        <v>40</v>
      </c>
      <c r="G2520" s="3" t="s">
        <v>333</v>
      </c>
      <c r="H2520" s="2" t="s">
        <v>74</v>
      </c>
      <c r="I2520" s="2" t="s">
        <v>7206</v>
      </c>
      <c r="J2520" s="3" t="str">
        <f>HYPERLINK("https://www.boe.es/gazeta/dias/1810/06/19/pdfs/GMD-C-1810-170.pdf#page=4","Abrir facsímil")</f>
        <v>Abrir facsímil</v>
      </c>
      <c r="K2520" s="3" t="s">
        <v>76</v>
      </c>
    </row>
    <row r="2521" spans="1:11" ht="42" customHeight="1">
      <c r="A2521" s="2" t="s">
        <v>7207</v>
      </c>
      <c r="B2521" s="2" t="s">
        <v>7208</v>
      </c>
      <c r="C2521" s="2" t="s">
        <v>26</v>
      </c>
      <c r="D2521" s="2" t="s">
        <v>27</v>
      </c>
      <c r="E2521" s="4">
        <v>-32591</v>
      </c>
      <c r="F2521" s="3" t="s">
        <v>377</v>
      </c>
      <c r="G2521" s="3" t="s">
        <v>140</v>
      </c>
      <c r="H2521" s="2" t="s">
        <v>74</v>
      </c>
      <c r="I2521" s="2" t="s">
        <v>7209</v>
      </c>
      <c r="J2521" s="3" t="str">
        <f>HYPERLINK("https://www.boe.es/gazeta/dias/1810/10/07/pdfs/GMD-1810-280.pdf#page=4","Abrir facsímil")</f>
        <v>Abrir facsímil</v>
      </c>
      <c r="K2521" s="3" t="s">
        <v>76</v>
      </c>
    </row>
    <row r="2522" spans="1:11" ht="42" customHeight="1">
      <c r="A2522" s="2" t="s">
        <v>7210</v>
      </c>
      <c r="B2522" s="2" t="s">
        <v>7211</v>
      </c>
      <c r="C2522" s="2" t="s">
        <v>88</v>
      </c>
      <c r="D2522" s="2" t="s">
        <v>117</v>
      </c>
      <c r="E2522" s="4">
        <v>-32827</v>
      </c>
      <c r="F2522" s="3" t="s">
        <v>290</v>
      </c>
      <c r="G2522" s="3" t="s">
        <v>291</v>
      </c>
      <c r="H2522" s="2" t="s">
        <v>74</v>
      </c>
      <c r="I2522" s="2" t="s">
        <v>7212</v>
      </c>
      <c r="J2522" s="3" t="str">
        <f>HYPERLINK("https://www.boe.es/gazeta/dias/1810/02/13/pdfs/GMD-1810-44.pdf#page=4","Abrir facsímil")</f>
        <v>Abrir facsímil</v>
      </c>
      <c r="K2522" s="3" t="s">
        <v>76</v>
      </c>
    </row>
    <row r="2523" spans="1:11" ht="42" customHeight="1">
      <c r="A2523" s="2" t="s">
        <v>7213</v>
      </c>
      <c r="B2523" s="2" t="s">
        <v>7214</v>
      </c>
      <c r="C2523" s="2" t="s">
        <v>33</v>
      </c>
      <c r="D2523" s="2" t="s">
        <v>27</v>
      </c>
      <c r="E2523" s="4">
        <v>-32649</v>
      </c>
      <c r="F2523" s="3" t="s">
        <v>1988</v>
      </c>
      <c r="G2523" s="3" t="s">
        <v>227</v>
      </c>
      <c r="H2523" s="2" t="s">
        <v>74</v>
      </c>
      <c r="I2523" s="2" t="s">
        <v>7215</v>
      </c>
      <c r="J2523" s="3" t="str">
        <f>HYPERLINK("https://www.boe.es/gazeta/dias/1810/08/10/pdfs/GMD-1810-222.pdf#page=4","Abrir facsímil")</f>
        <v>Abrir facsímil</v>
      </c>
      <c r="K2523" s="3" t="s">
        <v>76</v>
      </c>
    </row>
    <row r="2524" spans="1:11" ht="42" customHeight="1">
      <c r="A2524" s="2" t="s">
        <v>7216</v>
      </c>
      <c r="B2524" s="2" t="s">
        <v>7217</v>
      </c>
      <c r="C2524" s="2" t="s">
        <v>88</v>
      </c>
      <c r="D2524" s="2" t="s">
        <v>18</v>
      </c>
      <c r="E2524" s="4">
        <v>-32706</v>
      </c>
      <c r="F2524" s="3" t="s">
        <v>1210</v>
      </c>
      <c r="G2524" s="3" t="s">
        <v>2147</v>
      </c>
      <c r="H2524" s="2" t="s">
        <v>74</v>
      </c>
      <c r="I2524" s="2" t="s">
        <v>7218</v>
      </c>
      <c r="J2524" s="3" t="str">
        <f>HYPERLINK("https://www.boe.es/gazeta/dias/1810/06/14/pdfs/GMD-1810-165.pdf#page=4","Abrir facsímil")</f>
        <v>Abrir facsímil</v>
      </c>
      <c r="K2524" s="3" t="s">
        <v>76</v>
      </c>
    </row>
    <row r="2525" spans="1:11" ht="42" customHeight="1">
      <c r="A2525" s="2" t="s">
        <v>7219</v>
      </c>
      <c r="B2525" s="2" t="s">
        <v>7220</v>
      </c>
      <c r="C2525" s="2" t="s">
        <v>88</v>
      </c>
      <c r="D2525" s="2" t="s">
        <v>117</v>
      </c>
      <c r="E2525" s="4">
        <v>-32652</v>
      </c>
      <c r="F2525" s="3" t="s">
        <v>731</v>
      </c>
      <c r="G2525" s="3" t="s">
        <v>735</v>
      </c>
      <c r="H2525" s="2" t="s">
        <v>74</v>
      </c>
      <c r="I2525" s="2" t="s">
        <v>7221</v>
      </c>
      <c r="J2525" s="3" t="str">
        <f>HYPERLINK("https://www.boe.es/gazeta/dias/1810/08/07/pdfs/GMD-1810-219.pdf#page=4","Abrir facsímil")</f>
        <v>Abrir facsímil</v>
      </c>
      <c r="K2525" s="3" t="s">
        <v>76</v>
      </c>
    </row>
    <row r="2526" spans="1:11" ht="42" customHeight="1">
      <c r="A2526" s="2" t="s">
        <v>7222</v>
      </c>
      <c r="B2526" s="2" t="s">
        <v>7223</v>
      </c>
      <c r="C2526" s="2" t="s">
        <v>26</v>
      </c>
      <c r="D2526" s="2" t="s">
        <v>220</v>
      </c>
      <c r="E2526" s="4">
        <v>-32865</v>
      </c>
      <c r="F2526" s="3" t="s">
        <v>1377</v>
      </c>
      <c r="G2526" s="3" t="s">
        <v>691</v>
      </c>
      <c r="H2526" s="2" t="s">
        <v>74</v>
      </c>
      <c r="I2526" s="2" t="s">
        <v>7224</v>
      </c>
      <c r="J2526" s="3" t="str">
        <f>HYPERLINK("https://www.boe.es/gazeta/dias/1810/01/06/pdfs/GMD-1810-6.pdf#page=2","Abrir facsímil")</f>
        <v>Abrir facsímil</v>
      </c>
      <c r="K2526" s="3" t="s">
        <v>76</v>
      </c>
    </row>
    <row r="2527" spans="1:11" ht="42" customHeight="1">
      <c r="A2527" s="2" t="s">
        <v>7225</v>
      </c>
      <c r="B2527" s="2" t="s">
        <v>7226</v>
      </c>
      <c r="C2527" s="2" t="s">
        <v>26</v>
      </c>
      <c r="D2527" s="2" t="s">
        <v>27</v>
      </c>
      <c r="E2527" s="4">
        <v>-32526</v>
      </c>
      <c r="F2527" s="3" t="s">
        <v>530</v>
      </c>
      <c r="G2527" s="3" t="s">
        <v>531</v>
      </c>
      <c r="H2527" s="2" t="s">
        <v>74</v>
      </c>
      <c r="I2527" s="2" t="s">
        <v>7227</v>
      </c>
      <c r="J2527" s="3" t="str">
        <f>HYPERLINK("https://www.boe.es/gazeta/dias/1810/12/11/pdfs/GEI-1810-106.pdf#page=2","Abrir facsímil")</f>
        <v>Abrir facsímil</v>
      </c>
      <c r="K2527" s="3" t="s">
        <v>76</v>
      </c>
    </row>
    <row r="2528" spans="1:11" ht="42" customHeight="1">
      <c r="A2528" s="2" t="s">
        <v>7228</v>
      </c>
      <c r="B2528" s="2" t="s">
        <v>7229</v>
      </c>
      <c r="C2528" s="2" t="s">
        <v>225</v>
      </c>
      <c r="D2528" s="2" t="s">
        <v>27</v>
      </c>
      <c r="E2528" s="4">
        <v>-32809</v>
      </c>
      <c r="F2528" s="3" t="s">
        <v>1873</v>
      </c>
      <c r="G2528" s="3" t="s">
        <v>735</v>
      </c>
      <c r="H2528" s="2" t="s">
        <v>74</v>
      </c>
      <c r="I2528" s="2" t="s">
        <v>7230</v>
      </c>
      <c r="J2528" s="3" t="str">
        <f>HYPERLINK("https://www.boe.es/gazeta/dias/1810/03/03/pdfs/GMD-1810-62.pdf#page=4","Abrir facsímil")</f>
        <v>Abrir facsímil</v>
      </c>
      <c r="K2528" s="3" t="s">
        <v>76</v>
      </c>
    </row>
    <row r="2529" spans="1:11" ht="42" customHeight="1">
      <c r="A2529" s="2" t="s">
        <v>7231</v>
      </c>
      <c r="B2529" s="2" t="s">
        <v>7232</v>
      </c>
      <c r="C2529" s="2" t="s">
        <v>26</v>
      </c>
      <c r="D2529" s="2" t="s">
        <v>27</v>
      </c>
      <c r="E2529" s="4">
        <v>-32575</v>
      </c>
      <c r="F2529" s="3" t="s">
        <v>734</v>
      </c>
      <c r="G2529" s="3" t="s">
        <v>465</v>
      </c>
      <c r="H2529" s="2" t="s">
        <v>74</v>
      </c>
      <c r="I2529" s="2" t="s">
        <v>7233</v>
      </c>
      <c r="J2529" s="3" t="str">
        <f>HYPERLINK("https://www.boe.es/gazeta/dias/1810/10/23/pdfs/GMD-1810-296.pdf#page=1","Abrir facsímil")</f>
        <v>Abrir facsímil</v>
      </c>
      <c r="K2529" s="3" t="s">
        <v>76</v>
      </c>
    </row>
    <row r="2530" spans="1:11" ht="42" customHeight="1">
      <c r="A2530" s="2" t="s">
        <v>7234</v>
      </c>
      <c r="B2530" s="2" t="s">
        <v>7235</v>
      </c>
      <c r="C2530" s="2" t="s">
        <v>26</v>
      </c>
      <c r="D2530" s="2" t="s">
        <v>220</v>
      </c>
      <c r="E2530" s="4">
        <v>-32612</v>
      </c>
      <c r="F2530" s="3" t="s">
        <v>7236</v>
      </c>
      <c r="G2530" s="3" t="s">
        <v>20</v>
      </c>
      <c r="H2530" s="2" t="s">
        <v>74</v>
      </c>
      <c r="I2530" s="2" t="s">
        <v>7237</v>
      </c>
      <c r="J2530" s="3" t="str">
        <f>HYPERLINK("https://www.boe.es/gazeta/dias/1810/09/16/pdfs/GMD-1810-259.pdf#page=4","Abrir facsímil")</f>
        <v>Abrir facsímil</v>
      </c>
      <c r="K2530" s="3" t="s">
        <v>76</v>
      </c>
    </row>
    <row r="2531" spans="1:11" ht="42" customHeight="1">
      <c r="A2531" s="2" t="s">
        <v>7238</v>
      </c>
      <c r="B2531" s="2" t="s">
        <v>7239</v>
      </c>
      <c r="C2531" s="2" t="s">
        <v>225</v>
      </c>
      <c r="D2531" s="2" t="s">
        <v>27</v>
      </c>
      <c r="E2531" s="4">
        <v>-32684</v>
      </c>
      <c r="F2531" s="3" t="s">
        <v>4741</v>
      </c>
      <c r="G2531" s="3" t="s">
        <v>1638</v>
      </c>
      <c r="H2531" s="2" t="s">
        <v>74</v>
      </c>
      <c r="I2531" s="2" t="s">
        <v>7240</v>
      </c>
      <c r="J2531" s="3" t="str">
        <f>HYPERLINK("https://www.boe.es/gazeta/dias/1810/07/06/pdfs/GMD-1810-187.pdf#page=2","Abrir facsímil")</f>
        <v>Abrir facsímil</v>
      </c>
      <c r="K2531" s="3" t="s">
        <v>76</v>
      </c>
    </row>
    <row r="2532" spans="1:11" ht="42" customHeight="1">
      <c r="A2532" s="2" t="s">
        <v>7241</v>
      </c>
      <c r="B2532" s="2" t="s">
        <v>7242</v>
      </c>
      <c r="C2532" s="2" t="s">
        <v>17</v>
      </c>
      <c r="D2532" s="2" t="s">
        <v>27</v>
      </c>
      <c r="E2532" s="4">
        <v>-32578</v>
      </c>
      <c r="F2532" s="3" t="s">
        <v>7073</v>
      </c>
      <c r="G2532" s="3" t="s">
        <v>7074</v>
      </c>
      <c r="H2532" s="2" t="s">
        <v>74</v>
      </c>
      <c r="I2532" s="2" t="s">
        <v>7243</v>
      </c>
      <c r="J2532" s="3" t="str">
        <f>HYPERLINK("https://www.boe.es/gazeta/dias/1810/10/20/pdfs/GMD-1810-293.pdf#page=4","Abrir facsímil")</f>
        <v>Abrir facsímil</v>
      </c>
      <c r="K2532" s="3" t="s">
        <v>76</v>
      </c>
    </row>
    <row r="2533" spans="1:11" ht="42" customHeight="1">
      <c r="A2533" s="2" t="s">
        <v>7244</v>
      </c>
      <c r="B2533" s="2" t="s">
        <v>7245</v>
      </c>
      <c r="C2533" s="2" t="s">
        <v>26</v>
      </c>
      <c r="D2533" s="2" t="s">
        <v>27</v>
      </c>
      <c r="E2533" s="4">
        <v>-32842</v>
      </c>
      <c r="F2533" s="3" t="s">
        <v>1291</v>
      </c>
      <c r="G2533" s="3" t="s">
        <v>70</v>
      </c>
      <c r="H2533" s="2" t="s">
        <v>74</v>
      </c>
      <c r="I2533" s="2" t="s">
        <v>7246</v>
      </c>
      <c r="J2533" s="3" t="str">
        <f>HYPERLINK("https://www.boe.es/gazeta/dias/1810/01/29/pdfs/GMD-1810-29.pdf#page=4","Abrir facsímil")</f>
        <v>Abrir facsímil</v>
      </c>
      <c r="K2533" s="3" t="s">
        <v>76</v>
      </c>
    </row>
    <row r="2534" spans="1:11" ht="42" customHeight="1">
      <c r="A2534" s="2" t="s">
        <v>7247</v>
      </c>
      <c r="B2534" s="2" t="s">
        <v>7248</v>
      </c>
      <c r="C2534" s="2" t="s">
        <v>317</v>
      </c>
      <c r="D2534" s="2" t="s">
        <v>220</v>
      </c>
      <c r="E2534" s="4">
        <v>-32586</v>
      </c>
      <c r="F2534" s="3" t="s">
        <v>7249</v>
      </c>
      <c r="G2534" s="3" t="s">
        <v>119</v>
      </c>
      <c r="H2534" s="2" t="s">
        <v>74</v>
      </c>
      <c r="I2534" s="2" t="s">
        <v>7250</v>
      </c>
      <c r="J2534" s="3" t="str">
        <f>HYPERLINK("https://www.boe.es/gazeta/dias/1810/10/12/pdfs/GMD-1810-285.pdf#page=1","Abrir facsímil")</f>
        <v>Abrir facsímil</v>
      </c>
      <c r="K2534" s="3" t="s">
        <v>76</v>
      </c>
    </row>
    <row r="2535" spans="1:11" ht="42" customHeight="1">
      <c r="A2535" s="2" t="s">
        <v>7251</v>
      </c>
      <c r="B2535" s="2" t="s">
        <v>7252</v>
      </c>
      <c r="C2535" s="2" t="s">
        <v>26</v>
      </c>
      <c r="D2535" s="2" t="s">
        <v>27</v>
      </c>
      <c r="E2535" s="4">
        <v>-32589</v>
      </c>
      <c r="F2535" s="3" t="s">
        <v>3026</v>
      </c>
      <c r="G2535" s="3" t="s">
        <v>7253</v>
      </c>
      <c r="H2535" s="2" t="s">
        <v>21</v>
      </c>
      <c r="I2535" s="2" t="s">
        <v>7254</v>
      </c>
      <c r="J2535" s="3" t="str">
        <f>HYPERLINK("https://www.boe.es/gazeta/dias/1810/10/09/pdfs/GEI-1810-79.pdf#page=5","Abrir facsímil")</f>
        <v>Abrir facsímil</v>
      </c>
      <c r="K2535" s="3" t="s">
        <v>23</v>
      </c>
    </row>
    <row r="2536" spans="1:11" ht="42" customHeight="1">
      <c r="A2536" s="2" t="s">
        <v>7255</v>
      </c>
      <c r="B2536" s="2" t="s">
        <v>7256</v>
      </c>
      <c r="C2536" s="2" t="s">
        <v>195</v>
      </c>
      <c r="D2536" s="2" t="s">
        <v>39</v>
      </c>
      <c r="E2536" s="4">
        <v>-32614</v>
      </c>
      <c r="F2536" s="3" t="s">
        <v>5016</v>
      </c>
      <c r="G2536" s="3" t="s">
        <v>5017</v>
      </c>
      <c r="H2536" s="2" t="s">
        <v>21</v>
      </c>
      <c r="I2536" s="2" t="s">
        <v>7257</v>
      </c>
      <c r="J2536" s="3" t="str">
        <f>HYPERLINK("https://www.boe.es/gazeta/dias/1810/09/14/pdfs/GEI-D-1810-67.pdf#page=6","Abrir facsímil")</f>
        <v>Abrir facsímil</v>
      </c>
      <c r="K2536" s="3" t="s">
        <v>23</v>
      </c>
    </row>
    <row r="2537" spans="1:11" ht="42" customHeight="1">
      <c r="A2537" s="2" t="s">
        <v>7258</v>
      </c>
      <c r="B2537" s="2" t="s">
        <v>7259</v>
      </c>
      <c r="C2537" s="2" t="s">
        <v>26</v>
      </c>
      <c r="D2537" s="2" t="s">
        <v>39</v>
      </c>
      <c r="E2537" s="4">
        <v>-32701</v>
      </c>
      <c r="F2537" s="3" t="s">
        <v>40</v>
      </c>
      <c r="G2537" s="3" t="s">
        <v>41</v>
      </c>
      <c r="H2537" s="2" t="s">
        <v>21</v>
      </c>
      <c r="I2537" s="2" t="s">
        <v>7260</v>
      </c>
      <c r="J2537" s="3" t="str">
        <f>HYPERLINK("https://www.boe.es/gazeta/dias/1810/06/19/pdfs/GMD-C-1810-170.pdf#page=3","Abrir facsímil")</f>
        <v>Abrir facsímil</v>
      </c>
      <c r="K2537" s="3" t="s">
        <v>23</v>
      </c>
    </row>
    <row r="2538" spans="1:11" ht="42" customHeight="1">
      <c r="A2538" s="2" t="s">
        <v>7261</v>
      </c>
      <c r="B2538" s="2" t="s">
        <v>7262</v>
      </c>
      <c r="C2538" s="2" t="s">
        <v>26</v>
      </c>
      <c r="D2538" s="2" t="s">
        <v>27</v>
      </c>
      <c r="E2538" s="4">
        <v>-32591</v>
      </c>
      <c r="F2538" s="3" t="s">
        <v>377</v>
      </c>
      <c r="G2538" s="3" t="s">
        <v>140</v>
      </c>
      <c r="H2538" s="2" t="s">
        <v>21</v>
      </c>
      <c r="I2538" s="2" t="s">
        <v>7263</v>
      </c>
      <c r="J2538" s="3" t="str">
        <f>HYPERLINK("https://www.boe.es/gazeta/dias/1810/10/07/pdfs/GMD-1810-280.pdf#page=4","Abrir facsímil")</f>
        <v>Abrir facsímil</v>
      </c>
      <c r="K2538" s="3" t="s">
        <v>23</v>
      </c>
    </row>
    <row r="2539" spans="1:11" ht="42" customHeight="1">
      <c r="A2539" s="2" t="s">
        <v>7264</v>
      </c>
      <c r="B2539" s="2" t="s">
        <v>7265</v>
      </c>
      <c r="C2539" s="2" t="s">
        <v>26</v>
      </c>
      <c r="D2539" s="2" t="s">
        <v>18</v>
      </c>
      <c r="E2539" s="4">
        <v>-32562</v>
      </c>
      <c r="F2539" s="3" t="s">
        <v>1186</v>
      </c>
      <c r="G2539" s="3" t="s">
        <v>29</v>
      </c>
      <c r="H2539" s="2" t="s">
        <v>74</v>
      </c>
      <c r="I2539" s="2" t="s">
        <v>7266</v>
      </c>
      <c r="J2539" s="3" t="str">
        <f>HYPERLINK("https://www.boe.es/gazeta/dias/1810/11/05/pdfs/GMD-1810-309.pdf#page=2","Abrir facsímil")</f>
        <v>Abrir facsímil</v>
      </c>
      <c r="K2539" s="3" t="s">
        <v>76</v>
      </c>
    </row>
    <row r="2540" spans="1:11" ht="42" customHeight="1">
      <c r="A2540" s="2" t="s">
        <v>7267</v>
      </c>
      <c r="B2540" s="2" t="s">
        <v>7268</v>
      </c>
      <c r="C2540" s="2" t="s">
        <v>26</v>
      </c>
      <c r="D2540" s="2" t="s">
        <v>18</v>
      </c>
      <c r="E2540" s="4">
        <v>-32589</v>
      </c>
      <c r="F2540" s="3" t="s">
        <v>3026</v>
      </c>
      <c r="G2540" s="3" t="s">
        <v>451</v>
      </c>
      <c r="H2540" s="2" t="s">
        <v>74</v>
      </c>
      <c r="I2540" s="2" t="s">
        <v>7269</v>
      </c>
      <c r="J2540" s="3" t="str">
        <f>HYPERLINK("https://www.boe.es/gazeta/dias/1810/10/09/pdfs/GEI-1810-79.pdf#page=6","Abrir facsímil")</f>
        <v>Abrir facsímil</v>
      </c>
      <c r="K2540" s="3" t="s">
        <v>76</v>
      </c>
    </row>
    <row r="2541" spans="1:11" ht="42" customHeight="1">
      <c r="A2541" s="2" t="s">
        <v>7270</v>
      </c>
      <c r="B2541" s="2" t="s">
        <v>7271</v>
      </c>
      <c r="C2541" s="2" t="s">
        <v>26</v>
      </c>
      <c r="D2541" s="2" t="s">
        <v>18</v>
      </c>
      <c r="E2541" s="4">
        <v>-32589</v>
      </c>
      <c r="F2541" s="3" t="s">
        <v>3026</v>
      </c>
      <c r="G2541" s="3" t="s">
        <v>451</v>
      </c>
      <c r="H2541" s="2" t="s">
        <v>74</v>
      </c>
      <c r="I2541" s="2" t="s">
        <v>7272</v>
      </c>
      <c r="J2541" s="3" t="str">
        <f>HYPERLINK("https://www.boe.es/gazeta/dias/1810/10/09/pdfs/GEI-1810-79.pdf#page=6","Abrir facsímil")</f>
        <v>Abrir facsímil</v>
      </c>
      <c r="K2541" s="3" t="s">
        <v>76</v>
      </c>
    </row>
    <row r="2542" spans="1:11" ht="42" customHeight="1">
      <c r="A2542" s="2" t="s">
        <v>7273</v>
      </c>
      <c r="B2542" s="2" t="s">
        <v>7274</v>
      </c>
      <c r="C2542" s="2" t="s">
        <v>195</v>
      </c>
      <c r="D2542" s="2" t="s">
        <v>27</v>
      </c>
      <c r="E2542" s="4">
        <v>-32689</v>
      </c>
      <c r="F2542" s="3" t="s">
        <v>571</v>
      </c>
      <c r="G2542" s="3" t="s">
        <v>140</v>
      </c>
      <c r="H2542" s="2" t="s">
        <v>74</v>
      </c>
      <c r="I2542" s="2" t="s">
        <v>7275</v>
      </c>
      <c r="J2542" s="3" t="str">
        <f>HYPERLINK("https://www.boe.es/gazeta/dias/1810/07/01/pdfs/GMD-1810-182.pdf#page=4","Abrir facsímil")</f>
        <v>Abrir facsímil</v>
      </c>
      <c r="K2542" s="3" t="s">
        <v>76</v>
      </c>
    </row>
    <row r="2543" spans="1:11" ht="42" customHeight="1">
      <c r="A2543" s="2" t="s">
        <v>7276</v>
      </c>
      <c r="B2543" s="2" t="s">
        <v>7277</v>
      </c>
      <c r="C2543" s="2" t="s">
        <v>26</v>
      </c>
      <c r="D2543" s="2" t="s">
        <v>18</v>
      </c>
      <c r="E2543" s="4">
        <v>-32661</v>
      </c>
      <c r="F2543" s="3" t="s">
        <v>157</v>
      </c>
      <c r="G2543" s="3" t="s">
        <v>592</v>
      </c>
      <c r="H2543" s="2" t="s">
        <v>74</v>
      </c>
      <c r="I2543" s="2" t="s">
        <v>7278</v>
      </c>
      <c r="J2543" s="3" t="str">
        <f>HYPERLINK("https://www.boe.es/gazeta/dias/1810/07/29/pdfs/GMD-C-1810-210.pdf#page=2","Abrir facsímil")</f>
        <v>Abrir facsímil</v>
      </c>
      <c r="K2543" s="3" t="s">
        <v>76</v>
      </c>
    </row>
    <row r="2544" spans="1:11" ht="42" customHeight="1">
      <c r="A2544" s="2" t="s">
        <v>7279</v>
      </c>
      <c r="B2544" s="2" t="s">
        <v>7280</v>
      </c>
      <c r="C2544" s="2" t="s">
        <v>26</v>
      </c>
      <c r="D2544" s="2" t="s">
        <v>39</v>
      </c>
      <c r="E2544" s="4">
        <v>-32701</v>
      </c>
      <c r="F2544" s="3" t="s">
        <v>40</v>
      </c>
      <c r="G2544" s="3" t="s">
        <v>41</v>
      </c>
      <c r="H2544" s="2" t="s">
        <v>74</v>
      </c>
      <c r="I2544" s="2" t="s">
        <v>7281</v>
      </c>
      <c r="J2544" s="3" t="str">
        <f>HYPERLINK("https://www.boe.es/gazeta/dias/1810/06/19/pdfs/GMD-C-1810-170.pdf#page=3","Abrir facsímil")</f>
        <v>Abrir facsímil</v>
      </c>
      <c r="K2544" s="3" t="s">
        <v>76</v>
      </c>
    </row>
    <row r="2545" spans="1:11" ht="42" customHeight="1">
      <c r="A2545" s="2" t="s">
        <v>7282</v>
      </c>
      <c r="B2545" s="2" t="s">
        <v>7283</v>
      </c>
      <c r="C2545" s="2" t="s">
        <v>26</v>
      </c>
      <c r="D2545" s="2" t="s">
        <v>39</v>
      </c>
      <c r="E2545" s="4">
        <v>-32661</v>
      </c>
      <c r="F2545" s="3" t="s">
        <v>157</v>
      </c>
      <c r="G2545" s="3" t="s">
        <v>158</v>
      </c>
      <c r="H2545" s="2" t="s">
        <v>74</v>
      </c>
      <c r="I2545" s="2" t="s">
        <v>7284</v>
      </c>
      <c r="J2545" s="3" t="str">
        <f>HYPERLINK("https://www.boe.es/gazeta/dias/1810/07/29/pdfs/GMD-C-1810-210.pdf#page=1","Abrir facsímil")</f>
        <v>Abrir facsímil</v>
      </c>
      <c r="K2545" s="3" t="s">
        <v>76</v>
      </c>
    </row>
    <row r="2546" spans="1:11" ht="42" customHeight="1">
      <c r="A2546" s="2" t="s">
        <v>7285</v>
      </c>
      <c r="B2546" s="2" t="s">
        <v>7286</v>
      </c>
      <c r="C2546" s="2" t="s">
        <v>88</v>
      </c>
      <c r="D2546" s="2" t="s">
        <v>27</v>
      </c>
      <c r="E2546" s="4">
        <v>-32710</v>
      </c>
      <c r="F2546" s="3" t="s">
        <v>126</v>
      </c>
      <c r="G2546" s="3" t="s">
        <v>184</v>
      </c>
      <c r="H2546" s="2" t="s">
        <v>74</v>
      </c>
      <c r="I2546" s="2" t="s">
        <v>7287</v>
      </c>
      <c r="J2546" s="3" t="str">
        <f>HYPERLINK("https://www.boe.es/gazeta/dias/1810/06/10/pdfs/GMD-1810-161.pdf#page=3","Abrir facsímil")</f>
        <v>Abrir facsímil</v>
      </c>
      <c r="K2546" s="3" t="s">
        <v>76</v>
      </c>
    </row>
    <row r="2547" spans="1:11" ht="42" customHeight="1">
      <c r="A2547" s="2" t="s">
        <v>7288</v>
      </c>
      <c r="B2547" s="2" t="s">
        <v>7289</v>
      </c>
      <c r="C2547" s="2" t="s">
        <v>88</v>
      </c>
      <c r="D2547" s="2" t="s">
        <v>27</v>
      </c>
      <c r="E2547" s="4">
        <v>-32729</v>
      </c>
      <c r="F2547" s="3" t="s">
        <v>174</v>
      </c>
      <c r="G2547" s="3" t="s">
        <v>886</v>
      </c>
      <c r="H2547" s="2" t="s">
        <v>74</v>
      </c>
      <c r="I2547" s="2" t="s">
        <v>7290</v>
      </c>
      <c r="J2547" s="3" t="str">
        <f>HYPERLINK("https://www.boe.es/gazeta/dias/1810/05/22/pdfs/GEI-1810-28.pdf#page=11","Abrir facsímil")</f>
        <v>Abrir facsímil</v>
      </c>
      <c r="K2547" s="3" t="s">
        <v>76</v>
      </c>
    </row>
    <row r="2548" spans="1:11" ht="42" customHeight="1">
      <c r="A2548" s="2" t="s">
        <v>7291</v>
      </c>
      <c r="B2548" s="2" t="s">
        <v>7292</v>
      </c>
      <c r="C2548" s="2" t="s">
        <v>33</v>
      </c>
      <c r="D2548" s="2" t="s">
        <v>58</v>
      </c>
      <c r="E2548" s="4">
        <v>-32601</v>
      </c>
      <c r="F2548" s="3" t="s">
        <v>392</v>
      </c>
      <c r="G2548" s="3" t="s">
        <v>1430</v>
      </c>
      <c r="H2548" s="2" t="s">
        <v>74</v>
      </c>
      <c r="I2548" s="2" t="s">
        <v>7293</v>
      </c>
      <c r="J2548" s="3" t="str">
        <f>HYPERLINK("https://www.boe.es/gazeta/dias/1810/09/27/pdfs/GEI-1810-74E.pdf#page=3","Abrir facsímil")</f>
        <v>Abrir facsímil</v>
      </c>
      <c r="K2548" s="3" t="s">
        <v>76</v>
      </c>
    </row>
    <row r="2549" spans="1:11" ht="42" customHeight="1">
      <c r="A2549" s="2" t="s">
        <v>7294</v>
      </c>
      <c r="B2549" s="2" t="s">
        <v>7295</v>
      </c>
      <c r="C2549" s="2" t="s">
        <v>26</v>
      </c>
      <c r="D2549" s="2" t="s">
        <v>27</v>
      </c>
      <c r="E2549" s="4">
        <v>-32550</v>
      </c>
      <c r="F2549" s="3" t="s">
        <v>1472</v>
      </c>
      <c r="G2549" s="3" t="s">
        <v>3210</v>
      </c>
      <c r="H2549" s="2" t="s">
        <v>74</v>
      </c>
      <c r="I2549" s="2" t="s">
        <v>7296</v>
      </c>
      <c r="J2549" s="3" t="str">
        <f>HYPERLINK("https://www.boe.es/gazeta/dias/1810/11/17/pdfs/GEI-1810-96.pdf#page=7","Abrir facsímil")</f>
        <v>Abrir facsímil</v>
      </c>
      <c r="K2549" s="3" t="s">
        <v>76</v>
      </c>
    </row>
    <row r="2550" spans="1:11" ht="42" customHeight="1">
      <c r="A2550" s="2" t="s">
        <v>7297</v>
      </c>
      <c r="B2550" s="2" t="s">
        <v>7298</v>
      </c>
      <c r="C2550" s="2" t="s">
        <v>26</v>
      </c>
      <c r="D2550" s="2" t="s">
        <v>39</v>
      </c>
      <c r="E2550" s="4">
        <v>-32661</v>
      </c>
      <c r="F2550" s="3" t="s">
        <v>157</v>
      </c>
      <c r="G2550" s="3" t="s">
        <v>592</v>
      </c>
      <c r="H2550" s="2" t="s">
        <v>74</v>
      </c>
      <c r="I2550" s="2" t="s">
        <v>7299</v>
      </c>
      <c r="J2550" s="3" t="str">
        <f>HYPERLINK("https://www.boe.es/gazeta/dias/1810/07/29/pdfs/GMD-C-1810-210.pdf#page=2","Abrir facsímil")</f>
        <v>Abrir facsímil</v>
      </c>
      <c r="K2550" s="3" t="s">
        <v>76</v>
      </c>
    </row>
    <row r="2551" spans="1:11" ht="42" customHeight="1">
      <c r="A2551" s="2" t="s">
        <v>7300</v>
      </c>
      <c r="B2551" s="2" t="s">
        <v>7301</v>
      </c>
      <c r="C2551" s="2" t="s">
        <v>930</v>
      </c>
      <c r="D2551" s="2" t="s">
        <v>27</v>
      </c>
      <c r="E2551" s="4">
        <v>-32858</v>
      </c>
      <c r="F2551" s="3" t="s">
        <v>4182</v>
      </c>
      <c r="G2551" s="3" t="s">
        <v>277</v>
      </c>
      <c r="H2551" s="2" t="s">
        <v>74</v>
      </c>
      <c r="I2551" s="2" t="s">
        <v>7302</v>
      </c>
      <c r="J2551" s="3" t="str">
        <f>HYPERLINK("https://www.boe.es/gazeta/dias/1810/01/13/pdfs/GGB-1810-6.pdf#page=11","Abrir facsímil")</f>
        <v>Abrir facsímil</v>
      </c>
      <c r="K2551" s="3" t="s">
        <v>76</v>
      </c>
    </row>
    <row r="2552" spans="1:11" ht="42" customHeight="1">
      <c r="A2552" s="2" t="s">
        <v>7303</v>
      </c>
      <c r="B2552" s="2" t="s">
        <v>7304</v>
      </c>
      <c r="C2552" s="2" t="s">
        <v>88</v>
      </c>
      <c r="D2552" s="2" t="s">
        <v>27</v>
      </c>
      <c r="E2552" s="4">
        <v>-32842</v>
      </c>
      <c r="F2552" s="3" t="s">
        <v>1291</v>
      </c>
      <c r="G2552" s="3" t="s">
        <v>70</v>
      </c>
      <c r="H2552" s="2" t="s">
        <v>74</v>
      </c>
      <c r="I2552" s="2" t="s">
        <v>7305</v>
      </c>
      <c r="J2552" s="3" t="str">
        <f>HYPERLINK("https://www.boe.es/gazeta/dias/1810/01/29/pdfs/GMD-1810-29.pdf#page=4","Abrir facsímil")</f>
        <v>Abrir facsímil</v>
      </c>
      <c r="K2552" s="3" t="s">
        <v>76</v>
      </c>
    </row>
    <row r="2553" spans="1:11" ht="42" customHeight="1">
      <c r="A2553" s="2" t="s">
        <v>7303</v>
      </c>
      <c r="B2553" s="2" t="s">
        <v>7304</v>
      </c>
      <c r="C2553" s="2" t="s">
        <v>26</v>
      </c>
      <c r="D2553" s="2" t="s">
        <v>39</v>
      </c>
      <c r="E2553" s="4">
        <v>-32702</v>
      </c>
      <c r="F2553" s="3" t="s">
        <v>179</v>
      </c>
      <c r="G2553" s="3" t="s">
        <v>119</v>
      </c>
      <c r="H2553" s="2" t="s">
        <v>74</v>
      </c>
      <c r="I2553" s="2" t="s">
        <v>7306</v>
      </c>
      <c r="J2553" s="3" t="str">
        <f>HYPERLINK("https://www.boe.es/gazeta/dias/1810/06/18/pdfs/GMD-C-1810-169.pdf#page=1","Abrir facsímil")</f>
        <v>Abrir facsímil</v>
      </c>
      <c r="K2553" s="3" t="s">
        <v>76</v>
      </c>
    </row>
    <row r="2554" spans="1:11" ht="42" customHeight="1">
      <c r="A2554" s="2" t="s">
        <v>7307</v>
      </c>
      <c r="B2554" s="2" t="s">
        <v>7308</v>
      </c>
      <c r="C2554" s="2" t="s">
        <v>88</v>
      </c>
      <c r="D2554" s="2" t="s">
        <v>39</v>
      </c>
      <c r="E2554" s="4">
        <v>-32645</v>
      </c>
      <c r="F2554" s="3" t="s">
        <v>2492</v>
      </c>
      <c r="G2554" s="3" t="s">
        <v>20</v>
      </c>
      <c r="H2554" s="2" t="s">
        <v>74</v>
      </c>
      <c r="I2554" s="2" t="s">
        <v>7309</v>
      </c>
      <c r="J2554" s="3" t="str">
        <f>HYPERLINK("https://www.boe.es/gazeta/dias/1810/08/14/pdfs/GEI-D-1810-56.pdf#page=4","Abrir facsímil")</f>
        <v>Abrir facsímil</v>
      </c>
      <c r="K2554" s="3" t="s">
        <v>76</v>
      </c>
    </row>
    <row r="2555" spans="1:11" ht="42" customHeight="1">
      <c r="A2555" s="2" t="s">
        <v>7310</v>
      </c>
      <c r="B2555" s="2" t="s">
        <v>7311</v>
      </c>
      <c r="C2555" s="2" t="s">
        <v>26</v>
      </c>
      <c r="D2555" s="2" t="s">
        <v>39</v>
      </c>
      <c r="E2555" s="4">
        <v>-32661</v>
      </c>
      <c r="F2555" s="3" t="s">
        <v>157</v>
      </c>
      <c r="G2555" s="3" t="s">
        <v>592</v>
      </c>
      <c r="H2555" s="2" t="s">
        <v>74</v>
      </c>
      <c r="I2555" s="2" t="s">
        <v>7312</v>
      </c>
      <c r="J2555" s="3" t="str">
        <f>HYPERLINK("https://www.boe.es/gazeta/dias/1810/07/29/pdfs/GMD-C-1810-210.pdf#page=2","Abrir facsímil")</f>
        <v>Abrir facsímil</v>
      </c>
      <c r="K2555" s="3" t="s">
        <v>76</v>
      </c>
    </row>
    <row r="2556" spans="1:11" ht="42" customHeight="1">
      <c r="A2556" s="2" t="s">
        <v>7313</v>
      </c>
      <c r="B2556" s="2" t="s">
        <v>7314</v>
      </c>
      <c r="C2556" s="2" t="s">
        <v>17</v>
      </c>
      <c r="D2556" s="2" t="s">
        <v>27</v>
      </c>
      <c r="E2556" s="4">
        <v>-32689</v>
      </c>
      <c r="F2556" s="3" t="s">
        <v>571</v>
      </c>
      <c r="G2556" s="3" t="s">
        <v>140</v>
      </c>
      <c r="H2556" s="2" t="s">
        <v>74</v>
      </c>
      <c r="I2556" s="2" t="s">
        <v>7315</v>
      </c>
      <c r="J2556" s="3" t="str">
        <f>HYPERLINK("https://www.boe.es/gazeta/dias/1810/07/01/pdfs/GMD-1810-182.pdf#page=4","Abrir facsímil")</f>
        <v>Abrir facsímil</v>
      </c>
      <c r="K2556" s="3" t="s">
        <v>76</v>
      </c>
    </row>
    <row r="2557" spans="1:11" ht="42" customHeight="1">
      <c r="A2557" s="2" t="s">
        <v>7316</v>
      </c>
      <c r="B2557" s="2" t="s">
        <v>7317</v>
      </c>
      <c r="C2557" s="2" t="s">
        <v>111</v>
      </c>
      <c r="D2557" s="2" t="s">
        <v>27</v>
      </c>
      <c r="E2557" s="4">
        <v>-32837</v>
      </c>
      <c r="F2557" s="3" t="s">
        <v>196</v>
      </c>
      <c r="G2557" s="3" t="s">
        <v>140</v>
      </c>
      <c r="H2557" s="2" t="s">
        <v>74</v>
      </c>
      <c r="I2557" s="2" t="s">
        <v>7318</v>
      </c>
      <c r="J2557" s="3" t="str">
        <f>HYPERLINK("https://www.boe.es/gazeta/dias/1810/02/03/pdfs/GMD-1810-34.pdf#page=4","Abrir facsímil")</f>
        <v>Abrir facsímil</v>
      </c>
      <c r="K2557" s="3" t="s">
        <v>76</v>
      </c>
    </row>
    <row r="2558" spans="1:11" ht="42" customHeight="1">
      <c r="A2558" s="2" t="s">
        <v>7319</v>
      </c>
      <c r="B2558" s="2" t="s">
        <v>7320</v>
      </c>
      <c r="C2558" s="2" t="s">
        <v>88</v>
      </c>
      <c r="D2558" s="2" t="s">
        <v>27</v>
      </c>
      <c r="E2558" s="4">
        <v>-32764</v>
      </c>
      <c r="F2558" s="3" t="s">
        <v>640</v>
      </c>
      <c r="G2558" s="3" t="s">
        <v>641</v>
      </c>
      <c r="H2558" s="2" t="s">
        <v>74</v>
      </c>
      <c r="I2558" s="2" t="s">
        <v>7321</v>
      </c>
      <c r="J2558" s="3" t="str">
        <f>HYPERLINK("https://www.boe.es/gazeta/dias/1810/04/17/pdfs/GEI-1810-15.pdf#page=8","Abrir facsímil")</f>
        <v>Abrir facsímil</v>
      </c>
      <c r="K2558" s="3" t="s">
        <v>76</v>
      </c>
    </row>
    <row r="2559" spans="1:11" ht="42" customHeight="1">
      <c r="A2559" s="2" t="s">
        <v>7322</v>
      </c>
      <c r="B2559" s="2" t="s">
        <v>7323</v>
      </c>
      <c r="C2559" s="2" t="s">
        <v>26</v>
      </c>
      <c r="D2559" s="2" t="s">
        <v>58</v>
      </c>
      <c r="E2559" s="4">
        <v>-32601</v>
      </c>
      <c r="F2559" s="3" t="s">
        <v>392</v>
      </c>
      <c r="G2559" s="3" t="s">
        <v>1430</v>
      </c>
      <c r="H2559" s="2" t="s">
        <v>74</v>
      </c>
      <c r="I2559" s="2" t="s">
        <v>7324</v>
      </c>
      <c r="J2559" s="3" t="str">
        <f>HYPERLINK("https://www.boe.es/gazeta/dias/1810/09/27/pdfs/GEI-1810-74E.pdf#page=3","Abrir facsímil")</f>
        <v>Abrir facsímil</v>
      </c>
      <c r="K2559" s="3" t="s">
        <v>76</v>
      </c>
    </row>
    <row r="2560" spans="1:11" ht="42" customHeight="1">
      <c r="A2560" s="2" t="s">
        <v>7325</v>
      </c>
      <c r="B2560" s="2" t="s">
        <v>7326</v>
      </c>
      <c r="C2560" s="2" t="s">
        <v>88</v>
      </c>
      <c r="D2560" s="2" t="s">
        <v>27</v>
      </c>
      <c r="E2560" s="4">
        <v>-32807</v>
      </c>
      <c r="F2560" s="3" t="s">
        <v>1338</v>
      </c>
      <c r="G2560" s="3" t="s">
        <v>180</v>
      </c>
      <c r="H2560" s="2" t="s">
        <v>74</v>
      </c>
      <c r="I2560" s="2" t="s">
        <v>7327</v>
      </c>
      <c r="J2560" s="3" t="str">
        <f>HYPERLINK("https://www.boe.es/gazeta/dias/1810/03/05/pdfs/GMD-1810-64.pdf#page=1","Abrir facsímil")</f>
        <v>Abrir facsímil</v>
      </c>
      <c r="K2560" s="3" t="s">
        <v>76</v>
      </c>
    </row>
    <row r="2561" spans="1:11" ht="42" customHeight="1">
      <c r="A2561" s="2" t="s">
        <v>7325</v>
      </c>
      <c r="B2561" s="2" t="s">
        <v>7326</v>
      </c>
      <c r="C2561" s="2" t="s">
        <v>225</v>
      </c>
      <c r="D2561" s="2" t="s">
        <v>27</v>
      </c>
      <c r="E2561" s="4">
        <v>-32778</v>
      </c>
      <c r="F2561" s="3" t="s">
        <v>4255</v>
      </c>
      <c r="G2561" s="3" t="s">
        <v>6164</v>
      </c>
      <c r="H2561" s="2" t="s">
        <v>74</v>
      </c>
      <c r="I2561" s="2" t="s">
        <v>7328</v>
      </c>
      <c r="J2561" s="3" t="str">
        <f>HYPERLINK("https://www.boe.es/gazeta/dias/1810/04/03/pdfs/GMD-1810-93.pdf#page=1","Abrir facsímil")</f>
        <v>Abrir facsímil</v>
      </c>
      <c r="K2561" s="3" t="s">
        <v>76</v>
      </c>
    </row>
    <row r="2562" spans="1:11" ht="42" customHeight="1">
      <c r="A2562" s="2" t="s">
        <v>7329</v>
      </c>
      <c r="B2562" s="2" t="s">
        <v>7330</v>
      </c>
      <c r="C2562" s="2" t="s">
        <v>26</v>
      </c>
      <c r="D2562" s="2" t="s">
        <v>220</v>
      </c>
      <c r="E2562" s="4">
        <v>-32762</v>
      </c>
      <c r="F2562" s="3" t="s">
        <v>231</v>
      </c>
      <c r="G2562" s="3" t="s">
        <v>29</v>
      </c>
      <c r="H2562" s="2" t="s">
        <v>74</v>
      </c>
      <c r="I2562" s="2" t="s">
        <v>7331</v>
      </c>
      <c r="J2562" s="3" t="str">
        <f>HYPERLINK("https://www.boe.es/gazeta/dias/1810/04/19/pdfs/GMD-1810-109.pdf#page=2","Abrir facsímil")</f>
        <v>Abrir facsímil</v>
      </c>
      <c r="K2562" s="3" t="s">
        <v>76</v>
      </c>
    </row>
    <row r="2563" spans="1:11" ht="42" customHeight="1">
      <c r="A2563" s="2" t="s">
        <v>7332</v>
      </c>
      <c r="B2563" s="2" t="s">
        <v>7333</v>
      </c>
      <c r="C2563" s="2" t="s">
        <v>195</v>
      </c>
      <c r="D2563" s="2" t="s">
        <v>27</v>
      </c>
      <c r="E2563" s="4">
        <v>-32837</v>
      </c>
      <c r="F2563" s="3" t="s">
        <v>196</v>
      </c>
      <c r="G2563" s="3" t="s">
        <v>140</v>
      </c>
      <c r="H2563" s="2" t="s">
        <v>74</v>
      </c>
      <c r="I2563" s="2" t="s">
        <v>7334</v>
      </c>
      <c r="J2563" s="3" t="str">
        <f>HYPERLINK("https://www.boe.es/gazeta/dias/1810/02/03/pdfs/GMD-1810-34.pdf#page=4","Abrir facsímil")</f>
        <v>Abrir facsímil</v>
      </c>
      <c r="K2563" s="3" t="s">
        <v>76</v>
      </c>
    </row>
    <row r="2564" spans="1:11" ht="42" customHeight="1">
      <c r="A2564" s="2" t="s">
        <v>7332</v>
      </c>
      <c r="B2564" s="2" t="s">
        <v>7333</v>
      </c>
      <c r="C2564" s="2" t="s">
        <v>26</v>
      </c>
      <c r="D2564" s="2" t="s">
        <v>39</v>
      </c>
      <c r="E2564" s="4">
        <v>-32669</v>
      </c>
      <c r="F2564" s="3" t="s">
        <v>1110</v>
      </c>
      <c r="G2564" s="3" t="s">
        <v>213</v>
      </c>
      <c r="H2564" s="2" t="s">
        <v>74</v>
      </c>
      <c r="I2564" s="2" t="s">
        <v>7335</v>
      </c>
      <c r="J2564" s="3" t="str">
        <f>HYPERLINK("https://www.boe.es/gazeta/dias/1810/07/21/pdfs/GMD-C-1810-202.pdf#page=1","Abrir facsímil")</f>
        <v>Abrir facsímil</v>
      </c>
      <c r="K2564" s="3" t="s">
        <v>76</v>
      </c>
    </row>
    <row r="2565" spans="1:11" ht="42" customHeight="1">
      <c r="A2565" s="2" t="s">
        <v>7332</v>
      </c>
      <c r="B2565" s="2" t="s">
        <v>7333</v>
      </c>
      <c r="C2565" s="2" t="s">
        <v>225</v>
      </c>
      <c r="D2565" s="2" t="s">
        <v>27</v>
      </c>
      <c r="E2565" s="4">
        <v>-32620</v>
      </c>
      <c r="F2565" s="3" t="s">
        <v>1499</v>
      </c>
      <c r="G2565" s="3" t="s">
        <v>20</v>
      </c>
      <c r="H2565" s="2" t="s">
        <v>74</v>
      </c>
      <c r="I2565" s="2" t="s">
        <v>7336</v>
      </c>
      <c r="J2565" s="3" t="str">
        <f>HYPERLINK("https://www.boe.es/gazeta/dias/1810/09/08/pdfs/GMD-1810-251.pdf#page=4","Abrir facsímil")</f>
        <v>Abrir facsímil</v>
      </c>
      <c r="K2565" s="3" t="s">
        <v>76</v>
      </c>
    </row>
    <row r="2566" spans="1:11" ht="42" customHeight="1">
      <c r="A2566" s="2" t="s">
        <v>7337</v>
      </c>
      <c r="B2566" s="2" t="s">
        <v>7338</v>
      </c>
      <c r="C2566" s="2" t="s">
        <v>88</v>
      </c>
      <c r="D2566" s="2" t="s">
        <v>18</v>
      </c>
      <c r="E2566" s="4">
        <v>-32820</v>
      </c>
      <c r="F2566" s="3" t="s">
        <v>226</v>
      </c>
      <c r="G2566" s="3" t="s">
        <v>227</v>
      </c>
      <c r="H2566" s="2" t="s">
        <v>74</v>
      </c>
      <c r="I2566" s="2" t="s">
        <v>7339</v>
      </c>
      <c r="J2566" s="3" t="str">
        <f>HYPERLINK("https://www.boe.es/gazeta/dias/1810/02/20/pdfs/GMD-1810-51.pdf#page=4","Abrir facsímil")</f>
        <v>Abrir facsímil</v>
      </c>
      <c r="K2566" s="3" t="s">
        <v>76</v>
      </c>
    </row>
    <row r="2567" spans="1:11" ht="42" customHeight="1">
      <c r="A2567" s="2" t="s">
        <v>7337</v>
      </c>
      <c r="B2567" s="2" t="s">
        <v>7338</v>
      </c>
      <c r="C2567" s="2" t="s">
        <v>317</v>
      </c>
      <c r="D2567" s="2" t="s">
        <v>18</v>
      </c>
      <c r="E2567" s="4">
        <v>-32649</v>
      </c>
      <c r="F2567" s="3" t="s">
        <v>1988</v>
      </c>
      <c r="G2567" s="3" t="s">
        <v>227</v>
      </c>
      <c r="H2567" s="2" t="s">
        <v>74</v>
      </c>
      <c r="I2567" s="2" t="s">
        <v>7340</v>
      </c>
      <c r="J2567" s="3" t="str">
        <f>HYPERLINK("https://www.boe.es/gazeta/dias/1810/08/10/pdfs/GMD-1810-222.pdf#page=4","Abrir facsímil")</f>
        <v>Abrir facsímil</v>
      </c>
      <c r="K2567" s="3" t="s">
        <v>76</v>
      </c>
    </row>
    <row r="2568" spans="1:11" ht="42" customHeight="1">
      <c r="A2568" s="2" t="s">
        <v>7341</v>
      </c>
      <c r="B2568" s="2" t="s">
        <v>7342</v>
      </c>
      <c r="C2568" s="2" t="s">
        <v>26</v>
      </c>
      <c r="D2568" s="2" t="s">
        <v>39</v>
      </c>
      <c r="E2568" s="4">
        <v>-32661</v>
      </c>
      <c r="F2568" s="3" t="s">
        <v>157</v>
      </c>
      <c r="G2568" s="3" t="s">
        <v>592</v>
      </c>
      <c r="H2568" s="2" t="s">
        <v>74</v>
      </c>
      <c r="I2568" s="2" t="s">
        <v>7343</v>
      </c>
      <c r="J2568" s="3" t="str">
        <f>HYPERLINK("https://www.boe.es/gazeta/dias/1810/07/29/pdfs/GMD-C-1810-210.pdf#page=2","Abrir facsímil")</f>
        <v>Abrir facsímil</v>
      </c>
      <c r="K2568" s="3" t="s">
        <v>76</v>
      </c>
    </row>
    <row r="2569" spans="1:11" ht="42" customHeight="1">
      <c r="A2569" s="2" t="s">
        <v>7344</v>
      </c>
      <c r="B2569" s="2" t="s">
        <v>7345</v>
      </c>
      <c r="C2569" s="2" t="s">
        <v>88</v>
      </c>
      <c r="D2569" s="2" t="s">
        <v>117</v>
      </c>
      <c r="E2569" s="4">
        <v>-32618</v>
      </c>
      <c r="F2569" s="3" t="s">
        <v>1501</v>
      </c>
      <c r="G2569" s="3" t="s">
        <v>20</v>
      </c>
      <c r="H2569" s="2" t="s">
        <v>74</v>
      </c>
      <c r="I2569" s="2" t="s">
        <v>7346</v>
      </c>
      <c r="J2569" s="3" t="str">
        <f>HYPERLINK("https://www.boe.es/gazeta/dias/1810/09/10/pdfs/GMD-1810-253.pdf#page=4","Abrir facsímil")</f>
        <v>Abrir facsímil</v>
      </c>
      <c r="K2569" s="3" t="s">
        <v>76</v>
      </c>
    </row>
    <row r="2570" spans="1:11" ht="42" customHeight="1">
      <c r="A2570" s="2" t="s">
        <v>7344</v>
      </c>
      <c r="B2570" s="2" t="s">
        <v>7345</v>
      </c>
      <c r="C2570" s="2" t="s">
        <v>26</v>
      </c>
      <c r="D2570" s="2" t="s">
        <v>39</v>
      </c>
      <c r="E2570" s="4">
        <v>-32599</v>
      </c>
      <c r="F2570" s="3" t="s">
        <v>662</v>
      </c>
      <c r="G2570" s="3" t="s">
        <v>3346</v>
      </c>
      <c r="H2570" s="2" t="s">
        <v>74</v>
      </c>
      <c r="I2570" s="2" t="s">
        <v>7347</v>
      </c>
      <c r="J2570" s="3" t="str">
        <f>HYPERLINK("https://www.boe.es/gazeta/dias/1810/09/29/pdfs/GMD-C-1810-272.pdf#page=5","Abrir facsímil")</f>
        <v>Abrir facsímil</v>
      </c>
      <c r="K2570" s="3" t="s">
        <v>76</v>
      </c>
    </row>
    <row r="2571" spans="1:11" ht="42" customHeight="1">
      <c r="A2571" s="2" t="s">
        <v>7348</v>
      </c>
      <c r="B2571" s="2" t="s">
        <v>7349</v>
      </c>
      <c r="C2571" s="2" t="s">
        <v>26</v>
      </c>
      <c r="D2571" s="2" t="s">
        <v>27</v>
      </c>
      <c r="E2571" s="4">
        <v>-32783</v>
      </c>
      <c r="F2571" s="3" t="s">
        <v>896</v>
      </c>
      <c r="G2571" s="3" t="s">
        <v>20</v>
      </c>
      <c r="H2571" s="2" t="s">
        <v>74</v>
      </c>
      <c r="I2571" s="2" t="s">
        <v>7350</v>
      </c>
      <c r="J2571" s="3" t="str">
        <f>HYPERLINK("https://www.boe.es/gazeta/dias/1810/03/29/pdfs/GMD-1810-88.pdf#page=4","Abrir facsímil")</f>
        <v>Abrir facsímil</v>
      </c>
      <c r="K2571" s="3" t="s">
        <v>76</v>
      </c>
    </row>
    <row r="2572" spans="1:11" ht="42" customHeight="1">
      <c r="A2572" s="2" t="s">
        <v>7351</v>
      </c>
      <c r="B2572" s="2" t="s">
        <v>7352</v>
      </c>
      <c r="C2572" s="2" t="s">
        <v>88</v>
      </c>
      <c r="D2572" s="2" t="s">
        <v>117</v>
      </c>
      <c r="E2572" s="4">
        <v>-32757</v>
      </c>
      <c r="F2572" s="3" t="s">
        <v>1136</v>
      </c>
      <c r="G2572" s="3" t="s">
        <v>592</v>
      </c>
      <c r="H2572" s="2" t="s">
        <v>74</v>
      </c>
      <c r="I2572" s="2" t="s">
        <v>7353</v>
      </c>
      <c r="J2572" s="3" t="str">
        <f>HYPERLINK("https://www.boe.es/gazeta/dias/1810/04/24/pdfs/GEI-1810-17.pdf#page=7","Abrir facsímil")</f>
        <v>Abrir facsímil</v>
      </c>
      <c r="K2572" s="3" t="s">
        <v>76</v>
      </c>
    </row>
    <row r="2573" spans="1:11" ht="42" customHeight="1">
      <c r="A2573" s="2" t="s">
        <v>7354</v>
      </c>
      <c r="B2573" s="2" t="s">
        <v>7355</v>
      </c>
      <c r="C2573" s="2" t="s">
        <v>88</v>
      </c>
      <c r="D2573" s="2" t="s">
        <v>27</v>
      </c>
      <c r="E2573" s="4">
        <v>-32687</v>
      </c>
      <c r="F2573" s="3" t="s">
        <v>221</v>
      </c>
      <c r="G2573" s="3" t="s">
        <v>20</v>
      </c>
      <c r="H2573" s="2" t="s">
        <v>74</v>
      </c>
      <c r="I2573" s="2" t="s">
        <v>7356</v>
      </c>
      <c r="J2573" s="3" t="str">
        <f>HYPERLINK("https://www.boe.es/gazeta/dias/1810/07/03/pdfs/GMD-1810-184.pdf#page=4","Abrir facsímil")</f>
        <v>Abrir facsímil</v>
      </c>
      <c r="K2573" s="3" t="s">
        <v>76</v>
      </c>
    </row>
    <row r="2574" spans="1:11" ht="42" customHeight="1">
      <c r="A2574" s="2" t="s">
        <v>7357</v>
      </c>
      <c r="B2574" s="2" t="s">
        <v>7358</v>
      </c>
      <c r="C2574" s="2" t="s">
        <v>26</v>
      </c>
      <c r="D2574" s="2" t="s">
        <v>27</v>
      </c>
      <c r="E2574" s="4">
        <v>-32591</v>
      </c>
      <c r="F2574" s="3" t="s">
        <v>377</v>
      </c>
      <c r="G2574" s="3" t="s">
        <v>140</v>
      </c>
      <c r="H2574" s="2" t="s">
        <v>21</v>
      </c>
      <c r="I2574" s="2" t="s">
        <v>7359</v>
      </c>
      <c r="J2574" s="3" t="str">
        <f>HYPERLINK("https://www.boe.es/gazeta/dias/1810/10/07/pdfs/GMD-1810-280.pdf#page=4","Abrir facsímil")</f>
        <v>Abrir facsímil</v>
      </c>
      <c r="K2574" s="3" t="s">
        <v>23</v>
      </c>
    </row>
    <row r="2575" spans="1:11" ht="42" customHeight="1">
      <c r="A2575" s="2" t="s">
        <v>7360</v>
      </c>
      <c r="B2575" s="2" t="s">
        <v>7361</v>
      </c>
      <c r="C2575" s="2" t="s">
        <v>26</v>
      </c>
      <c r="D2575" s="2" t="s">
        <v>39</v>
      </c>
      <c r="E2575" s="4">
        <v>-32701</v>
      </c>
      <c r="F2575" s="3" t="s">
        <v>40</v>
      </c>
      <c r="G2575" s="3" t="s">
        <v>315</v>
      </c>
      <c r="H2575" s="2" t="s">
        <v>74</v>
      </c>
      <c r="I2575" s="2" t="s">
        <v>7362</v>
      </c>
      <c r="J2575" s="3" t="str">
        <f>HYPERLINK("https://www.boe.es/gazeta/dias/1810/06/19/pdfs/GMD-C-1810-170.pdf#page=2","Abrir facsímil")</f>
        <v>Abrir facsímil</v>
      </c>
      <c r="K2575" s="3" t="s">
        <v>76</v>
      </c>
    </row>
    <row r="2576" spans="1:11" ht="42" customHeight="1">
      <c r="A2576" s="2" t="s">
        <v>7363</v>
      </c>
      <c r="B2576" s="2" t="s">
        <v>7364</v>
      </c>
      <c r="C2576" s="2" t="s">
        <v>26</v>
      </c>
      <c r="D2576" s="2" t="s">
        <v>27</v>
      </c>
      <c r="E2576" s="4">
        <v>-32729</v>
      </c>
      <c r="F2576" s="3" t="s">
        <v>174</v>
      </c>
      <c r="G2576" s="3" t="s">
        <v>886</v>
      </c>
      <c r="H2576" s="2" t="s">
        <v>21</v>
      </c>
      <c r="I2576" s="2" t="s">
        <v>7365</v>
      </c>
      <c r="J2576" s="3" t="str">
        <f>HYPERLINK("https://www.boe.es/gazeta/dias/1810/05/22/pdfs/GEI-1810-28.pdf#page=11","Abrir facsímil")</f>
        <v>Abrir facsímil</v>
      </c>
      <c r="K2576" s="3" t="s">
        <v>23</v>
      </c>
    </row>
    <row r="2577" spans="1:11" ht="42" customHeight="1">
      <c r="A2577" s="2" t="s">
        <v>7366</v>
      </c>
      <c r="B2577" s="2" t="s">
        <v>7367</v>
      </c>
      <c r="C2577" s="2" t="s">
        <v>26</v>
      </c>
      <c r="D2577" s="2" t="s">
        <v>27</v>
      </c>
      <c r="E2577" s="4">
        <v>-32729</v>
      </c>
      <c r="F2577" s="3" t="s">
        <v>174</v>
      </c>
      <c r="G2577" s="3" t="s">
        <v>886</v>
      </c>
      <c r="H2577" s="2" t="s">
        <v>74</v>
      </c>
      <c r="I2577" s="2" t="s">
        <v>7368</v>
      </c>
      <c r="J2577" s="3" t="str">
        <f>HYPERLINK("https://www.boe.es/gazeta/dias/1810/05/22/pdfs/GEI-1810-28.pdf#page=11","Abrir facsímil")</f>
        <v>Abrir facsímil</v>
      </c>
      <c r="K2577" s="3" t="s">
        <v>76</v>
      </c>
    </row>
    <row r="2578" spans="1:11" ht="42" customHeight="1">
      <c r="A2578" s="2" t="s">
        <v>7369</v>
      </c>
      <c r="B2578" s="2" t="s">
        <v>7370</v>
      </c>
      <c r="C2578" s="2" t="s">
        <v>26</v>
      </c>
      <c r="D2578" s="2" t="s">
        <v>39</v>
      </c>
      <c r="E2578" s="4">
        <v>-32749</v>
      </c>
      <c r="F2578" s="3" t="s">
        <v>803</v>
      </c>
      <c r="G2578" s="3" t="s">
        <v>213</v>
      </c>
      <c r="H2578" s="2" t="s">
        <v>74</v>
      </c>
      <c r="I2578" s="2" t="s">
        <v>7371</v>
      </c>
      <c r="J2578" s="3" t="str">
        <f>HYPERLINK("https://www.boe.es/gazeta/dias/1810/05/02/pdfs/GMD-C-1810-122.pdf#page=1","Abrir facsímil")</f>
        <v>Abrir facsímil</v>
      </c>
      <c r="K2578" s="3" t="s">
        <v>76</v>
      </c>
    </row>
    <row r="2579" spans="1:11" ht="42" customHeight="1">
      <c r="A2579" s="2" t="s">
        <v>7372</v>
      </c>
      <c r="B2579" s="2" t="s">
        <v>7373</v>
      </c>
      <c r="C2579" s="2" t="s">
        <v>26</v>
      </c>
      <c r="D2579" s="2" t="s">
        <v>27</v>
      </c>
      <c r="E2579" s="4">
        <v>-32839</v>
      </c>
      <c r="F2579" s="3" t="s">
        <v>28</v>
      </c>
      <c r="G2579" s="3" t="s">
        <v>29</v>
      </c>
      <c r="H2579" s="2" t="s">
        <v>74</v>
      </c>
      <c r="I2579" s="2" t="s">
        <v>7374</v>
      </c>
      <c r="J2579" s="3" t="str">
        <f>HYPERLINK("https://www.boe.es/gazeta/dias/1810/02/01/pdfs/GMD-1810-32.pdf#page=3","Abrir facsímil")</f>
        <v>Abrir facsímil</v>
      </c>
      <c r="K2579" s="3" t="s">
        <v>76</v>
      </c>
    </row>
    <row r="2580" spans="1:11" ht="42" customHeight="1">
      <c r="A2580" s="2" t="s">
        <v>7375</v>
      </c>
      <c r="B2580" s="2" t="s">
        <v>7376</v>
      </c>
      <c r="C2580" s="2" t="s">
        <v>26</v>
      </c>
      <c r="D2580" s="2" t="s">
        <v>27</v>
      </c>
      <c r="E2580" s="4">
        <v>-32575</v>
      </c>
      <c r="F2580" s="3" t="s">
        <v>135</v>
      </c>
      <c r="G2580" s="3" t="s">
        <v>140</v>
      </c>
      <c r="H2580" s="2" t="s">
        <v>74</v>
      </c>
      <c r="I2580" s="2" t="s">
        <v>7377</v>
      </c>
      <c r="J2580" s="3" t="str">
        <f>HYPERLINK("https://www.boe.es/gazeta/dias/1810/10/23/pdfs/GEI-1810-85.pdf#page=10","Abrir facsímil")</f>
        <v>Abrir facsímil</v>
      </c>
      <c r="K2580" s="3" t="s">
        <v>76</v>
      </c>
    </row>
    <row r="2581" spans="1:11" ht="42" customHeight="1">
      <c r="A2581" s="2" t="s">
        <v>7378</v>
      </c>
      <c r="B2581" s="2" t="s">
        <v>7379</v>
      </c>
      <c r="C2581" s="2" t="s">
        <v>26</v>
      </c>
      <c r="D2581" s="2" t="s">
        <v>27</v>
      </c>
      <c r="E2581" s="4">
        <v>-32762</v>
      </c>
      <c r="F2581" s="3" t="s">
        <v>231</v>
      </c>
      <c r="G2581" s="3" t="s">
        <v>29</v>
      </c>
      <c r="H2581" s="2" t="s">
        <v>74</v>
      </c>
      <c r="I2581" s="2" t="s">
        <v>7380</v>
      </c>
      <c r="J2581" s="3" t="str">
        <f>HYPERLINK("https://www.boe.es/gazeta/dias/1810/04/19/pdfs/GMD-1810-109.pdf#page=2","Abrir facsímil")</f>
        <v>Abrir facsímil</v>
      </c>
      <c r="K2581" s="3" t="s">
        <v>76</v>
      </c>
    </row>
    <row r="2582" spans="1:11" ht="42" customHeight="1">
      <c r="A2582" s="2" t="s">
        <v>7381</v>
      </c>
      <c r="B2582" s="2" t="s">
        <v>7382</v>
      </c>
      <c r="C2582" s="2" t="s">
        <v>26</v>
      </c>
      <c r="D2582" s="2" t="s">
        <v>39</v>
      </c>
      <c r="E2582" s="4">
        <v>-32670</v>
      </c>
      <c r="F2582" s="3" t="s">
        <v>2457</v>
      </c>
      <c r="G2582" s="3" t="s">
        <v>1464</v>
      </c>
      <c r="H2582" s="2" t="s">
        <v>74</v>
      </c>
      <c r="I2582" s="2" t="s">
        <v>7383</v>
      </c>
      <c r="J2582" s="3" t="str">
        <f>HYPERLINK("https://www.boe.es/gazeta/dias/1810/07/20/pdfs/GMD-C-1810-201.pdf#page=3","Abrir facsímil")</f>
        <v>Abrir facsímil</v>
      </c>
      <c r="K2582" s="3" t="s">
        <v>76</v>
      </c>
    </row>
    <row r="2583" spans="1:11" ht="42" customHeight="1">
      <c r="A2583" s="2" t="s">
        <v>7384</v>
      </c>
      <c r="B2583" s="2" t="s">
        <v>7385</v>
      </c>
      <c r="C2583" s="2" t="s">
        <v>26</v>
      </c>
      <c r="D2583" s="2" t="s">
        <v>27</v>
      </c>
      <c r="E2583" s="4">
        <v>-32647</v>
      </c>
      <c r="F2583" s="3" t="s">
        <v>118</v>
      </c>
      <c r="G2583" s="3" t="s">
        <v>20</v>
      </c>
      <c r="H2583" s="2" t="s">
        <v>74</v>
      </c>
      <c r="I2583" s="2" t="s">
        <v>7386</v>
      </c>
      <c r="J2583" s="3" t="str">
        <f>HYPERLINK("https://www.boe.es/gazeta/dias/1810/08/12/pdfs/GMD-1810-224.pdf#page=4","Abrir facsímil")</f>
        <v>Abrir facsímil</v>
      </c>
      <c r="K2583" s="3" t="s">
        <v>76</v>
      </c>
    </row>
    <row r="2584" spans="1:11" ht="42" customHeight="1">
      <c r="A2584" s="2" t="s">
        <v>7387</v>
      </c>
      <c r="B2584" s="2" t="s">
        <v>7388</v>
      </c>
      <c r="C2584" s="2" t="s">
        <v>26</v>
      </c>
      <c r="D2584" s="2" t="s">
        <v>220</v>
      </c>
      <c r="E2584" s="4">
        <v>-32729</v>
      </c>
      <c r="F2584" s="3" t="s">
        <v>1025</v>
      </c>
      <c r="G2584" s="3" t="s">
        <v>735</v>
      </c>
      <c r="H2584" s="2" t="s">
        <v>74</v>
      </c>
      <c r="I2584" s="2" t="s">
        <v>7389</v>
      </c>
      <c r="J2584" s="3" t="str">
        <f>HYPERLINK("https://www.boe.es/gazeta/dias/1810/05/22/pdfs/GMD-1810-142.pdf#page=1","Abrir facsímil")</f>
        <v>Abrir facsímil</v>
      </c>
      <c r="K2584" s="3" t="s">
        <v>76</v>
      </c>
    </row>
    <row r="2585" spans="1:11" ht="42" customHeight="1">
      <c r="A2585" s="2" t="s">
        <v>7390</v>
      </c>
      <c r="B2585" s="2" t="s">
        <v>7391</v>
      </c>
      <c r="C2585" s="2" t="s">
        <v>26</v>
      </c>
      <c r="D2585" s="2" t="s">
        <v>39</v>
      </c>
      <c r="E2585" s="4">
        <v>-32702</v>
      </c>
      <c r="F2585" s="3" t="s">
        <v>179</v>
      </c>
      <c r="G2585" s="3" t="s">
        <v>517</v>
      </c>
      <c r="H2585" s="2" t="s">
        <v>74</v>
      </c>
      <c r="I2585" s="2" t="s">
        <v>7392</v>
      </c>
      <c r="J2585" s="3" t="str">
        <f>HYPERLINK("https://www.boe.es/gazeta/dias/1810/06/18/pdfs/GMD-C-1810-169.pdf#page=3","Abrir facsímil")</f>
        <v>Abrir facsímil</v>
      </c>
      <c r="K2585" s="3" t="s">
        <v>76</v>
      </c>
    </row>
    <row r="2586" spans="1:11" ht="42" customHeight="1">
      <c r="A2586" s="2" t="s">
        <v>7393</v>
      </c>
      <c r="B2586" s="2" t="s">
        <v>7394</v>
      </c>
      <c r="C2586" s="2" t="s">
        <v>26</v>
      </c>
      <c r="D2586" s="2" t="s">
        <v>39</v>
      </c>
      <c r="E2586" s="4">
        <v>-32702</v>
      </c>
      <c r="F2586" s="3" t="s">
        <v>179</v>
      </c>
      <c r="G2586" s="3" t="s">
        <v>180</v>
      </c>
      <c r="H2586" s="2" t="s">
        <v>74</v>
      </c>
      <c r="I2586" s="2" t="s">
        <v>7395</v>
      </c>
      <c r="J2586" s="3" t="str">
        <f>HYPERLINK("https://www.boe.es/gazeta/dias/1810/06/18/pdfs/GMD-C-1810-169.pdf#page=2","Abrir facsímil")</f>
        <v>Abrir facsímil</v>
      </c>
      <c r="K2586" s="3" t="s">
        <v>76</v>
      </c>
    </row>
    <row r="2587" spans="1:11" ht="42" customHeight="1">
      <c r="A2587" s="2" t="s">
        <v>7396</v>
      </c>
      <c r="B2587" s="2" t="s">
        <v>7397</v>
      </c>
      <c r="C2587" s="2" t="s">
        <v>26</v>
      </c>
      <c r="D2587" s="2" t="s">
        <v>18</v>
      </c>
      <c r="E2587" s="4">
        <v>-32659</v>
      </c>
      <c r="F2587" s="3" t="s">
        <v>1684</v>
      </c>
      <c r="G2587" s="3" t="s">
        <v>29</v>
      </c>
      <c r="H2587" s="2" t="s">
        <v>74</v>
      </c>
      <c r="I2587" s="2" t="s">
        <v>7398</v>
      </c>
      <c r="J2587" s="3" t="str">
        <f>HYPERLINK("https://www.boe.es/gazeta/dias/1810/07/31/pdfs/GMD-1810-212.pdf#page=4","Abrir facsímil")</f>
        <v>Abrir facsímil</v>
      </c>
      <c r="K2587" s="3" t="s">
        <v>76</v>
      </c>
    </row>
    <row r="2588" spans="1:11" ht="42" customHeight="1">
      <c r="A2588" s="2" t="s">
        <v>7399</v>
      </c>
      <c r="B2588" s="2" t="s">
        <v>7400</v>
      </c>
      <c r="C2588" s="2" t="s">
        <v>26</v>
      </c>
      <c r="D2588" s="2" t="s">
        <v>18</v>
      </c>
      <c r="E2588" s="4">
        <v>-32609</v>
      </c>
      <c r="F2588" s="3" t="s">
        <v>5358</v>
      </c>
      <c r="G2588" s="3" t="s">
        <v>29</v>
      </c>
      <c r="H2588" s="2" t="s">
        <v>74</v>
      </c>
      <c r="I2588" s="2" t="s">
        <v>7401</v>
      </c>
      <c r="J2588" s="3" t="str">
        <f>HYPERLINK("https://www.boe.es/gazeta/dias/1810/09/19/pdfs/GMD-1810-262.pdf#page=2","Abrir facsímil")</f>
        <v>Abrir facsímil</v>
      </c>
      <c r="K2588" s="3" t="s">
        <v>76</v>
      </c>
    </row>
    <row r="2589" spans="1:11" ht="42" customHeight="1">
      <c r="A2589" s="2" t="s">
        <v>7402</v>
      </c>
      <c r="B2589" s="2" t="s">
        <v>7403</v>
      </c>
      <c r="C2589" s="2" t="s">
        <v>33</v>
      </c>
      <c r="D2589" s="2" t="s">
        <v>27</v>
      </c>
      <c r="E2589" s="4">
        <v>-32710</v>
      </c>
      <c r="F2589" s="3" t="s">
        <v>126</v>
      </c>
      <c r="G2589" s="3" t="s">
        <v>20</v>
      </c>
      <c r="H2589" s="2" t="s">
        <v>74</v>
      </c>
      <c r="I2589" s="2" t="s">
        <v>7404</v>
      </c>
      <c r="J2589" s="3" t="str">
        <f>HYPERLINK("https://www.boe.es/gazeta/dias/1810/06/10/pdfs/GMD-1810-161.pdf#page=4","Abrir facsímil")</f>
        <v>Abrir facsímil</v>
      </c>
      <c r="K2589" s="3" t="s">
        <v>76</v>
      </c>
    </row>
    <row r="2590" spans="1:11" ht="42" customHeight="1">
      <c r="A2590" s="2" t="s">
        <v>7405</v>
      </c>
      <c r="B2590" s="2" t="s">
        <v>7406</v>
      </c>
      <c r="C2590" s="2" t="s">
        <v>26</v>
      </c>
      <c r="D2590" s="2" t="s">
        <v>39</v>
      </c>
      <c r="E2590" s="4">
        <v>-32701</v>
      </c>
      <c r="F2590" s="3" t="s">
        <v>40</v>
      </c>
      <c r="G2590" s="3" t="s">
        <v>315</v>
      </c>
      <c r="H2590" s="2" t="s">
        <v>74</v>
      </c>
      <c r="I2590" s="2" t="s">
        <v>7407</v>
      </c>
      <c r="J2590" s="3" t="str">
        <f>HYPERLINK("https://www.boe.es/gazeta/dias/1810/06/19/pdfs/GMD-C-1810-170.pdf#page=2","Abrir facsímil")</f>
        <v>Abrir facsímil</v>
      </c>
      <c r="K2590" s="3" t="s">
        <v>76</v>
      </c>
    </row>
    <row r="2591" spans="1:11" ht="42" customHeight="1">
      <c r="A2591" s="2" t="s">
        <v>7405</v>
      </c>
      <c r="B2591" s="2" t="s">
        <v>7406</v>
      </c>
      <c r="C2591" s="2" t="s">
        <v>26</v>
      </c>
      <c r="D2591" s="2" t="s">
        <v>39</v>
      </c>
      <c r="E2591" s="4">
        <v>-32701</v>
      </c>
      <c r="F2591" s="3" t="s">
        <v>40</v>
      </c>
      <c r="G2591" s="3" t="s">
        <v>41</v>
      </c>
      <c r="H2591" s="2" t="s">
        <v>74</v>
      </c>
      <c r="I2591" s="2" t="s">
        <v>7408</v>
      </c>
      <c r="J2591" s="3" t="str">
        <f>HYPERLINK("https://www.boe.es/gazeta/dias/1810/06/19/pdfs/GMD-C-1810-170.pdf#page=3","Abrir facsímil")</f>
        <v>Abrir facsímil</v>
      </c>
      <c r="K2591" s="3" t="s">
        <v>76</v>
      </c>
    </row>
    <row r="2592" spans="1:11" ht="42" customHeight="1">
      <c r="A2592" s="2" t="s">
        <v>7409</v>
      </c>
      <c r="B2592" s="2" t="s">
        <v>7410</v>
      </c>
      <c r="C2592" s="2" t="s">
        <v>26</v>
      </c>
      <c r="D2592" s="2" t="s">
        <v>39</v>
      </c>
      <c r="E2592" s="4">
        <v>-32701</v>
      </c>
      <c r="F2592" s="3" t="s">
        <v>40</v>
      </c>
      <c r="G2592" s="3" t="s">
        <v>315</v>
      </c>
      <c r="H2592" s="2" t="s">
        <v>74</v>
      </c>
      <c r="I2592" s="2" t="s">
        <v>7411</v>
      </c>
      <c r="J2592" s="3" t="str">
        <f>HYPERLINK("https://www.boe.es/gazeta/dias/1810/06/19/pdfs/GMD-C-1810-170.pdf#page=2","Abrir facsímil")</f>
        <v>Abrir facsímil</v>
      </c>
      <c r="K2592" s="3" t="s">
        <v>76</v>
      </c>
    </row>
    <row r="2593" spans="1:11" ht="42" customHeight="1">
      <c r="A2593" s="2" t="s">
        <v>7412</v>
      </c>
      <c r="B2593" s="2" t="s">
        <v>7413</v>
      </c>
      <c r="C2593" s="2" t="s">
        <v>33</v>
      </c>
      <c r="D2593" s="2" t="s">
        <v>27</v>
      </c>
      <c r="E2593" s="4">
        <v>-32591</v>
      </c>
      <c r="F2593" s="3" t="s">
        <v>377</v>
      </c>
      <c r="G2593" s="3" t="s">
        <v>140</v>
      </c>
      <c r="H2593" s="2" t="s">
        <v>74</v>
      </c>
      <c r="I2593" s="2" t="s">
        <v>7414</v>
      </c>
      <c r="J2593" s="3" t="str">
        <f>HYPERLINK("https://www.boe.es/gazeta/dias/1810/10/07/pdfs/GMD-1810-280.pdf#page=4","Abrir facsímil")</f>
        <v>Abrir facsímil</v>
      </c>
      <c r="K2593" s="3" t="s">
        <v>76</v>
      </c>
    </row>
    <row r="2594" spans="1:11" ht="42" customHeight="1">
      <c r="A2594" s="2" t="s">
        <v>7415</v>
      </c>
      <c r="B2594" s="2" t="s">
        <v>7416</v>
      </c>
      <c r="C2594" s="2" t="s">
        <v>26</v>
      </c>
      <c r="D2594" s="2" t="s">
        <v>27</v>
      </c>
      <c r="E2594" s="4">
        <v>-32740</v>
      </c>
      <c r="F2594" s="3" t="s">
        <v>721</v>
      </c>
      <c r="G2594" s="3" t="s">
        <v>7417</v>
      </c>
      <c r="H2594" s="2" t="s">
        <v>74</v>
      </c>
      <c r="I2594" s="2" t="s">
        <v>7418</v>
      </c>
      <c r="J2594" s="3" t="str">
        <f>HYPERLINK("https://www.boe.es/gazeta/dias/1810/05/11/pdfs/GEI-1810-24.pdf#page=12","Abrir facsímil")</f>
        <v>Abrir facsímil</v>
      </c>
      <c r="K2594" s="3" t="s">
        <v>76</v>
      </c>
    </row>
    <row r="2595" spans="1:11" ht="42" customHeight="1">
      <c r="A2595" s="2" t="s">
        <v>7419</v>
      </c>
      <c r="B2595" s="2" t="s">
        <v>7420</v>
      </c>
      <c r="C2595" s="2" t="s">
        <v>26</v>
      </c>
      <c r="D2595" s="2" t="s">
        <v>39</v>
      </c>
      <c r="E2595" s="4">
        <v>-32701</v>
      </c>
      <c r="F2595" s="3" t="s">
        <v>40</v>
      </c>
      <c r="G2595" s="3" t="s">
        <v>41</v>
      </c>
      <c r="H2595" s="2" t="s">
        <v>74</v>
      </c>
      <c r="I2595" s="2" t="s">
        <v>7421</v>
      </c>
      <c r="J2595" s="3" t="str">
        <f>HYPERLINK("https://www.boe.es/gazeta/dias/1810/06/19/pdfs/GMD-C-1810-170.pdf#page=3","Abrir facsímil")</f>
        <v>Abrir facsímil</v>
      </c>
      <c r="K2595" s="3" t="s">
        <v>76</v>
      </c>
    </row>
    <row r="2596" spans="1:11" ht="42" customHeight="1">
      <c r="A2596" s="2" t="s">
        <v>7422</v>
      </c>
      <c r="B2596" s="2" t="s">
        <v>7423</v>
      </c>
      <c r="C2596" s="2" t="s">
        <v>33</v>
      </c>
      <c r="D2596" s="2" t="s">
        <v>27</v>
      </c>
      <c r="E2596" s="4">
        <v>-32652</v>
      </c>
      <c r="F2596" s="3" t="s">
        <v>3295</v>
      </c>
      <c r="G2596" s="3" t="s">
        <v>7424</v>
      </c>
      <c r="H2596" s="2" t="s">
        <v>74</v>
      </c>
      <c r="I2596" s="2" t="s">
        <v>7425</v>
      </c>
      <c r="J2596" s="3" t="str">
        <f>HYPERLINK("https://www.boe.es/gazeta/dias/1810/08/07/pdfs/GEI-1810-52.pdf#page=8","Abrir facsímil")</f>
        <v>Abrir facsímil</v>
      </c>
      <c r="K2596" s="3" t="s">
        <v>76</v>
      </c>
    </row>
    <row r="2597" spans="1:11" ht="42" customHeight="1">
      <c r="A2597" s="2" t="s">
        <v>7426</v>
      </c>
      <c r="B2597" s="2" t="s">
        <v>7427</v>
      </c>
      <c r="C2597" s="2" t="s">
        <v>26</v>
      </c>
      <c r="D2597" s="2" t="s">
        <v>27</v>
      </c>
      <c r="E2597" s="4">
        <v>-32508</v>
      </c>
      <c r="F2597" s="3" t="s">
        <v>864</v>
      </c>
      <c r="G2597" s="3" t="s">
        <v>691</v>
      </c>
      <c r="H2597" s="2" t="s">
        <v>74</v>
      </c>
      <c r="I2597" s="2" t="s">
        <v>7428</v>
      </c>
      <c r="J2597" s="3" t="str">
        <f>HYPERLINK("https://www.boe.es/gazeta/dias/1810/12/29/pdfs/GEI-1810-114.pdf#page=8","Abrir facsímil")</f>
        <v>Abrir facsímil</v>
      </c>
      <c r="K2597" s="3" t="s">
        <v>76</v>
      </c>
    </row>
    <row r="2598" spans="1:11" ht="42" customHeight="1">
      <c r="A2598" s="2" t="s">
        <v>7429</v>
      </c>
      <c r="B2598" s="2" t="s">
        <v>7430</v>
      </c>
      <c r="C2598" s="2" t="s">
        <v>26</v>
      </c>
      <c r="D2598" s="2" t="s">
        <v>39</v>
      </c>
      <c r="E2598" s="4">
        <v>-32701</v>
      </c>
      <c r="F2598" s="3" t="s">
        <v>40</v>
      </c>
      <c r="G2598" s="3" t="s">
        <v>333</v>
      </c>
      <c r="H2598" s="2" t="s">
        <v>74</v>
      </c>
      <c r="I2598" s="2" t="s">
        <v>7431</v>
      </c>
      <c r="J2598" s="3" t="str">
        <f>HYPERLINK("https://www.boe.es/gazeta/dias/1810/06/19/pdfs/GMD-C-1810-170.pdf#page=4","Abrir facsímil")</f>
        <v>Abrir facsímil</v>
      </c>
      <c r="K2598" s="3" t="s">
        <v>76</v>
      </c>
    </row>
    <row r="2599" spans="1:11" ht="42" customHeight="1">
      <c r="A2599" s="2" t="s">
        <v>7432</v>
      </c>
      <c r="B2599" s="2" t="s">
        <v>7433</v>
      </c>
      <c r="C2599" s="2" t="s">
        <v>26</v>
      </c>
      <c r="D2599" s="2" t="s">
        <v>39</v>
      </c>
      <c r="E2599" s="4">
        <v>-32701</v>
      </c>
      <c r="F2599" s="3" t="s">
        <v>40</v>
      </c>
      <c r="G2599" s="3" t="s">
        <v>333</v>
      </c>
      <c r="H2599" s="2" t="s">
        <v>74</v>
      </c>
      <c r="I2599" s="2" t="s">
        <v>7434</v>
      </c>
      <c r="J2599" s="3" t="str">
        <f>HYPERLINK("https://www.boe.es/gazeta/dias/1810/06/19/pdfs/GMD-C-1810-170.pdf#page=4","Abrir facsímil")</f>
        <v>Abrir facsímil</v>
      </c>
      <c r="K2599" s="3" t="s">
        <v>76</v>
      </c>
    </row>
    <row r="2600" spans="1:11" ht="42" customHeight="1">
      <c r="A2600" s="2" t="s">
        <v>7435</v>
      </c>
      <c r="B2600" s="2" t="s">
        <v>7436</v>
      </c>
      <c r="C2600" s="2" t="s">
        <v>88</v>
      </c>
      <c r="D2600" s="2" t="s">
        <v>117</v>
      </c>
      <c r="E2600" s="4">
        <v>-32684</v>
      </c>
      <c r="F2600" s="3" t="s">
        <v>372</v>
      </c>
      <c r="G2600" s="3" t="s">
        <v>373</v>
      </c>
      <c r="H2600" s="2" t="s">
        <v>74</v>
      </c>
      <c r="I2600" s="2" t="s">
        <v>7437</v>
      </c>
      <c r="J2600" s="3" t="str">
        <f>HYPERLINK("https://www.boe.es/gazeta/dias/1810/07/06/pdfs/GEI-D-1810-42.pdf#page=8","Abrir facsímil")</f>
        <v>Abrir facsímil</v>
      </c>
      <c r="K2600" s="3" t="s">
        <v>76</v>
      </c>
    </row>
    <row r="2601" spans="1:11" ht="42" customHeight="1">
      <c r="A2601" s="2" t="s">
        <v>7438</v>
      </c>
      <c r="B2601" s="2" t="s">
        <v>7439</v>
      </c>
      <c r="C2601" s="2" t="s">
        <v>26</v>
      </c>
      <c r="D2601" s="2" t="s">
        <v>39</v>
      </c>
      <c r="E2601" s="4">
        <v>-32661</v>
      </c>
      <c r="F2601" s="3" t="s">
        <v>157</v>
      </c>
      <c r="G2601" s="3" t="s">
        <v>592</v>
      </c>
      <c r="H2601" s="2" t="s">
        <v>74</v>
      </c>
      <c r="I2601" s="2" t="s">
        <v>7440</v>
      </c>
      <c r="J2601" s="3" t="str">
        <f>HYPERLINK("https://www.boe.es/gazeta/dias/1810/07/29/pdfs/GMD-C-1810-210.pdf#page=2","Abrir facsímil")</f>
        <v>Abrir facsímil</v>
      </c>
      <c r="K2601" s="3" t="s">
        <v>76</v>
      </c>
    </row>
    <row r="2602" spans="1:11" ht="42" customHeight="1">
      <c r="A2602" s="2" t="s">
        <v>7441</v>
      </c>
      <c r="B2602" s="2" t="s">
        <v>7442</v>
      </c>
      <c r="C2602" s="2" t="s">
        <v>26</v>
      </c>
      <c r="D2602" s="2" t="s">
        <v>39</v>
      </c>
      <c r="E2602" s="4">
        <v>-32701</v>
      </c>
      <c r="F2602" s="3" t="s">
        <v>40</v>
      </c>
      <c r="G2602" s="3" t="s">
        <v>315</v>
      </c>
      <c r="H2602" s="2" t="s">
        <v>74</v>
      </c>
      <c r="I2602" s="2" t="s">
        <v>7443</v>
      </c>
      <c r="J2602" s="3" t="str">
        <f>HYPERLINK("https://www.boe.es/gazeta/dias/1810/06/19/pdfs/GMD-C-1810-170.pdf#page=2","Abrir facsímil")</f>
        <v>Abrir facsímil</v>
      </c>
      <c r="K2602" s="3" t="s">
        <v>76</v>
      </c>
    </row>
    <row r="2603" spans="1:11" ht="42" customHeight="1">
      <c r="A2603" s="2" t="s">
        <v>7444</v>
      </c>
      <c r="B2603" s="2" t="s">
        <v>7445</v>
      </c>
      <c r="C2603" s="2" t="s">
        <v>88</v>
      </c>
      <c r="D2603" s="2" t="s">
        <v>117</v>
      </c>
      <c r="E2603" s="4">
        <v>-32692</v>
      </c>
      <c r="F2603" s="3" t="s">
        <v>3698</v>
      </c>
      <c r="G2603" s="3" t="s">
        <v>140</v>
      </c>
      <c r="H2603" s="2" t="s">
        <v>74</v>
      </c>
      <c r="I2603" s="2" t="s">
        <v>7446</v>
      </c>
      <c r="J2603" s="3" t="str">
        <f>HYPERLINK("https://www.boe.es/gazeta/dias/1810/06/28/pdfs/GMD-1810-179.pdf#page=4","Abrir facsímil")</f>
        <v>Abrir facsímil</v>
      </c>
      <c r="K2603" s="3" t="s">
        <v>76</v>
      </c>
    </row>
    <row r="2604" spans="1:11" ht="42" customHeight="1">
      <c r="A2604" s="2" t="s">
        <v>7447</v>
      </c>
      <c r="B2604" s="2" t="s">
        <v>7448</v>
      </c>
      <c r="C2604" s="2" t="s">
        <v>26</v>
      </c>
      <c r="D2604" s="2" t="s">
        <v>39</v>
      </c>
      <c r="E2604" s="4">
        <v>-32702</v>
      </c>
      <c r="F2604" s="3" t="s">
        <v>179</v>
      </c>
      <c r="G2604" s="3" t="s">
        <v>119</v>
      </c>
      <c r="H2604" s="2" t="s">
        <v>74</v>
      </c>
      <c r="I2604" s="2" t="s">
        <v>7449</v>
      </c>
      <c r="J2604" s="3" t="str">
        <f>HYPERLINK("https://www.boe.es/gazeta/dias/1810/06/18/pdfs/GMD-C-1810-169.pdf#page=1","Abrir facsímil")</f>
        <v>Abrir facsímil</v>
      </c>
      <c r="K2604" s="3" t="s">
        <v>76</v>
      </c>
    </row>
    <row r="2605" spans="1:11" ht="42" customHeight="1">
      <c r="A2605" s="2" t="s">
        <v>7450</v>
      </c>
      <c r="B2605" s="2" t="s">
        <v>7451</v>
      </c>
      <c r="C2605" s="2" t="s">
        <v>26</v>
      </c>
      <c r="D2605" s="2" t="s">
        <v>39</v>
      </c>
      <c r="E2605" s="4">
        <v>-32701</v>
      </c>
      <c r="F2605" s="3" t="s">
        <v>40</v>
      </c>
      <c r="G2605" s="3" t="s">
        <v>333</v>
      </c>
      <c r="H2605" s="2" t="s">
        <v>74</v>
      </c>
      <c r="I2605" s="2" t="s">
        <v>7452</v>
      </c>
      <c r="J2605" s="3" t="str">
        <f>HYPERLINK("https://www.boe.es/gazeta/dias/1810/06/19/pdfs/GMD-C-1810-170.pdf#page=4","Abrir facsímil")</f>
        <v>Abrir facsímil</v>
      </c>
      <c r="K2605" s="3" t="s">
        <v>76</v>
      </c>
    </row>
    <row r="2606" spans="1:11" ht="42" customHeight="1">
      <c r="A2606" s="2" t="s">
        <v>7453</v>
      </c>
      <c r="B2606" s="2" t="s">
        <v>7454</v>
      </c>
      <c r="C2606" s="2" t="s">
        <v>26</v>
      </c>
      <c r="D2606" s="2" t="s">
        <v>27</v>
      </c>
      <c r="E2606" s="4">
        <v>-32735</v>
      </c>
      <c r="F2606" s="3" t="s">
        <v>612</v>
      </c>
      <c r="G2606" s="3" t="s">
        <v>359</v>
      </c>
      <c r="H2606" s="2" t="s">
        <v>74</v>
      </c>
      <c r="I2606" s="2" t="s">
        <v>7455</v>
      </c>
      <c r="J2606" s="3" t="str">
        <f>HYPERLINK("https://www.boe.es/gazeta/dias/1810/05/16/pdfs/GMD-1810-136.pdf#page=3","Abrir facsímil")</f>
        <v>Abrir facsímil</v>
      </c>
      <c r="K2606" s="3" t="s">
        <v>76</v>
      </c>
    </row>
    <row r="2607" spans="1:11" ht="42" customHeight="1">
      <c r="A2607" s="2" t="s">
        <v>7456</v>
      </c>
      <c r="B2607" s="2" t="s">
        <v>7457</v>
      </c>
      <c r="C2607" s="2" t="s">
        <v>26</v>
      </c>
      <c r="D2607" s="2" t="s">
        <v>27</v>
      </c>
      <c r="E2607" s="4">
        <v>-32591</v>
      </c>
      <c r="F2607" s="3" t="s">
        <v>377</v>
      </c>
      <c r="G2607" s="3" t="s">
        <v>140</v>
      </c>
      <c r="H2607" s="2" t="s">
        <v>74</v>
      </c>
      <c r="I2607" s="2" t="s">
        <v>7458</v>
      </c>
      <c r="J2607" s="3" t="str">
        <f>HYPERLINK("https://www.boe.es/gazeta/dias/1810/10/07/pdfs/GMD-1810-280.pdf#page=4","Abrir facsímil")</f>
        <v>Abrir facsímil</v>
      </c>
      <c r="K2607" s="3" t="s">
        <v>76</v>
      </c>
    </row>
    <row r="2608" spans="1:11" ht="42" customHeight="1">
      <c r="A2608" s="2" t="s">
        <v>7459</v>
      </c>
      <c r="B2608" s="2" t="s">
        <v>7460</v>
      </c>
      <c r="C2608" s="2" t="s">
        <v>26</v>
      </c>
      <c r="D2608" s="2" t="s">
        <v>18</v>
      </c>
      <c r="E2608" s="4">
        <v>-32687</v>
      </c>
      <c r="F2608" s="3" t="s">
        <v>263</v>
      </c>
      <c r="G2608" s="3" t="s">
        <v>7461</v>
      </c>
      <c r="H2608" s="2" t="s">
        <v>74</v>
      </c>
      <c r="I2608" s="2" t="s">
        <v>7462</v>
      </c>
      <c r="J2608" s="3" t="str">
        <f>HYPERLINK("https://www.boe.es/gazeta/dias/1810/07/03/pdfs/GEI-1810-41.pdf#page=8","Abrir facsímil")</f>
        <v>Abrir facsímil</v>
      </c>
      <c r="K2608" s="3" t="s">
        <v>76</v>
      </c>
    </row>
    <row r="2609" spans="1:11" ht="42" customHeight="1">
      <c r="A2609" s="2" t="s">
        <v>7463</v>
      </c>
      <c r="B2609" s="2" t="s">
        <v>7464</v>
      </c>
      <c r="C2609" s="2" t="s">
        <v>88</v>
      </c>
      <c r="D2609" s="2" t="s">
        <v>117</v>
      </c>
      <c r="E2609" s="4">
        <v>-32757</v>
      </c>
      <c r="F2609" s="3" t="s">
        <v>1136</v>
      </c>
      <c r="G2609" s="3" t="s">
        <v>592</v>
      </c>
      <c r="H2609" s="2" t="s">
        <v>74</v>
      </c>
      <c r="I2609" s="2" t="s">
        <v>7465</v>
      </c>
      <c r="J2609" s="3" t="str">
        <f>HYPERLINK("https://www.boe.es/gazeta/dias/1810/04/24/pdfs/GEI-1810-17.pdf#page=7","Abrir facsímil")</f>
        <v>Abrir facsímil</v>
      </c>
      <c r="K2609" s="3" t="s">
        <v>76</v>
      </c>
    </row>
    <row r="2610" spans="1:11" ht="42" customHeight="1">
      <c r="A2610" s="2" t="s">
        <v>7466</v>
      </c>
      <c r="B2610" s="2" t="s">
        <v>7467</v>
      </c>
      <c r="C2610" s="2" t="s">
        <v>33</v>
      </c>
      <c r="D2610" s="2" t="s">
        <v>27</v>
      </c>
      <c r="E2610" s="4">
        <v>-32820</v>
      </c>
      <c r="F2610" s="3" t="s">
        <v>226</v>
      </c>
      <c r="G2610" s="3" t="s">
        <v>356</v>
      </c>
      <c r="H2610" s="2" t="s">
        <v>74</v>
      </c>
      <c r="I2610" s="2" t="s">
        <v>7468</v>
      </c>
      <c r="J2610" s="3" t="str">
        <f>HYPERLINK("https://www.boe.es/gazeta/dias/1810/02/20/pdfs/GMD-1810-51.pdf#page=3","Abrir facsímil")</f>
        <v>Abrir facsímil</v>
      </c>
      <c r="K2610" s="3" t="s">
        <v>76</v>
      </c>
    </row>
    <row r="2611" spans="1:11" ht="42" customHeight="1">
      <c r="A2611" s="2" t="s">
        <v>7469</v>
      </c>
      <c r="B2611" s="2" t="s">
        <v>7470</v>
      </c>
      <c r="C2611" s="2" t="s">
        <v>26</v>
      </c>
      <c r="D2611" s="2" t="s">
        <v>27</v>
      </c>
      <c r="E2611" s="4">
        <v>-32647</v>
      </c>
      <c r="F2611" s="3" t="s">
        <v>118</v>
      </c>
      <c r="G2611" s="3" t="s">
        <v>140</v>
      </c>
      <c r="H2611" s="2" t="s">
        <v>74</v>
      </c>
      <c r="I2611" s="2" t="s">
        <v>7471</v>
      </c>
      <c r="J2611" s="3" t="str">
        <f>HYPERLINK("https://www.boe.es/gazeta/dias/1810/08/12/pdfs/GMD-1810-224.pdf#page=2","Abrir facsímil")</f>
        <v>Abrir facsímil</v>
      </c>
      <c r="K2611" s="3" t="s">
        <v>76</v>
      </c>
    </row>
    <row r="2612" spans="1:11" ht="42" customHeight="1">
      <c r="A2612" s="2" t="s">
        <v>7472</v>
      </c>
      <c r="B2612" s="2" t="s">
        <v>7473</v>
      </c>
      <c r="C2612" s="2" t="s">
        <v>88</v>
      </c>
      <c r="D2612" s="2" t="s">
        <v>27</v>
      </c>
      <c r="E2612" s="4">
        <v>-32771</v>
      </c>
      <c r="F2612" s="3" t="s">
        <v>543</v>
      </c>
      <c r="G2612" s="3" t="s">
        <v>65</v>
      </c>
      <c r="H2612" s="2" t="s">
        <v>74</v>
      </c>
      <c r="I2612" s="2" t="s">
        <v>7474</v>
      </c>
      <c r="J2612" s="3" t="str">
        <f>HYPERLINK("https://www.boe.es/gazeta/dias/1810/04/10/pdfs/GEI-1810-13.pdf#page=7","Abrir facsímil")</f>
        <v>Abrir facsímil</v>
      </c>
      <c r="K2612" s="3" t="s">
        <v>76</v>
      </c>
    </row>
    <row r="2613" spans="1:11" ht="42" customHeight="1">
      <c r="A2613" s="2" t="s">
        <v>7472</v>
      </c>
      <c r="B2613" s="2" t="s">
        <v>7473</v>
      </c>
      <c r="C2613" s="2" t="s">
        <v>88</v>
      </c>
      <c r="D2613" s="2" t="s">
        <v>27</v>
      </c>
      <c r="E2613" s="4">
        <v>-32744</v>
      </c>
      <c r="F2613" s="3" t="s">
        <v>1570</v>
      </c>
      <c r="G2613" s="3" t="s">
        <v>136</v>
      </c>
      <c r="H2613" s="2" t="s">
        <v>74</v>
      </c>
      <c r="I2613" s="2" t="s">
        <v>7475</v>
      </c>
      <c r="J2613" s="3" t="str">
        <f>HYPERLINK("https://www.boe.es/gazeta/dias/1810/05/07/pdfs/GMD-1810-127.pdf#page=4","Abrir facsímil")</f>
        <v>Abrir facsímil</v>
      </c>
      <c r="K2613" s="3" t="s">
        <v>76</v>
      </c>
    </row>
    <row r="2614" spans="1:11" ht="42" customHeight="1">
      <c r="A2614" s="2" t="s">
        <v>7472</v>
      </c>
      <c r="B2614" s="2" t="s">
        <v>7473</v>
      </c>
      <c r="C2614" s="2" t="s">
        <v>88</v>
      </c>
      <c r="D2614" s="2" t="s">
        <v>27</v>
      </c>
      <c r="E2614" s="4">
        <v>-32557</v>
      </c>
      <c r="F2614" s="3" t="s">
        <v>837</v>
      </c>
      <c r="G2614" s="3" t="s">
        <v>2073</v>
      </c>
      <c r="H2614" s="2" t="s">
        <v>74</v>
      </c>
      <c r="I2614" s="2" t="s">
        <v>7476</v>
      </c>
      <c r="J2614" s="3" t="str">
        <f>HYPERLINK("https://www.boe.es/gazeta/dias/1810/11/10/pdfs/GEI-1810-93.pdf#page=7","Abrir facsímil")</f>
        <v>Abrir facsímil</v>
      </c>
      <c r="K2614" s="3" t="s">
        <v>76</v>
      </c>
    </row>
    <row r="2615" spans="1:11" ht="42" customHeight="1">
      <c r="A2615" s="2" t="s">
        <v>7477</v>
      </c>
      <c r="B2615" s="2" t="s">
        <v>7478</v>
      </c>
      <c r="C2615" s="2" t="s">
        <v>195</v>
      </c>
      <c r="D2615" s="2" t="s">
        <v>27</v>
      </c>
      <c r="E2615" s="4">
        <v>-32837</v>
      </c>
      <c r="F2615" s="3" t="s">
        <v>196</v>
      </c>
      <c r="G2615" s="3" t="s">
        <v>140</v>
      </c>
      <c r="H2615" s="2" t="s">
        <v>74</v>
      </c>
      <c r="I2615" s="2" t="s">
        <v>7479</v>
      </c>
      <c r="J2615" s="3" t="str">
        <f>HYPERLINK("https://www.boe.es/gazeta/dias/1810/02/03/pdfs/GMD-1810-34.pdf#page=4","Abrir facsímil")</f>
        <v>Abrir facsímil</v>
      </c>
      <c r="K2615" s="3" t="s">
        <v>76</v>
      </c>
    </row>
    <row r="2616" spans="1:11" ht="42" customHeight="1">
      <c r="A2616" s="2" t="s">
        <v>7480</v>
      </c>
      <c r="B2616" s="2" t="s">
        <v>7481</v>
      </c>
      <c r="C2616" s="2" t="s">
        <v>26</v>
      </c>
      <c r="D2616" s="2" t="s">
        <v>27</v>
      </c>
      <c r="E2616" s="4">
        <v>-32684</v>
      </c>
      <c r="F2616" s="3" t="s">
        <v>1373</v>
      </c>
      <c r="G2616" s="3" t="s">
        <v>1374</v>
      </c>
      <c r="H2616" s="2" t="s">
        <v>74</v>
      </c>
      <c r="I2616" s="2" t="s">
        <v>7482</v>
      </c>
      <c r="J2616" s="3" t="str">
        <f>HYPERLINK("https://www.boe.es/gazeta/dias/1810/07/06/pdfs/GEI-1810-42.pdf#page=8","Abrir facsímil")</f>
        <v>Abrir facsímil</v>
      </c>
      <c r="K2616" s="3" t="s">
        <v>76</v>
      </c>
    </row>
    <row r="2617" spans="1:11" ht="42" customHeight="1">
      <c r="A2617" s="2" t="s">
        <v>7483</v>
      </c>
      <c r="B2617" s="2" t="s">
        <v>7484</v>
      </c>
      <c r="C2617" s="2" t="s">
        <v>26</v>
      </c>
      <c r="D2617" s="2" t="s">
        <v>39</v>
      </c>
      <c r="E2617" s="4">
        <v>-32701</v>
      </c>
      <c r="F2617" s="3" t="s">
        <v>40</v>
      </c>
      <c r="G2617" s="3" t="s">
        <v>315</v>
      </c>
      <c r="H2617" s="2" t="s">
        <v>74</v>
      </c>
      <c r="I2617" s="2" t="s">
        <v>7485</v>
      </c>
      <c r="J2617" s="3" t="str">
        <f>HYPERLINK("https://www.boe.es/gazeta/dias/1810/06/19/pdfs/GMD-C-1810-170.pdf#page=2","Abrir facsímil")</f>
        <v>Abrir facsímil</v>
      </c>
      <c r="K2617" s="3" t="s">
        <v>76</v>
      </c>
    </row>
    <row r="2618" spans="1:11" ht="42" customHeight="1">
      <c r="A2618" s="2" t="s">
        <v>7486</v>
      </c>
      <c r="B2618" s="2" t="s">
        <v>7487</v>
      </c>
      <c r="C2618" s="2" t="s">
        <v>26</v>
      </c>
      <c r="D2618" s="2" t="s">
        <v>27</v>
      </c>
      <c r="E2618" s="4">
        <v>-32545</v>
      </c>
      <c r="F2618" s="3" t="s">
        <v>165</v>
      </c>
      <c r="G2618" s="3" t="s">
        <v>166</v>
      </c>
      <c r="H2618" s="2" t="s">
        <v>74</v>
      </c>
      <c r="I2618" s="2" t="s">
        <v>7488</v>
      </c>
      <c r="J2618" s="3" t="str">
        <f>HYPERLINK("https://www.boe.es/gazeta/dias/1810/11/22/pdfs/GEI-1810-98.pdf#page=8","Abrir facsímil")</f>
        <v>Abrir facsímil</v>
      </c>
      <c r="K2618" s="3" t="s">
        <v>76</v>
      </c>
    </row>
    <row r="2619" spans="1:11" ht="42" customHeight="1">
      <c r="A2619" s="2" t="s">
        <v>7489</v>
      </c>
      <c r="B2619" s="2" t="s">
        <v>7490</v>
      </c>
      <c r="C2619" s="2" t="s">
        <v>26</v>
      </c>
      <c r="D2619" s="2" t="s">
        <v>27</v>
      </c>
      <c r="E2619" s="4">
        <v>-32575</v>
      </c>
      <c r="F2619" s="3" t="s">
        <v>135</v>
      </c>
      <c r="G2619" s="3" t="s">
        <v>136</v>
      </c>
      <c r="H2619" s="2" t="s">
        <v>74</v>
      </c>
      <c r="I2619" s="2" t="s">
        <v>7491</v>
      </c>
      <c r="J2619" s="3" t="str">
        <f>HYPERLINK("https://www.boe.es/gazeta/dias/1810/10/23/pdfs/GEI-1810-85.pdf#page=11","Abrir facsímil")</f>
        <v>Abrir facsímil</v>
      </c>
      <c r="K2619" s="3" t="s">
        <v>76</v>
      </c>
    </row>
    <row r="2620" spans="1:11" ht="42" customHeight="1">
      <c r="A2620" s="2" t="s">
        <v>7492</v>
      </c>
      <c r="B2620" s="2" t="s">
        <v>7493</v>
      </c>
      <c r="C2620" s="2" t="s">
        <v>26</v>
      </c>
      <c r="D2620" s="2" t="s">
        <v>39</v>
      </c>
      <c r="E2620" s="4">
        <v>-32701</v>
      </c>
      <c r="F2620" s="3" t="s">
        <v>40</v>
      </c>
      <c r="G2620" s="3" t="s">
        <v>315</v>
      </c>
      <c r="H2620" s="2" t="s">
        <v>74</v>
      </c>
      <c r="I2620" s="2" t="s">
        <v>7494</v>
      </c>
      <c r="J2620" s="3" t="str">
        <f>HYPERLINK("https://www.boe.es/gazeta/dias/1810/06/19/pdfs/GMD-C-1810-170.pdf#page=2","Abrir facsímil")</f>
        <v>Abrir facsímil</v>
      </c>
      <c r="K2620" s="3" t="s">
        <v>76</v>
      </c>
    </row>
    <row r="2621" spans="1:11" ht="42" customHeight="1">
      <c r="A2621" s="2" t="s">
        <v>7495</v>
      </c>
      <c r="B2621" s="2" t="s">
        <v>7496</v>
      </c>
      <c r="C2621" s="2" t="s">
        <v>26</v>
      </c>
      <c r="D2621" s="2" t="s">
        <v>27</v>
      </c>
      <c r="E2621" s="4">
        <v>-32837</v>
      </c>
      <c r="F2621" s="3" t="s">
        <v>196</v>
      </c>
      <c r="G2621" s="3" t="s">
        <v>213</v>
      </c>
      <c r="H2621" s="2" t="s">
        <v>74</v>
      </c>
      <c r="I2621" s="2" t="s">
        <v>7497</v>
      </c>
      <c r="J2621" s="3" t="str">
        <f>HYPERLINK("https://www.boe.es/gazeta/dias/1810/02/03/pdfs/GMD-1810-34.pdf#page=2","Abrir facsímil")</f>
        <v>Abrir facsímil</v>
      </c>
      <c r="K2621" s="3" t="s">
        <v>76</v>
      </c>
    </row>
    <row r="2622" spans="1:11" ht="42" customHeight="1">
      <c r="A2622" s="2" t="s">
        <v>7498</v>
      </c>
      <c r="B2622" s="2" t="s">
        <v>7499</v>
      </c>
      <c r="C2622" s="2" t="s">
        <v>26</v>
      </c>
      <c r="D2622" s="2" t="s">
        <v>27</v>
      </c>
      <c r="E2622" s="4">
        <v>-32562</v>
      </c>
      <c r="F2622" s="3" t="s">
        <v>1186</v>
      </c>
      <c r="G2622" s="3" t="s">
        <v>90</v>
      </c>
      <c r="H2622" s="2" t="s">
        <v>74</v>
      </c>
      <c r="I2622" s="2" t="s">
        <v>7500</v>
      </c>
      <c r="J2622" s="3" t="str">
        <f>HYPERLINK("https://www.boe.es/gazeta/dias/1810/11/05/pdfs/GMD-1810-309.pdf#page=3","Abrir facsímil")</f>
        <v>Abrir facsímil</v>
      </c>
      <c r="K2622" s="3" t="s">
        <v>76</v>
      </c>
    </row>
    <row r="2623" spans="1:11" ht="42" customHeight="1">
      <c r="A2623" s="2" t="s">
        <v>7501</v>
      </c>
      <c r="B2623" s="2" t="s">
        <v>7502</v>
      </c>
      <c r="C2623" s="2" t="s">
        <v>26</v>
      </c>
      <c r="D2623" s="2" t="s">
        <v>18</v>
      </c>
      <c r="E2623" s="4">
        <v>-32829</v>
      </c>
      <c r="F2623" s="3" t="s">
        <v>1126</v>
      </c>
      <c r="G2623" s="3" t="s">
        <v>29</v>
      </c>
      <c r="H2623" s="2" t="s">
        <v>74</v>
      </c>
      <c r="I2623" s="2" t="s">
        <v>7503</v>
      </c>
      <c r="J2623" s="3" t="str">
        <f>HYPERLINK("https://www.boe.es/gazeta/dias/1810/02/11/pdfs/GMD-1810-42.pdf#page=2","Abrir facsímil")</f>
        <v>Abrir facsímil</v>
      </c>
      <c r="K2623" s="3" t="s">
        <v>76</v>
      </c>
    </row>
    <row r="2624" spans="1:11" ht="42" customHeight="1">
      <c r="A2624" s="2" t="s">
        <v>7501</v>
      </c>
      <c r="B2624" s="2" t="s">
        <v>7502</v>
      </c>
      <c r="C2624" s="2" t="s">
        <v>88</v>
      </c>
      <c r="D2624" s="2" t="s">
        <v>27</v>
      </c>
      <c r="E2624" s="4">
        <v>-32700</v>
      </c>
      <c r="F2624" s="3" t="s">
        <v>89</v>
      </c>
      <c r="G2624" s="3" t="s">
        <v>29</v>
      </c>
      <c r="H2624" s="2" t="s">
        <v>74</v>
      </c>
      <c r="I2624" s="2" t="s">
        <v>7504</v>
      </c>
      <c r="J2624" s="3" t="str">
        <f>HYPERLINK("https://www.boe.es/gazeta/dias/1810/06/20/pdfs/GMD-1810-171.pdf#page=3","Abrir facsímil")</f>
        <v>Abrir facsímil</v>
      </c>
      <c r="K2624" s="3" t="s">
        <v>76</v>
      </c>
    </row>
    <row r="2625" spans="1:11" ht="42" customHeight="1">
      <c r="A2625" s="2" t="s">
        <v>7505</v>
      </c>
      <c r="B2625" s="2" t="s">
        <v>7506</v>
      </c>
      <c r="C2625" s="2" t="s">
        <v>26</v>
      </c>
      <c r="D2625" s="2" t="s">
        <v>27</v>
      </c>
      <c r="E2625" s="4">
        <v>-32771</v>
      </c>
      <c r="F2625" s="3" t="s">
        <v>543</v>
      </c>
      <c r="G2625" s="3" t="s">
        <v>65</v>
      </c>
      <c r="H2625" s="2" t="s">
        <v>74</v>
      </c>
      <c r="I2625" s="2" t="s">
        <v>7507</v>
      </c>
      <c r="J2625" s="3" t="str">
        <f>HYPERLINK("https://www.boe.es/gazeta/dias/1810/04/10/pdfs/GEI-1810-13.pdf#page=7","Abrir facsímil")</f>
        <v>Abrir facsímil</v>
      </c>
      <c r="K2625" s="3" t="s">
        <v>76</v>
      </c>
    </row>
    <row r="2626" spans="1:11" ht="42" customHeight="1">
      <c r="A2626" s="2" t="s">
        <v>7508</v>
      </c>
      <c r="B2626" s="2" t="s">
        <v>7509</v>
      </c>
      <c r="C2626" s="2" t="s">
        <v>225</v>
      </c>
      <c r="D2626" s="2" t="s">
        <v>27</v>
      </c>
      <c r="E2626" s="4">
        <v>-32610</v>
      </c>
      <c r="F2626" s="3" t="s">
        <v>4991</v>
      </c>
      <c r="G2626" s="3" t="s">
        <v>7510</v>
      </c>
      <c r="H2626" s="2" t="s">
        <v>74</v>
      </c>
      <c r="I2626" s="2" t="s">
        <v>7511</v>
      </c>
      <c r="J2626" s="3" t="str">
        <f>HYPERLINK("https://www.boe.es/gazeta/dias/1810/09/18/pdfs/GEI-1810-69.pdf#page=1","Abrir facsímil")</f>
        <v>Abrir facsímil</v>
      </c>
      <c r="K2626" s="3" t="s">
        <v>76</v>
      </c>
    </row>
    <row r="2627" spans="1:11" ht="42" customHeight="1">
      <c r="A2627" s="2" t="s">
        <v>7512</v>
      </c>
      <c r="B2627" s="2" t="s">
        <v>7513</v>
      </c>
      <c r="C2627" s="2" t="s">
        <v>26</v>
      </c>
      <c r="D2627" s="2" t="s">
        <v>27</v>
      </c>
      <c r="E2627" s="4">
        <v>-32647</v>
      </c>
      <c r="F2627" s="3" t="s">
        <v>118</v>
      </c>
      <c r="G2627" s="3" t="s">
        <v>20</v>
      </c>
      <c r="H2627" s="2" t="s">
        <v>74</v>
      </c>
      <c r="I2627" s="2" t="s">
        <v>7514</v>
      </c>
      <c r="J2627" s="3" t="str">
        <f>HYPERLINK("https://www.boe.es/gazeta/dias/1810/08/12/pdfs/GMD-1810-224.pdf#page=4","Abrir facsímil")</f>
        <v>Abrir facsímil</v>
      </c>
      <c r="K2627" s="3" t="s">
        <v>76</v>
      </c>
    </row>
    <row r="2628" spans="1:11" ht="42" customHeight="1">
      <c r="A2628" s="2" t="s">
        <v>7515</v>
      </c>
      <c r="B2628" s="2" t="s">
        <v>7516</v>
      </c>
      <c r="C2628" s="2" t="s">
        <v>88</v>
      </c>
      <c r="D2628" s="2" t="s">
        <v>27</v>
      </c>
      <c r="E2628" s="4">
        <v>-32789</v>
      </c>
      <c r="F2628" s="3" t="s">
        <v>1468</v>
      </c>
      <c r="G2628" s="3" t="s">
        <v>140</v>
      </c>
      <c r="H2628" s="2" t="s">
        <v>74</v>
      </c>
      <c r="I2628" s="2" t="s">
        <v>7517</v>
      </c>
      <c r="J2628" s="3" t="str">
        <f>HYPERLINK("https://www.boe.es/gazeta/dias/1810/03/23/pdfs/GEI-1810-5.pdf#page=8","Abrir facsímil")</f>
        <v>Abrir facsímil</v>
      </c>
      <c r="K2628" s="3" t="s">
        <v>76</v>
      </c>
    </row>
    <row r="2629" spans="1:11" ht="42" customHeight="1">
      <c r="A2629" s="2" t="s">
        <v>7518</v>
      </c>
      <c r="B2629" s="2" t="s">
        <v>7519</v>
      </c>
      <c r="C2629" s="2" t="s">
        <v>88</v>
      </c>
      <c r="D2629" s="2" t="s">
        <v>27</v>
      </c>
      <c r="E2629" s="4">
        <v>-32508</v>
      </c>
      <c r="F2629" s="3" t="s">
        <v>864</v>
      </c>
      <c r="G2629" s="3" t="s">
        <v>1764</v>
      </c>
      <c r="H2629" s="2" t="s">
        <v>74</v>
      </c>
      <c r="I2629" s="2" t="s">
        <v>7520</v>
      </c>
      <c r="J2629" s="3" t="str">
        <f>HYPERLINK("https://www.boe.es/gazeta/dias/1810/12/29/pdfs/GEI-1810-114.pdf#page=7","Abrir facsímil")</f>
        <v>Abrir facsímil</v>
      </c>
      <c r="K2629" s="3" t="s">
        <v>76</v>
      </c>
    </row>
    <row r="2630" spans="1:11" ht="42" customHeight="1">
      <c r="A2630" s="2" t="s">
        <v>7521</v>
      </c>
      <c r="B2630" s="2" t="s">
        <v>7522</v>
      </c>
      <c r="C2630" s="2" t="s">
        <v>26</v>
      </c>
      <c r="D2630" s="2" t="s">
        <v>27</v>
      </c>
      <c r="E2630" s="4">
        <v>-32669</v>
      </c>
      <c r="F2630" s="3" t="s">
        <v>217</v>
      </c>
      <c r="G2630" s="3" t="s">
        <v>20</v>
      </c>
      <c r="H2630" s="2" t="s">
        <v>74</v>
      </c>
      <c r="I2630" s="2" t="s">
        <v>7523</v>
      </c>
      <c r="J2630" s="3" t="str">
        <f>HYPERLINK("https://www.boe.es/gazeta/dias/1810/07/21/pdfs/GMD-1810-202.pdf#page=4","Abrir facsímil")</f>
        <v>Abrir facsímil</v>
      </c>
      <c r="K2630" s="3" t="s">
        <v>76</v>
      </c>
    </row>
    <row r="2631" spans="1:11" ht="42" customHeight="1">
      <c r="A2631" s="2" t="s">
        <v>7524</v>
      </c>
      <c r="B2631" s="2" t="s">
        <v>7525</v>
      </c>
      <c r="C2631" s="2" t="s">
        <v>26</v>
      </c>
      <c r="D2631" s="2" t="s">
        <v>39</v>
      </c>
      <c r="E2631" s="4">
        <v>-32669</v>
      </c>
      <c r="F2631" s="3" t="s">
        <v>1110</v>
      </c>
      <c r="G2631" s="3" t="s">
        <v>29</v>
      </c>
      <c r="H2631" s="2" t="s">
        <v>74</v>
      </c>
      <c r="I2631" s="2" t="s">
        <v>7526</v>
      </c>
      <c r="J2631" s="3" t="str">
        <f>HYPERLINK("https://www.boe.es/gazeta/dias/1810/07/21/pdfs/GMD-C-1810-202.pdf#page=4","Abrir facsímil")</f>
        <v>Abrir facsímil</v>
      </c>
      <c r="K2631" s="3" t="s">
        <v>76</v>
      </c>
    </row>
    <row r="2632" spans="1:11" ht="42" customHeight="1">
      <c r="A2632" s="2" t="s">
        <v>7527</v>
      </c>
      <c r="B2632" s="2" t="s">
        <v>7528</v>
      </c>
      <c r="C2632" s="2" t="s">
        <v>26</v>
      </c>
      <c r="D2632" s="2" t="s">
        <v>27</v>
      </c>
      <c r="E2632" s="4">
        <v>-32710</v>
      </c>
      <c r="F2632" s="3" t="s">
        <v>126</v>
      </c>
      <c r="G2632" s="3" t="s">
        <v>184</v>
      </c>
      <c r="H2632" s="2" t="s">
        <v>74</v>
      </c>
      <c r="I2632" s="2" t="s">
        <v>7529</v>
      </c>
      <c r="J2632" s="3" t="str">
        <f>HYPERLINK("https://www.boe.es/gazeta/dias/1810/06/10/pdfs/GMD-1810-161.pdf#page=3","Abrir facsímil")</f>
        <v>Abrir facsímil</v>
      </c>
      <c r="K2632" s="3" t="s">
        <v>76</v>
      </c>
    </row>
    <row r="2633" spans="1:11" ht="42" customHeight="1">
      <c r="A2633" s="2" t="s">
        <v>7530</v>
      </c>
      <c r="B2633" s="2" t="s">
        <v>7531</v>
      </c>
      <c r="C2633" s="2" t="s">
        <v>26</v>
      </c>
      <c r="D2633" s="2" t="s">
        <v>27</v>
      </c>
      <c r="E2633" s="4">
        <v>-32594</v>
      </c>
      <c r="F2633" s="3" t="s">
        <v>885</v>
      </c>
      <c r="G2633" s="3" t="s">
        <v>7532</v>
      </c>
      <c r="H2633" s="2" t="s">
        <v>74</v>
      </c>
      <c r="I2633" s="2" t="s">
        <v>7533</v>
      </c>
      <c r="J2633" s="3" t="str">
        <f>HYPERLINK("https://www.boe.es/gazeta/dias/1810/10/04/pdfs/GEI-1810-77.pdf#page=7","Abrir facsímil")</f>
        <v>Abrir facsímil</v>
      </c>
      <c r="K2633" s="3" t="s">
        <v>76</v>
      </c>
    </row>
    <row r="2634" spans="1:11" ht="42" customHeight="1">
      <c r="A2634" s="2" t="s">
        <v>7534</v>
      </c>
      <c r="B2634" s="2" t="s">
        <v>7535</v>
      </c>
      <c r="C2634" s="2" t="s">
        <v>33</v>
      </c>
      <c r="D2634" s="2" t="s">
        <v>27</v>
      </c>
      <c r="E2634" s="4">
        <v>-32569</v>
      </c>
      <c r="F2634" s="3" t="s">
        <v>421</v>
      </c>
      <c r="G2634" s="3" t="s">
        <v>20</v>
      </c>
      <c r="H2634" s="2" t="s">
        <v>74</v>
      </c>
      <c r="I2634" s="2" t="s">
        <v>7536</v>
      </c>
      <c r="J2634" s="3" t="str">
        <f>HYPERLINK("https://www.boe.es/gazeta/dias/1810/10/29/pdfs/GMD-1810-302.pdf#page=4","Abrir facsímil")</f>
        <v>Abrir facsímil</v>
      </c>
      <c r="K2634" s="3" t="s">
        <v>76</v>
      </c>
    </row>
    <row r="2635" spans="1:11" ht="42" customHeight="1">
      <c r="A2635" s="2" t="s">
        <v>7537</v>
      </c>
      <c r="B2635" s="2" t="s">
        <v>7538</v>
      </c>
      <c r="C2635" s="2" t="s">
        <v>225</v>
      </c>
      <c r="D2635" s="2" t="s">
        <v>27</v>
      </c>
      <c r="E2635" s="4">
        <v>-32666</v>
      </c>
      <c r="F2635" s="3" t="s">
        <v>346</v>
      </c>
      <c r="G2635" s="3" t="s">
        <v>90</v>
      </c>
      <c r="H2635" s="2" t="s">
        <v>74</v>
      </c>
      <c r="I2635" s="2" t="s">
        <v>7539</v>
      </c>
      <c r="J2635" s="3" t="str">
        <f>HYPERLINK("https://www.boe.es/gazeta/dias/1810/07/24/pdfs/GEI-1810-47.pdf#page=10","Abrir facsímil")</f>
        <v>Abrir facsímil</v>
      </c>
      <c r="K2635" s="3" t="s">
        <v>76</v>
      </c>
    </row>
    <row r="2636" spans="1:11" ht="42" customHeight="1">
      <c r="A2636" s="2" t="s">
        <v>7537</v>
      </c>
      <c r="B2636" s="2" t="s">
        <v>7538</v>
      </c>
      <c r="C2636" s="2" t="s">
        <v>317</v>
      </c>
      <c r="D2636" s="2" t="s">
        <v>27</v>
      </c>
      <c r="E2636" s="4">
        <v>-32659</v>
      </c>
      <c r="F2636" s="3" t="s">
        <v>328</v>
      </c>
      <c r="G2636" s="3" t="s">
        <v>119</v>
      </c>
      <c r="H2636" s="2" t="s">
        <v>74</v>
      </c>
      <c r="I2636" s="2" t="s">
        <v>7540</v>
      </c>
      <c r="J2636" s="3" t="str">
        <f>HYPERLINK("https://www.boe.es/gazeta/dias/1810/07/31/pdfs/GEI-1810-49.pdf#page=8","Abrir facsímil")</f>
        <v>Abrir facsímil</v>
      </c>
      <c r="K2636" s="3" t="s">
        <v>76</v>
      </c>
    </row>
    <row r="2637" spans="1:11" ht="42" customHeight="1">
      <c r="A2637" s="2" t="s">
        <v>7541</v>
      </c>
      <c r="B2637" s="2" t="s">
        <v>7542</v>
      </c>
      <c r="C2637" s="2" t="s">
        <v>88</v>
      </c>
      <c r="D2637" s="2" t="s">
        <v>27</v>
      </c>
      <c r="E2637" s="4">
        <v>-32729</v>
      </c>
      <c r="F2637" s="3" t="s">
        <v>174</v>
      </c>
      <c r="G2637" s="3" t="s">
        <v>886</v>
      </c>
      <c r="H2637" s="2" t="s">
        <v>74</v>
      </c>
      <c r="I2637" s="2" t="s">
        <v>7543</v>
      </c>
      <c r="J2637" s="3" t="str">
        <f>HYPERLINK("https://www.boe.es/gazeta/dias/1810/05/22/pdfs/GEI-1810-28.pdf#page=11","Abrir facsímil")</f>
        <v>Abrir facsímil</v>
      </c>
      <c r="K2637" s="3" t="s">
        <v>76</v>
      </c>
    </row>
    <row r="2638" spans="1:11" ht="42" customHeight="1">
      <c r="A2638" s="2" t="s">
        <v>7544</v>
      </c>
      <c r="B2638" s="2" t="s">
        <v>7545</v>
      </c>
      <c r="C2638" s="2" t="s">
        <v>33</v>
      </c>
      <c r="D2638" s="2" t="s">
        <v>27</v>
      </c>
      <c r="E2638" s="4">
        <v>-32652</v>
      </c>
      <c r="F2638" s="3" t="s">
        <v>3295</v>
      </c>
      <c r="G2638" s="3" t="s">
        <v>7424</v>
      </c>
      <c r="H2638" s="2" t="s">
        <v>74</v>
      </c>
      <c r="I2638" s="2" t="s">
        <v>7546</v>
      </c>
      <c r="J2638" s="3" t="str">
        <f>HYPERLINK("https://www.boe.es/gazeta/dias/1810/08/07/pdfs/GEI-1810-52.pdf#page=8","Abrir facsímil")</f>
        <v>Abrir facsímil</v>
      </c>
      <c r="K2638" s="3" t="s">
        <v>76</v>
      </c>
    </row>
    <row r="2639" spans="1:11" ht="42" customHeight="1">
      <c r="A2639" s="2" t="s">
        <v>7547</v>
      </c>
      <c r="B2639" s="2" t="s">
        <v>7548</v>
      </c>
      <c r="C2639" s="2" t="s">
        <v>88</v>
      </c>
      <c r="D2639" s="2" t="s">
        <v>220</v>
      </c>
      <c r="E2639" s="4">
        <v>-32711</v>
      </c>
      <c r="F2639" s="3" t="s">
        <v>1888</v>
      </c>
      <c r="G2639" s="3" t="s">
        <v>29</v>
      </c>
      <c r="H2639" s="2" t="s">
        <v>74</v>
      </c>
      <c r="I2639" s="2" t="s">
        <v>7549</v>
      </c>
      <c r="J2639" s="3" t="str">
        <f>HYPERLINK("https://www.boe.es/gazeta/dias/1810/06/09/pdfs/GMD-1810-160.pdf#page=4","Abrir facsímil")</f>
        <v>Abrir facsímil</v>
      </c>
      <c r="K2639" s="3" t="s">
        <v>76</v>
      </c>
    </row>
    <row r="2640" spans="1:11" ht="42" customHeight="1">
      <c r="A2640" s="2" t="s">
        <v>7550</v>
      </c>
      <c r="B2640" s="2" t="s">
        <v>7551</v>
      </c>
      <c r="C2640" s="2" t="s">
        <v>26</v>
      </c>
      <c r="D2640" s="2" t="s">
        <v>27</v>
      </c>
      <c r="E2640" s="4">
        <v>-32735</v>
      </c>
      <c r="F2640" s="3" t="s">
        <v>612</v>
      </c>
      <c r="G2640" s="3" t="s">
        <v>359</v>
      </c>
      <c r="H2640" s="2" t="s">
        <v>74</v>
      </c>
      <c r="I2640" s="2" t="s">
        <v>7552</v>
      </c>
      <c r="J2640" s="3" t="str">
        <f>HYPERLINK("https://www.boe.es/gazeta/dias/1810/05/16/pdfs/GMD-1810-136.pdf#page=3","Abrir facsímil")</f>
        <v>Abrir facsímil</v>
      </c>
      <c r="K2640" s="3" t="s">
        <v>76</v>
      </c>
    </row>
    <row r="2641" spans="1:11" ht="42" customHeight="1">
      <c r="A2641" s="2" t="s">
        <v>7553</v>
      </c>
      <c r="B2641" s="2" t="s">
        <v>7554</v>
      </c>
      <c r="C2641" s="2" t="s">
        <v>88</v>
      </c>
      <c r="D2641" s="2" t="s">
        <v>117</v>
      </c>
      <c r="E2641" s="4">
        <v>-32698</v>
      </c>
      <c r="F2641" s="3" t="s">
        <v>2705</v>
      </c>
      <c r="G2641" s="3" t="s">
        <v>7555</v>
      </c>
      <c r="H2641" s="2" t="s">
        <v>74</v>
      </c>
      <c r="I2641" s="2" t="s">
        <v>7556</v>
      </c>
      <c r="J2641" s="3" t="str">
        <f>HYPERLINK("https://www.boe.es/gazeta/dias/1810/06/22/pdfs/GEI-1810-38.pdf#page=4","Abrir facsímil")</f>
        <v>Abrir facsímil</v>
      </c>
      <c r="K2641" s="3" t="s">
        <v>76</v>
      </c>
    </row>
    <row r="2642" spans="1:11" ht="42" customHeight="1">
      <c r="A2642" s="2" t="s">
        <v>7557</v>
      </c>
      <c r="B2642" s="2" t="s">
        <v>7558</v>
      </c>
      <c r="C2642" s="2" t="s">
        <v>26</v>
      </c>
      <c r="D2642" s="2" t="s">
        <v>27</v>
      </c>
      <c r="E2642" s="4">
        <v>-32827</v>
      </c>
      <c r="F2642" s="3" t="s">
        <v>290</v>
      </c>
      <c r="G2642" s="3" t="s">
        <v>291</v>
      </c>
      <c r="H2642" s="2" t="s">
        <v>74</v>
      </c>
      <c r="I2642" s="2" t="s">
        <v>7559</v>
      </c>
      <c r="J2642" s="3" t="str">
        <f>HYPERLINK("https://www.boe.es/gazeta/dias/1810/02/13/pdfs/GMD-1810-44.pdf#page=4","Abrir facsímil")</f>
        <v>Abrir facsímil</v>
      </c>
      <c r="K2642" s="3" t="s">
        <v>76</v>
      </c>
    </row>
    <row r="2643" spans="1:11" ht="42" customHeight="1">
      <c r="A2643" s="2" t="s">
        <v>7560</v>
      </c>
      <c r="B2643" s="2" t="s">
        <v>7561</v>
      </c>
      <c r="C2643" s="2" t="s">
        <v>195</v>
      </c>
      <c r="D2643" s="2" t="s">
        <v>27</v>
      </c>
      <c r="E2643" s="4">
        <v>-32837</v>
      </c>
      <c r="F2643" s="3" t="s">
        <v>196</v>
      </c>
      <c r="G2643" s="3" t="s">
        <v>140</v>
      </c>
      <c r="H2643" s="2" t="s">
        <v>74</v>
      </c>
      <c r="I2643" s="2" t="s">
        <v>7562</v>
      </c>
      <c r="J2643" s="3" t="str">
        <f>HYPERLINK("https://www.boe.es/gazeta/dias/1810/02/03/pdfs/GMD-1810-34.pdf#page=4","Abrir facsímil")</f>
        <v>Abrir facsímil</v>
      </c>
      <c r="K2643" s="3" t="s">
        <v>76</v>
      </c>
    </row>
    <row r="2644" spans="1:11" ht="42" customHeight="1">
      <c r="A2644" s="2" t="s">
        <v>7563</v>
      </c>
      <c r="B2644" s="2" t="s">
        <v>7564</v>
      </c>
      <c r="C2644" s="2" t="s">
        <v>88</v>
      </c>
      <c r="D2644" s="2" t="s">
        <v>117</v>
      </c>
      <c r="E2644" s="4">
        <v>-32713</v>
      </c>
      <c r="F2644" s="3" t="s">
        <v>959</v>
      </c>
      <c r="G2644" s="3" t="s">
        <v>960</v>
      </c>
      <c r="H2644" s="2" t="s">
        <v>74</v>
      </c>
      <c r="I2644" s="2" t="s">
        <v>7565</v>
      </c>
      <c r="J2644" s="3" t="str">
        <f>HYPERLINK("https://www.boe.es/gazeta/dias/1810/06/07/pdfs/GMD-1810-158.pdf#page=4","Abrir facsímil")</f>
        <v>Abrir facsímil</v>
      </c>
      <c r="K2644" s="3" t="s">
        <v>76</v>
      </c>
    </row>
    <row r="2645" spans="1:11" ht="42" customHeight="1">
      <c r="A2645" s="2" t="s">
        <v>7566</v>
      </c>
      <c r="B2645" s="2" t="s">
        <v>7567</v>
      </c>
      <c r="C2645" s="2" t="s">
        <v>88</v>
      </c>
      <c r="D2645" s="2" t="s">
        <v>27</v>
      </c>
      <c r="E2645" s="4">
        <v>-32853</v>
      </c>
      <c r="F2645" s="3" t="s">
        <v>516</v>
      </c>
      <c r="G2645" s="3" t="s">
        <v>2928</v>
      </c>
      <c r="H2645" s="2" t="s">
        <v>74</v>
      </c>
      <c r="I2645" s="2" t="s">
        <v>7568</v>
      </c>
      <c r="J2645" s="3" t="str">
        <f>HYPERLINK("https://www.boe.es/gazeta/dias/1810/01/18/pdfs/GGB-1810-8.pdf#page=6","Abrir facsímil")</f>
        <v>Abrir facsímil</v>
      </c>
      <c r="K2645" s="3" t="s">
        <v>76</v>
      </c>
    </row>
    <row r="2646" spans="1:11" ht="42" customHeight="1">
      <c r="A2646" s="2" t="s">
        <v>7569</v>
      </c>
      <c r="B2646" s="2" t="s">
        <v>7570</v>
      </c>
      <c r="C2646" s="2" t="s">
        <v>26</v>
      </c>
      <c r="D2646" s="2" t="s">
        <v>27</v>
      </c>
      <c r="E2646" s="4">
        <v>-32575</v>
      </c>
      <c r="F2646" s="3" t="s">
        <v>135</v>
      </c>
      <c r="G2646" s="3" t="s">
        <v>136</v>
      </c>
      <c r="H2646" s="2" t="s">
        <v>74</v>
      </c>
      <c r="I2646" s="2" t="s">
        <v>7571</v>
      </c>
      <c r="J2646" s="3" t="str">
        <f>HYPERLINK("https://www.boe.es/gazeta/dias/1810/10/23/pdfs/GEI-1810-85.pdf#page=11","Abrir facsímil")</f>
        <v>Abrir facsímil</v>
      </c>
      <c r="K2646" s="3" t="s">
        <v>76</v>
      </c>
    </row>
    <row r="2647" spans="1:11" ht="42" customHeight="1">
      <c r="A2647" s="2" t="s">
        <v>7572</v>
      </c>
      <c r="B2647" s="2" t="s">
        <v>7573</v>
      </c>
      <c r="C2647" s="2" t="s">
        <v>26</v>
      </c>
      <c r="D2647" s="2" t="s">
        <v>27</v>
      </c>
      <c r="E2647" s="4">
        <v>-32647</v>
      </c>
      <c r="F2647" s="3" t="s">
        <v>118</v>
      </c>
      <c r="G2647" s="3" t="s">
        <v>7574</v>
      </c>
      <c r="H2647" s="2" t="s">
        <v>74</v>
      </c>
      <c r="I2647" s="2" t="s">
        <v>7575</v>
      </c>
      <c r="J2647" s="3" t="str">
        <f>HYPERLINK("https://www.boe.es/gazeta/dias/1810/08/12/pdfs/GMD-1810-224.pdf#page=1","Abrir facsímil")</f>
        <v>Abrir facsímil</v>
      </c>
      <c r="K2647" s="3" t="s">
        <v>76</v>
      </c>
    </row>
    <row r="2648" spans="1:11" ht="42" customHeight="1">
      <c r="A2648" s="2" t="s">
        <v>7576</v>
      </c>
      <c r="B2648" s="2" t="s">
        <v>7577</v>
      </c>
      <c r="C2648" s="2" t="s">
        <v>26</v>
      </c>
      <c r="D2648" s="2" t="s">
        <v>220</v>
      </c>
      <c r="E2648" s="4">
        <v>-32830</v>
      </c>
      <c r="F2648" s="3" t="s">
        <v>3354</v>
      </c>
      <c r="G2648" s="3" t="s">
        <v>213</v>
      </c>
      <c r="H2648" s="2" t="s">
        <v>74</v>
      </c>
      <c r="I2648" s="2" t="s">
        <v>7578</v>
      </c>
      <c r="J2648" s="3" t="str">
        <f>HYPERLINK("https://www.boe.es/gazeta/dias/1810/02/10/pdfs/GMD-1810-41.pdf#page=1","Abrir facsímil")</f>
        <v>Abrir facsímil</v>
      </c>
      <c r="K2648" s="3" t="s">
        <v>76</v>
      </c>
    </row>
    <row r="2649" spans="1:11" ht="42" customHeight="1">
      <c r="A2649" s="2" t="s">
        <v>7579</v>
      </c>
      <c r="B2649" s="2" t="s">
        <v>7580</v>
      </c>
      <c r="C2649" s="2" t="s">
        <v>225</v>
      </c>
      <c r="D2649" s="2" t="s">
        <v>220</v>
      </c>
      <c r="E2649" s="4">
        <v>-32565</v>
      </c>
      <c r="F2649" s="3" t="s">
        <v>743</v>
      </c>
      <c r="G2649" s="3" t="s">
        <v>915</v>
      </c>
      <c r="H2649" s="2" t="s">
        <v>74</v>
      </c>
      <c r="I2649" s="2" t="s">
        <v>7581</v>
      </c>
      <c r="J2649" s="3" t="str">
        <f>HYPERLINK("https://www.boe.es/gazeta/dias/1810/11/02/pdfs/GMD-1810-306.pdf#page=1","Abrir facsímil")</f>
        <v>Abrir facsímil</v>
      </c>
      <c r="K2649" s="3" t="s">
        <v>76</v>
      </c>
    </row>
    <row r="2650" spans="1:11" ht="42" customHeight="1">
      <c r="A2650" s="2" t="s">
        <v>7582</v>
      </c>
      <c r="B2650" s="2" t="s">
        <v>7583</v>
      </c>
      <c r="C2650" s="2" t="s">
        <v>88</v>
      </c>
      <c r="D2650" s="2" t="s">
        <v>27</v>
      </c>
      <c r="E2650" s="4">
        <v>-32703</v>
      </c>
      <c r="F2650" s="3" t="s">
        <v>1213</v>
      </c>
      <c r="G2650" s="3" t="s">
        <v>90</v>
      </c>
      <c r="H2650" s="2" t="s">
        <v>74</v>
      </c>
      <c r="I2650" s="2" t="s">
        <v>7584</v>
      </c>
      <c r="J2650" s="3" t="str">
        <f>HYPERLINK("https://www.boe.es/gazeta/dias/1810/06/17/pdfs/GMD-1810-168.pdf#page=3","Abrir facsímil")</f>
        <v>Abrir facsímil</v>
      </c>
      <c r="K2650" s="3" t="s">
        <v>76</v>
      </c>
    </row>
    <row r="2651" spans="1:11" ht="42" customHeight="1">
      <c r="A2651" s="2" t="s">
        <v>7585</v>
      </c>
      <c r="B2651" s="2" t="s">
        <v>7586</v>
      </c>
      <c r="C2651" s="2" t="s">
        <v>225</v>
      </c>
      <c r="D2651" s="2" t="s">
        <v>220</v>
      </c>
      <c r="E2651" s="4">
        <v>-32531</v>
      </c>
      <c r="F2651" s="3" t="s">
        <v>2023</v>
      </c>
      <c r="G2651" s="3" t="s">
        <v>180</v>
      </c>
      <c r="H2651" s="2" t="s">
        <v>74</v>
      </c>
      <c r="I2651" s="2" t="s">
        <v>7587</v>
      </c>
      <c r="J2651" s="3" t="str">
        <f>HYPERLINK("https://www.boe.es/gazeta/dias/1810/12/06/pdfs/GMD-1810-340.pdf#page=1","Abrir facsímil")</f>
        <v>Abrir facsímil</v>
      </c>
      <c r="K2651" s="3" t="s">
        <v>76</v>
      </c>
    </row>
    <row r="2652" spans="1:11" ht="42" customHeight="1">
      <c r="A2652" s="2" t="s">
        <v>7588</v>
      </c>
      <c r="B2652" s="2" t="s">
        <v>7589</v>
      </c>
      <c r="C2652" s="2" t="s">
        <v>88</v>
      </c>
      <c r="D2652" s="2" t="s">
        <v>117</v>
      </c>
      <c r="E2652" s="4">
        <v>-32535</v>
      </c>
      <c r="F2652" s="3" t="s">
        <v>3440</v>
      </c>
      <c r="G2652" s="3" t="s">
        <v>658</v>
      </c>
      <c r="H2652" s="2" t="s">
        <v>74</v>
      </c>
      <c r="I2652" s="2" t="s">
        <v>7590</v>
      </c>
      <c r="J2652" s="3" t="str">
        <f>HYPERLINK("https://www.boe.es/gazeta/dias/1810/12/02/pdfs/GMD-1810-336.pdf#page=2","Abrir facsímil")</f>
        <v>Abrir facsímil</v>
      </c>
      <c r="K2652" s="3" t="s">
        <v>76</v>
      </c>
    </row>
    <row r="2653" spans="1:11" ht="42" customHeight="1">
      <c r="A2653" s="2" t="s">
        <v>7588</v>
      </c>
      <c r="B2653" s="2" t="s">
        <v>7589</v>
      </c>
      <c r="C2653" s="2" t="s">
        <v>88</v>
      </c>
      <c r="D2653" s="2" t="s">
        <v>220</v>
      </c>
      <c r="E2653" s="4">
        <v>-32528</v>
      </c>
      <c r="F2653" s="3" t="s">
        <v>3058</v>
      </c>
      <c r="G2653" s="3" t="s">
        <v>35</v>
      </c>
      <c r="H2653" s="2" t="s">
        <v>74</v>
      </c>
      <c r="I2653" s="2" t="s">
        <v>7591</v>
      </c>
      <c r="J2653" s="3" t="str">
        <f>HYPERLINK("https://www.boe.es/gazeta/dias/1810/12/09/pdfs/GMD-1810-343.pdf#page=2","Abrir facsímil")</f>
        <v>Abrir facsímil</v>
      </c>
      <c r="K2653" s="3" t="s">
        <v>76</v>
      </c>
    </row>
    <row r="2654" spans="1:11" ht="42" customHeight="1">
      <c r="A2654" s="2" t="s">
        <v>7592</v>
      </c>
      <c r="B2654" s="2" t="s">
        <v>7593</v>
      </c>
      <c r="C2654" s="2" t="s">
        <v>26</v>
      </c>
      <c r="D2654" s="2" t="s">
        <v>27</v>
      </c>
      <c r="E2654" s="4">
        <v>-32646</v>
      </c>
      <c r="F2654" s="3" t="s">
        <v>6939</v>
      </c>
      <c r="G2654" s="3" t="s">
        <v>99</v>
      </c>
      <c r="H2654" s="2" t="s">
        <v>74</v>
      </c>
      <c r="I2654" s="2" t="s">
        <v>7594</v>
      </c>
      <c r="J2654" s="3" t="str">
        <f>HYPERLINK("https://www.boe.es/gazeta/dias/1810/08/13/pdfs/GMD-1810-225.pdf#page=3","Abrir facsímil")</f>
        <v>Abrir facsímil</v>
      </c>
      <c r="K2654" s="3" t="s">
        <v>76</v>
      </c>
    </row>
    <row r="2655" spans="1:11" ht="42" customHeight="1">
      <c r="A2655" s="2" t="s">
        <v>7595</v>
      </c>
      <c r="B2655" s="2" t="s">
        <v>7596</v>
      </c>
      <c r="C2655" s="2" t="s">
        <v>33</v>
      </c>
      <c r="D2655" s="2" t="s">
        <v>27</v>
      </c>
      <c r="E2655" s="4">
        <v>-32703</v>
      </c>
      <c r="F2655" s="3" t="s">
        <v>1213</v>
      </c>
      <c r="G2655" s="3" t="s">
        <v>90</v>
      </c>
      <c r="H2655" s="2" t="s">
        <v>74</v>
      </c>
      <c r="I2655" s="2" t="s">
        <v>7597</v>
      </c>
      <c r="J2655" s="3" t="str">
        <f>HYPERLINK("https://www.boe.es/gazeta/dias/1810/06/17/pdfs/GMD-1810-168.pdf#page=3","Abrir facsímil")</f>
        <v>Abrir facsímil</v>
      </c>
      <c r="K2655" s="3" t="s">
        <v>76</v>
      </c>
    </row>
    <row r="2656" spans="1:11" ht="42" customHeight="1">
      <c r="A2656" s="2" t="s">
        <v>7595</v>
      </c>
      <c r="B2656" s="2" t="s">
        <v>7596</v>
      </c>
      <c r="C2656" s="2" t="s">
        <v>26</v>
      </c>
      <c r="D2656" s="2" t="s">
        <v>27</v>
      </c>
      <c r="E2656" s="4">
        <v>-32578</v>
      </c>
      <c r="F2656" s="3" t="s">
        <v>7073</v>
      </c>
      <c r="G2656" s="3" t="s">
        <v>7598</v>
      </c>
      <c r="H2656" s="2" t="s">
        <v>74</v>
      </c>
      <c r="I2656" s="2" t="s">
        <v>7599</v>
      </c>
      <c r="J2656" s="3" t="str">
        <f>HYPERLINK("https://www.boe.es/gazeta/dias/1810/10/20/pdfs/GMD-1810-293.pdf#page=1","Abrir facsímil")</f>
        <v>Abrir facsímil</v>
      </c>
      <c r="K2656" s="3" t="s">
        <v>76</v>
      </c>
    </row>
    <row r="2657" spans="1:11" ht="42" customHeight="1">
      <c r="A2657" s="2" t="s">
        <v>7595</v>
      </c>
      <c r="B2657" s="2" t="s">
        <v>7596</v>
      </c>
      <c r="C2657" s="2" t="s">
        <v>88</v>
      </c>
      <c r="D2657" s="2" t="s">
        <v>220</v>
      </c>
      <c r="E2657" s="4">
        <v>-32511</v>
      </c>
      <c r="F2657" s="3" t="s">
        <v>482</v>
      </c>
      <c r="G2657" s="3" t="s">
        <v>119</v>
      </c>
      <c r="H2657" s="2" t="s">
        <v>74</v>
      </c>
      <c r="I2657" s="2" t="s">
        <v>7600</v>
      </c>
      <c r="J2657" s="3" t="str">
        <f>HYPERLINK("https://www.boe.es/gazeta/dias/1810/12/26/pdfs/GMD-1810-360.pdf#page=2","Abrir facsímil")</f>
        <v>Abrir facsímil</v>
      </c>
      <c r="K2657" s="3" t="s">
        <v>76</v>
      </c>
    </row>
    <row r="2658" spans="1:11" ht="42" customHeight="1">
      <c r="A2658" s="2" t="s">
        <v>7601</v>
      </c>
      <c r="B2658" s="2" t="s">
        <v>7602</v>
      </c>
      <c r="C2658" s="2" t="s">
        <v>88</v>
      </c>
      <c r="D2658" s="2" t="s">
        <v>27</v>
      </c>
      <c r="E2658" s="4">
        <v>-32710</v>
      </c>
      <c r="F2658" s="3" t="s">
        <v>126</v>
      </c>
      <c r="G2658" s="3" t="s">
        <v>35</v>
      </c>
      <c r="H2658" s="2" t="s">
        <v>74</v>
      </c>
      <c r="I2658" s="2" t="s">
        <v>7603</v>
      </c>
      <c r="J2658" s="3" t="str">
        <f>HYPERLINK("https://www.boe.es/gazeta/dias/1810/06/10/pdfs/GMD-1810-161.pdf#page=2","Abrir facsímil")</f>
        <v>Abrir facsímil</v>
      </c>
      <c r="K2658" s="3" t="s">
        <v>76</v>
      </c>
    </row>
    <row r="2659" spans="1:11" ht="42" customHeight="1">
      <c r="A2659" s="2" t="s">
        <v>7604</v>
      </c>
      <c r="B2659" s="2" t="s">
        <v>7605</v>
      </c>
      <c r="C2659" s="2" t="s">
        <v>317</v>
      </c>
      <c r="D2659" s="2" t="s">
        <v>39</v>
      </c>
      <c r="E2659" s="4">
        <v>-32670</v>
      </c>
      <c r="F2659" s="3" t="s">
        <v>2457</v>
      </c>
      <c r="G2659" s="3" t="s">
        <v>473</v>
      </c>
      <c r="H2659" s="2" t="s">
        <v>74</v>
      </c>
      <c r="I2659" s="2" t="s">
        <v>7606</v>
      </c>
      <c r="J2659" s="3" t="str">
        <f>HYPERLINK("https://www.boe.es/gazeta/dias/1810/07/20/pdfs/GMD-C-1810-201.pdf#page=4","Abrir facsímil")</f>
        <v>Abrir facsímil</v>
      </c>
      <c r="K2659" s="3" t="s">
        <v>76</v>
      </c>
    </row>
    <row r="2660" spans="1:11" ht="42" customHeight="1">
      <c r="A2660" s="2" t="s">
        <v>7607</v>
      </c>
      <c r="B2660" s="2" t="s">
        <v>7608</v>
      </c>
      <c r="C2660" s="2" t="s">
        <v>26</v>
      </c>
      <c r="D2660" s="2" t="s">
        <v>39</v>
      </c>
      <c r="E2660" s="4">
        <v>-32702</v>
      </c>
      <c r="F2660" s="3" t="s">
        <v>179</v>
      </c>
      <c r="G2660" s="3" t="s">
        <v>180</v>
      </c>
      <c r="H2660" s="2" t="s">
        <v>74</v>
      </c>
      <c r="I2660" s="2" t="s">
        <v>7609</v>
      </c>
      <c r="J2660" s="3" t="str">
        <f>HYPERLINK("https://www.boe.es/gazeta/dias/1810/06/18/pdfs/GMD-C-1810-169.pdf#page=2","Abrir facsímil")</f>
        <v>Abrir facsímil</v>
      </c>
      <c r="K2660" s="3" t="s">
        <v>76</v>
      </c>
    </row>
    <row r="2661" spans="1:11" ht="42" customHeight="1">
      <c r="A2661" s="2" t="s">
        <v>7610</v>
      </c>
      <c r="B2661" s="2" t="s">
        <v>7611</v>
      </c>
      <c r="C2661" s="2" t="s">
        <v>26</v>
      </c>
      <c r="D2661" s="2" t="s">
        <v>39</v>
      </c>
      <c r="E2661" s="4">
        <v>-32701</v>
      </c>
      <c r="F2661" s="3" t="s">
        <v>40</v>
      </c>
      <c r="G2661" s="3" t="s">
        <v>170</v>
      </c>
      <c r="H2661" s="2" t="s">
        <v>74</v>
      </c>
      <c r="I2661" s="2" t="s">
        <v>7612</v>
      </c>
      <c r="J2661" s="3" t="str">
        <f>HYPERLINK("https://www.boe.es/gazeta/dias/1810/06/19/pdfs/GMD-C-1810-170.pdf#page=1","Abrir facsímil")</f>
        <v>Abrir facsímil</v>
      </c>
      <c r="K2661" s="3" t="s">
        <v>76</v>
      </c>
    </row>
    <row r="2662" spans="1:11" ht="42" customHeight="1">
      <c r="A2662" s="2" t="s">
        <v>7613</v>
      </c>
      <c r="B2662" s="2" t="s">
        <v>7614</v>
      </c>
      <c r="C2662" s="2" t="s">
        <v>111</v>
      </c>
      <c r="D2662" s="2" t="s">
        <v>27</v>
      </c>
      <c r="E2662" s="4">
        <v>-32632</v>
      </c>
      <c r="F2662" s="3" t="s">
        <v>358</v>
      </c>
      <c r="G2662" s="3" t="s">
        <v>359</v>
      </c>
      <c r="H2662" s="2" t="s">
        <v>74</v>
      </c>
      <c r="I2662" s="2" t="s">
        <v>7615</v>
      </c>
      <c r="J2662" s="3" t="str">
        <f>HYPERLINK("https://www.boe.es/gazeta/dias/1810/08/27/pdfs/GMD-1810-239.pdf#page=3","Abrir facsímil")</f>
        <v>Abrir facsímil</v>
      </c>
      <c r="K2662" s="3" t="s">
        <v>76</v>
      </c>
    </row>
    <row r="2663" spans="1:11" ht="42" customHeight="1">
      <c r="A2663" s="2" t="s">
        <v>7616</v>
      </c>
      <c r="B2663" s="2" t="s">
        <v>7617</v>
      </c>
      <c r="C2663" s="2" t="s">
        <v>111</v>
      </c>
      <c r="D2663" s="2" t="s">
        <v>27</v>
      </c>
      <c r="E2663" s="4">
        <v>-32632</v>
      </c>
      <c r="F2663" s="3" t="s">
        <v>358</v>
      </c>
      <c r="G2663" s="3" t="s">
        <v>359</v>
      </c>
      <c r="H2663" s="2" t="s">
        <v>74</v>
      </c>
      <c r="I2663" s="2" t="s">
        <v>7618</v>
      </c>
      <c r="J2663" s="3" t="str">
        <f>HYPERLINK("https://www.boe.es/gazeta/dias/1810/08/27/pdfs/GMD-1810-239.pdf#page=3","Abrir facsímil")</f>
        <v>Abrir facsímil</v>
      </c>
      <c r="K2663" s="3" t="s">
        <v>76</v>
      </c>
    </row>
    <row r="2664" spans="1:11" ht="42" customHeight="1">
      <c r="A2664" s="2" t="s">
        <v>7619</v>
      </c>
      <c r="B2664" s="2" t="s">
        <v>7620</v>
      </c>
      <c r="C2664" s="2" t="s">
        <v>26</v>
      </c>
      <c r="D2664" s="2" t="s">
        <v>39</v>
      </c>
      <c r="E2664" s="4">
        <v>-32661</v>
      </c>
      <c r="F2664" s="3" t="s">
        <v>157</v>
      </c>
      <c r="G2664" s="3" t="s">
        <v>158</v>
      </c>
      <c r="H2664" s="2" t="s">
        <v>74</v>
      </c>
      <c r="I2664" s="2" t="s">
        <v>7621</v>
      </c>
      <c r="J2664" s="3" t="str">
        <f>HYPERLINK("https://www.boe.es/gazeta/dias/1810/07/29/pdfs/GMD-C-1810-210.pdf#page=1","Abrir facsímil")</f>
        <v>Abrir facsímil</v>
      </c>
      <c r="K2664" s="3" t="s">
        <v>76</v>
      </c>
    </row>
    <row r="2665" spans="1:11" ht="42" customHeight="1">
      <c r="A2665" s="2" t="s">
        <v>7622</v>
      </c>
      <c r="B2665" s="2" t="s">
        <v>7623</v>
      </c>
      <c r="C2665" s="2" t="s">
        <v>26</v>
      </c>
      <c r="D2665" s="2" t="s">
        <v>27</v>
      </c>
      <c r="E2665" s="4">
        <v>-32603</v>
      </c>
      <c r="F2665" s="3" t="s">
        <v>2163</v>
      </c>
      <c r="G2665" s="3" t="s">
        <v>29</v>
      </c>
      <c r="H2665" s="2" t="s">
        <v>74</v>
      </c>
      <c r="I2665" s="2" t="s">
        <v>7624</v>
      </c>
      <c r="J2665" s="3" t="str">
        <f>HYPERLINK("https://www.boe.es/gazeta/dias/1810/09/25/pdfs/GEI-1810-72.pdf#page=8","Abrir facsímil")</f>
        <v>Abrir facsímil</v>
      </c>
      <c r="K2665" s="3" t="s">
        <v>76</v>
      </c>
    </row>
    <row r="2666" spans="1:11" ht="42" customHeight="1">
      <c r="A2666" s="2" t="s">
        <v>7625</v>
      </c>
      <c r="B2666" s="2" t="s">
        <v>7626</v>
      </c>
      <c r="C2666" s="2" t="s">
        <v>26</v>
      </c>
      <c r="D2666" s="2" t="s">
        <v>39</v>
      </c>
      <c r="E2666" s="4">
        <v>-32661</v>
      </c>
      <c r="F2666" s="3" t="s">
        <v>157</v>
      </c>
      <c r="G2666" s="3" t="s">
        <v>158</v>
      </c>
      <c r="H2666" s="2" t="s">
        <v>74</v>
      </c>
      <c r="I2666" s="2" t="s">
        <v>7627</v>
      </c>
      <c r="J2666" s="3" t="str">
        <f>HYPERLINK("https://www.boe.es/gazeta/dias/1810/07/29/pdfs/GMD-C-1810-210.pdf#page=1","Abrir facsímil")</f>
        <v>Abrir facsímil</v>
      </c>
      <c r="K2666" s="3" t="s">
        <v>76</v>
      </c>
    </row>
    <row r="2667" spans="1:11" ht="42" customHeight="1">
      <c r="A2667" s="2" t="s">
        <v>7628</v>
      </c>
      <c r="B2667" s="2" t="s">
        <v>7629</v>
      </c>
      <c r="C2667" s="2" t="s">
        <v>26</v>
      </c>
      <c r="D2667" s="2" t="s">
        <v>27</v>
      </c>
      <c r="E2667" s="4">
        <v>-32595</v>
      </c>
      <c r="F2667" s="3" t="s">
        <v>700</v>
      </c>
      <c r="G2667" s="3" t="s">
        <v>29</v>
      </c>
      <c r="H2667" s="2" t="s">
        <v>74</v>
      </c>
      <c r="I2667" s="2" t="s">
        <v>7630</v>
      </c>
      <c r="J2667" s="3" t="str">
        <f>HYPERLINK("https://www.boe.es/gazeta/dias/1810/10/03/pdfs/GMD-1810-276.pdf#page=4","Abrir facsímil")</f>
        <v>Abrir facsímil</v>
      </c>
      <c r="K2667" s="3" t="s">
        <v>76</v>
      </c>
    </row>
    <row r="2668" spans="1:11" ht="42" customHeight="1">
      <c r="A2668" s="2" t="s">
        <v>7628</v>
      </c>
      <c r="B2668" s="2" t="s">
        <v>7629</v>
      </c>
      <c r="C2668" s="2" t="s">
        <v>26</v>
      </c>
      <c r="D2668" s="2" t="s">
        <v>27</v>
      </c>
      <c r="E2668" s="4">
        <v>-32594</v>
      </c>
      <c r="F2668" s="3" t="s">
        <v>1885</v>
      </c>
      <c r="G2668" s="3" t="s">
        <v>227</v>
      </c>
      <c r="H2668" s="2" t="s">
        <v>74</v>
      </c>
      <c r="I2668" s="2" t="s">
        <v>7631</v>
      </c>
      <c r="J2668" s="3" t="str">
        <f>HYPERLINK("https://www.boe.es/gazeta/dias/1810/10/04/pdfs/GMD-1810-277.pdf#page=4","Abrir facsímil")</f>
        <v>Abrir facsímil</v>
      </c>
      <c r="K2668" s="3" t="s">
        <v>76</v>
      </c>
    </row>
    <row r="2669" spans="1:11" ht="42" customHeight="1">
      <c r="A2669" s="2" t="s">
        <v>7632</v>
      </c>
      <c r="B2669" s="2" t="s">
        <v>7633</v>
      </c>
      <c r="C2669" s="2" t="s">
        <v>17</v>
      </c>
      <c r="D2669" s="2" t="s">
        <v>27</v>
      </c>
      <c r="E2669" s="4">
        <v>-32784</v>
      </c>
      <c r="F2669" s="3" t="s">
        <v>429</v>
      </c>
      <c r="G2669" s="3" t="s">
        <v>131</v>
      </c>
      <c r="H2669" s="2" t="s">
        <v>74</v>
      </c>
      <c r="I2669" s="2" t="s">
        <v>7634</v>
      </c>
      <c r="J2669" s="3" t="str">
        <f>HYPERLINK("https://www.boe.es/gazeta/dias/1810/03/28/pdfs/GMD-1810-87.pdf#page=3","Abrir facsímil")</f>
        <v>Abrir facsímil</v>
      </c>
      <c r="K2669" s="3" t="s">
        <v>76</v>
      </c>
    </row>
    <row r="2670" spans="1:11" ht="42" customHeight="1">
      <c r="A2670" s="2" t="s">
        <v>7635</v>
      </c>
      <c r="B2670" s="2" t="s">
        <v>7636</v>
      </c>
      <c r="C2670" s="2" t="s">
        <v>26</v>
      </c>
      <c r="D2670" s="2" t="s">
        <v>39</v>
      </c>
      <c r="E2670" s="4">
        <v>-32701</v>
      </c>
      <c r="F2670" s="3" t="s">
        <v>40</v>
      </c>
      <c r="G2670" s="3" t="s">
        <v>315</v>
      </c>
      <c r="H2670" s="2" t="s">
        <v>74</v>
      </c>
      <c r="I2670" s="2" t="s">
        <v>7637</v>
      </c>
      <c r="J2670" s="3" t="str">
        <f>HYPERLINK("https://www.boe.es/gazeta/dias/1810/06/19/pdfs/GMD-C-1810-170.pdf#page=2","Abrir facsímil")</f>
        <v>Abrir facsímil</v>
      </c>
      <c r="K2670" s="3" t="s">
        <v>76</v>
      </c>
    </row>
    <row r="2671" spans="1:11" ht="42" customHeight="1">
      <c r="A2671" s="2" t="s">
        <v>7638</v>
      </c>
      <c r="B2671" s="2" t="s">
        <v>7639</v>
      </c>
      <c r="C2671" s="2" t="s">
        <v>111</v>
      </c>
      <c r="D2671" s="2" t="s">
        <v>27</v>
      </c>
      <c r="E2671" s="4">
        <v>-32647</v>
      </c>
      <c r="F2671" s="3" t="s">
        <v>118</v>
      </c>
      <c r="G2671" s="3" t="s">
        <v>119</v>
      </c>
      <c r="H2671" s="2" t="s">
        <v>74</v>
      </c>
      <c r="I2671" s="2" t="s">
        <v>7640</v>
      </c>
      <c r="J2671" s="3" t="str">
        <f>HYPERLINK("https://www.boe.es/gazeta/dias/1810/08/12/pdfs/GMD-1810-224.pdf#page=3","Abrir facsímil")</f>
        <v>Abrir facsímil</v>
      </c>
      <c r="K2671" s="3" t="s">
        <v>76</v>
      </c>
    </row>
    <row r="2672" spans="1:11" ht="42" customHeight="1">
      <c r="A2672" s="2" t="s">
        <v>7641</v>
      </c>
      <c r="B2672" s="2" t="s">
        <v>7642</v>
      </c>
      <c r="C2672" s="2" t="s">
        <v>33</v>
      </c>
      <c r="D2672" s="2" t="s">
        <v>27</v>
      </c>
      <c r="E2672" s="4">
        <v>-32770</v>
      </c>
      <c r="F2672" s="3" t="s">
        <v>7130</v>
      </c>
      <c r="G2672" s="3" t="s">
        <v>5279</v>
      </c>
      <c r="H2672" s="2" t="s">
        <v>74</v>
      </c>
      <c r="I2672" s="2" t="s">
        <v>7643</v>
      </c>
      <c r="J2672" s="3" t="str">
        <f>HYPERLINK("https://www.boe.es/gazeta/dias/1810/04/11/pdfs/GMD-1810-101.pdf#page=1","Abrir facsímil")</f>
        <v>Abrir facsímil</v>
      </c>
      <c r="K2672" s="3" t="s">
        <v>76</v>
      </c>
    </row>
    <row r="2673" spans="1:11" ht="42" customHeight="1">
      <c r="A2673" s="2" t="s">
        <v>7644</v>
      </c>
      <c r="B2673" s="2" t="s">
        <v>7645</v>
      </c>
      <c r="C2673" s="2" t="s">
        <v>26</v>
      </c>
      <c r="D2673" s="2" t="s">
        <v>27</v>
      </c>
      <c r="E2673" s="4">
        <v>-32647</v>
      </c>
      <c r="F2673" s="3" t="s">
        <v>118</v>
      </c>
      <c r="G2673" s="3" t="s">
        <v>140</v>
      </c>
      <c r="H2673" s="2" t="s">
        <v>74</v>
      </c>
      <c r="I2673" s="2" t="s">
        <v>7646</v>
      </c>
      <c r="J2673" s="3" t="str">
        <f>HYPERLINK("https://www.boe.es/gazeta/dias/1810/08/12/pdfs/GMD-1810-224.pdf#page=2","Abrir facsímil")</f>
        <v>Abrir facsímil</v>
      </c>
      <c r="K2673" s="3" t="s">
        <v>76</v>
      </c>
    </row>
    <row r="2674" spans="1:11" ht="42" customHeight="1">
      <c r="A2674" s="2" t="s">
        <v>7647</v>
      </c>
      <c r="B2674" s="2" t="s">
        <v>7648</v>
      </c>
      <c r="C2674" s="2" t="s">
        <v>26</v>
      </c>
      <c r="D2674" s="2" t="s">
        <v>39</v>
      </c>
      <c r="E2674" s="4">
        <v>-32701</v>
      </c>
      <c r="F2674" s="3" t="s">
        <v>40</v>
      </c>
      <c r="G2674" s="3" t="s">
        <v>41</v>
      </c>
      <c r="H2674" s="2" t="s">
        <v>74</v>
      </c>
      <c r="I2674" s="2" t="s">
        <v>7649</v>
      </c>
      <c r="J2674" s="3" t="str">
        <f>HYPERLINK("https://www.boe.es/gazeta/dias/1810/06/19/pdfs/GMD-C-1810-170.pdf#page=3","Abrir facsímil")</f>
        <v>Abrir facsímil</v>
      </c>
      <c r="K2674" s="3" t="s">
        <v>76</v>
      </c>
    </row>
    <row r="2675" spans="1:11" ht="42" customHeight="1">
      <c r="A2675" s="2" t="s">
        <v>7650</v>
      </c>
      <c r="B2675" s="2" t="s">
        <v>7651</v>
      </c>
      <c r="C2675" s="2" t="s">
        <v>225</v>
      </c>
      <c r="D2675" s="2" t="s">
        <v>27</v>
      </c>
      <c r="E2675" s="4">
        <v>-32764</v>
      </c>
      <c r="F2675" s="3" t="s">
        <v>640</v>
      </c>
      <c r="G2675" s="3" t="s">
        <v>641</v>
      </c>
      <c r="H2675" s="2" t="s">
        <v>74</v>
      </c>
      <c r="I2675" s="2" t="s">
        <v>7652</v>
      </c>
      <c r="J2675" s="3" t="str">
        <f>HYPERLINK("https://www.boe.es/gazeta/dias/1810/04/17/pdfs/GEI-1810-15.pdf#page=8","Abrir facsímil")</f>
        <v>Abrir facsímil</v>
      </c>
      <c r="K2675" s="3" t="s">
        <v>76</v>
      </c>
    </row>
    <row r="2676" spans="1:11" ht="42" customHeight="1">
      <c r="A2676" s="2" t="s">
        <v>7653</v>
      </c>
      <c r="B2676" s="2" t="s">
        <v>7654</v>
      </c>
      <c r="C2676" s="2" t="s">
        <v>317</v>
      </c>
      <c r="D2676" s="2" t="s">
        <v>220</v>
      </c>
      <c r="E2676" s="4">
        <v>-32619</v>
      </c>
      <c r="F2676" s="3" t="s">
        <v>1270</v>
      </c>
      <c r="G2676" s="3" t="s">
        <v>1271</v>
      </c>
      <c r="H2676" s="2" t="s">
        <v>74</v>
      </c>
      <c r="I2676" s="2" t="s">
        <v>7655</v>
      </c>
      <c r="J2676" s="3" t="str">
        <f>HYPERLINK("https://www.boe.es/gazeta/dias/1810/09/09/pdfs/GMD-1810-252.pdf#page=4","Abrir facsímil")</f>
        <v>Abrir facsímil</v>
      </c>
      <c r="K2676" s="3" t="s">
        <v>76</v>
      </c>
    </row>
    <row r="2677" spans="1:11" ht="42" customHeight="1">
      <c r="A2677" s="2" t="s">
        <v>7656</v>
      </c>
      <c r="B2677" s="2" t="s">
        <v>7657</v>
      </c>
      <c r="C2677" s="2" t="s">
        <v>26</v>
      </c>
      <c r="D2677" s="2" t="s">
        <v>27</v>
      </c>
      <c r="E2677" s="4">
        <v>-32771</v>
      </c>
      <c r="F2677" s="3" t="s">
        <v>543</v>
      </c>
      <c r="G2677" s="3" t="s">
        <v>65</v>
      </c>
      <c r="H2677" s="2" t="s">
        <v>74</v>
      </c>
      <c r="I2677" s="2" t="s">
        <v>7658</v>
      </c>
      <c r="J2677" s="3" t="str">
        <f>HYPERLINK("https://www.boe.es/gazeta/dias/1810/04/10/pdfs/GEI-1810-13.pdf#page=7","Abrir facsímil")</f>
        <v>Abrir facsímil</v>
      </c>
      <c r="K2677" s="3" t="s">
        <v>76</v>
      </c>
    </row>
    <row r="2678" spans="1:11" ht="42" customHeight="1">
      <c r="A2678" s="2" t="s">
        <v>7659</v>
      </c>
      <c r="B2678" s="2" t="s">
        <v>7659</v>
      </c>
      <c r="C2678" s="2" t="s">
        <v>88</v>
      </c>
      <c r="D2678" s="2" t="s">
        <v>117</v>
      </c>
      <c r="E2678" s="4">
        <v>-32568</v>
      </c>
      <c r="F2678" s="3" t="s">
        <v>683</v>
      </c>
      <c r="G2678" s="3" t="s">
        <v>766</v>
      </c>
      <c r="H2678" s="2" t="s">
        <v>74</v>
      </c>
      <c r="I2678" s="2" t="s">
        <v>7660</v>
      </c>
      <c r="J2678" s="3" t="str">
        <f>HYPERLINK("https://www.boe.es/gazeta/dias/1810/10/30/pdfs/GEI-1810-88.pdf#page=6","Abrir facsímil")</f>
        <v>Abrir facsímil</v>
      </c>
      <c r="K2678" s="3" t="s">
        <v>76</v>
      </c>
    </row>
    <row r="2679" spans="1:11" ht="42" customHeight="1">
      <c r="A2679" s="2" t="s">
        <v>7661</v>
      </c>
      <c r="B2679" s="2" t="s">
        <v>7661</v>
      </c>
      <c r="C2679" s="2" t="s">
        <v>88</v>
      </c>
      <c r="D2679" s="2" t="s">
        <v>39</v>
      </c>
      <c r="E2679" s="4">
        <v>-32624</v>
      </c>
      <c r="F2679" s="3" t="s">
        <v>6736</v>
      </c>
      <c r="G2679" s="3" t="s">
        <v>1985</v>
      </c>
      <c r="H2679" s="2" t="s">
        <v>74</v>
      </c>
      <c r="I2679" s="2" t="s">
        <v>7662</v>
      </c>
      <c r="J2679" s="3" t="str">
        <f>HYPERLINK("https://www.boe.es/gazeta/dias/1810/09/04/pdfs/GEI-D-1810-64.pdf#page=4","Abrir facsímil")</f>
        <v>Abrir facsímil</v>
      </c>
      <c r="K2679" s="3" t="s">
        <v>76</v>
      </c>
    </row>
    <row r="2680" spans="1:11" ht="42" customHeight="1">
      <c r="A2680" s="2" t="s">
        <v>7663</v>
      </c>
      <c r="B2680" s="2" t="s">
        <v>7663</v>
      </c>
      <c r="C2680" s="2" t="s">
        <v>33</v>
      </c>
      <c r="D2680" s="2" t="s">
        <v>27</v>
      </c>
      <c r="E2680" s="4">
        <v>-32730</v>
      </c>
      <c r="F2680" s="3" t="s">
        <v>50</v>
      </c>
      <c r="G2680" s="3" t="s">
        <v>180</v>
      </c>
      <c r="H2680" s="2" t="s">
        <v>74</v>
      </c>
      <c r="I2680" s="2" t="s">
        <v>7664</v>
      </c>
      <c r="J2680" s="3" t="str">
        <f>HYPERLINK("https://www.boe.es/gazeta/dias/1810/05/21/pdfs/GMD-1810-141.pdf#page=2","Abrir facsímil")</f>
        <v>Abrir facsímil</v>
      </c>
      <c r="K2680" s="3" t="s">
        <v>76</v>
      </c>
    </row>
    <row r="2681" spans="1:11" ht="42" customHeight="1">
      <c r="A2681" s="2" t="s">
        <v>7665</v>
      </c>
      <c r="B2681" s="2" t="s">
        <v>7665</v>
      </c>
      <c r="C2681" s="2" t="s">
        <v>17</v>
      </c>
      <c r="D2681" s="2" t="s">
        <v>27</v>
      </c>
      <c r="E2681" s="4">
        <v>-32753</v>
      </c>
      <c r="F2681" s="3" t="s">
        <v>2789</v>
      </c>
      <c r="G2681" s="3" t="s">
        <v>29</v>
      </c>
      <c r="H2681" s="2" t="s">
        <v>74</v>
      </c>
      <c r="I2681" s="2" t="s">
        <v>7666</v>
      </c>
      <c r="J2681" s="3" t="str">
        <f>HYPERLINK("https://www.boe.es/gazeta/dias/1810/04/28/pdfs/GMD-1810-118.pdf#page=3","Abrir facsímil")</f>
        <v>Abrir facsímil</v>
      </c>
      <c r="K2681" s="3" t="s">
        <v>76</v>
      </c>
    </row>
    <row r="2682" spans="1:11" ht="42" customHeight="1">
      <c r="A2682" s="2" t="s">
        <v>7667</v>
      </c>
      <c r="B2682" s="2" t="s">
        <v>7667</v>
      </c>
      <c r="C2682" s="2" t="s">
        <v>88</v>
      </c>
      <c r="D2682" s="2" t="s">
        <v>27</v>
      </c>
      <c r="E2682" s="4">
        <v>-32838</v>
      </c>
      <c r="F2682" s="3" t="s">
        <v>7668</v>
      </c>
      <c r="G2682" s="3" t="s">
        <v>70</v>
      </c>
      <c r="H2682" s="2" t="s">
        <v>74</v>
      </c>
      <c r="I2682" s="2" t="s">
        <v>7669</v>
      </c>
      <c r="J2682" s="3" t="str">
        <f>HYPERLINK("https://www.boe.es/gazeta/dias/1810/02/02/pdfs/GMD-1810-33.pdf#page=3","Abrir facsímil")</f>
        <v>Abrir facsímil</v>
      </c>
      <c r="K2682" s="3" t="s">
        <v>76</v>
      </c>
    </row>
    <row r="2683" spans="1:11" ht="42" customHeight="1">
      <c r="A2683" s="2" t="s">
        <v>7670</v>
      </c>
      <c r="B2683" s="2" t="s">
        <v>7671</v>
      </c>
      <c r="C2683" s="2" t="s">
        <v>88</v>
      </c>
      <c r="D2683" s="2" t="s">
        <v>117</v>
      </c>
      <c r="E2683" s="4">
        <v>-32683</v>
      </c>
      <c r="F2683" s="3" t="s">
        <v>579</v>
      </c>
      <c r="G2683" s="3" t="s">
        <v>5489</v>
      </c>
      <c r="H2683" s="2" t="s">
        <v>21</v>
      </c>
      <c r="I2683" s="2" t="s">
        <v>7672</v>
      </c>
      <c r="J2683" s="3" t="str">
        <f>HYPERLINK("https://www.boe.es/gazeta/dias/1810/07/07/pdfs/GMD-1810-188.pdf#page=3","Abrir facsímil")</f>
        <v>Abrir facsímil</v>
      </c>
      <c r="K2683" s="3" t="s">
        <v>23</v>
      </c>
    </row>
    <row r="2684" spans="1:11" ht="42" customHeight="1">
      <c r="A2684" s="2" t="s">
        <v>7673</v>
      </c>
      <c r="B2684" s="2" t="s">
        <v>7674</v>
      </c>
      <c r="C2684" s="2" t="s">
        <v>317</v>
      </c>
      <c r="D2684" s="2" t="s">
        <v>27</v>
      </c>
      <c r="E2684" s="4">
        <v>-32649</v>
      </c>
      <c r="F2684" s="3" t="s">
        <v>1988</v>
      </c>
      <c r="G2684" s="3" t="s">
        <v>227</v>
      </c>
      <c r="H2684" s="2" t="s">
        <v>74</v>
      </c>
      <c r="I2684" s="2" t="s">
        <v>7675</v>
      </c>
      <c r="J2684" s="3" t="str">
        <f>HYPERLINK("https://www.boe.es/gazeta/dias/1810/08/10/pdfs/GMD-1810-222.pdf#page=4","Abrir facsímil")</f>
        <v>Abrir facsímil</v>
      </c>
      <c r="K2684" s="3" t="s">
        <v>76</v>
      </c>
    </row>
    <row r="2685" spans="1:11" ht="42" customHeight="1">
      <c r="A2685" s="2" t="s">
        <v>7676</v>
      </c>
      <c r="B2685" s="2" t="s">
        <v>7677</v>
      </c>
      <c r="C2685" s="2" t="s">
        <v>88</v>
      </c>
      <c r="D2685" s="2" t="s">
        <v>18</v>
      </c>
      <c r="E2685" s="4">
        <v>-32631</v>
      </c>
      <c r="F2685" s="3" t="s">
        <v>497</v>
      </c>
      <c r="G2685" s="3" t="s">
        <v>498</v>
      </c>
      <c r="H2685" s="2" t="s">
        <v>74</v>
      </c>
      <c r="I2685" s="2" t="s">
        <v>7678</v>
      </c>
      <c r="J2685" s="3" t="str">
        <f>HYPERLINK("https://www.boe.es/gazeta/dias/1810/08/28/pdfs/GMD-1810-240.pdf#page=2","Abrir facsímil")</f>
        <v>Abrir facsímil</v>
      </c>
      <c r="K2685" s="3" t="s">
        <v>76</v>
      </c>
    </row>
    <row r="2686" spans="1:11" ht="42" customHeight="1">
      <c r="A2686" s="2" t="s">
        <v>7679</v>
      </c>
      <c r="B2686" s="2" t="s">
        <v>7680</v>
      </c>
      <c r="C2686" s="2" t="s">
        <v>17</v>
      </c>
      <c r="D2686" s="2" t="s">
        <v>27</v>
      </c>
      <c r="E2686" s="4">
        <v>-32741</v>
      </c>
      <c r="F2686" s="3" t="s">
        <v>98</v>
      </c>
      <c r="G2686" s="3" t="s">
        <v>90</v>
      </c>
      <c r="H2686" s="2" t="s">
        <v>74</v>
      </c>
      <c r="I2686" s="2" t="s">
        <v>7681</v>
      </c>
      <c r="J2686" s="3" t="str">
        <f>HYPERLINK("https://www.boe.es/gazeta/dias/1810/05/10/pdfs/GMD-1810-130.pdf#page=4","Abrir facsímil")</f>
        <v>Abrir facsímil</v>
      </c>
      <c r="K2686" s="3" t="s">
        <v>76</v>
      </c>
    </row>
    <row r="2687" spans="1:11" ht="42" customHeight="1">
      <c r="A2687" s="2" t="s">
        <v>7682</v>
      </c>
      <c r="B2687" s="2" t="s">
        <v>7683</v>
      </c>
      <c r="C2687" s="2" t="s">
        <v>26</v>
      </c>
      <c r="D2687" s="2" t="s">
        <v>27</v>
      </c>
      <c r="E2687" s="4">
        <v>-32575</v>
      </c>
      <c r="F2687" s="3" t="s">
        <v>135</v>
      </c>
      <c r="G2687" s="3" t="s">
        <v>140</v>
      </c>
      <c r="H2687" s="2" t="s">
        <v>74</v>
      </c>
      <c r="I2687" s="2" t="s">
        <v>7684</v>
      </c>
      <c r="J2687" s="3" t="str">
        <f>HYPERLINK("https://www.boe.es/gazeta/dias/1810/10/23/pdfs/GEI-1810-85.pdf#page=10","Abrir facsímil")</f>
        <v>Abrir facsímil</v>
      </c>
      <c r="K2687" s="3" t="s">
        <v>76</v>
      </c>
    </row>
    <row r="2688" spans="1:11" ht="42" customHeight="1">
      <c r="A2688" s="2" t="s">
        <v>7685</v>
      </c>
      <c r="B2688" s="2" t="s">
        <v>7686</v>
      </c>
      <c r="C2688" s="2" t="s">
        <v>26</v>
      </c>
      <c r="D2688" s="2" t="s">
        <v>18</v>
      </c>
      <c r="E2688" s="4">
        <v>-32628</v>
      </c>
      <c r="F2688" s="3" t="s">
        <v>5735</v>
      </c>
      <c r="G2688" s="3" t="s">
        <v>180</v>
      </c>
      <c r="H2688" s="2" t="s">
        <v>74</v>
      </c>
      <c r="I2688" s="2" t="s">
        <v>7687</v>
      </c>
      <c r="J2688" s="3" t="str">
        <f>HYPERLINK("https://www.boe.es/gazeta/dias/1810/08/31/pdfs/GEI-1810-63E.pdf#page=1","Abrir facsímil")</f>
        <v>Abrir facsímil</v>
      </c>
      <c r="K2688" s="3" t="s">
        <v>76</v>
      </c>
    </row>
    <row r="2689" spans="1:11" ht="42" customHeight="1">
      <c r="A2689" s="2" t="s">
        <v>7688</v>
      </c>
      <c r="B2689" s="2" t="s">
        <v>7689</v>
      </c>
      <c r="C2689" s="2" t="s">
        <v>317</v>
      </c>
      <c r="D2689" s="2" t="s">
        <v>39</v>
      </c>
      <c r="E2689" s="4">
        <v>-32686</v>
      </c>
      <c r="F2689" s="3" t="s">
        <v>3230</v>
      </c>
      <c r="G2689" s="3" t="s">
        <v>2577</v>
      </c>
      <c r="H2689" s="2" t="s">
        <v>74</v>
      </c>
      <c r="I2689" s="2" t="s">
        <v>7690</v>
      </c>
      <c r="J2689" s="3" t="str">
        <f>HYPERLINK("https://www.boe.es/gazeta/dias/1810/07/04/pdfs/GMD-C-1810-185.pdf#page=1","Abrir facsímil")</f>
        <v>Abrir facsímil</v>
      </c>
      <c r="K2689" s="3" t="s">
        <v>76</v>
      </c>
    </row>
    <row r="2690" spans="1:11" ht="42" customHeight="1">
      <c r="A2690" s="2" t="s">
        <v>7691</v>
      </c>
      <c r="B2690" s="2" t="s">
        <v>7692</v>
      </c>
      <c r="C2690" s="2" t="s">
        <v>26</v>
      </c>
      <c r="D2690" s="2" t="s">
        <v>39</v>
      </c>
      <c r="E2690" s="4">
        <v>-32684</v>
      </c>
      <c r="F2690" s="3" t="s">
        <v>372</v>
      </c>
      <c r="G2690" s="3" t="s">
        <v>373</v>
      </c>
      <c r="H2690" s="2" t="s">
        <v>74</v>
      </c>
      <c r="I2690" s="2" t="s">
        <v>7693</v>
      </c>
      <c r="J2690" s="3" t="str">
        <f>HYPERLINK("https://www.boe.es/gazeta/dias/1810/07/06/pdfs/GEI-D-1810-42.pdf#page=8","Abrir facsímil")</f>
        <v>Abrir facsímil</v>
      </c>
      <c r="K2690" s="3" t="s">
        <v>76</v>
      </c>
    </row>
    <row r="2691" spans="1:11" ht="42" customHeight="1">
      <c r="A2691" s="2" t="s">
        <v>7694</v>
      </c>
      <c r="B2691" s="2" t="s">
        <v>7695</v>
      </c>
      <c r="C2691" s="2" t="s">
        <v>26</v>
      </c>
      <c r="D2691" s="2" t="s">
        <v>39</v>
      </c>
      <c r="E2691" s="4">
        <v>-32701</v>
      </c>
      <c r="F2691" s="3" t="s">
        <v>40</v>
      </c>
      <c r="G2691" s="3" t="s">
        <v>315</v>
      </c>
      <c r="H2691" s="2" t="s">
        <v>74</v>
      </c>
      <c r="I2691" s="2" t="s">
        <v>7696</v>
      </c>
      <c r="J2691" s="3" t="str">
        <f>HYPERLINK("https://www.boe.es/gazeta/dias/1810/06/19/pdfs/GMD-C-1810-170.pdf#page=2","Abrir facsímil")</f>
        <v>Abrir facsímil</v>
      </c>
      <c r="K2691" s="3" t="s">
        <v>76</v>
      </c>
    </row>
    <row r="2692" spans="1:11" ht="42" customHeight="1">
      <c r="A2692" s="2" t="s">
        <v>7697</v>
      </c>
      <c r="B2692" s="2" t="s">
        <v>7698</v>
      </c>
      <c r="C2692" s="2" t="s">
        <v>26</v>
      </c>
      <c r="D2692" s="2" t="s">
        <v>39</v>
      </c>
      <c r="E2692" s="4">
        <v>-32599</v>
      </c>
      <c r="F2692" s="3" t="s">
        <v>662</v>
      </c>
      <c r="G2692" s="3" t="s">
        <v>668</v>
      </c>
      <c r="H2692" s="2" t="s">
        <v>74</v>
      </c>
      <c r="I2692" s="2" t="s">
        <v>7699</v>
      </c>
      <c r="J2692" s="3" t="str">
        <f>HYPERLINK("https://www.boe.es/gazeta/dias/1810/09/29/pdfs/GMD-C-1810-272.pdf#page=4","Abrir facsímil")</f>
        <v>Abrir facsímil</v>
      </c>
      <c r="K2692" s="3" t="s">
        <v>76</v>
      </c>
    </row>
    <row r="2693" spans="1:11" ht="42" customHeight="1">
      <c r="A2693" s="2" t="s">
        <v>7700</v>
      </c>
      <c r="B2693" s="2" t="s">
        <v>7701</v>
      </c>
      <c r="C2693" s="2" t="s">
        <v>88</v>
      </c>
      <c r="D2693" s="2" t="s">
        <v>39</v>
      </c>
      <c r="E2693" s="4">
        <v>-32677</v>
      </c>
      <c r="F2693" s="3" t="s">
        <v>549</v>
      </c>
      <c r="G2693" s="3" t="s">
        <v>7702</v>
      </c>
      <c r="H2693" s="2" t="s">
        <v>21</v>
      </c>
      <c r="I2693" s="2" t="s">
        <v>7703</v>
      </c>
      <c r="J2693" s="3" t="str">
        <f>HYPERLINK("https://www.boe.es/gazeta/dias/1810/07/13/pdfs/GEI-D-1810-44.pdf#page=7","Abrir facsímil")</f>
        <v>Abrir facsímil</v>
      </c>
      <c r="K2693" s="3" t="s">
        <v>23</v>
      </c>
    </row>
    <row r="2694" spans="1:11" ht="42" customHeight="1">
      <c r="A2694" s="2" t="s">
        <v>7704</v>
      </c>
      <c r="B2694" s="2" t="s">
        <v>7705</v>
      </c>
      <c r="C2694" s="2" t="s">
        <v>88</v>
      </c>
      <c r="D2694" s="2" t="s">
        <v>27</v>
      </c>
      <c r="E2694" s="4">
        <v>-32550</v>
      </c>
      <c r="F2694" s="3" t="s">
        <v>1472</v>
      </c>
      <c r="G2694" s="3" t="s">
        <v>1473</v>
      </c>
      <c r="H2694" s="2" t="s">
        <v>74</v>
      </c>
      <c r="I2694" s="2" t="s">
        <v>7706</v>
      </c>
      <c r="J2694" s="3" t="str">
        <f>HYPERLINK("https://www.boe.es/gazeta/dias/1810/11/17/pdfs/GEI-1810-96.pdf#page=8","Abrir facsímil")</f>
        <v>Abrir facsímil</v>
      </c>
      <c r="K2694" s="3" t="s">
        <v>76</v>
      </c>
    </row>
    <row r="2695" spans="1:11" ht="42" customHeight="1">
      <c r="A2695" s="2" t="s">
        <v>7707</v>
      </c>
      <c r="B2695" s="2" t="s">
        <v>7708</v>
      </c>
      <c r="C2695" s="2" t="s">
        <v>26</v>
      </c>
      <c r="D2695" s="2" t="s">
        <v>220</v>
      </c>
      <c r="E2695" s="4">
        <v>-32828</v>
      </c>
      <c r="F2695" s="3" t="s">
        <v>1195</v>
      </c>
      <c r="G2695" s="3" t="s">
        <v>701</v>
      </c>
      <c r="H2695" s="2" t="s">
        <v>74</v>
      </c>
      <c r="I2695" s="2" t="s">
        <v>7709</v>
      </c>
      <c r="J2695" s="3" t="str">
        <f>HYPERLINK("https://www.boe.es/gazeta/dias/1810/02/12/pdfs/GMD-1810-43.pdf#page=2","Abrir facsímil")</f>
        <v>Abrir facsímil</v>
      </c>
      <c r="K2695" s="3" t="s">
        <v>76</v>
      </c>
    </row>
    <row r="2696" spans="1:11" ht="42" customHeight="1">
      <c r="A2696" s="2" t="s">
        <v>7710</v>
      </c>
      <c r="B2696" s="2" t="s">
        <v>7711</v>
      </c>
      <c r="C2696" s="2" t="s">
        <v>26</v>
      </c>
      <c r="D2696" s="2" t="s">
        <v>27</v>
      </c>
      <c r="E2696" s="4">
        <v>-32647</v>
      </c>
      <c r="F2696" s="3" t="s">
        <v>118</v>
      </c>
      <c r="G2696" s="3" t="s">
        <v>119</v>
      </c>
      <c r="H2696" s="2" t="s">
        <v>74</v>
      </c>
      <c r="I2696" s="2" t="s">
        <v>7712</v>
      </c>
      <c r="J2696" s="3" t="str">
        <f>HYPERLINK("https://www.boe.es/gazeta/dias/1810/08/12/pdfs/GMD-1810-224.pdf#page=3","Abrir facsímil")</f>
        <v>Abrir facsímil</v>
      </c>
      <c r="K2696" s="3" t="s">
        <v>76</v>
      </c>
    </row>
    <row r="2697" spans="1:11" ht="42" customHeight="1">
      <c r="A2697" s="2" t="s">
        <v>7713</v>
      </c>
      <c r="B2697" s="2" t="s">
        <v>7714</v>
      </c>
      <c r="C2697" s="2" t="s">
        <v>225</v>
      </c>
      <c r="D2697" s="2" t="s">
        <v>27</v>
      </c>
      <c r="E2697" s="4">
        <v>-32828</v>
      </c>
      <c r="F2697" s="3" t="s">
        <v>1195</v>
      </c>
      <c r="G2697" s="3" t="s">
        <v>2514</v>
      </c>
      <c r="H2697" s="2" t="s">
        <v>21</v>
      </c>
      <c r="I2697" s="2" t="s">
        <v>7715</v>
      </c>
      <c r="J2697" s="3" t="str">
        <f>HYPERLINK("https://www.boe.es/gazeta/dias/1810/02/12/pdfs/GMD-1810-43.pdf#page=1","Abrir facsímil")</f>
        <v>Abrir facsímil</v>
      </c>
      <c r="K2697" s="3" t="s">
        <v>23</v>
      </c>
    </row>
    <row r="2698" spans="1:11" ht="42" customHeight="1">
      <c r="A2698" s="2" t="s">
        <v>7716</v>
      </c>
      <c r="B2698" s="2" t="s">
        <v>7717</v>
      </c>
      <c r="C2698" s="2" t="s">
        <v>26</v>
      </c>
      <c r="D2698" s="2" t="s">
        <v>27</v>
      </c>
      <c r="E2698" s="4">
        <v>-32620</v>
      </c>
      <c r="F2698" s="3" t="s">
        <v>1499</v>
      </c>
      <c r="G2698" s="3" t="s">
        <v>20</v>
      </c>
      <c r="H2698" s="2" t="s">
        <v>74</v>
      </c>
      <c r="I2698" s="2" t="s">
        <v>7718</v>
      </c>
      <c r="J2698" s="3" t="str">
        <f>HYPERLINK("https://www.boe.es/gazeta/dias/1810/09/08/pdfs/GMD-1810-251.pdf#page=4","Abrir facsímil")</f>
        <v>Abrir facsímil</v>
      </c>
      <c r="K2698" s="3" t="s">
        <v>76</v>
      </c>
    </row>
    <row r="2699" spans="1:11" ht="42" customHeight="1">
      <c r="A2699" s="2" t="s">
        <v>7719</v>
      </c>
      <c r="B2699" s="2" t="s">
        <v>7720</v>
      </c>
      <c r="C2699" s="2" t="s">
        <v>26</v>
      </c>
      <c r="D2699" s="2" t="s">
        <v>39</v>
      </c>
      <c r="E2699" s="4">
        <v>-32701</v>
      </c>
      <c r="F2699" s="3" t="s">
        <v>40</v>
      </c>
      <c r="G2699" s="3" t="s">
        <v>315</v>
      </c>
      <c r="H2699" s="2" t="s">
        <v>74</v>
      </c>
      <c r="I2699" s="2" t="s">
        <v>7721</v>
      </c>
      <c r="J2699" s="3" t="str">
        <f>HYPERLINK("https://www.boe.es/gazeta/dias/1810/06/19/pdfs/GMD-C-1810-170.pdf#page=2","Abrir facsímil")</f>
        <v>Abrir facsímil</v>
      </c>
      <c r="K2699" s="3" t="s">
        <v>76</v>
      </c>
    </row>
    <row r="2700" spans="1:11" ht="42" customHeight="1">
      <c r="A2700" s="2" t="s">
        <v>7722</v>
      </c>
      <c r="B2700" s="2" t="s">
        <v>7723</v>
      </c>
      <c r="C2700" s="2" t="s">
        <v>26</v>
      </c>
      <c r="D2700" s="2" t="s">
        <v>27</v>
      </c>
      <c r="E2700" s="4">
        <v>-32666</v>
      </c>
      <c r="F2700" s="3" t="s">
        <v>346</v>
      </c>
      <c r="G2700" s="3" t="s">
        <v>971</v>
      </c>
      <c r="H2700" s="2" t="s">
        <v>74</v>
      </c>
      <c r="I2700" s="2" t="s">
        <v>7724</v>
      </c>
      <c r="J2700" s="3" t="str">
        <f>HYPERLINK("https://www.boe.es/gazeta/dias/1810/07/24/pdfs/GEI-1810-47.pdf#page=7","Abrir facsímil")</f>
        <v>Abrir facsímil</v>
      </c>
      <c r="K2700" s="3" t="s">
        <v>76</v>
      </c>
    </row>
    <row r="2701" spans="1:11" ht="42" customHeight="1">
      <c r="A2701" s="2" t="s">
        <v>7725</v>
      </c>
      <c r="B2701" s="2" t="s">
        <v>7726</v>
      </c>
      <c r="C2701" s="2" t="s">
        <v>111</v>
      </c>
      <c r="D2701" s="2" t="s">
        <v>27</v>
      </c>
      <c r="E2701" s="4">
        <v>-32837</v>
      </c>
      <c r="F2701" s="3" t="s">
        <v>196</v>
      </c>
      <c r="G2701" s="3" t="s">
        <v>140</v>
      </c>
      <c r="H2701" s="2" t="s">
        <v>74</v>
      </c>
      <c r="I2701" s="2" t="s">
        <v>7727</v>
      </c>
      <c r="J2701" s="3" t="str">
        <f>HYPERLINK("https://www.boe.es/gazeta/dias/1810/02/03/pdfs/GMD-1810-34.pdf#page=4","Abrir facsímil")</f>
        <v>Abrir facsímil</v>
      </c>
      <c r="K2701" s="3" t="s">
        <v>76</v>
      </c>
    </row>
    <row r="2702" spans="1:11" ht="42" customHeight="1">
      <c r="A2702" s="2" t="s">
        <v>7728</v>
      </c>
      <c r="B2702" s="2" t="s">
        <v>7729</v>
      </c>
      <c r="C2702" s="2" t="s">
        <v>88</v>
      </c>
      <c r="D2702" s="2" t="s">
        <v>27</v>
      </c>
      <c r="E2702" s="4">
        <v>-32509</v>
      </c>
      <c r="F2702" s="3" t="s">
        <v>212</v>
      </c>
      <c r="G2702" s="3" t="s">
        <v>213</v>
      </c>
      <c r="H2702" s="2" t="s">
        <v>74</v>
      </c>
      <c r="I2702" s="2" t="s">
        <v>7730</v>
      </c>
      <c r="J2702" s="3" t="str">
        <f>HYPERLINK("https://www.boe.es/gazeta/dias/1810/12/28/pdfs/GMD-1810-362.pdf#page=4","Abrir facsímil")</f>
        <v>Abrir facsímil</v>
      </c>
      <c r="K2702" s="3" t="s">
        <v>76</v>
      </c>
    </row>
    <row r="2703" spans="1:11" ht="42" customHeight="1">
      <c r="A2703" s="2" t="s">
        <v>7731</v>
      </c>
      <c r="B2703" s="2" t="s">
        <v>7732</v>
      </c>
      <c r="C2703" s="2" t="s">
        <v>26</v>
      </c>
      <c r="D2703" s="2" t="s">
        <v>27</v>
      </c>
      <c r="E2703" s="4">
        <v>-32829</v>
      </c>
      <c r="F2703" s="3" t="s">
        <v>1126</v>
      </c>
      <c r="G2703" s="3" t="s">
        <v>29</v>
      </c>
      <c r="H2703" s="2" t="s">
        <v>74</v>
      </c>
      <c r="I2703" s="2" t="s">
        <v>7733</v>
      </c>
      <c r="J2703" s="3" t="str">
        <f>HYPERLINK("https://www.boe.es/gazeta/dias/1810/02/11/pdfs/GMD-1810-42.pdf#page=2","Abrir facsímil")</f>
        <v>Abrir facsímil</v>
      </c>
      <c r="K2703" s="3" t="s">
        <v>76</v>
      </c>
    </row>
    <row r="2704" spans="1:11" ht="42" customHeight="1">
      <c r="A2704" s="2" t="s">
        <v>7734</v>
      </c>
      <c r="B2704" s="2" t="s">
        <v>7735</v>
      </c>
      <c r="C2704" s="2" t="s">
        <v>26</v>
      </c>
      <c r="D2704" s="2" t="s">
        <v>39</v>
      </c>
      <c r="E2704" s="4">
        <v>-32702</v>
      </c>
      <c r="F2704" s="3" t="s">
        <v>179</v>
      </c>
      <c r="G2704" s="3" t="s">
        <v>180</v>
      </c>
      <c r="H2704" s="2" t="s">
        <v>74</v>
      </c>
      <c r="I2704" s="2" t="s">
        <v>7736</v>
      </c>
      <c r="J2704" s="3" t="str">
        <f>HYPERLINK("https://www.boe.es/gazeta/dias/1810/06/18/pdfs/GMD-C-1810-169.pdf#page=2","Abrir facsímil")</f>
        <v>Abrir facsímil</v>
      </c>
      <c r="K2704" s="3" t="s">
        <v>76</v>
      </c>
    </row>
    <row r="2705" spans="1:11" ht="42" customHeight="1">
      <c r="A2705" s="2" t="s">
        <v>7737</v>
      </c>
      <c r="B2705" s="2" t="s">
        <v>7738</v>
      </c>
      <c r="C2705" s="2" t="s">
        <v>26</v>
      </c>
      <c r="D2705" s="2" t="s">
        <v>27</v>
      </c>
      <c r="E2705" s="4">
        <v>-32689</v>
      </c>
      <c r="F2705" s="3" t="s">
        <v>571</v>
      </c>
      <c r="G2705" s="3" t="s">
        <v>29</v>
      </c>
      <c r="H2705" s="2" t="s">
        <v>74</v>
      </c>
      <c r="I2705" s="2" t="s">
        <v>7739</v>
      </c>
      <c r="J2705" s="3" t="str">
        <f>HYPERLINK("https://www.boe.es/gazeta/dias/1810/07/01/pdfs/GMD-1810-182.pdf#page=3","Abrir facsímil")</f>
        <v>Abrir facsímil</v>
      </c>
      <c r="K2705" s="3" t="s">
        <v>76</v>
      </c>
    </row>
    <row r="2706" spans="1:11" ht="42" customHeight="1">
      <c r="A2706" s="2" t="s">
        <v>7737</v>
      </c>
      <c r="B2706" s="2" t="s">
        <v>7738</v>
      </c>
      <c r="C2706" s="2" t="s">
        <v>26</v>
      </c>
      <c r="D2706" s="2" t="s">
        <v>27</v>
      </c>
      <c r="E2706" s="4">
        <v>-32654</v>
      </c>
      <c r="F2706" s="3" t="s">
        <v>1226</v>
      </c>
      <c r="G2706" s="3" t="s">
        <v>732</v>
      </c>
      <c r="H2706" s="2" t="s">
        <v>74</v>
      </c>
      <c r="I2706" s="2" t="s">
        <v>7740</v>
      </c>
      <c r="J2706" s="3" t="str">
        <f>HYPERLINK("https://www.boe.es/gazeta/dias/1810/08/05/pdfs/GMD-1810-217.pdf#page=3","Abrir facsímil")</f>
        <v>Abrir facsímil</v>
      </c>
      <c r="K2706" s="3" t="s">
        <v>76</v>
      </c>
    </row>
    <row r="2707" spans="1:11" ht="42" customHeight="1">
      <c r="A2707" s="2" t="s">
        <v>7741</v>
      </c>
      <c r="B2707" s="2" t="s">
        <v>7742</v>
      </c>
      <c r="C2707" s="2" t="s">
        <v>26</v>
      </c>
      <c r="D2707" s="2" t="s">
        <v>27</v>
      </c>
      <c r="E2707" s="4">
        <v>-32729</v>
      </c>
      <c r="F2707" s="3" t="s">
        <v>174</v>
      </c>
      <c r="G2707" s="3" t="s">
        <v>886</v>
      </c>
      <c r="H2707" s="2" t="s">
        <v>74</v>
      </c>
      <c r="I2707" s="2" t="s">
        <v>7743</v>
      </c>
      <c r="J2707" s="3" t="str">
        <f>HYPERLINK("https://www.boe.es/gazeta/dias/1810/05/22/pdfs/GEI-1810-28.pdf#page=11","Abrir facsímil")</f>
        <v>Abrir facsímil</v>
      </c>
      <c r="K2707" s="3" t="s">
        <v>76</v>
      </c>
    </row>
    <row r="2708" spans="1:11" ht="42" customHeight="1">
      <c r="A2708" s="2" t="s">
        <v>7744</v>
      </c>
      <c r="B2708" s="2" t="s">
        <v>7745</v>
      </c>
      <c r="C2708" s="2" t="s">
        <v>26</v>
      </c>
      <c r="D2708" s="2" t="s">
        <v>27</v>
      </c>
      <c r="E2708" s="4">
        <v>-32688</v>
      </c>
      <c r="F2708" s="3" t="s">
        <v>997</v>
      </c>
      <c r="G2708" s="3" t="s">
        <v>749</v>
      </c>
      <c r="H2708" s="2" t="s">
        <v>74</v>
      </c>
      <c r="I2708" s="2" t="s">
        <v>7746</v>
      </c>
      <c r="J2708" s="3" t="str">
        <f>HYPERLINK("https://www.boe.es/gazeta/dias/1810/07/02/pdfs/GMD-1810-183.pdf#page=4","Abrir facsímil")</f>
        <v>Abrir facsímil</v>
      </c>
      <c r="K2708" s="3" t="s">
        <v>76</v>
      </c>
    </row>
    <row r="2709" spans="1:11" ht="42" customHeight="1">
      <c r="A2709" s="2" t="s">
        <v>7747</v>
      </c>
      <c r="B2709" s="2" t="s">
        <v>7748</v>
      </c>
      <c r="C2709" s="2" t="s">
        <v>88</v>
      </c>
      <c r="D2709" s="2" t="s">
        <v>117</v>
      </c>
      <c r="E2709" s="4">
        <v>-32826</v>
      </c>
      <c r="F2709" s="3" t="s">
        <v>1252</v>
      </c>
      <c r="G2709" s="3" t="s">
        <v>227</v>
      </c>
      <c r="H2709" s="2" t="s">
        <v>21</v>
      </c>
      <c r="I2709" s="2" t="s">
        <v>7749</v>
      </c>
      <c r="J2709" s="3" t="str">
        <f>HYPERLINK("https://www.boe.es/gazeta/dias/1810/02/14/pdfs/GMD-1810-45.pdf#page=4","Abrir facsímil")</f>
        <v>Abrir facsímil</v>
      </c>
      <c r="K2709" s="3" t="s">
        <v>23</v>
      </c>
    </row>
    <row r="2710" spans="1:11" ht="42" customHeight="1">
      <c r="A2710" s="2" t="s">
        <v>7750</v>
      </c>
      <c r="B2710" s="2" t="s">
        <v>7751</v>
      </c>
      <c r="C2710" s="2" t="s">
        <v>26</v>
      </c>
      <c r="D2710" s="2" t="s">
        <v>27</v>
      </c>
      <c r="E2710" s="4">
        <v>-32575</v>
      </c>
      <c r="F2710" s="3" t="s">
        <v>135</v>
      </c>
      <c r="G2710" s="3" t="s">
        <v>136</v>
      </c>
      <c r="H2710" s="2" t="s">
        <v>74</v>
      </c>
      <c r="I2710" s="2" t="s">
        <v>7752</v>
      </c>
      <c r="J2710" s="3" t="str">
        <f>HYPERLINK("https://www.boe.es/gazeta/dias/1810/10/23/pdfs/GEI-1810-85.pdf#page=11","Abrir facsímil")</f>
        <v>Abrir facsímil</v>
      </c>
      <c r="K2710" s="3" t="s">
        <v>76</v>
      </c>
    </row>
    <row r="2711" spans="1:11" ht="42" customHeight="1">
      <c r="A2711" s="2" t="s">
        <v>7753</v>
      </c>
      <c r="B2711" s="2" t="s">
        <v>7754</v>
      </c>
      <c r="C2711" s="2" t="s">
        <v>88</v>
      </c>
      <c r="D2711" s="2" t="s">
        <v>27</v>
      </c>
      <c r="E2711" s="4">
        <v>-32725</v>
      </c>
      <c r="F2711" s="3" t="s">
        <v>417</v>
      </c>
      <c r="G2711" s="3" t="s">
        <v>140</v>
      </c>
      <c r="H2711" s="2" t="s">
        <v>74</v>
      </c>
      <c r="I2711" s="2" t="s">
        <v>7755</v>
      </c>
      <c r="J2711" s="3" t="str">
        <f>HYPERLINK("https://www.boe.es/gazeta/dias/1810/05/26/pdfs/GMD-1810-146.pdf#page=4","Abrir facsímil")</f>
        <v>Abrir facsímil</v>
      </c>
      <c r="K2711" s="3" t="s">
        <v>76</v>
      </c>
    </row>
    <row r="2712" spans="1:11" ht="42" customHeight="1">
      <c r="A2712" s="2" t="s">
        <v>7756</v>
      </c>
      <c r="B2712" s="2" t="s">
        <v>7757</v>
      </c>
      <c r="C2712" s="2" t="s">
        <v>26</v>
      </c>
      <c r="D2712" s="2" t="s">
        <v>27</v>
      </c>
      <c r="E2712" s="4">
        <v>-32710</v>
      </c>
      <c r="F2712" s="3" t="s">
        <v>126</v>
      </c>
      <c r="G2712" s="3" t="s">
        <v>184</v>
      </c>
      <c r="H2712" s="2" t="s">
        <v>74</v>
      </c>
      <c r="I2712" s="2" t="s">
        <v>7758</v>
      </c>
      <c r="J2712" s="3" t="str">
        <f>HYPERLINK("https://www.boe.es/gazeta/dias/1810/06/10/pdfs/GMD-1810-161.pdf#page=3","Abrir facsímil")</f>
        <v>Abrir facsímil</v>
      </c>
      <c r="K2712" s="3" t="s">
        <v>76</v>
      </c>
    </row>
    <row r="2713" spans="1:11" ht="42" customHeight="1">
      <c r="A2713" s="2" t="s">
        <v>7759</v>
      </c>
      <c r="B2713" s="2" t="s">
        <v>7760</v>
      </c>
      <c r="C2713" s="2" t="s">
        <v>26</v>
      </c>
      <c r="D2713" s="2" t="s">
        <v>58</v>
      </c>
      <c r="E2713" s="4">
        <v>-32601</v>
      </c>
      <c r="F2713" s="3" t="s">
        <v>392</v>
      </c>
      <c r="G2713" s="3" t="s">
        <v>35</v>
      </c>
      <c r="H2713" s="2" t="s">
        <v>74</v>
      </c>
      <c r="I2713" s="2" t="s">
        <v>7761</v>
      </c>
      <c r="J2713" s="3" t="str">
        <f>HYPERLINK("https://www.boe.es/gazeta/dias/1810/09/27/pdfs/GEI-1810-74E.pdf#page=2","Abrir facsímil")</f>
        <v>Abrir facsímil</v>
      </c>
      <c r="K2713" s="3" t="s">
        <v>76</v>
      </c>
    </row>
    <row r="2714" spans="1:11" ht="42" customHeight="1">
      <c r="A2714" s="2" t="s">
        <v>7762</v>
      </c>
      <c r="B2714" s="2" t="s">
        <v>7763</v>
      </c>
      <c r="C2714" s="2" t="s">
        <v>26</v>
      </c>
      <c r="D2714" s="2" t="s">
        <v>220</v>
      </c>
      <c r="E2714" s="4">
        <v>-32696</v>
      </c>
      <c r="F2714" s="3" t="s">
        <v>1863</v>
      </c>
      <c r="G2714" s="3" t="s">
        <v>701</v>
      </c>
      <c r="H2714" s="2" t="s">
        <v>21</v>
      </c>
      <c r="I2714" s="2" t="s">
        <v>7764</v>
      </c>
      <c r="J2714" s="3" t="str">
        <f>HYPERLINK("https://www.boe.es/gazeta/dias/1810/06/24/pdfs/GMD-1810-175.pdf#page=4","Abrir facsímil")</f>
        <v>Abrir facsímil</v>
      </c>
      <c r="K2714" s="3" t="s">
        <v>23</v>
      </c>
    </row>
    <row r="2715" spans="1:11" ht="42" customHeight="1">
      <c r="A2715" s="2" t="s">
        <v>7765</v>
      </c>
      <c r="B2715" s="2" t="s">
        <v>7766</v>
      </c>
      <c r="C2715" s="2" t="s">
        <v>26</v>
      </c>
      <c r="D2715" s="2" t="s">
        <v>27</v>
      </c>
      <c r="E2715" s="4">
        <v>-32515</v>
      </c>
      <c r="F2715" s="3" t="s">
        <v>351</v>
      </c>
      <c r="G2715" s="3" t="s">
        <v>352</v>
      </c>
      <c r="H2715" s="2" t="s">
        <v>74</v>
      </c>
      <c r="I2715" s="2" t="s">
        <v>7767</v>
      </c>
      <c r="J2715" s="3" t="str">
        <f>HYPERLINK("https://www.boe.es/gazeta/dias/1810/12/22/pdfs/GEI-1810-111.pdf#page=8","Abrir facsímil")</f>
        <v>Abrir facsímil</v>
      </c>
      <c r="K2715" s="3" t="s">
        <v>76</v>
      </c>
    </row>
    <row r="2716" spans="1:11" ht="42" customHeight="1">
      <c r="A2716" s="2" t="s">
        <v>7768</v>
      </c>
      <c r="B2716" s="2" t="s">
        <v>7769</v>
      </c>
      <c r="C2716" s="2" t="s">
        <v>111</v>
      </c>
      <c r="D2716" s="2" t="s">
        <v>27</v>
      </c>
      <c r="E2716" s="4">
        <v>-32618</v>
      </c>
      <c r="F2716" s="3" t="s">
        <v>1501</v>
      </c>
      <c r="G2716" s="3" t="s">
        <v>20</v>
      </c>
      <c r="H2716" s="2" t="s">
        <v>74</v>
      </c>
      <c r="I2716" s="2" t="s">
        <v>7770</v>
      </c>
      <c r="J2716" s="3" t="str">
        <f>HYPERLINK("https://www.boe.es/gazeta/dias/1810/09/10/pdfs/GMD-1810-253.pdf#page=4","Abrir facsímil")</f>
        <v>Abrir facsímil</v>
      </c>
      <c r="K2716" s="3" t="s">
        <v>76</v>
      </c>
    </row>
    <row r="2717" spans="1:11" ht="42" customHeight="1">
      <c r="A2717" s="2" t="s">
        <v>7771</v>
      </c>
      <c r="B2717" s="2" t="s">
        <v>7772</v>
      </c>
      <c r="C2717" s="2" t="s">
        <v>88</v>
      </c>
      <c r="D2717" s="2" t="s">
        <v>27</v>
      </c>
      <c r="E2717" s="4">
        <v>-32550</v>
      </c>
      <c r="F2717" s="3" t="s">
        <v>1472</v>
      </c>
      <c r="G2717" s="3" t="s">
        <v>1473</v>
      </c>
      <c r="H2717" s="2" t="s">
        <v>74</v>
      </c>
      <c r="I2717" s="2" t="s">
        <v>7773</v>
      </c>
      <c r="J2717" s="3" t="str">
        <f>HYPERLINK("https://www.boe.es/gazeta/dias/1810/11/17/pdfs/GEI-1810-96.pdf#page=8","Abrir facsímil")</f>
        <v>Abrir facsímil</v>
      </c>
      <c r="K2717" s="3" t="s">
        <v>76</v>
      </c>
    </row>
    <row r="2718" spans="1:11" ht="42" customHeight="1">
      <c r="A2718" s="2" t="s">
        <v>7774</v>
      </c>
      <c r="B2718" s="2" t="s">
        <v>7775</v>
      </c>
      <c r="C2718" s="2" t="s">
        <v>88</v>
      </c>
      <c r="D2718" s="2" t="s">
        <v>117</v>
      </c>
      <c r="E2718" s="4">
        <v>-32757</v>
      </c>
      <c r="F2718" s="3" t="s">
        <v>1136</v>
      </c>
      <c r="G2718" s="3" t="s">
        <v>592</v>
      </c>
      <c r="H2718" s="2" t="s">
        <v>74</v>
      </c>
      <c r="I2718" s="2" t="s">
        <v>7776</v>
      </c>
      <c r="J2718" s="3" t="str">
        <f>HYPERLINK("https://www.boe.es/gazeta/dias/1810/04/24/pdfs/GEI-1810-17.pdf#page=7","Abrir facsímil")</f>
        <v>Abrir facsímil</v>
      </c>
      <c r="K2718" s="3" t="s">
        <v>76</v>
      </c>
    </row>
    <row r="2719" spans="1:11" ht="42" customHeight="1">
      <c r="A2719" s="2" t="s">
        <v>7777</v>
      </c>
      <c r="B2719" s="2" t="s">
        <v>7778</v>
      </c>
      <c r="C2719" s="2" t="s">
        <v>26</v>
      </c>
      <c r="D2719" s="2" t="s">
        <v>27</v>
      </c>
      <c r="E2719" s="4">
        <v>-32727</v>
      </c>
      <c r="F2719" s="3" t="s">
        <v>1611</v>
      </c>
      <c r="G2719" s="3" t="s">
        <v>227</v>
      </c>
      <c r="H2719" s="2" t="s">
        <v>74</v>
      </c>
      <c r="I2719" s="2" t="s">
        <v>7779</v>
      </c>
      <c r="J2719" s="3" t="str">
        <f>HYPERLINK("https://www.boe.es/gazeta/dias/1810/05/24/pdfs/GMD-1810-144.pdf#page=4","Abrir facsímil")</f>
        <v>Abrir facsímil</v>
      </c>
      <c r="K2719" s="3" t="s">
        <v>76</v>
      </c>
    </row>
    <row r="2720" spans="1:11" ht="42" customHeight="1">
      <c r="A2720" s="2" t="s">
        <v>7780</v>
      </c>
      <c r="B2720" s="2" t="s">
        <v>7781</v>
      </c>
      <c r="C2720" s="2" t="s">
        <v>26</v>
      </c>
      <c r="D2720" s="2" t="s">
        <v>27</v>
      </c>
      <c r="E2720" s="4">
        <v>-32599</v>
      </c>
      <c r="F2720" s="3" t="s">
        <v>1586</v>
      </c>
      <c r="G2720" s="3" t="s">
        <v>140</v>
      </c>
      <c r="H2720" s="2" t="s">
        <v>74</v>
      </c>
      <c r="I2720" s="2" t="s">
        <v>7782</v>
      </c>
      <c r="J2720" s="3" t="str">
        <f>HYPERLINK("https://www.boe.es/gazeta/dias/1810/09/29/pdfs/GMD-1810-272.pdf#page=4","Abrir facsímil")</f>
        <v>Abrir facsímil</v>
      </c>
      <c r="K2720" s="3" t="s">
        <v>76</v>
      </c>
    </row>
    <row r="2721" spans="1:11" ht="42" customHeight="1">
      <c r="A2721" s="2" t="s">
        <v>7783</v>
      </c>
      <c r="B2721" s="2" t="s">
        <v>7784</v>
      </c>
      <c r="C2721" s="2" t="s">
        <v>26</v>
      </c>
      <c r="D2721" s="2" t="s">
        <v>27</v>
      </c>
      <c r="E2721" s="4">
        <v>-32842</v>
      </c>
      <c r="F2721" s="3" t="s">
        <v>1291</v>
      </c>
      <c r="G2721" s="3" t="s">
        <v>70</v>
      </c>
      <c r="H2721" s="2" t="s">
        <v>74</v>
      </c>
      <c r="I2721" s="2" t="s">
        <v>7785</v>
      </c>
      <c r="J2721" s="3" t="str">
        <f>HYPERLINK("https://www.boe.es/gazeta/dias/1810/01/29/pdfs/GMD-1810-29.pdf#page=4","Abrir facsímil")</f>
        <v>Abrir facsímil</v>
      </c>
      <c r="K2721" s="3" t="s">
        <v>76</v>
      </c>
    </row>
    <row r="2722" spans="1:11" ht="42" customHeight="1">
      <c r="A2722" s="2" t="s">
        <v>7786</v>
      </c>
      <c r="B2722" s="2" t="s">
        <v>7787</v>
      </c>
      <c r="C2722" s="2" t="s">
        <v>26</v>
      </c>
      <c r="D2722" s="2" t="s">
        <v>27</v>
      </c>
      <c r="E2722" s="4">
        <v>-32710</v>
      </c>
      <c r="F2722" s="3" t="s">
        <v>126</v>
      </c>
      <c r="G2722" s="3" t="s">
        <v>184</v>
      </c>
      <c r="H2722" s="2" t="s">
        <v>74</v>
      </c>
      <c r="I2722" s="2" t="s">
        <v>7788</v>
      </c>
      <c r="J2722" s="3" t="str">
        <f>HYPERLINK("https://www.boe.es/gazeta/dias/1810/06/10/pdfs/GMD-1810-161.pdf#page=3","Abrir facsímil")</f>
        <v>Abrir facsímil</v>
      </c>
      <c r="K2722" s="3" t="s">
        <v>76</v>
      </c>
    </row>
    <row r="2723" spans="1:11" ht="42" customHeight="1">
      <c r="A2723" s="2" t="s">
        <v>7789</v>
      </c>
      <c r="B2723" s="2" t="s">
        <v>7790</v>
      </c>
      <c r="C2723" s="2" t="s">
        <v>26</v>
      </c>
      <c r="D2723" s="2" t="s">
        <v>27</v>
      </c>
      <c r="E2723" s="4">
        <v>-32713</v>
      </c>
      <c r="F2723" s="3" t="s">
        <v>959</v>
      </c>
      <c r="G2723" s="3" t="s">
        <v>960</v>
      </c>
      <c r="H2723" s="2" t="s">
        <v>74</v>
      </c>
      <c r="I2723" s="2" t="s">
        <v>7791</v>
      </c>
      <c r="J2723" s="3" t="str">
        <f>HYPERLINK("https://www.boe.es/gazeta/dias/1810/06/07/pdfs/GMD-1810-158.pdf#page=4","Abrir facsímil")</f>
        <v>Abrir facsímil</v>
      </c>
      <c r="K2723" s="3" t="s">
        <v>76</v>
      </c>
    </row>
    <row r="2724" spans="1:11" ht="42" customHeight="1">
      <c r="A2724" s="2" t="s">
        <v>7792</v>
      </c>
      <c r="B2724" s="2" t="s">
        <v>7793</v>
      </c>
      <c r="C2724" s="2" t="s">
        <v>88</v>
      </c>
      <c r="D2724" s="2" t="s">
        <v>117</v>
      </c>
      <c r="E2724" s="4">
        <v>-32642</v>
      </c>
      <c r="F2724" s="3" t="s">
        <v>2273</v>
      </c>
      <c r="G2724" s="3" t="s">
        <v>191</v>
      </c>
      <c r="H2724" s="2" t="s">
        <v>74</v>
      </c>
      <c r="I2724" s="2" t="s">
        <v>7794</v>
      </c>
      <c r="J2724" s="3" t="str">
        <f>HYPERLINK("https://www.boe.es/gazeta/dias/1810/08/17/pdfs/GEI-D-1810-57.pdf#page=5","Abrir facsímil")</f>
        <v>Abrir facsímil</v>
      </c>
      <c r="K2724" s="3" t="s">
        <v>76</v>
      </c>
    </row>
    <row r="2725" spans="1:11" ht="42" customHeight="1">
      <c r="A2725" s="2" t="s">
        <v>7795</v>
      </c>
      <c r="B2725" s="2" t="s">
        <v>7796</v>
      </c>
      <c r="C2725" s="2" t="s">
        <v>26</v>
      </c>
      <c r="D2725" s="2" t="s">
        <v>27</v>
      </c>
      <c r="E2725" s="4">
        <v>-32575</v>
      </c>
      <c r="F2725" s="3" t="s">
        <v>135</v>
      </c>
      <c r="G2725" s="3" t="s">
        <v>136</v>
      </c>
      <c r="H2725" s="2" t="s">
        <v>74</v>
      </c>
      <c r="I2725" s="2" t="s">
        <v>7797</v>
      </c>
      <c r="J2725" s="3" t="str">
        <f>HYPERLINK("https://www.boe.es/gazeta/dias/1810/10/23/pdfs/GEI-1810-85.pdf#page=11","Abrir facsímil")</f>
        <v>Abrir facsímil</v>
      </c>
      <c r="K2725" s="3" t="s">
        <v>76</v>
      </c>
    </row>
    <row r="2726" spans="1:11" ht="42" customHeight="1">
      <c r="A2726" s="2" t="s">
        <v>7798</v>
      </c>
      <c r="B2726" s="2" t="s">
        <v>7799</v>
      </c>
      <c r="C2726" s="2" t="s">
        <v>26</v>
      </c>
      <c r="D2726" s="2" t="s">
        <v>27</v>
      </c>
      <c r="E2726" s="4">
        <v>-32680</v>
      </c>
      <c r="F2726" s="3" t="s">
        <v>509</v>
      </c>
      <c r="G2726" s="3" t="s">
        <v>213</v>
      </c>
      <c r="H2726" s="2" t="s">
        <v>74</v>
      </c>
      <c r="I2726" s="2" t="s">
        <v>7800</v>
      </c>
      <c r="J2726" s="3" t="str">
        <f>HYPERLINK("https://www.boe.es/gazeta/dias/1810/07/10/pdfs/GMD-1810-191.pdf#page=4","Abrir facsímil")</f>
        <v>Abrir facsímil</v>
      </c>
      <c r="K2726" s="3" t="s">
        <v>76</v>
      </c>
    </row>
    <row r="2727" spans="1:11" ht="42" customHeight="1">
      <c r="A2727" s="2" t="s">
        <v>7801</v>
      </c>
      <c r="B2727" s="2" t="s">
        <v>7802</v>
      </c>
      <c r="C2727" s="2" t="s">
        <v>111</v>
      </c>
      <c r="D2727" s="2" t="s">
        <v>27</v>
      </c>
      <c r="E2727" s="4">
        <v>-32647</v>
      </c>
      <c r="F2727" s="3" t="s">
        <v>118</v>
      </c>
      <c r="G2727" s="3" t="s">
        <v>119</v>
      </c>
      <c r="H2727" s="2" t="s">
        <v>74</v>
      </c>
      <c r="I2727" s="2" t="s">
        <v>7803</v>
      </c>
      <c r="J2727" s="3" t="str">
        <f>HYPERLINK("https://www.boe.es/gazeta/dias/1810/08/12/pdfs/GMD-1810-224.pdf#page=3","Abrir facsímil")</f>
        <v>Abrir facsímil</v>
      </c>
      <c r="K2727" s="3" t="s">
        <v>76</v>
      </c>
    </row>
    <row r="2728" spans="1:11" ht="42" customHeight="1">
      <c r="A2728" s="2" t="s">
        <v>7804</v>
      </c>
      <c r="B2728" s="2" t="s">
        <v>7805</v>
      </c>
      <c r="C2728" s="2" t="s">
        <v>26</v>
      </c>
      <c r="D2728" s="2" t="s">
        <v>27</v>
      </c>
      <c r="E2728" s="4">
        <v>-32710</v>
      </c>
      <c r="F2728" s="3" t="s">
        <v>126</v>
      </c>
      <c r="G2728" s="3" t="s">
        <v>184</v>
      </c>
      <c r="H2728" s="2" t="s">
        <v>74</v>
      </c>
      <c r="I2728" s="2" t="s">
        <v>7806</v>
      </c>
      <c r="J2728" s="3" t="str">
        <f>HYPERLINK("https://www.boe.es/gazeta/dias/1810/06/10/pdfs/GMD-1810-161.pdf#page=3","Abrir facsímil")</f>
        <v>Abrir facsímil</v>
      </c>
      <c r="K2728" s="3" t="s">
        <v>76</v>
      </c>
    </row>
    <row r="2729" spans="1:11" ht="42" customHeight="1">
      <c r="A2729" s="2" t="s">
        <v>7807</v>
      </c>
      <c r="B2729" s="2" t="s">
        <v>7808</v>
      </c>
      <c r="C2729" s="2" t="s">
        <v>88</v>
      </c>
      <c r="D2729" s="2" t="s">
        <v>27</v>
      </c>
      <c r="E2729" s="4">
        <v>-32603</v>
      </c>
      <c r="F2729" s="3" t="s">
        <v>2163</v>
      </c>
      <c r="G2729" s="3" t="s">
        <v>4601</v>
      </c>
      <c r="H2729" s="2" t="s">
        <v>74</v>
      </c>
      <c r="I2729" s="2" t="s">
        <v>7809</v>
      </c>
      <c r="J2729" s="3" t="str">
        <f>HYPERLINK("https://www.boe.es/gazeta/dias/1810/09/25/pdfs/GEI-1810-72.pdf#page=7","Abrir facsímil")</f>
        <v>Abrir facsímil</v>
      </c>
      <c r="K2729" s="3" t="s">
        <v>76</v>
      </c>
    </row>
    <row r="2730" spans="1:11" ht="42" customHeight="1">
      <c r="A2730" s="2" t="s">
        <v>7810</v>
      </c>
      <c r="B2730" s="2" t="s">
        <v>7811</v>
      </c>
      <c r="C2730" s="2" t="s">
        <v>33</v>
      </c>
      <c r="D2730" s="2" t="s">
        <v>18</v>
      </c>
      <c r="E2730" s="4">
        <v>-32827</v>
      </c>
      <c r="F2730" s="3" t="s">
        <v>290</v>
      </c>
      <c r="G2730" s="3" t="s">
        <v>291</v>
      </c>
      <c r="H2730" s="2" t="s">
        <v>74</v>
      </c>
      <c r="I2730" s="2" t="s">
        <v>7812</v>
      </c>
      <c r="J2730" s="3" t="str">
        <f>HYPERLINK("https://www.boe.es/gazeta/dias/1810/02/13/pdfs/GMD-1810-44.pdf#page=4","Abrir facsímil")</f>
        <v>Abrir facsímil</v>
      </c>
      <c r="K2730" s="3" t="s">
        <v>76</v>
      </c>
    </row>
    <row r="2731" spans="1:11" ht="42" customHeight="1">
      <c r="A2731" s="2" t="s">
        <v>7810</v>
      </c>
      <c r="B2731" s="2" t="s">
        <v>7811</v>
      </c>
      <c r="C2731" s="2" t="s">
        <v>26</v>
      </c>
      <c r="D2731" s="2" t="s">
        <v>18</v>
      </c>
      <c r="E2731" s="4">
        <v>-32809</v>
      </c>
      <c r="F2731" s="3" t="s">
        <v>1873</v>
      </c>
      <c r="G2731" s="3" t="s">
        <v>735</v>
      </c>
      <c r="H2731" s="2" t="s">
        <v>74</v>
      </c>
      <c r="I2731" s="2" t="s">
        <v>7813</v>
      </c>
      <c r="J2731" s="3" t="str">
        <f>HYPERLINK("https://www.boe.es/gazeta/dias/1810/03/03/pdfs/GMD-1810-62.pdf#page=4","Abrir facsímil")</f>
        <v>Abrir facsímil</v>
      </c>
      <c r="K2731" s="3" t="s">
        <v>76</v>
      </c>
    </row>
    <row r="2732" spans="1:11" ht="42" customHeight="1">
      <c r="A2732" s="2" t="s">
        <v>7810</v>
      </c>
      <c r="B2732" s="2" t="s">
        <v>7811</v>
      </c>
      <c r="C2732" s="2" t="s">
        <v>26</v>
      </c>
      <c r="D2732" s="2" t="s">
        <v>39</v>
      </c>
      <c r="E2732" s="4">
        <v>-32702</v>
      </c>
      <c r="F2732" s="3" t="s">
        <v>179</v>
      </c>
      <c r="G2732" s="3" t="s">
        <v>119</v>
      </c>
      <c r="H2732" s="2" t="s">
        <v>74</v>
      </c>
      <c r="I2732" s="2" t="s">
        <v>7814</v>
      </c>
      <c r="J2732" s="3" t="str">
        <f>HYPERLINK("https://www.boe.es/gazeta/dias/1810/06/18/pdfs/GMD-C-1810-169.pdf#page=1","Abrir facsímil")</f>
        <v>Abrir facsímil</v>
      </c>
      <c r="K2732" s="3" t="s">
        <v>76</v>
      </c>
    </row>
    <row r="2733" spans="1:11" ht="42" customHeight="1">
      <c r="A2733" s="2" t="s">
        <v>7815</v>
      </c>
      <c r="B2733" s="2" t="s">
        <v>7816</v>
      </c>
      <c r="C2733" s="2" t="s">
        <v>26</v>
      </c>
      <c r="D2733" s="2" t="s">
        <v>39</v>
      </c>
      <c r="E2733" s="4">
        <v>-32702</v>
      </c>
      <c r="F2733" s="3" t="s">
        <v>179</v>
      </c>
      <c r="G2733" s="3" t="s">
        <v>517</v>
      </c>
      <c r="H2733" s="2" t="s">
        <v>74</v>
      </c>
      <c r="I2733" s="2" t="s">
        <v>7817</v>
      </c>
      <c r="J2733" s="3" t="str">
        <f>HYPERLINK("https://www.boe.es/gazeta/dias/1810/06/18/pdfs/GMD-C-1810-169.pdf#page=3","Abrir facsímil")</f>
        <v>Abrir facsímil</v>
      </c>
      <c r="K2733" s="3" t="s">
        <v>76</v>
      </c>
    </row>
    <row r="2734" spans="1:11" ht="42" customHeight="1">
      <c r="A2734" s="2" t="s">
        <v>7818</v>
      </c>
      <c r="B2734" s="2" t="s">
        <v>7819</v>
      </c>
      <c r="C2734" s="2" t="s">
        <v>88</v>
      </c>
      <c r="D2734" s="2" t="s">
        <v>117</v>
      </c>
      <c r="E2734" s="4">
        <v>-32827</v>
      </c>
      <c r="F2734" s="3" t="s">
        <v>290</v>
      </c>
      <c r="G2734" s="3" t="s">
        <v>291</v>
      </c>
      <c r="H2734" s="2" t="s">
        <v>74</v>
      </c>
      <c r="I2734" s="2" t="s">
        <v>7820</v>
      </c>
      <c r="J2734" s="3" t="str">
        <f>HYPERLINK("https://www.boe.es/gazeta/dias/1810/02/13/pdfs/GMD-1810-44.pdf#page=4","Abrir facsímil")</f>
        <v>Abrir facsímil</v>
      </c>
      <c r="K2734" s="3" t="s">
        <v>76</v>
      </c>
    </row>
    <row r="2735" spans="1:11" ht="42" customHeight="1">
      <c r="A2735" s="2" t="s">
        <v>7821</v>
      </c>
      <c r="B2735" s="2" t="s">
        <v>7822</v>
      </c>
      <c r="C2735" s="2" t="s">
        <v>26</v>
      </c>
      <c r="D2735" s="2" t="s">
        <v>27</v>
      </c>
      <c r="E2735" s="4">
        <v>-32595</v>
      </c>
      <c r="F2735" s="3" t="s">
        <v>700</v>
      </c>
      <c r="G2735" s="3" t="s">
        <v>701</v>
      </c>
      <c r="H2735" s="2" t="s">
        <v>74</v>
      </c>
      <c r="I2735" s="2" t="s">
        <v>7823</v>
      </c>
      <c r="J2735" s="3" t="str">
        <f>HYPERLINK("https://www.boe.es/gazeta/dias/1810/10/03/pdfs/GMD-1810-276.pdf#page=3","Abrir facsímil")</f>
        <v>Abrir facsímil</v>
      </c>
      <c r="K2735" s="3" t="s">
        <v>76</v>
      </c>
    </row>
    <row r="2736" spans="1:11" ht="42" customHeight="1">
      <c r="A2736" s="2" t="s">
        <v>7824</v>
      </c>
      <c r="B2736" s="2" t="s">
        <v>7825</v>
      </c>
      <c r="C2736" s="2" t="s">
        <v>88</v>
      </c>
      <c r="D2736" s="2" t="s">
        <v>117</v>
      </c>
      <c r="E2736" s="4">
        <v>-32533</v>
      </c>
      <c r="F2736" s="3" t="s">
        <v>1357</v>
      </c>
      <c r="G2736" s="3" t="s">
        <v>1894</v>
      </c>
      <c r="H2736" s="2" t="s">
        <v>74</v>
      </c>
      <c r="I2736" s="2" t="s">
        <v>7826</v>
      </c>
      <c r="J2736" s="3" t="str">
        <f>HYPERLINK("https://www.boe.es/gazeta/dias/1810/12/04/pdfs/GEI-1810-103.pdf#page=7","Abrir facsímil")</f>
        <v>Abrir facsímil</v>
      </c>
      <c r="K2736" s="3" t="s">
        <v>76</v>
      </c>
    </row>
    <row r="2737" spans="1:11" ht="42" customHeight="1">
      <c r="A2737" s="2" t="s">
        <v>7827</v>
      </c>
      <c r="B2737" s="2" t="s">
        <v>7828</v>
      </c>
      <c r="C2737" s="2" t="s">
        <v>26</v>
      </c>
      <c r="D2737" s="2" t="s">
        <v>27</v>
      </c>
      <c r="E2737" s="4">
        <v>-32666</v>
      </c>
      <c r="F2737" s="3" t="s">
        <v>346</v>
      </c>
      <c r="G2737" s="3" t="s">
        <v>7829</v>
      </c>
      <c r="H2737" s="2" t="s">
        <v>74</v>
      </c>
      <c r="I2737" s="2" t="s">
        <v>7830</v>
      </c>
      <c r="J2737" s="3" t="str">
        <f>HYPERLINK("https://www.boe.es/gazeta/dias/1810/07/24/pdfs/GEI-1810-47.pdf#page=2","Abrir facsímil")</f>
        <v>Abrir facsímil</v>
      </c>
      <c r="K2737" s="3" t="s">
        <v>76</v>
      </c>
    </row>
    <row r="2738" spans="1:11" ht="42" customHeight="1">
      <c r="A2738" s="2" t="s">
        <v>7831</v>
      </c>
      <c r="B2738" s="2" t="s">
        <v>7832</v>
      </c>
      <c r="C2738" s="2" t="s">
        <v>17</v>
      </c>
      <c r="D2738" s="2" t="s">
        <v>27</v>
      </c>
      <c r="E2738" s="4">
        <v>-32691</v>
      </c>
      <c r="F2738" s="3" t="s">
        <v>727</v>
      </c>
      <c r="G2738" s="3" t="s">
        <v>807</v>
      </c>
      <c r="H2738" s="2" t="s">
        <v>74</v>
      </c>
      <c r="I2738" s="2" t="s">
        <v>7833</v>
      </c>
      <c r="J2738" s="3" t="str">
        <f>HYPERLINK("https://www.boe.es/gazeta/dias/1810/06/29/pdfs/GMD-1810-180.pdf#page=3","Abrir facsímil")</f>
        <v>Abrir facsímil</v>
      </c>
      <c r="K2738" s="3" t="s">
        <v>76</v>
      </c>
    </row>
    <row r="2739" spans="1:11" ht="42" customHeight="1">
      <c r="A2739" s="2" t="s">
        <v>7834</v>
      </c>
      <c r="B2739" s="2" t="s">
        <v>7835</v>
      </c>
      <c r="C2739" s="2" t="s">
        <v>26</v>
      </c>
      <c r="D2739" s="2" t="s">
        <v>39</v>
      </c>
      <c r="E2739" s="4">
        <v>-32702</v>
      </c>
      <c r="F2739" s="3" t="s">
        <v>179</v>
      </c>
      <c r="G2739" s="3" t="s">
        <v>213</v>
      </c>
      <c r="H2739" s="2" t="s">
        <v>74</v>
      </c>
      <c r="I2739" s="2" t="s">
        <v>7836</v>
      </c>
      <c r="J2739" s="3" t="str">
        <f>HYPERLINK("https://www.boe.es/gazeta/dias/1810/06/18/pdfs/GMD-C-1810-169.pdf#page=4","Abrir facsímil")</f>
        <v>Abrir facsímil</v>
      </c>
      <c r="K2739" s="3" t="s">
        <v>76</v>
      </c>
    </row>
    <row r="2740" spans="1:11" ht="42" customHeight="1">
      <c r="A2740" s="2" t="s">
        <v>7837</v>
      </c>
      <c r="B2740" s="2" t="s">
        <v>7838</v>
      </c>
      <c r="C2740" s="2" t="s">
        <v>17</v>
      </c>
      <c r="D2740" s="2" t="s">
        <v>18</v>
      </c>
      <c r="E2740" s="4">
        <v>-32659</v>
      </c>
      <c r="F2740" s="3" t="s">
        <v>1684</v>
      </c>
      <c r="G2740" s="3" t="s">
        <v>29</v>
      </c>
      <c r="H2740" s="2" t="s">
        <v>74</v>
      </c>
      <c r="I2740" s="2" t="s">
        <v>7839</v>
      </c>
      <c r="J2740" s="3" t="str">
        <f>HYPERLINK("https://www.boe.es/gazeta/dias/1810/07/31/pdfs/GMD-1810-212.pdf#page=4","Abrir facsímil")</f>
        <v>Abrir facsímil</v>
      </c>
      <c r="K2740" s="3" t="s">
        <v>76</v>
      </c>
    </row>
    <row r="2741" spans="1:11" ht="42" customHeight="1">
      <c r="A2741" s="2" t="s">
        <v>7840</v>
      </c>
      <c r="B2741" s="2" t="s">
        <v>7841</v>
      </c>
      <c r="C2741" s="2" t="s">
        <v>225</v>
      </c>
      <c r="D2741" s="2" t="s">
        <v>27</v>
      </c>
      <c r="E2741" s="4">
        <v>-32711</v>
      </c>
      <c r="F2741" s="3" t="s">
        <v>1888</v>
      </c>
      <c r="G2741" s="3" t="s">
        <v>29</v>
      </c>
      <c r="H2741" s="2" t="s">
        <v>74</v>
      </c>
      <c r="I2741" s="2" t="s">
        <v>7842</v>
      </c>
      <c r="J2741" s="3" t="str">
        <f>HYPERLINK("https://www.boe.es/gazeta/dias/1810/06/09/pdfs/GMD-1810-160.pdf#page=4","Abrir facsímil")</f>
        <v>Abrir facsímil</v>
      </c>
      <c r="K2741" s="3" t="s">
        <v>76</v>
      </c>
    </row>
    <row r="2742" spans="1:11" ht="42" customHeight="1">
      <c r="A2742" s="2" t="s">
        <v>7843</v>
      </c>
      <c r="B2742" s="2" t="s">
        <v>7844</v>
      </c>
      <c r="C2742" s="2" t="s">
        <v>26</v>
      </c>
      <c r="D2742" s="2" t="s">
        <v>27</v>
      </c>
      <c r="E2742" s="4">
        <v>-32710</v>
      </c>
      <c r="F2742" s="3" t="s">
        <v>126</v>
      </c>
      <c r="G2742" s="3" t="s">
        <v>35</v>
      </c>
      <c r="H2742" s="2" t="s">
        <v>74</v>
      </c>
      <c r="I2742" s="2" t="s">
        <v>7845</v>
      </c>
      <c r="J2742" s="3" t="str">
        <f>HYPERLINK("https://www.boe.es/gazeta/dias/1810/06/10/pdfs/GMD-1810-161.pdf#page=2","Abrir facsímil")</f>
        <v>Abrir facsímil</v>
      </c>
      <c r="K2742" s="3" t="s">
        <v>76</v>
      </c>
    </row>
    <row r="2743" spans="1:11" ht="42" customHeight="1">
      <c r="A2743" s="2" t="s">
        <v>7846</v>
      </c>
      <c r="B2743" s="2" t="s">
        <v>7847</v>
      </c>
      <c r="C2743" s="2" t="s">
        <v>317</v>
      </c>
      <c r="D2743" s="2" t="s">
        <v>18</v>
      </c>
      <c r="E2743" s="4">
        <v>-32680</v>
      </c>
      <c r="F2743" s="3" t="s">
        <v>509</v>
      </c>
      <c r="G2743" s="3" t="s">
        <v>213</v>
      </c>
      <c r="H2743" s="2" t="s">
        <v>74</v>
      </c>
      <c r="I2743" s="2" t="s">
        <v>7848</v>
      </c>
      <c r="J2743" s="3" t="str">
        <f>HYPERLINK("https://www.boe.es/gazeta/dias/1810/07/10/pdfs/GMD-1810-191.pdf#page=4","Abrir facsímil")</f>
        <v>Abrir facsímil</v>
      </c>
      <c r="K2743" s="3" t="s">
        <v>76</v>
      </c>
    </row>
    <row r="2744" spans="1:11" ht="42" customHeight="1">
      <c r="A2744" s="2" t="s">
        <v>7849</v>
      </c>
      <c r="B2744" s="2" t="s">
        <v>7850</v>
      </c>
      <c r="C2744" s="2" t="s">
        <v>26</v>
      </c>
      <c r="D2744" s="2" t="s">
        <v>27</v>
      </c>
      <c r="E2744" s="4">
        <v>-32526</v>
      </c>
      <c r="F2744" s="3" t="s">
        <v>530</v>
      </c>
      <c r="G2744" s="3" t="s">
        <v>531</v>
      </c>
      <c r="H2744" s="2" t="s">
        <v>74</v>
      </c>
      <c r="I2744" s="2" t="s">
        <v>7851</v>
      </c>
      <c r="J2744" s="3" t="str">
        <f>HYPERLINK("https://www.boe.es/gazeta/dias/1810/12/11/pdfs/GEI-1810-106.pdf#page=2","Abrir facsímil")</f>
        <v>Abrir facsímil</v>
      </c>
      <c r="K2744" s="3" t="s">
        <v>76</v>
      </c>
    </row>
    <row r="2745" spans="1:11" ht="42" customHeight="1">
      <c r="A2745" s="2" t="s">
        <v>7852</v>
      </c>
      <c r="B2745" s="2" t="s">
        <v>7853</v>
      </c>
      <c r="C2745" s="2" t="s">
        <v>317</v>
      </c>
      <c r="D2745" s="2" t="s">
        <v>27</v>
      </c>
      <c r="E2745" s="4">
        <v>-32568</v>
      </c>
      <c r="F2745" s="3" t="s">
        <v>683</v>
      </c>
      <c r="G2745" s="3" t="s">
        <v>687</v>
      </c>
      <c r="H2745" s="2" t="s">
        <v>74</v>
      </c>
      <c r="I2745" s="2" t="s">
        <v>7854</v>
      </c>
      <c r="J2745" s="3" t="str">
        <f>HYPERLINK("https://www.boe.es/gazeta/dias/1810/10/30/pdfs/GEI-1810-88.pdf#page=12","Abrir facsímil")</f>
        <v>Abrir facsímil</v>
      </c>
      <c r="K2745" s="3" t="s">
        <v>76</v>
      </c>
    </row>
    <row r="2746" spans="1:11" ht="42" customHeight="1">
      <c r="A2746" s="2" t="s">
        <v>7855</v>
      </c>
      <c r="B2746" s="2" t="s">
        <v>7856</v>
      </c>
      <c r="C2746" s="2" t="s">
        <v>930</v>
      </c>
      <c r="D2746" s="2" t="s">
        <v>18</v>
      </c>
      <c r="E2746" s="4">
        <v>-32557</v>
      </c>
      <c r="F2746" s="3" t="s">
        <v>837</v>
      </c>
      <c r="G2746" s="3" t="s">
        <v>2073</v>
      </c>
      <c r="H2746" s="2" t="s">
        <v>74</v>
      </c>
      <c r="I2746" s="2" t="s">
        <v>7857</v>
      </c>
      <c r="J2746" s="3" t="str">
        <f>HYPERLINK("https://www.boe.es/gazeta/dias/1810/11/10/pdfs/GEI-1810-93.pdf#page=7","Abrir facsímil")</f>
        <v>Abrir facsímil</v>
      </c>
      <c r="K2746" s="3" t="s">
        <v>76</v>
      </c>
    </row>
    <row r="2747" spans="1:11" ht="42" customHeight="1">
      <c r="A2747" s="2" t="s">
        <v>7858</v>
      </c>
      <c r="B2747" s="2" t="s">
        <v>7859</v>
      </c>
      <c r="C2747" s="2" t="s">
        <v>33</v>
      </c>
      <c r="D2747" s="2" t="s">
        <v>27</v>
      </c>
      <c r="E2747" s="4">
        <v>-32595</v>
      </c>
      <c r="F2747" s="3" t="s">
        <v>700</v>
      </c>
      <c r="G2747" s="3" t="s">
        <v>701</v>
      </c>
      <c r="H2747" s="2" t="s">
        <v>74</v>
      </c>
      <c r="I2747" s="2" t="s">
        <v>7860</v>
      </c>
      <c r="J2747" s="3" t="str">
        <f>HYPERLINK("https://www.boe.es/gazeta/dias/1810/10/03/pdfs/GMD-1810-276.pdf#page=3","Abrir facsímil")</f>
        <v>Abrir facsímil</v>
      </c>
      <c r="K2747" s="3" t="s">
        <v>76</v>
      </c>
    </row>
    <row r="2748" spans="1:11" ht="42" customHeight="1">
      <c r="A2748" s="2" t="s">
        <v>7861</v>
      </c>
      <c r="B2748" s="2" t="s">
        <v>7862</v>
      </c>
      <c r="C2748" s="2" t="s">
        <v>26</v>
      </c>
      <c r="D2748" s="2" t="s">
        <v>27</v>
      </c>
      <c r="E2748" s="4">
        <v>-32729</v>
      </c>
      <c r="F2748" s="3" t="s">
        <v>174</v>
      </c>
      <c r="G2748" s="3" t="s">
        <v>70</v>
      </c>
      <c r="H2748" s="2" t="s">
        <v>74</v>
      </c>
      <c r="I2748" s="2" t="s">
        <v>7863</v>
      </c>
      <c r="J2748" s="3" t="str">
        <f>HYPERLINK("https://www.boe.es/gazeta/dias/1810/05/22/pdfs/GEI-1810-28.pdf#page=7","Abrir facsímil")</f>
        <v>Abrir facsímil</v>
      </c>
      <c r="K2748" s="3" t="s">
        <v>76</v>
      </c>
    </row>
    <row r="2749" spans="1:11" ht="42" customHeight="1">
      <c r="A2749" s="2" t="s">
        <v>7864</v>
      </c>
      <c r="B2749" s="2" t="s">
        <v>7865</v>
      </c>
      <c r="C2749" s="2" t="s">
        <v>26</v>
      </c>
      <c r="D2749" s="2" t="s">
        <v>27</v>
      </c>
      <c r="E2749" s="4">
        <v>-32761</v>
      </c>
      <c r="F2749" s="3" t="s">
        <v>811</v>
      </c>
      <c r="G2749" s="3" t="s">
        <v>140</v>
      </c>
      <c r="H2749" s="2" t="s">
        <v>74</v>
      </c>
      <c r="I2749" s="2" t="s">
        <v>7866</v>
      </c>
      <c r="J2749" s="3" t="str">
        <f>HYPERLINK("https://www.boe.es/gazeta/dias/1810/04/20/pdfs/GEI-1810-16.pdf#page=8","Abrir facsímil")</f>
        <v>Abrir facsímil</v>
      </c>
      <c r="K2749" s="3" t="s">
        <v>76</v>
      </c>
    </row>
    <row r="2750" spans="1:11" ht="42" customHeight="1">
      <c r="A2750" s="2" t="s">
        <v>7867</v>
      </c>
      <c r="B2750" s="2" t="s">
        <v>7867</v>
      </c>
      <c r="C2750" s="2" t="s">
        <v>88</v>
      </c>
      <c r="D2750" s="2" t="s">
        <v>27</v>
      </c>
      <c r="E2750" s="4">
        <v>-32722</v>
      </c>
      <c r="F2750" s="3" t="s">
        <v>2619</v>
      </c>
      <c r="G2750" s="3" t="s">
        <v>849</v>
      </c>
      <c r="H2750" s="2" t="s">
        <v>74</v>
      </c>
      <c r="I2750" s="2" t="s">
        <v>7868</v>
      </c>
      <c r="J2750" s="3" t="str">
        <f>HYPERLINK("https://www.boe.es/gazeta/dias/1810/05/29/pdfs/GMD-1810-149.pdf#page=1","Abrir facsímil")</f>
        <v>Abrir facsímil</v>
      </c>
      <c r="K2750" s="3" t="s">
        <v>76</v>
      </c>
    </row>
    <row r="2751" spans="1:11" ht="42" customHeight="1">
      <c r="A2751" s="2" t="s">
        <v>7869</v>
      </c>
      <c r="B2751" s="2" t="s">
        <v>7869</v>
      </c>
      <c r="C2751" s="2" t="s">
        <v>88</v>
      </c>
      <c r="D2751" s="2" t="s">
        <v>117</v>
      </c>
      <c r="E2751" s="4">
        <v>-32722</v>
      </c>
      <c r="F2751" s="3" t="s">
        <v>2619</v>
      </c>
      <c r="G2751" s="3" t="s">
        <v>849</v>
      </c>
      <c r="H2751" s="2" t="s">
        <v>74</v>
      </c>
      <c r="I2751" s="2" t="s">
        <v>7870</v>
      </c>
      <c r="J2751" s="3" t="str">
        <f>HYPERLINK("https://www.boe.es/gazeta/dias/1810/05/29/pdfs/GMD-1810-149.pdf#page=1","Abrir facsímil")</f>
        <v>Abrir facsímil</v>
      </c>
      <c r="K2751" s="3" t="s">
        <v>76</v>
      </c>
    </row>
    <row r="2752" spans="1:11" ht="42" customHeight="1">
      <c r="A2752" s="2" t="s">
        <v>7871</v>
      </c>
      <c r="B2752" s="2" t="s">
        <v>7871</v>
      </c>
      <c r="C2752" s="2" t="s">
        <v>33</v>
      </c>
      <c r="D2752" s="2" t="s">
        <v>58</v>
      </c>
      <c r="E2752" s="4">
        <v>-32654</v>
      </c>
      <c r="F2752" s="3" t="s">
        <v>1032</v>
      </c>
      <c r="G2752" s="3" t="s">
        <v>29</v>
      </c>
      <c r="H2752" s="2" t="s">
        <v>74</v>
      </c>
      <c r="I2752" s="2" t="s">
        <v>7872</v>
      </c>
      <c r="J2752" s="3" t="str">
        <f>HYPERLINK("https://www.boe.es/gazeta/dias/1810/08/05/pdfs/GEI-1810-51E.pdf#page=11","Abrir facsímil")</f>
        <v>Abrir facsímil</v>
      </c>
      <c r="K2752" s="3" t="s">
        <v>76</v>
      </c>
    </row>
    <row r="2753" spans="1:11" ht="42" customHeight="1">
      <c r="A2753" s="2" t="s">
        <v>7873</v>
      </c>
      <c r="B2753" s="2" t="s">
        <v>7874</v>
      </c>
      <c r="C2753" s="2" t="s">
        <v>26</v>
      </c>
      <c r="D2753" s="2" t="s">
        <v>27</v>
      </c>
      <c r="E2753" s="4">
        <v>-32666</v>
      </c>
      <c r="F2753" s="3" t="s">
        <v>1913</v>
      </c>
      <c r="G2753" s="3" t="s">
        <v>1914</v>
      </c>
      <c r="H2753" s="2" t="s">
        <v>74</v>
      </c>
      <c r="I2753" s="2" t="s">
        <v>7875</v>
      </c>
      <c r="J2753" s="3" t="str">
        <f>HYPERLINK("https://www.boe.es/gazeta/dias/1810/07/24/pdfs/GMD-1810-205.pdf#page=4","Abrir facsímil")</f>
        <v>Abrir facsímil</v>
      </c>
      <c r="K2753" s="3" t="s">
        <v>76</v>
      </c>
    </row>
    <row r="2754" spans="1:11" ht="42" customHeight="1">
      <c r="A2754" s="2" t="s">
        <v>7876</v>
      </c>
      <c r="B2754" s="2" t="s">
        <v>7876</v>
      </c>
      <c r="C2754" s="2" t="s">
        <v>88</v>
      </c>
      <c r="D2754" s="2" t="s">
        <v>27</v>
      </c>
      <c r="E2754" s="4">
        <v>-32535</v>
      </c>
      <c r="F2754" s="3" t="s">
        <v>3440</v>
      </c>
      <c r="G2754" s="3" t="s">
        <v>140</v>
      </c>
      <c r="H2754" s="2" t="s">
        <v>74</v>
      </c>
      <c r="I2754" s="2" t="s">
        <v>7877</v>
      </c>
      <c r="J2754" s="3" t="str">
        <f>HYPERLINK("https://www.boe.es/gazeta/dias/1810/12/02/pdfs/GMD-1810-336.pdf#page=4","Abrir facsímil")</f>
        <v>Abrir facsímil</v>
      </c>
      <c r="K2754" s="3" t="s">
        <v>76</v>
      </c>
    </row>
    <row r="2755" spans="1:11" ht="42" customHeight="1">
      <c r="A2755" s="2" t="s">
        <v>7878</v>
      </c>
      <c r="B2755" s="2" t="s">
        <v>7878</v>
      </c>
      <c r="C2755" s="2" t="s">
        <v>111</v>
      </c>
      <c r="D2755" s="2" t="s">
        <v>27</v>
      </c>
      <c r="E2755" s="4">
        <v>-32610</v>
      </c>
      <c r="F2755" s="3" t="s">
        <v>7879</v>
      </c>
      <c r="G2755" s="3" t="s">
        <v>613</v>
      </c>
      <c r="H2755" s="2" t="s">
        <v>74</v>
      </c>
      <c r="I2755" s="2" t="s">
        <v>7880</v>
      </c>
      <c r="J2755" s="3" t="str">
        <f>HYPERLINK("https://www.boe.es/gazeta/dias/1810/09/18/pdfs/GMD-1810-261.pdf#page=1","Abrir facsímil")</f>
        <v>Abrir facsímil</v>
      </c>
      <c r="K2755" s="3" t="s">
        <v>76</v>
      </c>
    </row>
    <row r="2756" spans="1:11" ht="42" customHeight="1">
      <c r="A2756" s="2" t="s">
        <v>7881</v>
      </c>
      <c r="B2756" s="2" t="s">
        <v>7881</v>
      </c>
      <c r="C2756" s="2" t="s">
        <v>88</v>
      </c>
      <c r="D2756" s="2" t="s">
        <v>117</v>
      </c>
      <c r="E2756" s="4">
        <v>-32661</v>
      </c>
      <c r="F2756" s="3" t="s">
        <v>7882</v>
      </c>
      <c r="G2756" s="3" t="s">
        <v>7883</v>
      </c>
      <c r="H2756" s="2" t="s">
        <v>74</v>
      </c>
      <c r="I2756" s="2" t="s">
        <v>7884</v>
      </c>
      <c r="J2756" s="3" t="str">
        <f>HYPERLINK("https://www.boe.es/gazeta/dias/1810/07/29/pdfs/GMD-1810-210.pdf#page=1","Abrir facsímil")</f>
        <v>Abrir facsímil</v>
      </c>
      <c r="K2756" s="3" t="s">
        <v>76</v>
      </c>
    </row>
    <row r="2757" spans="1:11" ht="42" customHeight="1">
      <c r="A2757" s="2" t="s">
        <v>7885</v>
      </c>
      <c r="B2757" s="2" t="s">
        <v>7886</v>
      </c>
      <c r="C2757" s="2" t="s">
        <v>26</v>
      </c>
      <c r="D2757" s="2" t="s">
        <v>27</v>
      </c>
      <c r="E2757" s="4">
        <v>-32522</v>
      </c>
      <c r="F2757" s="3" t="s">
        <v>3137</v>
      </c>
      <c r="G2757" s="3" t="s">
        <v>7887</v>
      </c>
      <c r="H2757" s="2" t="s">
        <v>74</v>
      </c>
      <c r="I2757" s="2" t="s">
        <v>7888</v>
      </c>
      <c r="J2757" s="3" t="str">
        <f>HYPERLINK("https://www.boe.es/gazeta/dias/1810/12/15/pdfs/GEI-1810-108.pdf#page=6","Abrir facsímil")</f>
        <v>Abrir facsímil</v>
      </c>
      <c r="K2757" s="3" t="s">
        <v>76</v>
      </c>
    </row>
    <row r="2758" spans="1:11" ht="42" customHeight="1">
      <c r="A2758" s="2" t="s">
        <v>7889</v>
      </c>
      <c r="B2758" s="2" t="s">
        <v>7889</v>
      </c>
      <c r="C2758" s="2" t="s">
        <v>88</v>
      </c>
      <c r="D2758" s="2" t="s">
        <v>27</v>
      </c>
      <c r="E2758" s="4">
        <v>-32809</v>
      </c>
      <c r="F2758" s="3" t="s">
        <v>1873</v>
      </c>
      <c r="G2758" s="3" t="s">
        <v>70</v>
      </c>
      <c r="H2758" s="2" t="s">
        <v>74</v>
      </c>
      <c r="I2758" s="2" t="s">
        <v>7890</v>
      </c>
      <c r="J2758" s="3" t="str">
        <f>HYPERLINK("https://www.boe.es/gazeta/dias/1810/03/03/pdfs/GMD-1810-62.pdf#page=1","Abrir facsímil")</f>
        <v>Abrir facsímil</v>
      </c>
      <c r="K2758" s="3" t="s">
        <v>76</v>
      </c>
    </row>
    <row r="2759" spans="1:11" ht="42" customHeight="1">
      <c r="A2759" s="2" t="s">
        <v>7891</v>
      </c>
      <c r="B2759" s="2" t="s">
        <v>7891</v>
      </c>
      <c r="C2759" s="2" t="s">
        <v>26</v>
      </c>
      <c r="D2759" s="2" t="s">
        <v>27</v>
      </c>
      <c r="E2759" s="4">
        <v>-32711</v>
      </c>
      <c r="F2759" s="3" t="s">
        <v>1888</v>
      </c>
      <c r="G2759" s="3" t="s">
        <v>668</v>
      </c>
      <c r="H2759" s="2" t="s">
        <v>74</v>
      </c>
      <c r="I2759" s="2" t="s">
        <v>7892</v>
      </c>
      <c r="J2759" s="3" t="str">
        <f>HYPERLINK("https://www.boe.es/gazeta/dias/1810/06/09/pdfs/GMD-1810-160.pdf#page=3","Abrir facsímil")</f>
        <v>Abrir facsímil</v>
      </c>
      <c r="K2759" s="3" t="s">
        <v>76</v>
      </c>
    </row>
    <row r="2760" spans="1:11" ht="42" customHeight="1">
      <c r="A2760" s="2" t="s">
        <v>7893</v>
      </c>
      <c r="B2760" s="2" t="s">
        <v>7894</v>
      </c>
      <c r="C2760" s="2" t="s">
        <v>88</v>
      </c>
      <c r="D2760" s="2" t="s">
        <v>27</v>
      </c>
      <c r="E2760" s="4">
        <v>-32783</v>
      </c>
      <c r="F2760" s="3" t="s">
        <v>896</v>
      </c>
      <c r="G2760" s="3" t="s">
        <v>20</v>
      </c>
      <c r="H2760" s="2" t="s">
        <v>74</v>
      </c>
      <c r="I2760" s="2" t="s">
        <v>7895</v>
      </c>
      <c r="J2760" s="3" t="str">
        <f>HYPERLINK("https://www.boe.es/gazeta/dias/1810/03/29/pdfs/GMD-1810-88.pdf#page=4","Abrir facsímil")</f>
        <v>Abrir facsímil</v>
      </c>
      <c r="K2760" s="3" t="s">
        <v>76</v>
      </c>
    </row>
    <row r="2761" spans="1:11" ht="42" customHeight="1">
      <c r="A2761" s="2" t="s">
        <v>7896</v>
      </c>
      <c r="B2761" s="2" t="s">
        <v>7896</v>
      </c>
      <c r="C2761" s="2" t="s">
        <v>88</v>
      </c>
      <c r="D2761" s="2" t="s">
        <v>117</v>
      </c>
      <c r="E2761" s="4">
        <v>-32721</v>
      </c>
      <c r="F2761" s="3" t="s">
        <v>3437</v>
      </c>
      <c r="G2761" s="3" t="s">
        <v>213</v>
      </c>
      <c r="H2761" s="2" t="s">
        <v>74</v>
      </c>
      <c r="I2761" s="2" t="s">
        <v>7897</v>
      </c>
      <c r="J2761" s="3" t="str">
        <f>HYPERLINK("https://www.boe.es/gazeta/dias/1810/05/30/pdfs/GMD-1810-150.pdf#page=2","Abrir facsímil")</f>
        <v>Abrir facsímil</v>
      </c>
      <c r="K2761" s="3" t="s">
        <v>76</v>
      </c>
    </row>
    <row r="2762" spans="1:11" ht="42" customHeight="1">
      <c r="A2762" s="2" t="s">
        <v>7896</v>
      </c>
      <c r="B2762" s="2" t="s">
        <v>7896</v>
      </c>
      <c r="C2762" s="2" t="s">
        <v>317</v>
      </c>
      <c r="D2762" s="2" t="s">
        <v>27</v>
      </c>
      <c r="E2762" s="4">
        <v>-32606</v>
      </c>
      <c r="F2762" s="3" t="s">
        <v>1676</v>
      </c>
      <c r="G2762" s="3" t="s">
        <v>227</v>
      </c>
      <c r="H2762" s="2" t="s">
        <v>74</v>
      </c>
      <c r="I2762" s="2" t="s">
        <v>7898</v>
      </c>
      <c r="J2762" s="3" t="str">
        <f>HYPERLINK("https://www.boe.es/gazeta/dias/1810/09/22/pdfs/GMD-1810-265.pdf#page=3","Abrir facsímil")</f>
        <v>Abrir facsímil</v>
      </c>
      <c r="K2762" s="3" t="s">
        <v>76</v>
      </c>
    </row>
    <row r="2763" spans="1:11" ht="42" customHeight="1">
      <c r="A2763" s="2" t="s">
        <v>7896</v>
      </c>
      <c r="B2763" s="2" t="s">
        <v>7896</v>
      </c>
      <c r="C2763" s="2" t="s">
        <v>225</v>
      </c>
      <c r="D2763" s="2" t="s">
        <v>27</v>
      </c>
      <c r="E2763" s="4">
        <v>-32606</v>
      </c>
      <c r="F2763" s="3" t="s">
        <v>1676</v>
      </c>
      <c r="G2763" s="3" t="s">
        <v>7899</v>
      </c>
      <c r="H2763" s="2" t="s">
        <v>74</v>
      </c>
      <c r="I2763" s="2" t="s">
        <v>7900</v>
      </c>
      <c r="J2763" s="3" t="str">
        <f>HYPERLINK("https://www.boe.es/gazeta/dias/1810/09/22/pdfs/GMD-1810-265.pdf#page=4","Abrir facsímil")</f>
        <v>Abrir facsímil</v>
      </c>
      <c r="K2763" s="3" t="s">
        <v>76</v>
      </c>
    </row>
    <row r="2764" spans="1:11" ht="42" customHeight="1">
      <c r="A2764" s="2" t="s">
        <v>7901</v>
      </c>
      <c r="B2764" s="2" t="s">
        <v>7901</v>
      </c>
      <c r="C2764" s="2" t="s">
        <v>88</v>
      </c>
      <c r="D2764" s="2" t="s">
        <v>27</v>
      </c>
      <c r="E2764" s="4">
        <v>-32828</v>
      </c>
      <c r="F2764" s="3" t="s">
        <v>1195</v>
      </c>
      <c r="G2764" s="3" t="s">
        <v>701</v>
      </c>
      <c r="H2764" s="2" t="s">
        <v>74</v>
      </c>
      <c r="I2764" s="2" t="s">
        <v>7902</v>
      </c>
      <c r="J2764" s="3" t="str">
        <f>HYPERLINK("https://www.boe.es/gazeta/dias/1810/02/12/pdfs/GMD-1810-43.pdf#page=2","Abrir facsímil")</f>
        <v>Abrir facsímil</v>
      </c>
      <c r="K2764" s="3" t="s">
        <v>76</v>
      </c>
    </row>
    <row r="2765" spans="1:11" ht="42" customHeight="1">
      <c r="A2765" s="2" t="s">
        <v>7903</v>
      </c>
      <c r="B2765" s="2" t="s">
        <v>7904</v>
      </c>
      <c r="C2765" s="2" t="s">
        <v>26</v>
      </c>
      <c r="D2765" s="2" t="s">
        <v>39</v>
      </c>
      <c r="E2765" s="4">
        <v>-32661</v>
      </c>
      <c r="F2765" s="3" t="s">
        <v>157</v>
      </c>
      <c r="G2765" s="3" t="s">
        <v>592</v>
      </c>
      <c r="H2765" s="2" t="s">
        <v>74</v>
      </c>
      <c r="I2765" s="2" t="s">
        <v>7905</v>
      </c>
      <c r="J2765" s="3" t="str">
        <f>HYPERLINK("https://www.boe.es/gazeta/dias/1810/07/29/pdfs/GMD-C-1810-210.pdf#page=2","Abrir facsímil")</f>
        <v>Abrir facsímil</v>
      </c>
      <c r="K2765" s="3" t="s">
        <v>76</v>
      </c>
    </row>
    <row r="2766" spans="1:11" ht="42" customHeight="1">
      <c r="A2766" s="2" t="s">
        <v>7906</v>
      </c>
      <c r="B2766" s="2" t="s">
        <v>7907</v>
      </c>
      <c r="C2766" s="2" t="s">
        <v>88</v>
      </c>
      <c r="D2766" s="2" t="s">
        <v>27</v>
      </c>
      <c r="E2766" s="4">
        <v>-32575</v>
      </c>
      <c r="F2766" s="3" t="s">
        <v>135</v>
      </c>
      <c r="G2766" s="3" t="s">
        <v>7908</v>
      </c>
      <c r="H2766" s="2" t="s">
        <v>74</v>
      </c>
      <c r="I2766" s="2" t="s">
        <v>7909</v>
      </c>
      <c r="J2766" s="3" t="str">
        <f>HYPERLINK("https://www.boe.es/gazeta/dias/1810/10/23/pdfs/GEI-1810-85.pdf#page=7","Abrir facsímil")</f>
        <v>Abrir facsímil</v>
      </c>
      <c r="K2766" s="3" t="s">
        <v>76</v>
      </c>
    </row>
    <row r="2767" spans="1:11" ht="42" customHeight="1">
      <c r="A2767" s="2" t="s">
        <v>7910</v>
      </c>
      <c r="B2767" s="2" t="s">
        <v>7911</v>
      </c>
      <c r="C2767" s="2" t="s">
        <v>88</v>
      </c>
      <c r="D2767" s="2" t="s">
        <v>27</v>
      </c>
      <c r="E2767" s="4">
        <v>-32575</v>
      </c>
      <c r="F2767" s="3" t="s">
        <v>135</v>
      </c>
      <c r="G2767" s="3" t="s">
        <v>7908</v>
      </c>
      <c r="H2767" s="2" t="s">
        <v>74</v>
      </c>
      <c r="I2767" s="2" t="s">
        <v>7912</v>
      </c>
      <c r="J2767" s="3" t="str">
        <f>HYPERLINK("https://www.boe.es/gazeta/dias/1810/10/23/pdfs/GEI-1810-85.pdf#page=7","Abrir facsímil")</f>
        <v>Abrir facsímil</v>
      </c>
      <c r="K2767" s="3" t="s">
        <v>76</v>
      </c>
    </row>
    <row r="2768" spans="1:11" ht="42" customHeight="1">
      <c r="A2768" s="2" t="s">
        <v>7913</v>
      </c>
      <c r="B2768" s="2" t="s">
        <v>7914</v>
      </c>
      <c r="C2768" s="2" t="s">
        <v>111</v>
      </c>
      <c r="D2768" s="2" t="s">
        <v>27</v>
      </c>
      <c r="E2768" s="4">
        <v>-32837</v>
      </c>
      <c r="F2768" s="3" t="s">
        <v>196</v>
      </c>
      <c r="G2768" s="3" t="s">
        <v>140</v>
      </c>
      <c r="H2768" s="2" t="s">
        <v>74</v>
      </c>
      <c r="I2768" s="2" t="s">
        <v>7915</v>
      </c>
      <c r="J2768" s="3" t="str">
        <f>HYPERLINK("https://www.boe.es/gazeta/dias/1810/02/03/pdfs/GMD-1810-34.pdf#page=4","Abrir facsímil")</f>
        <v>Abrir facsímil</v>
      </c>
      <c r="K2768" s="3" t="s">
        <v>76</v>
      </c>
    </row>
    <row r="2769" spans="1:11" ht="42" customHeight="1">
      <c r="A2769" s="2" t="s">
        <v>7916</v>
      </c>
      <c r="B2769" s="2" t="s">
        <v>7917</v>
      </c>
      <c r="C2769" s="2" t="s">
        <v>26</v>
      </c>
      <c r="D2769" s="2" t="s">
        <v>27</v>
      </c>
      <c r="E2769" s="4">
        <v>-32575</v>
      </c>
      <c r="F2769" s="3" t="s">
        <v>135</v>
      </c>
      <c r="G2769" s="3" t="s">
        <v>136</v>
      </c>
      <c r="H2769" s="2" t="s">
        <v>74</v>
      </c>
      <c r="I2769" s="2" t="s">
        <v>7918</v>
      </c>
      <c r="J2769" s="3" t="str">
        <f>HYPERLINK("https://www.boe.es/gazeta/dias/1810/10/23/pdfs/GEI-1810-85.pdf#page=11","Abrir facsímil")</f>
        <v>Abrir facsímil</v>
      </c>
      <c r="K2769" s="3" t="s">
        <v>76</v>
      </c>
    </row>
    <row r="2770" spans="1:11" ht="42" customHeight="1">
      <c r="A2770" s="2" t="s">
        <v>7919</v>
      </c>
      <c r="B2770" s="2" t="s">
        <v>7920</v>
      </c>
      <c r="C2770" s="2" t="s">
        <v>26</v>
      </c>
      <c r="D2770" s="2" t="s">
        <v>39</v>
      </c>
      <c r="E2770" s="4">
        <v>-32708</v>
      </c>
      <c r="F2770" s="3" t="s">
        <v>1601</v>
      </c>
      <c r="G2770" s="3" t="s">
        <v>7921</v>
      </c>
      <c r="H2770" s="2" t="s">
        <v>74</v>
      </c>
      <c r="I2770" s="2" t="s">
        <v>7922</v>
      </c>
      <c r="J2770" s="3" t="str">
        <f>HYPERLINK("https://www.boe.es/gazeta/dias/1810/06/12/pdfs/GEI-D-1810-35.pdf#page=4","Abrir facsímil")</f>
        <v>Abrir facsímil</v>
      </c>
      <c r="K2770" s="3" t="s">
        <v>76</v>
      </c>
    </row>
    <row r="2771" spans="1:11" ht="42" customHeight="1">
      <c r="A2771" s="2" t="s">
        <v>7923</v>
      </c>
      <c r="B2771" s="2" t="s">
        <v>7924</v>
      </c>
      <c r="C2771" s="2" t="s">
        <v>26</v>
      </c>
      <c r="D2771" s="2" t="s">
        <v>18</v>
      </c>
      <c r="E2771" s="4">
        <v>-32661</v>
      </c>
      <c r="F2771" s="3" t="s">
        <v>157</v>
      </c>
      <c r="G2771" s="3" t="s">
        <v>592</v>
      </c>
      <c r="H2771" s="2" t="s">
        <v>74</v>
      </c>
      <c r="I2771" s="2" t="s">
        <v>7925</v>
      </c>
      <c r="J2771" s="3" t="str">
        <f>HYPERLINK("https://www.boe.es/gazeta/dias/1810/07/29/pdfs/GMD-C-1810-210.pdf#page=2","Abrir facsímil")</f>
        <v>Abrir facsímil</v>
      </c>
      <c r="K2771" s="3" t="s">
        <v>76</v>
      </c>
    </row>
    <row r="2772" spans="1:11" ht="42" customHeight="1">
      <c r="A2772" s="2" t="s">
        <v>7926</v>
      </c>
      <c r="B2772" s="2" t="s">
        <v>7927</v>
      </c>
      <c r="C2772" s="2" t="s">
        <v>26</v>
      </c>
      <c r="D2772" s="2" t="s">
        <v>39</v>
      </c>
      <c r="E2772" s="4">
        <v>-32661</v>
      </c>
      <c r="F2772" s="3" t="s">
        <v>157</v>
      </c>
      <c r="G2772" s="3" t="s">
        <v>592</v>
      </c>
      <c r="H2772" s="2" t="s">
        <v>74</v>
      </c>
      <c r="I2772" s="2" t="s">
        <v>7928</v>
      </c>
      <c r="J2772" s="3" t="str">
        <f>HYPERLINK("https://www.boe.es/gazeta/dias/1810/07/29/pdfs/GMD-C-1810-210.pdf#page=2","Abrir facsímil")</f>
        <v>Abrir facsímil</v>
      </c>
      <c r="K2772" s="3" t="s">
        <v>76</v>
      </c>
    </row>
    <row r="2773" spans="1:11" ht="42" customHeight="1">
      <c r="A2773" s="2" t="s">
        <v>7929</v>
      </c>
      <c r="B2773" s="2" t="s">
        <v>7930</v>
      </c>
      <c r="C2773" s="2" t="s">
        <v>317</v>
      </c>
      <c r="D2773" s="2" t="s">
        <v>27</v>
      </c>
      <c r="E2773" s="4">
        <v>-32677</v>
      </c>
      <c r="F2773" s="3" t="s">
        <v>1940</v>
      </c>
      <c r="G2773" s="3" t="s">
        <v>7931</v>
      </c>
      <c r="H2773" s="2" t="s">
        <v>74</v>
      </c>
      <c r="I2773" s="2" t="s">
        <v>7932</v>
      </c>
      <c r="J2773" s="3" t="str">
        <f>HYPERLINK("https://www.boe.es/gazeta/dias/1810/07/13/pdfs/GEI-1810-44.pdf#page=6","Abrir facsímil")</f>
        <v>Abrir facsímil</v>
      </c>
      <c r="K2773" s="3" t="s">
        <v>76</v>
      </c>
    </row>
    <row r="2774" spans="1:11" ht="42" customHeight="1">
      <c r="A2774" s="2" t="s">
        <v>7933</v>
      </c>
      <c r="B2774" s="2" t="s">
        <v>7934</v>
      </c>
      <c r="C2774" s="2" t="s">
        <v>317</v>
      </c>
      <c r="D2774" s="2" t="s">
        <v>39</v>
      </c>
      <c r="E2774" s="4">
        <v>-32599</v>
      </c>
      <c r="F2774" s="3" t="s">
        <v>662</v>
      </c>
      <c r="G2774" s="3" t="s">
        <v>227</v>
      </c>
      <c r="H2774" s="2" t="s">
        <v>74</v>
      </c>
      <c r="I2774" s="2" t="s">
        <v>7935</v>
      </c>
      <c r="J2774" s="3" t="str">
        <f>HYPERLINK("https://www.boe.es/gazeta/dias/1810/09/29/pdfs/GMD-C-1810-272.pdf#page=6","Abrir facsímil")</f>
        <v>Abrir facsímil</v>
      </c>
      <c r="K2774" s="3" t="s">
        <v>76</v>
      </c>
    </row>
    <row r="2775" spans="1:11" ht="42" customHeight="1">
      <c r="A2775" s="2" t="s">
        <v>7936</v>
      </c>
      <c r="B2775" s="2" t="s">
        <v>7937</v>
      </c>
      <c r="C2775" s="2" t="s">
        <v>88</v>
      </c>
      <c r="D2775" s="2" t="s">
        <v>27</v>
      </c>
      <c r="E2775" s="4">
        <v>-32684</v>
      </c>
      <c r="F2775" s="3" t="s">
        <v>1373</v>
      </c>
      <c r="G2775" s="3" t="s">
        <v>3538</v>
      </c>
      <c r="H2775" s="2" t="s">
        <v>74</v>
      </c>
      <c r="I2775" s="2" t="s">
        <v>7938</v>
      </c>
      <c r="J2775" s="3" t="str">
        <f>HYPERLINK("https://www.boe.es/gazeta/dias/1810/07/06/pdfs/GEI-1810-42.pdf#page=2","Abrir facsímil")</f>
        <v>Abrir facsímil</v>
      </c>
      <c r="K2775" s="3" t="s">
        <v>76</v>
      </c>
    </row>
    <row r="2776" spans="1:11" ht="42" customHeight="1">
      <c r="A2776" s="2" t="s">
        <v>7939</v>
      </c>
      <c r="B2776" s="2" t="s">
        <v>7940</v>
      </c>
      <c r="C2776" s="2" t="s">
        <v>26</v>
      </c>
      <c r="D2776" s="2" t="s">
        <v>27</v>
      </c>
      <c r="E2776" s="4">
        <v>-32526</v>
      </c>
      <c r="F2776" s="3" t="s">
        <v>530</v>
      </c>
      <c r="G2776" s="3" t="s">
        <v>531</v>
      </c>
      <c r="H2776" s="2" t="s">
        <v>74</v>
      </c>
      <c r="I2776" s="2" t="s">
        <v>7941</v>
      </c>
      <c r="J2776" s="3" t="str">
        <f>HYPERLINK("https://www.boe.es/gazeta/dias/1810/12/11/pdfs/GEI-1810-106.pdf#page=2","Abrir facsímil")</f>
        <v>Abrir facsímil</v>
      </c>
      <c r="K2776" s="3" t="s">
        <v>76</v>
      </c>
    </row>
    <row r="2777" spans="1:11" ht="42" customHeight="1">
      <c r="A2777" s="2" t="s">
        <v>7942</v>
      </c>
      <c r="B2777" s="2" t="s">
        <v>7943</v>
      </c>
      <c r="C2777" s="2" t="s">
        <v>33</v>
      </c>
      <c r="D2777" s="2" t="s">
        <v>27</v>
      </c>
      <c r="E2777" s="4">
        <v>-32775</v>
      </c>
      <c r="F2777" s="3" t="s">
        <v>308</v>
      </c>
      <c r="G2777" s="3" t="s">
        <v>140</v>
      </c>
      <c r="H2777" s="2" t="s">
        <v>74</v>
      </c>
      <c r="I2777" s="2" t="s">
        <v>7944</v>
      </c>
      <c r="J2777" s="3" t="str">
        <f>HYPERLINK("https://www.boe.es/gazeta/dias/1810/04/06/pdfs/GMD-1810-96.pdf#page=3","Abrir facsímil")</f>
        <v>Abrir facsímil</v>
      </c>
      <c r="K2777" s="3" t="s">
        <v>76</v>
      </c>
    </row>
    <row r="2778" spans="1:11" ht="42" customHeight="1">
      <c r="A2778" s="2" t="s">
        <v>7942</v>
      </c>
      <c r="B2778" s="2" t="s">
        <v>7943</v>
      </c>
      <c r="C2778" s="2" t="s">
        <v>225</v>
      </c>
      <c r="D2778" s="2" t="s">
        <v>117</v>
      </c>
      <c r="E2778" s="4">
        <v>-32761</v>
      </c>
      <c r="F2778" s="3" t="s">
        <v>811</v>
      </c>
      <c r="G2778" s="3" t="s">
        <v>119</v>
      </c>
      <c r="H2778" s="2" t="s">
        <v>74</v>
      </c>
      <c r="I2778" s="2" t="s">
        <v>7945</v>
      </c>
      <c r="J2778" s="3" t="str">
        <f>HYPERLINK("https://www.boe.es/gazeta/dias/1810/04/20/pdfs/GEI-1810-16.pdf#page=7","Abrir facsímil")</f>
        <v>Abrir facsímil</v>
      </c>
      <c r="K2778" s="3" t="s">
        <v>76</v>
      </c>
    </row>
    <row r="2779" spans="1:11" ht="42" customHeight="1">
      <c r="A2779" s="2" t="s">
        <v>7946</v>
      </c>
      <c r="B2779" s="2" t="s">
        <v>7947</v>
      </c>
      <c r="C2779" s="2" t="s">
        <v>26</v>
      </c>
      <c r="D2779" s="2" t="s">
        <v>27</v>
      </c>
      <c r="E2779" s="4">
        <v>-32562</v>
      </c>
      <c r="F2779" s="3" t="s">
        <v>1186</v>
      </c>
      <c r="G2779" s="3" t="s">
        <v>90</v>
      </c>
      <c r="H2779" s="2" t="s">
        <v>74</v>
      </c>
      <c r="I2779" s="2" t="s">
        <v>7948</v>
      </c>
      <c r="J2779" s="3" t="str">
        <f>HYPERLINK("https://www.boe.es/gazeta/dias/1810/11/05/pdfs/GMD-1810-309.pdf#page=3","Abrir facsímil")</f>
        <v>Abrir facsímil</v>
      </c>
      <c r="K2779" s="3" t="s">
        <v>76</v>
      </c>
    </row>
    <row r="2780" spans="1:11" ht="42" customHeight="1">
      <c r="A2780" s="2" t="s">
        <v>7949</v>
      </c>
      <c r="B2780" s="2" t="s">
        <v>7950</v>
      </c>
      <c r="C2780" s="2" t="s">
        <v>26</v>
      </c>
      <c r="D2780" s="2" t="s">
        <v>27</v>
      </c>
      <c r="E2780" s="4">
        <v>-32515</v>
      </c>
      <c r="F2780" s="3" t="s">
        <v>351</v>
      </c>
      <c r="G2780" s="3" t="s">
        <v>352</v>
      </c>
      <c r="H2780" s="2" t="s">
        <v>74</v>
      </c>
      <c r="I2780" s="2" t="s">
        <v>7951</v>
      </c>
      <c r="J2780" s="3" t="str">
        <f>HYPERLINK("https://www.boe.es/gazeta/dias/1810/12/22/pdfs/GEI-1810-111.pdf#page=8","Abrir facsímil")</f>
        <v>Abrir facsímil</v>
      </c>
      <c r="K2780" s="3" t="s">
        <v>76</v>
      </c>
    </row>
    <row r="2781" spans="1:11" ht="42" customHeight="1">
      <c r="A2781" s="2" t="s">
        <v>7952</v>
      </c>
      <c r="B2781" s="2" t="s">
        <v>7953</v>
      </c>
      <c r="C2781" s="2" t="s">
        <v>26</v>
      </c>
      <c r="D2781" s="2" t="s">
        <v>27</v>
      </c>
      <c r="E2781" s="4">
        <v>-32647</v>
      </c>
      <c r="F2781" s="3" t="s">
        <v>118</v>
      </c>
      <c r="G2781" s="3" t="s">
        <v>20</v>
      </c>
      <c r="H2781" s="2" t="s">
        <v>74</v>
      </c>
      <c r="I2781" s="2" t="s">
        <v>7954</v>
      </c>
      <c r="J2781" s="3" t="str">
        <f>HYPERLINK("https://www.boe.es/gazeta/dias/1810/08/12/pdfs/GMD-1810-224.pdf#page=4","Abrir facsímil")</f>
        <v>Abrir facsímil</v>
      </c>
      <c r="K2781" s="3" t="s">
        <v>76</v>
      </c>
    </row>
    <row r="2782" spans="1:11" ht="42" customHeight="1">
      <c r="A2782" s="2" t="s">
        <v>7955</v>
      </c>
      <c r="B2782" s="2" t="s">
        <v>7955</v>
      </c>
      <c r="C2782" s="2" t="s">
        <v>88</v>
      </c>
      <c r="D2782" s="2" t="s">
        <v>117</v>
      </c>
      <c r="E2782" s="4">
        <v>-32699</v>
      </c>
      <c r="F2782" s="3" t="s">
        <v>1216</v>
      </c>
      <c r="G2782" s="3" t="s">
        <v>1217</v>
      </c>
      <c r="H2782" s="2" t="s">
        <v>74</v>
      </c>
      <c r="I2782" s="2" t="s">
        <v>7956</v>
      </c>
      <c r="J2782" s="3" t="str">
        <f>HYPERLINK("https://www.boe.es/gazeta/dias/1810/06/21/pdfs/GMD-1810-172.pdf#page=1","Abrir facsímil")</f>
        <v>Abrir facsímil</v>
      </c>
      <c r="K2782" s="3" t="s">
        <v>76</v>
      </c>
    </row>
    <row r="2783" spans="1:11" ht="42" customHeight="1">
      <c r="A2783" s="2" t="s">
        <v>7957</v>
      </c>
      <c r="B2783" s="2" t="s">
        <v>7957</v>
      </c>
      <c r="C2783" s="2" t="s">
        <v>225</v>
      </c>
      <c r="D2783" s="2" t="s">
        <v>117</v>
      </c>
      <c r="E2783" s="4">
        <v>-32761</v>
      </c>
      <c r="F2783" s="3" t="s">
        <v>811</v>
      </c>
      <c r="G2783" s="3" t="s">
        <v>119</v>
      </c>
      <c r="H2783" s="2" t="s">
        <v>74</v>
      </c>
      <c r="I2783" s="2" t="s">
        <v>7958</v>
      </c>
      <c r="J2783" s="3" t="str">
        <f>HYPERLINK("https://www.boe.es/gazeta/dias/1810/04/20/pdfs/GEI-1810-16.pdf#page=7","Abrir facsímil")</f>
        <v>Abrir facsímil</v>
      </c>
      <c r="K2783" s="3" t="s">
        <v>76</v>
      </c>
    </row>
    <row r="2784" spans="1:11" ht="42" customHeight="1">
      <c r="A2784" s="2" t="s">
        <v>7959</v>
      </c>
      <c r="B2784" s="2" t="s">
        <v>7960</v>
      </c>
      <c r="C2784" s="2" t="s">
        <v>26</v>
      </c>
      <c r="D2784" s="2" t="s">
        <v>39</v>
      </c>
      <c r="E2784" s="4">
        <v>-32702</v>
      </c>
      <c r="F2784" s="3" t="s">
        <v>179</v>
      </c>
      <c r="G2784" s="3" t="s">
        <v>517</v>
      </c>
      <c r="H2784" s="2" t="s">
        <v>74</v>
      </c>
      <c r="I2784" s="2" t="s">
        <v>7961</v>
      </c>
      <c r="J2784" s="3" t="str">
        <f>HYPERLINK("https://www.boe.es/gazeta/dias/1810/06/18/pdfs/GMD-C-1810-169.pdf#page=3","Abrir facsímil")</f>
        <v>Abrir facsímil</v>
      </c>
      <c r="K2784" s="3" t="s">
        <v>76</v>
      </c>
    </row>
    <row r="2785" spans="1:11" ht="42" customHeight="1">
      <c r="A2785" s="2" t="s">
        <v>7962</v>
      </c>
      <c r="B2785" s="2" t="s">
        <v>7962</v>
      </c>
      <c r="C2785" s="2" t="s">
        <v>88</v>
      </c>
      <c r="D2785" s="2" t="s">
        <v>27</v>
      </c>
      <c r="E2785" s="4">
        <v>-32861</v>
      </c>
      <c r="F2785" s="3" t="s">
        <v>796</v>
      </c>
      <c r="G2785" s="3" t="s">
        <v>29</v>
      </c>
      <c r="H2785" s="2" t="s">
        <v>74</v>
      </c>
      <c r="I2785" s="2" t="s">
        <v>7963</v>
      </c>
      <c r="J2785" s="3" t="str">
        <f>HYPERLINK("https://www.boe.es/gazeta/dias/1810/01/10/pdfs/GMD-1810-10.pdf#page=2","Abrir facsímil")</f>
        <v>Abrir facsímil</v>
      </c>
      <c r="K2785" s="3" t="s">
        <v>76</v>
      </c>
    </row>
    <row r="2786" spans="1:11" ht="42" customHeight="1">
      <c r="A2786" s="2" t="s">
        <v>7962</v>
      </c>
      <c r="B2786" s="2" t="s">
        <v>7962</v>
      </c>
      <c r="C2786" s="2" t="s">
        <v>26</v>
      </c>
      <c r="D2786" s="2" t="s">
        <v>220</v>
      </c>
      <c r="E2786" s="4">
        <v>-32809</v>
      </c>
      <c r="F2786" s="3" t="s">
        <v>1873</v>
      </c>
      <c r="G2786" s="3" t="s">
        <v>735</v>
      </c>
      <c r="H2786" s="2" t="s">
        <v>74</v>
      </c>
      <c r="I2786" s="2" t="s">
        <v>7964</v>
      </c>
      <c r="J2786" s="3" t="str">
        <f>HYPERLINK("https://www.boe.es/gazeta/dias/1810/03/03/pdfs/GMD-1810-62.pdf#page=4","Abrir facsímil")</f>
        <v>Abrir facsímil</v>
      </c>
      <c r="K2786" s="3" t="s">
        <v>76</v>
      </c>
    </row>
    <row r="2787" spans="1:11" ht="42" customHeight="1">
      <c r="A2787" s="2" t="s">
        <v>7962</v>
      </c>
      <c r="B2787" s="2" t="s">
        <v>7962</v>
      </c>
      <c r="C2787" s="2" t="s">
        <v>88</v>
      </c>
      <c r="D2787" s="2" t="s">
        <v>27</v>
      </c>
      <c r="E2787" s="4">
        <v>-32784</v>
      </c>
      <c r="F2787" s="3" t="s">
        <v>429</v>
      </c>
      <c r="G2787" s="3" t="s">
        <v>131</v>
      </c>
      <c r="H2787" s="2" t="s">
        <v>74</v>
      </c>
      <c r="I2787" s="2" t="s">
        <v>7965</v>
      </c>
      <c r="J2787" s="3" t="str">
        <f>HYPERLINK("https://www.boe.es/gazeta/dias/1810/03/28/pdfs/GMD-1810-87.pdf#page=3","Abrir facsímil")</f>
        <v>Abrir facsímil</v>
      </c>
      <c r="K2787" s="3" t="s">
        <v>76</v>
      </c>
    </row>
    <row r="2788" spans="1:11" ht="42" customHeight="1">
      <c r="A2788" s="2" t="s">
        <v>7962</v>
      </c>
      <c r="B2788" s="2" t="s">
        <v>7962</v>
      </c>
      <c r="C2788" s="2" t="s">
        <v>26</v>
      </c>
      <c r="D2788" s="2" t="s">
        <v>27</v>
      </c>
      <c r="E2788" s="4">
        <v>-32776</v>
      </c>
      <c r="F2788" s="3" t="s">
        <v>752</v>
      </c>
      <c r="G2788" s="3" t="s">
        <v>213</v>
      </c>
      <c r="H2788" s="2" t="s">
        <v>74</v>
      </c>
      <c r="I2788" s="2" t="s">
        <v>7966</v>
      </c>
      <c r="J2788" s="3" t="str">
        <f>HYPERLINK("https://www.boe.es/gazeta/dias/1810/04/05/pdfs/GMD-1810-95.pdf#page=3","Abrir facsímil")</f>
        <v>Abrir facsímil</v>
      </c>
      <c r="K2788" s="3" t="s">
        <v>76</v>
      </c>
    </row>
    <row r="2789" spans="1:11" ht="42" customHeight="1">
      <c r="A2789" s="2" t="s">
        <v>7962</v>
      </c>
      <c r="B2789" s="2" t="s">
        <v>7962</v>
      </c>
      <c r="C2789" s="2" t="s">
        <v>88</v>
      </c>
      <c r="D2789" s="2" t="s">
        <v>117</v>
      </c>
      <c r="E2789" s="4">
        <v>-32767</v>
      </c>
      <c r="F2789" s="3" t="s">
        <v>1265</v>
      </c>
      <c r="G2789" s="3" t="s">
        <v>1266</v>
      </c>
      <c r="H2789" s="2" t="s">
        <v>74</v>
      </c>
      <c r="I2789" s="2" t="s">
        <v>7967</v>
      </c>
      <c r="J2789" s="3" t="str">
        <f>HYPERLINK("https://www.boe.es/gazeta/dias/1810/04/14/pdfs/GMD-1810-104.pdf#page=4","Abrir facsímil")</f>
        <v>Abrir facsímil</v>
      </c>
      <c r="K2789" s="3" t="s">
        <v>76</v>
      </c>
    </row>
    <row r="2790" spans="1:11" ht="42" customHeight="1">
      <c r="A2790" s="2" t="s">
        <v>7962</v>
      </c>
      <c r="B2790" s="2" t="s">
        <v>7962</v>
      </c>
      <c r="C2790" s="2" t="s">
        <v>26</v>
      </c>
      <c r="D2790" s="2" t="s">
        <v>27</v>
      </c>
      <c r="E2790" s="4">
        <v>-32756</v>
      </c>
      <c r="F2790" s="3" t="s">
        <v>203</v>
      </c>
      <c r="G2790" s="3" t="s">
        <v>180</v>
      </c>
      <c r="H2790" s="2" t="s">
        <v>74</v>
      </c>
      <c r="I2790" s="2" t="s">
        <v>7968</v>
      </c>
      <c r="J2790" s="3" t="str">
        <f>HYPERLINK("https://www.boe.es/gazeta/dias/1810/04/25/pdfs/GMD-1810-115.pdf#page=4","Abrir facsímil")</f>
        <v>Abrir facsímil</v>
      </c>
      <c r="K2790" s="3" t="s">
        <v>76</v>
      </c>
    </row>
    <row r="2791" spans="1:11" ht="42" customHeight="1">
      <c r="A2791" s="2" t="s">
        <v>7962</v>
      </c>
      <c r="B2791" s="2" t="s">
        <v>7962</v>
      </c>
      <c r="C2791" s="2" t="s">
        <v>26</v>
      </c>
      <c r="D2791" s="2" t="s">
        <v>27</v>
      </c>
      <c r="E2791" s="4">
        <v>-32739</v>
      </c>
      <c r="F2791" s="3" t="s">
        <v>724</v>
      </c>
      <c r="G2791" s="3" t="s">
        <v>20</v>
      </c>
      <c r="H2791" s="2" t="s">
        <v>74</v>
      </c>
      <c r="I2791" s="2" t="s">
        <v>7969</v>
      </c>
      <c r="J2791" s="3" t="str">
        <f>HYPERLINK("https://www.boe.es/gazeta/dias/1810/05/12/pdfs/GMD-1810-132.pdf#page=4","Abrir facsímil")</f>
        <v>Abrir facsímil</v>
      </c>
      <c r="K2791" s="3" t="s">
        <v>76</v>
      </c>
    </row>
    <row r="2792" spans="1:11" ht="42" customHeight="1">
      <c r="A2792" s="2" t="s">
        <v>7962</v>
      </c>
      <c r="B2792" s="2" t="s">
        <v>7962</v>
      </c>
      <c r="C2792" s="2" t="s">
        <v>26</v>
      </c>
      <c r="D2792" s="2" t="s">
        <v>18</v>
      </c>
      <c r="E2792" s="4">
        <v>-32735</v>
      </c>
      <c r="F2792" s="3" t="s">
        <v>612</v>
      </c>
      <c r="G2792" s="3" t="s">
        <v>701</v>
      </c>
      <c r="H2792" s="2" t="s">
        <v>74</v>
      </c>
      <c r="I2792" s="2" t="s">
        <v>7970</v>
      </c>
      <c r="J2792" s="3" t="str">
        <f>HYPERLINK("https://www.boe.es/gazeta/dias/1810/05/16/pdfs/GMD-1810-136.pdf#page=4","Abrir facsímil")</f>
        <v>Abrir facsímil</v>
      </c>
      <c r="K2792" s="3" t="s">
        <v>76</v>
      </c>
    </row>
    <row r="2793" spans="1:11" ht="42" customHeight="1">
      <c r="A2793" s="2" t="s">
        <v>7962</v>
      </c>
      <c r="B2793" s="2" t="s">
        <v>7962</v>
      </c>
      <c r="C2793" s="2" t="s">
        <v>26</v>
      </c>
      <c r="D2793" s="2" t="s">
        <v>27</v>
      </c>
      <c r="E2793" s="4">
        <v>-32732</v>
      </c>
      <c r="F2793" s="3" t="s">
        <v>545</v>
      </c>
      <c r="G2793" s="3" t="s">
        <v>90</v>
      </c>
      <c r="H2793" s="2" t="s">
        <v>74</v>
      </c>
      <c r="I2793" s="2" t="s">
        <v>7971</v>
      </c>
      <c r="J2793" s="3" t="str">
        <f>HYPERLINK("https://www.boe.es/gazeta/dias/1810/05/19/pdfs/GMD-1810-139.pdf#page=4","Abrir facsímil")</f>
        <v>Abrir facsímil</v>
      </c>
      <c r="K2793" s="3" t="s">
        <v>76</v>
      </c>
    </row>
    <row r="2794" spans="1:11" ht="42" customHeight="1">
      <c r="A2794" s="2" t="s">
        <v>7962</v>
      </c>
      <c r="B2794" s="2" t="s">
        <v>7962</v>
      </c>
      <c r="C2794" s="2" t="s">
        <v>26</v>
      </c>
      <c r="D2794" s="2" t="s">
        <v>39</v>
      </c>
      <c r="E2794" s="4">
        <v>-32599</v>
      </c>
      <c r="F2794" s="3" t="s">
        <v>662</v>
      </c>
      <c r="G2794" s="3" t="s">
        <v>695</v>
      </c>
      <c r="H2794" s="2" t="s">
        <v>74</v>
      </c>
      <c r="I2794" s="2" t="s">
        <v>7972</v>
      </c>
      <c r="J2794" s="3" t="str">
        <f>HYPERLINK("https://www.boe.es/gazeta/dias/1810/09/29/pdfs/GMD-C-1810-272.pdf#page=1","Abrir facsímil")</f>
        <v>Abrir facsímil</v>
      </c>
      <c r="K2794" s="3" t="s">
        <v>76</v>
      </c>
    </row>
    <row r="2795" spans="1:11" ht="42" customHeight="1">
      <c r="A2795" s="2" t="s">
        <v>7973</v>
      </c>
      <c r="B2795" s="2" t="s">
        <v>7974</v>
      </c>
      <c r="C2795" s="2" t="s">
        <v>26</v>
      </c>
      <c r="D2795" s="2" t="s">
        <v>27</v>
      </c>
      <c r="E2795" s="4">
        <v>-32526</v>
      </c>
      <c r="F2795" s="3" t="s">
        <v>530</v>
      </c>
      <c r="G2795" s="3" t="s">
        <v>636</v>
      </c>
      <c r="H2795" s="2" t="s">
        <v>74</v>
      </c>
      <c r="I2795" s="2" t="s">
        <v>7975</v>
      </c>
      <c r="J2795" s="3" t="str">
        <f>HYPERLINK("https://www.boe.es/gazeta/dias/1810/12/11/pdfs/GEI-1810-106.pdf#page=3","Abrir facsímil")</f>
        <v>Abrir facsímil</v>
      </c>
      <c r="K2795" s="3" t="s">
        <v>76</v>
      </c>
    </row>
    <row r="2796" spans="1:11" ht="42" customHeight="1">
      <c r="A2796" s="2" t="s">
        <v>7976</v>
      </c>
      <c r="B2796" s="2" t="s">
        <v>7976</v>
      </c>
      <c r="C2796" s="2" t="s">
        <v>88</v>
      </c>
      <c r="D2796" s="2" t="s">
        <v>117</v>
      </c>
      <c r="E2796" s="4">
        <v>-32657</v>
      </c>
      <c r="F2796" s="3" t="s">
        <v>7977</v>
      </c>
      <c r="G2796" s="3" t="s">
        <v>119</v>
      </c>
      <c r="H2796" s="2" t="s">
        <v>74</v>
      </c>
      <c r="I2796" s="2" t="s">
        <v>7978</v>
      </c>
      <c r="J2796" s="3" t="str">
        <f>HYPERLINK("https://www.boe.es/gazeta/dias/1810/08/02/pdfs/GMD-1810-214.pdf#page=2","Abrir facsímil")</f>
        <v>Abrir facsímil</v>
      </c>
      <c r="K2796" s="3" t="s">
        <v>76</v>
      </c>
    </row>
    <row r="2797" spans="1:11" ht="42" customHeight="1">
      <c r="A2797" s="2" t="s">
        <v>7979</v>
      </c>
      <c r="B2797" s="2" t="s">
        <v>7980</v>
      </c>
      <c r="C2797" s="2" t="s">
        <v>26</v>
      </c>
      <c r="D2797" s="2" t="s">
        <v>27</v>
      </c>
      <c r="E2797" s="4">
        <v>-32569</v>
      </c>
      <c r="F2797" s="3" t="s">
        <v>421</v>
      </c>
      <c r="G2797" s="3" t="s">
        <v>20</v>
      </c>
      <c r="H2797" s="2" t="s">
        <v>74</v>
      </c>
      <c r="I2797" s="2" t="s">
        <v>7981</v>
      </c>
      <c r="J2797" s="3" t="str">
        <f>HYPERLINK("https://www.boe.es/gazeta/dias/1810/10/29/pdfs/GMD-1810-302.pdf#page=4","Abrir facsímil")</f>
        <v>Abrir facsímil</v>
      </c>
      <c r="K2797" s="3" t="s">
        <v>76</v>
      </c>
    </row>
    <row r="2798" spans="1:11" ht="42" customHeight="1">
      <c r="A2798" s="2" t="s">
        <v>7982</v>
      </c>
      <c r="B2798" s="2" t="s">
        <v>7983</v>
      </c>
      <c r="C2798" s="2" t="s">
        <v>17</v>
      </c>
      <c r="D2798" s="2" t="s">
        <v>18</v>
      </c>
      <c r="E2798" s="4">
        <v>-32562</v>
      </c>
      <c r="F2798" s="3" t="s">
        <v>1186</v>
      </c>
      <c r="G2798" s="3" t="s">
        <v>29</v>
      </c>
      <c r="H2798" s="2" t="s">
        <v>74</v>
      </c>
      <c r="I2798" s="2" t="s">
        <v>7984</v>
      </c>
      <c r="J2798" s="3" t="str">
        <f>HYPERLINK("https://www.boe.es/gazeta/dias/1810/11/05/pdfs/GMD-1810-309.pdf#page=2","Abrir facsímil")</f>
        <v>Abrir facsímil</v>
      </c>
      <c r="K2798" s="3" t="s">
        <v>76</v>
      </c>
    </row>
    <row r="2799" spans="1:11" ht="42" customHeight="1">
      <c r="A2799" s="2" t="s">
        <v>7985</v>
      </c>
      <c r="B2799" s="2" t="s">
        <v>7986</v>
      </c>
      <c r="C2799" s="2" t="s">
        <v>33</v>
      </c>
      <c r="D2799" s="2" t="s">
        <v>27</v>
      </c>
      <c r="E2799" s="4">
        <v>-32761</v>
      </c>
      <c r="F2799" s="3" t="s">
        <v>811</v>
      </c>
      <c r="G2799" s="3" t="s">
        <v>140</v>
      </c>
      <c r="H2799" s="2" t="s">
        <v>74</v>
      </c>
      <c r="I2799" s="2" t="s">
        <v>7987</v>
      </c>
      <c r="J2799" s="3" t="str">
        <f>HYPERLINK("https://www.boe.es/gazeta/dias/1810/04/20/pdfs/GEI-1810-16.pdf#page=8","Abrir facsímil")</f>
        <v>Abrir facsímil</v>
      </c>
      <c r="K2799" s="3" t="s">
        <v>76</v>
      </c>
    </row>
    <row r="2800" spans="1:11" ht="42" customHeight="1">
      <c r="A2800" s="2" t="s">
        <v>7988</v>
      </c>
      <c r="B2800" s="2" t="s">
        <v>7989</v>
      </c>
      <c r="C2800" s="2" t="s">
        <v>26</v>
      </c>
      <c r="D2800" s="2" t="s">
        <v>27</v>
      </c>
      <c r="E2800" s="4">
        <v>-32710</v>
      </c>
      <c r="F2800" s="3" t="s">
        <v>126</v>
      </c>
      <c r="G2800" s="3" t="s">
        <v>35</v>
      </c>
      <c r="H2800" s="2" t="s">
        <v>74</v>
      </c>
      <c r="I2800" s="2" t="s">
        <v>7990</v>
      </c>
      <c r="J2800" s="3" t="str">
        <f>HYPERLINK("https://www.boe.es/gazeta/dias/1810/06/10/pdfs/GMD-1810-161.pdf#page=2","Abrir facsímil")</f>
        <v>Abrir facsímil</v>
      </c>
      <c r="K2800" s="3" t="s">
        <v>76</v>
      </c>
    </row>
    <row r="2801" spans="1:11" ht="42" customHeight="1">
      <c r="A2801" s="2" t="s">
        <v>7988</v>
      </c>
      <c r="B2801" s="2" t="s">
        <v>7989</v>
      </c>
      <c r="C2801" s="2" t="s">
        <v>17</v>
      </c>
      <c r="D2801" s="2" t="s">
        <v>27</v>
      </c>
      <c r="E2801" s="4">
        <v>-32537</v>
      </c>
      <c r="F2801" s="3" t="s">
        <v>1091</v>
      </c>
      <c r="G2801" s="3" t="s">
        <v>20</v>
      </c>
      <c r="H2801" s="2" t="s">
        <v>74</v>
      </c>
      <c r="I2801" s="2" t="s">
        <v>7991</v>
      </c>
      <c r="J2801" s="3" t="str">
        <f>HYPERLINK("https://www.boe.es/gazeta/dias/1810/11/30/pdfs/GMD-1810-334.pdf#page=4","Abrir facsímil")</f>
        <v>Abrir facsímil</v>
      </c>
      <c r="K2801" s="3" t="s">
        <v>76</v>
      </c>
    </row>
    <row r="2802" spans="1:11" ht="42" customHeight="1">
      <c r="A2802" s="2" t="s">
        <v>7992</v>
      </c>
      <c r="B2802" s="2" t="s">
        <v>7993</v>
      </c>
      <c r="C2802" s="2" t="s">
        <v>26</v>
      </c>
      <c r="D2802" s="2" t="s">
        <v>39</v>
      </c>
      <c r="E2802" s="4">
        <v>-32702</v>
      </c>
      <c r="F2802" s="3" t="s">
        <v>179</v>
      </c>
      <c r="G2802" s="3" t="s">
        <v>180</v>
      </c>
      <c r="H2802" s="2" t="s">
        <v>74</v>
      </c>
      <c r="I2802" s="2" t="s">
        <v>7994</v>
      </c>
      <c r="J2802" s="3" t="str">
        <f>HYPERLINK("https://www.boe.es/gazeta/dias/1810/06/18/pdfs/GMD-C-1810-169.pdf#page=2","Abrir facsímil")</f>
        <v>Abrir facsímil</v>
      </c>
      <c r="K2802" s="3" t="s">
        <v>76</v>
      </c>
    </row>
    <row r="2803" spans="1:11" ht="42" customHeight="1">
      <c r="A2803" s="2" t="s">
        <v>7995</v>
      </c>
      <c r="B2803" s="2" t="s">
        <v>7995</v>
      </c>
      <c r="C2803" s="2" t="s">
        <v>88</v>
      </c>
      <c r="D2803" s="2" t="s">
        <v>220</v>
      </c>
      <c r="E2803" s="4">
        <v>-32850</v>
      </c>
      <c r="F2803" s="3" t="s">
        <v>7996</v>
      </c>
      <c r="G2803" s="3" t="s">
        <v>29</v>
      </c>
      <c r="H2803" s="2" t="s">
        <v>74</v>
      </c>
      <c r="I2803" s="2" t="s">
        <v>7997</v>
      </c>
      <c r="J2803" s="3" t="str">
        <f>HYPERLINK("https://www.boe.es/gazeta/dias/1810/01/21/pdfs/GMD-1810-21.pdf#page=2","Abrir facsímil")</f>
        <v>Abrir facsímil</v>
      </c>
      <c r="K2803" s="3" t="s">
        <v>76</v>
      </c>
    </row>
    <row r="2804" spans="1:11" ht="42" customHeight="1">
      <c r="A2804" s="2" t="s">
        <v>7998</v>
      </c>
      <c r="B2804" s="2" t="s">
        <v>7998</v>
      </c>
      <c r="C2804" s="2" t="s">
        <v>88</v>
      </c>
      <c r="D2804" s="2" t="s">
        <v>27</v>
      </c>
      <c r="E2804" s="4">
        <v>-32740</v>
      </c>
      <c r="F2804" s="3" t="s">
        <v>1207</v>
      </c>
      <c r="G2804" s="3" t="s">
        <v>29</v>
      </c>
      <c r="H2804" s="2" t="s">
        <v>74</v>
      </c>
      <c r="I2804" s="2" t="s">
        <v>7999</v>
      </c>
      <c r="J2804" s="3" t="str">
        <f>HYPERLINK("https://www.boe.es/gazeta/dias/1810/05/11/pdfs/GMD-1810-131.pdf#page=2","Abrir facsímil")</f>
        <v>Abrir facsímil</v>
      </c>
      <c r="K2804" s="3" t="s">
        <v>76</v>
      </c>
    </row>
    <row r="2805" spans="1:11" ht="42" customHeight="1">
      <c r="A2805" s="2" t="s">
        <v>8000</v>
      </c>
      <c r="B2805" s="2" t="s">
        <v>8000</v>
      </c>
      <c r="C2805" s="2" t="s">
        <v>26</v>
      </c>
      <c r="D2805" s="2" t="s">
        <v>220</v>
      </c>
      <c r="E2805" s="4">
        <v>-32725</v>
      </c>
      <c r="F2805" s="3" t="s">
        <v>417</v>
      </c>
      <c r="G2805" s="3" t="s">
        <v>1656</v>
      </c>
      <c r="H2805" s="2" t="s">
        <v>74</v>
      </c>
      <c r="I2805" s="2" t="s">
        <v>8001</v>
      </c>
      <c r="J2805" s="3" t="str">
        <f>HYPERLINK("https://www.boe.es/gazeta/dias/1810/05/26/pdfs/GMD-1810-146.pdf#page=1","Abrir facsímil")</f>
        <v>Abrir facsímil</v>
      </c>
      <c r="K2805" s="3" t="s">
        <v>76</v>
      </c>
    </row>
    <row r="2806" spans="1:11" ht="42" customHeight="1">
      <c r="A2806" s="2" t="s">
        <v>8002</v>
      </c>
      <c r="B2806" s="2" t="s">
        <v>8002</v>
      </c>
      <c r="C2806" s="2" t="s">
        <v>317</v>
      </c>
      <c r="D2806" s="2" t="s">
        <v>27</v>
      </c>
      <c r="E2806" s="4">
        <v>-32612</v>
      </c>
      <c r="F2806" s="3" t="s">
        <v>7236</v>
      </c>
      <c r="G2806" s="3" t="s">
        <v>3133</v>
      </c>
      <c r="H2806" s="2" t="s">
        <v>21</v>
      </c>
      <c r="I2806" s="2" t="s">
        <v>8003</v>
      </c>
      <c r="J2806" s="3" t="str">
        <f>HYPERLINK("https://www.boe.es/gazeta/dias/1810/09/16/pdfs/GMD-1810-259.pdf#page=1","Abrir facsímil")</f>
        <v>Abrir facsímil</v>
      </c>
      <c r="K2806" s="3" t="s">
        <v>23</v>
      </c>
    </row>
    <row r="2807" spans="1:11" ht="42" customHeight="1">
      <c r="A2807" s="2" t="s">
        <v>8004</v>
      </c>
      <c r="B2807" s="2" t="s">
        <v>8004</v>
      </c>
      <c r="C2807" s="2" t="s">
        <v>88</v>
      </c>
      <c r="D2807" s="2" t="s">
        <v>117</v>
      </c>
      <c r="E2807" s="4">
        <v>-32722</v>
      </c>
      <c r="F2807" s="3" t="s">
        <v>856</v>
      </c>
      <c r="G2807" s="3" t="s">
        <v>668</v>
      </c>
      <c r="H2807" s="2" t="s">
        <v>74</v>
      </c>
      <c r="I2807" s="2" t="s">
        <v>8005</v>
      </c>
      <c r="J2807" s="3" t="str">
        <f>HYPERLINK("https://www.boe.es/gazeta/dias/1810/05/29/pdfs/GEI-1810-31.pdf#page=12","Abrir facsímil")</f>
        <v>Abrir facsímil</v>
      </c>
      <c r="K2807" s="3" t="s">
        <v>76</v>
      </c>
    </row>
    <row r="2808" spans="1:11" ht="42" customHeight="1">
      <c r="A2808" s="2" t="s">
        <v>8006</v>
      </c>
      <c r="B2808" s="2" t="s">
        <v>8006</v>
      </c>
      <c r="C2808" s="2" t="s">
        <v>26</v>
      </c>
      <c r="D2808" s="2" t="s">
        <v>27</v>
      </c>
      <c r="E2808" s="4">
        <v>-32700</v>
      </c>
      <c r="F2808" s="3" t="s">
        <v>89</v>
      </c>
      <c r="G2808" s="3" t="s">
        <v>70</v>
      </c>
      <c r="H2808" s="2" t="s">
        <v>74</v>
      </c>
      <c r="I2808" s="2" t="s">
        <v>8007</v>
      </c>
      <c r="J2808" s="3" t="str">
        <f>HYPERLINK("https://www.boe.es/gazeta/dias/1810/06/20/pdfs/GMD-1810-171.pdf#page=4","Abrir facsímil")</f>
        <v>Abrir facsímil</v>
      </c>
      <c r="K2808" s="3" t="s">
        <v>76</v>
      </c>
    </row>
    <row r="2809" spans="1:11" ht="42" customHeight="1">
      <c r="A2809" s="2" t="s">
        <v>8008</v>
      </c>
      <c r="B2809" s="2" t="s">
        <v>8009</v>
      </c>
      <c r="C2809" s="2" t="s">
        <v>26</v>
      </c>
      <c r="D2809" s="2" t="s">
        <v>18</v>
      </c>
      <c r="E2809" s="4">
        <v>-32783</v>
      </c>
      <c r="F2809" s="3" t="s">
        <v>896</v>
      </c>
      <c r="G2809" s="3" t="s">
        <v>20</v>
      </c>
      <c r="H2809" s="2" t="s">
        <v>74</v>
      </c>
      <c r="I2809" s="2" t="s">
        <v>8010</v>
      </c>
      <c r="J2809" s="3" t="str">
        <f>HYPERLINK("https://www.boe.es/gazeta/dias/1810/03/29/pdfs/GMD-1810-88.pdf#page=4","Abrir facsímil")</f>
        <v>Abrir facsímil</v>
      </c>
      <c r="K2809" s="3" t="s">
        <v>76</v>
      </c>
    </row>
    <row r="2810" spans="1:11" ht="42" customHeight="1">
      <c r="A2810" s="2" t="s">
        <v>8011</v>
      </c>
      <c r="B2810" s="2" t="s">
        <v>8011</v>
      </c>
      <c r="C2810" s="2" t="s">
        <v>17</v>
      </c>
      <c r="D2810" s="2" t="s">
        <v>39</v>
      </c>
      <c r="E2810" s="4">
        <v>-32684</v>
      </c>
      <c r="F2810" s="3" t="s">
        <v>372</v>
      </c>
      <c r="G2810" s="3" t="s">
        <v>70</v>
      </c>
      <c r="H2810" s="2" t="s">
        <v>74</v>
      </c>
      <c r="I2810" s="2" t="s">
        <v>8012</v>
      </c>
      <c r="J2810" s="3" t="str">
        <f>HYPERLINK("https://www.boe.es/gazeta/dias/1810/07/06/pdfs/GEI-D-1810-42.pdf#page=6","Abrir facsímil")</f>
        <v>Abrir facsímil</v>
      </c>
      <c r="K2810" s="3" t="s">
        <v>76</v>
      </c>
    </row>
    <row r="2811" spans="1:11" ht="42" customHeight="1">
      <c r="A2811" s="2" t="s">
        <v>8013</v>
      </c>
      <c r="B2811" s="2" t="s">
        <v>8014</v>
      </c>
      <c r="C2811" s="2" t="s">
        <v>88</v>
      </c>
      <c r="D2811" s="2" t="s">
        <v>27</v>
      </c>
      <c r="E2811" s="4">
        <v>-32573</v>
      </c>
      <c r="F2811" s="3" t="s">
        <v>3120</v>
      </c>
      <c r="G2811" s="3" t="s">
        <v>8015</v>
      </c>
      <c r="H2811" s="2" t="s">
        <v>74</v>
      </c>
      <c r="I2811" s="2" t="s">
        <v>8016</v>
      </c>
      <c r="J2811" s="3" t="str">
        <f>HYPERLINK("https://www.boe.es/gazeta/dias/1810/10/25/pdfs/GEI-1810-86.pdf#page=5","Abrir facsímil")</f>
        <v>Abrir facsímil</v>
      </c>
      <c r="K2811" s="3" t="s">
        <v>76</v>
      </c>
    </row>
    <row r="2812" spans="1:11" ht="42" customHeight="1">
      <c r="A2812" s="2" t="s">
        <v>8017</v>
      </c>
      <c r="B2812" s="2" t="s">
        <v>8017</v>
      </c>
      <c r="C2812" s="2" t="s">
        <v>88</v>
      </c>
      <c r="D2812" s="2" t="s">
        <v>27</v>
      </c>
      <c r="E2812" s="4">
        <v>-32780</v>
      </c>
      <c r="F2812" s="3" t="s">
        <v>1295</v>
      </c>
      <c r="G2812" s="3" t="s">
        <v>1630</v>
      </c>
      <c r="H2812" s="2" t="s">
        <v>74</v>
      </c>
      <c r="I2812" s="2" t="s">
        <v>8018</v>
      </c>
      <c r="J2812" s="3" t="str">
        <f>HYPERLINK("https://www.boe.es/gazeta/dias/1810/04/01/pdfs/GMD-1810-91.pdf#page=2","Abrir facsímil")</f>
        <v>Abrir facsímil</v>
      </c>
      <c r="K2812" s="3" t="s">
        <v>76</v>
      </c>
    </row>
    <row r="2813" spans="1:11" ht="42" customHeight="1">
      <c r="A2813" s="2" t="s">
        <v>8019</v>
      </c>
      <c r="B2813" s="2" t="s">
        <v>8020</v>
      </c>
      <c r="C2813" s="2" t="s">
        <v>26</v>
      </c>
      <c r="D2813" s="2" t="s">
        <v>27</v>
      </c>
      <c r="E2813" s="4">
        <v>-32716</v>
      </c>
      <c r="F2813" s="3" t="s">
        <v>624</v>
      </c>
      <c r="G2813" s="3" t="s">
        <v>140</v>
      </c>
      <c r="H2813" s="2" t="s">
        <v>74</v>
      </c>
      <c r="I2813" s="2" t="s">
        <v>8021</v>
      </c>
      <c r="J2813" s="3" t="str">
        <f>HYPERLINK("https://www.boe.es/gazeta/dias/1810/06/04/pdfs/GMD-1810-155.pdf#page=4","Abrir facsímil")</f>
        <v>Abrir facsímil</v>
      </c>
      <c r="K2813" s="3" t="s">
        <v>76</v>
      </c>
    </row>
    <row r="2814" spans="1:11" ht="42" customHeight="1">
      <c r="A2814" s="2" t="s">
        <v>8022</v>
      </c>
      <c r="B2814" s="2" t="s">
        <v>8022</v>
      </c>
      <c r="C2814" s="2" t="s">
        <v>88</v>
      </c>
      <c r="D2814" s="2" t="s">
        <v>27</v>
      </c>
      <c r="E2814" s="4">
        <v>-32812</v>
      </c>
      <c r="F2814" s="3" t="s">
        <v>627</v>
      </c>
      <c r="G2814" s="3" t="s">
        <v>29</v>
      </c>
      <c r="H2814" s="2" t="s">
        <v>74</v>
      </c>
      <c r="I2814" s="2" t="s">
        <v>8023</v>
      </c>
      <c r="J2814" s="3" t="str">
        <f>HYPERLINK("https://www.boe.es/gazeta/dias/1810/02/28/pdfs/GMD-1810-59.pdf#page=2","Abrir facsímil")</f>
        <v>Abrir facsímil</v>
      </c>
      <c r="K2814" s="3" t="s">
        <v>76</v>
      </c>
    </row>
    <row r="2815" spans="1:11" ht="42" customHeight="1">
      <c r="A2815" s="2" t="s">
        <v>8024</v>
      </c>
      <c r="B2815" s="2" t="s">
        <v>8024</v>
      </c>
      <c r="C2815" s="2" t="s">
        <v>88</v>
      </c>
      <c r="D2815" s="2" t="s">
        <v>27</v>
      </c>
      <c r="E2815" s="4">
        <v>-32729</v>
      </c>
      <c r="F2815" s="3" t="s">
        <v>174</v>
      </c>
      <c r="G2815" s="3" t="s">
        <v>151</v>
      </c>
      <c r="H2815" s="2" t="s">
        <v>74</v>
      </c>
      <c r="I2815" s="2" t="s">
        <v>8025</v>
      </c>
      <c r="J2815" s="3" t="str">
        <f>HYPERLINK("https://www.boe.es/gazeta/dias/1810/05/22/pdfs/GEI-1810-28.pdf#page=12","Abrir facsímil")</f>
        <v>Abrir facsímil</v>
      </c>
      <c r="K2815" s="3" t="s">
        <v>76</v>
      </c>
    </row>
    <row r="2816" spans="1:11" ht="42" customHeight="1">
      <c r="A2816" s="2" t="s">
        <v>8026</v>
      </c>
      <c r="B2816" s="2" t="s">
        <v>8026</v>
      </c>
      <c r="C2816" s="2" t="s">
        <v>88</v>
      </c>
      <c r="D2816" s="2" t="s">
        <v>117</v>
      </c>
      <c r="E2816" s="4">
        <v>-32509</v>
      </c>
      <c r="F2816" s="3" t="s">
        <v>212</v>
      </c>
      <c r="G2816" s="3" t="s">
        <v>29</v>
      </c>
      <c r="H2816" s="2" t="s">
        <v>74</v>
      </c>
      <c r="I2816" s="2" t="s">
        <v>8027</v>
      </c>
      <c r="J2816" s="3" t="str">
        <f>HYPERLINK("https://www.boe.es/gazeta/dias/1810/12/28/pdfs/GMD-1810-362.pdf#page=3","Abrir facsímil")</f>
        <v>Abrir facsímil</v>
      </c>
      <c r="K2816" s="3" t="s">
        <v>76</v>
      </c>
    </row>
    <row r="2817" spans="1:11" ht="42" customHeight="1">
      <c r="A2817" s="2" t="s">
        <v>8028</v>
      </c>
      <c r="B2817" s="2" t="s">
        <v>8029</v>
      </c>
      <c r="C2817" s="2" t="s">
        <v>88</v>
      </c>
      <c r="D2817" s="2" t="s">
        <v>27</v>
      </c>
      <c r="E2817" s="4">
        <v>-32710</v>
      </c>
      <c r="F2817" s="3" t="s">
        <v>126</v>
      </c>
      <c r="G2817" s="3" t="s">
        <v>20</v>
      </c>
      <c r="H2817" s="2" t="s">
        <v>74</v>
      </c>
      <c r="I2817" s="2" t="s">
        <v>8030</v>
      </c>
      <c r="J2817" s="3" t="str">
        <f>HYPERLINK("https://www.boe.es/gazeta/dias/1810/06/10/pdfs/GMD-1810-161.pdf#page=4","Abrir facsímil")</f>
        <v>Abrir facsímil</v>
      </c>
      <c r="K2817" s="3" t="s">
        <v>76</v>
      </c>
    </row>
    <row r="2818" spans="1:11" ht="42" customHeight="1">
      <c r="A2818" s="2" t="s">
        <v>8031</v>
      </c>
      <c r="B2818" s="2" t="s">
        <v>8032</v>
      </c>
      <c r="C2818" s="2" t="s">
        <v>26</v>
      </c>
      <c r="D2818" s="2" t="s">
        <v>27</v>
      </c>
      <c r="E2818" s="4">
        <v>-32647</v>
      </c>
      <c r="F2818" s="3" t="s">
        <v>118</v>
      </c>
      <c r="G2818" s="3" t="s">
        <v>119</v>
      </c>
      <c r="H2818" s="2" t="s">
        <v>74</v>
      </c>
      <c r="I2818" s="2" t="s">
        <v>8033</v>
      </c>
      <c r="J2818" s="3" t="str">
        <f>HYPERLINK("https://www.boe.es/gazeta/dias/1810/08/12/pdfs/GMD-1810-224.pdf#page=3","Abrir facsímil")</f>
        <v>Abrir facsímil</v>
      </c>
      <c r="K2818" s="3" t="s">
        <v>76</v>
      </c>
    </row>
    <row r="2819" spans="1:11" ht="42" customHeight="1">
      <c r="A2819" s="2" t="s">
        <v>8034</v>
      </c>
      <c r="B2819" s="2" t="s">
        <v>8035</v>
      </c>
      <c r="C2819" s="2" t="s">
        <v>26</v>
      </c>
      <c r="D2819" s="2" t="s">
        <v>27</v>
      </c>
      <c r="E2819" s="4">
        <v>-32618</v>
      </c>
      <c r="F2819" s="3" t="s">
        <v>1501</v>
      </c>
      <c r="G2819" s="3" t="s">
        <v>20</v>
      </c>
      <c r="H2819" s="2" t="s">
        <v>21</v>
      </c>
      <c r="I2819" s="2" t="s">
        <v>8036</v>
      </c>
      <c r="J2819" s="3" t="str">
        <f>HYPERLINK("https://www.boe.es/gazeta/dias/1810/09/10/pdfs/GMD-1810-253.pdf#page=4","Abrir facsímil")</f>
        <v>Abrir facsímil</v>
      </c>
      <c r="K2819" s="3" t="s">
        <v>23</v>
      </c>
    </row>
    <row r="2820" spans="1:11" ht="42" customHeight="1">
      <c r="A2820" s="2" t="s">
        <v>8037</v>
      </c>
      <c r="B2820" s="2" t="s">
        <v>8038</v>
      </c>
      <c r="C2820" s="2" t="s">
        <v>17</v>
      </c>
      <c r="D2820" s="2" t="s">
        <v>27</v>
      </c>
      <c r="E2820" s="4">
        <v>-32869</v>
      </c>
      <c r="F2820" s="3" t="s">
        <v>5318</v>
      </c>
      <c r="G2820" s="3" t="s">
        <v>180</v>
      </c>
      <c r="H2820" s="2" t="s">
        <v>74</v>
      </c>
      <c r="I2820" s="2" t="s">
        <v>8039</v>
      </c>
      <c r="J2820" s="3" t="str">
        <f>HYPERLINK("https://www.boe.es/gazeta/dias/1810/01/02/pdfs/GGB-1810-1.pdf#page=7","Abrir facsímil")</f>
        <v>Abrir facsímil</v>
      </c>
      <c r="K2820" s="3" t="s">
        <v>76</v>
      </c>
    </row>
    <row r="2821" spans="1:11" ht="42" customHeight="1">
      <c r="A2821" s="2" t="s">
        <v>8040</v>
      </c>
      <c r="B2821" s="2" t="s">
        <v>8041</v>
      </c>
      <c r="C2821" s="2" t="s">
        <v>111</v>
      </c>
      <c r="D2821" s="2" t="s">
        <v>27</v>
      </c>
      <c r="E2821" s="4">
        <v>-32786</v>
      </c>
      <c r="F2821" s="3" t="s">
        <v>8042</v>
      </c>
      <c r="G2821" s="3" t="s">
        <v>3022</v>
      </c>
      <c r="H2821" s="2" t="s">
        <v>74</v>
      </c>
      <c r="I2821" s="2" t="s">
        <v>8043</v>
      </c>
      <c r="J2821" s="3" t="str">
        <f>HYPERLINK("https://www.boe.es/gazeta/dias/1810/03/26/pdfs/GMD-1810-85.pdf#page=1","Abrir facsímil")</f>
        <v>Abrir facsímil</v>
      </c>
      <c r="K2821" s="3" t="s">
        <v>76</v>
      </c>
    </row>
    <row r="2822" spans="1:11" ht="42" customHeight="1">
      <c r="A2822" s="2" t="s">
        <v>8044</v>
      </c>
      <c r="B2822" s="2" t="s">
        <v>8045</v>
      </c>
      <c r="C2822" s="2" t="s">
        <v>225</v>
      </c>
      <c r="D2822" s="2" t="s">
        <v>27</v>
      </c>
      <c r="E2822" s="4">
        <v>-32761</v>
      </c>
      <c r="F2822" s="3" t="s">
        <v>811</v>
      </c>
      <c r="G2822" s="3" t="s">
        <v>140</v>
      </c>
      <c r="H2822" s="2" t="s">
        <v>74</v>
      </c>
      <c r="I2822" s="2" t="s">
        <v>8046</v>
      </c>
      <c r="J2822" s="3" t="str">
        <f>HYPERLINK("https://www.boe.es/gazeta/dias/1810/04/20/pdfs/GEI-1810-16.pdf#page=8","Abrir facsímil")</f>
        <v>Abrir facsímil</v>
      </c>
      <c r="K2822" s="3" t="s">
        <v>76</v>
      </c>
    </row>
    <row r="2823" spans="1:11" ht="42" customHeight="1">
      <c r="A2823" s="2" t="s">
        <v>8047</v>
      </c>
      <c r="B2823" s="2" t="s">
        <v>8047</v>
      </c>
      <c r="C2823" s="2" t="s">
        <v>88</v>
      </c>
      <c r="D2823" s="2" t="s">
        <v>27</v>
      </c>
      <c r="E2823" s="4">
        <v>-32767</v>
      </c>
      <c r="F2823" s="3" t="s">
        <v>1265</v>
      </c>
      <c r="G2823" s="3" t="s">
        <v>235</v>
      </c>
      <c r="H2823" s="2" t="s">
        <v>74</v>
      </c>
      <c r="I2823" s="2" t="s">
        <v>8048</v>
      </c>
      <c r="J2823" s="3" t="str">
        <f>HYPERLINK("https://www.boe.es/gazeta/dias/1810/04/14/pdfs/GMD-1810-104.pdf#page=3","Abrir facsímil")</f>
        <v>Abrir facsímil</v>
      </c>
      <c r="K2823" s="3" t="s">
        <v>76</v>
      </c>
    </row>
    <row r="2824" spans="1:11" ht="42" customHeight="1">
      <c r="A2824" s="2" t="s">
        <v>8049</v>
      </c>
      <c r="B2824" s="2" t="s">
        <v>8050</v>
      </c>
      <c r="C2824" s="2" t="s">
        <v>88</v>
      </c>
      <c r="D2824" s="2" t="s">
        <v>27</v>
      </c>
      <c r="E2824" s="4">
        <v>-32534</v>
      </c>
      <c r="F2824" s="3" t="s">
        <v>2242</v>
      </c>
      <c r="G2824" s="3" t="s">
        <v>1722</v>
      </c>
      <c r="H2824" s="2" t="s">
        <v>74</v>
      </c>
      <c r="I2824" s="2" t="s">
        <v>8051</v>
      </c>
      <c r="J2824" s="3" t="str">
        <f>HYPERLINK("https://www.boe.es/gazeta/dias/1810/12/03/pdfs/GMD-1810-337.pdf#page=4","Abrir facsímil")</f>
        <v>Abrir facsímil</v>
      </c>
      <c r="K2824" s="3" t="s">
        <v>76</v>
      </c>
    </row>
    <row r="2825" spans="1:11" ht="42" customHeight="1">
      <c r="A2825" s="2" t="s">
        <v>8052</v>
      </c>
      <c r="B2825" s="2" t="s">
        <v>8052</v>
      </c>
      <c r="C2825" s="2" t="s">
        <v>88</v>
      </c>
      <c r="D2825" s="2" t="s">
        <v>27</v>
      </c>
      <c r="E2825" s="4">
        <v>-32544</v>
      </c>
      <c r="F2825" s="3" t="s">
        <v>1239</v>
      </c>
      <c r="G2825" s="3" t="s">
        <v>140</v>
      </c>
      <c r="H2825" s="2" t="s">
        <v>74</v>
      </c>
      <c r="I2825" s="2" t="s">
        <v>8053</v>
      </c>
      <c r="J2825" s="3" t="str">
        <f>HYPERLINK("https://www.boe.es/gazeta/dias/1810/11/23/pdfs/GMD-1810-327.pdf#page=1","Abrir facsímil")</f>
        <v>Abrir facsímil</v>
      </c>
      <c r="K2825" s="3" t="s">
        <v>76</v>
      </c>
    </row>
    <row r="2826" spans="1:11" ht="42" customHeight="1">
      <c r="A2826" s="2" t="s">
        <v>8054</v>
      </c>
      <c r="B2826" s="2" t="s">
        <v>8054</v>
      </c>
      <c r="C2826" s="2" t="s">
        <v>88</v>
      </c>
      <c r="D2826" s="2" t="s">
        <v>27</v>
      </c>
      <c r="E2826" s="4">
        <v>-32512</v>
      </c>
      <c r="F2826" s="3" t="s">
        <v>1920</v>
      </c>
      <c r="G2826" s="3" t="s">
        <v>131</v>
      </c>
      <c r="H2826" s="2" t="s">
        <v>74</v>
      </c>
      <c r="I2826" s="2" t="s">
        <v>8055</v>
      </c>
      <c r="J2826" s="3" t="str">
        <f>HYPERLINK("https://www.boe.es/gazeta/dias/1810/12/25/pdfs/GEI-1810-112.pdf#page=3","Abrir facsímil")</f>
        <v>Abrir facsímil</v>
      </c>
      <c r="K2826" s="3" t="s">
        <v>76</v>
      </c>
    </row>
    <row r="2827" spans="1:11" ht="42" customHeight="1">
      <c r="A2827" s="2" t="s">
        <v>8056</v>
      </c>
      <c r="B2827" s="2" t="s">
        <v>8056</v>
      </c>
      <c r="C2827" s="2" t="s">
        <v>33</v>
      </c>
      <c r="D2827" s="2" t="s">
        <v>220</v>
      </c>
      <c r="E2827" s="4">
        <v>-32867</v>
      </c>
      <c r="F2827" s="3" t="s">
        <v>712</v>
      </c>
      <c r="G2827" s="3" t="s">
        <v>29</v>
      </c>
      <c r="H2827" s="2" t="s">
        <v>74</v>
      </c>
      <c r="I2827" s="2" t="s">
        <v>8057</v>
      </c>
      <c r="J2827" s="3" t="str">
        <f>HYPERLINK("https://www.boe.es/gazeta/dias/1810/01/04/pdfs/GGB-1810-2.pdf#page=2","Abrir facsímil")</f>
        <v>Abrir facsímil</v>
      </c>
      <c r="K2827" s="3" t="s">
        <v>76</v>
      </c>
    </row>
    <row r="2828" spans="1:11" ht="42" customHeight="1">
      <c r="A2828" s="2" t="s">
        <v>8058</v>
      </c>
      <c r="B2828" s="2" t="s">
        <v>8059</v>
      </c>
      <c r="C2828" s="2" t="s">
        <v>26</v>
      </c>
      <c r="D2828" s="2" t="s">
        <v>39</v>
      </c>
      <c r="E2828" s="4">
        <v>-32661</v>
      </c>
      <c r="F2828" s="3" t="s">
        <v>157</v>
      </c>
      <c r="G2828" s="3" t="s">
        <v>592</v>
      </c>
      <c r="H2828" s="2" t="s">
        <v>74</v>
      </c>
      <c r="I2828" s="2" t="s">
        <v>8060</v>
      </c>
      <c r="J2828" s="3" t="str">
        <f>HYPERLINK("https://www.boe.es/gazeta/dias/1810/07/29/pdfs/GMD-C-1810-210.pdf#page=2","Abrir facsímil")</f>
        <v>Abrir facsímil</v>
      </c>
      <c r="K2828" s="3" t="s">
        <v>76</v>
      </c>
    </row>
    <row r="2829" spans="1:11" ht="42" customHeight="1">
      <c r="A2829" s="2" t="s">
        <v>8061</v>
      </c>
      <c r="B2829" s="2" t="s">
        <v>8061</v>
      </c>
      <c r="C2829" s="2" t="s">
        <v>88</v>
      </c>
      <c r="D2829" s="2" t="s">
        <v>18</v>
      </c>
      <c r="E2829" s="4">
        <v>-32687</v>
      </c>
      <c r="F2829" s="3" t="s">
        <v>221</v>
      </c>
      <c r="G2829" s="3" t="s">
        <v>20</v>
      </c>
      <c r="H2829" s="2" t="s">
        <v>74</v>
      </c>
      <c r="I2829" s="2" t="s">
        <v>8062</v>
      </c>
      <c r="J2829" s="3" t="str">
        <f>HYPERLINK("https://www.boe.es/gazeta/dias/1810/07/03/pdfs/GMD-1810-184.pdf#page=4","Abrir facsímil")</f>
        <v>Abrir facsímil</v>
      </c>
      <c r="K2829" s="3" t="s">
        <v>76</v>
      </c>
    </row>
    <row r="2830" spans="1:11" ht="42" customHeight="1">
      <c r="A2830" s="2" t="s">
        <v>8063</v>
      </c>
      <c r="B2830" s="2" t="s">
        <v>8063</v>
      </c>
      <c r="C2830" s="2" t="s">
        <v>88</v>
      </c>
      <c r="D2830" s="2" t="s">
        <v>27</v>
      </c>
      <c r="E2830" s="4">
        <v>-32534</v>
      </c>
      <c r="F2830" s="3" t="s">
        <v>2242</v>
      </c>
      <c r="G2830" s="3" t="s">
        <v>35</v>
      </c>
      <c r="H2830" s="2" t="s">
        <v>74</v>
      </c>
      <c r="I2830" s="2" t="s">
        <v>8064</v>
      </c>
      <c r="J2830" s="3" t="str">
        <f>HYPERLINK("https://www.boe.es/gazeta/dias/1810/12/03/pdfs/GMD-1810-337.pdf#page=2","Abrir facsímil")</f>
        <v>Abrir facsímil</v>
      </c>
      <c r="K2830" s="3" t="s">
        <v>76</v>
      </c>
    </row>
    <row r="2831" spans="1:11" ht="42" customHeight="1">
      <c r="A2831" s="2" t="s">
        <v>8065</v>
      </c>
      <c r="B2831" s="2" t="s">
        <v>8065</v>
      </c>
      <c r="C2831" s="2" t="s">
        <v>88</v>
      </c>
      <c r="D2831" s="2" t="s">
        <v>27</v>
      </c>
      <c r="E2831" s="4">
        <v>-32645</v>
      </c>
      <c r="F2831" s="3" t="s">
        <v>122</v>
      </c>
      <c r="G2831" s="3" t="s">
        <v>1540</v>
      </c>
      <c r="H2831" s="2" t="s">
        <v>74</v>
      </c>
      <c r="I2831" s="2" t="s">
        <v>8066</v>
      </c>
      <c r="J2831" s="3" t="str">
        <f>HYPERLINK("https://www.boe.es/gazeta/dias/1810/08/14/pdfs/GEI-1810-56.pdf#page=12","Abrir facsímil")</f>
        <v>Abrir facsímil</v>
      </c>
      <c r="K2831" s="3" t="s">
        <v>76</v>
      </c>
    </row>
    <row r="2832" spans="1:11" ht="42" customHeight="1">
      <c r="A2832" s="2" t="s">
        <v>8067</v>
      </c>
      <c r="B2832" s="2" t="s">
        <v>8068</v>
      </c>
      <c r="C2832" s="2" t="s">
        <v>26</v>
      </c>
      <c r="D2832" s="2" t="s">
        <v>27</v>
      </c>
      <c r="E2832" s="4">
        <v>-32527</v>
      </c>
      <c r="F2832" s="3" t="s">
        <v>8069</v>
      </c>
      <c r="G2832" s="3" t="s">
        <v>90</v>
      </c>
      <c r="H2832" s="2" t="s">
        <v>74</v>
      </c>
      <c r="I2832" s="2" t="s">
        <v>8070</v>
      </c>
      <c r="J2832" s="3" t="str">
        <f>HYPERLINK("https://www.boe.es/gazeta/dias/1810/12/10/pdfs/GMD-1810-344.pdf#page=4","Abrir facsímil")</f>
        <v>Abrir facsímil</v>
      </c>
      <c r="K2832" s="3" t="s">
        <v>76</v>
      </c>
    </row>
    <row r="2833" spans="1:11" ht="42" customHeight="1">
      <c r="A2833" s="2" t="s">
        <v>8071</v>
      </c>
      <c r="B2833" s="2" t="s">
        <v>8071</v>
      </c>
      <c r="C2833" s="2" t="s">
        <v>88</v>
      </c>
      <c r="D2833" s="2" t="s">
        <v>117</v>
      </c>
      <c r="E2833" s="4">
        <v>-32855</v>
      </c>
      <c r="F2833" s="3" t="s">
        <v>4239</v>
      </c>
      <c r="G2833" s="3" t="s">
        <v>291</v>
      </c>
      <c r="H2833" s="2" t="s">
        <v>74</v>
      </c>
      <c r="I2833" s="2" t="s">
        <v>8072</v>
      </c>
      <c r="J2833" s="3" t="str">
        <f>HYPERLINK("https://www.boe.es/gazeta/dias/1810/01/16/pdfs/GMD-1810-16.pdf#page=1","Abrir facsímil")</f>
        <v>Abrir facsímil</v>
      </c>
      <c r="K2833" s="3" t="s">
        <v>76</v>
      </c>
    </row>
    <row r="2834" spans="1:11" ht="42" customHeight="1">
      <c r="A2834" s="2" t="s">
        <v>8073</v>
      </c>
      <c r="B2834" s="2" t="s">
        <v>8073</v>
      </c>
      <c r="C2834" s="2" t="s">
        <v>111</v>
      </c>
      <c r="D2834" s="2" t="s">
        <v>27</v>
      </c>
      <c r="E2834" s="4">
        <v>-32866</v>
      </c>
      <c r="F2834" s="3" t="s">
        <v>6818</v>
      </c>
      <c r="G2834" s="3" t="s">
        <v>213</v>
      </c>
      <c r="H2834" s="2" t="s">
        <v>74</v>
      </c>
      <c r="I2834" s="2" t="s">
        <v>8074</v>
      </c>
      <c r="J2834" s="3" t="str">
        <f>HYPERLINK("https://www.boe.es/gazeta/dias/1810/01/05/pdfs/GMD-1810-5.pdf#page=2","Abrir facsímil")</f>
        <v>Abrir facsímil</v>
      </c>
      <c r="K2834" s="3" t="s">
        <v>76</v>
      </c>
    </row>
    <row r="2835" spans="1:11" ht="42" customHeight="1">
      <c r="A2835" s="2" t="s">
        <v>8075</v>
      </c>
      <c r="B2835" s="2" t="s">
        <v>8076</v>
      </c>
      <c r="C2835" s="2" t="s">
        <v>88</v>
      </c>
      <c r="D2835" s="2" t="s">
        <v>27</v>
      </c>
      <c r="E2835" s="4">
        <v>-32550</v>
      </c>
      <c r="F2835" s="3" t="s">
        <v>1472</v>
      </c>
      <c r="G2835" s="3" t="s">
        <v>1473</v>
      </c>
      <c r="H2835" s="2" t="s">
        <v>74</v>
      </c>
      <c r="I2835" s="2" t="s">
        <v>8077</v>
      </c>
      <c r="J2835" s="3" t="str">
        <f>HYPERLINK("https://www.boe.es/gazeta/dias/1810/11/17/pdfs/GEI-1810-96.pdf#page=8","Abrir facsímil")</f>
        <v>Abrir facsímil</v>
      </c>
      <c r="K2835" s="3" t="s">
        <v>76</v>
      </c>
    </row>
    <row r="2836" spans="1:11" ht="42" customHeight="1">
      <c r="A2836" s="2" t="s">
        <v>8078</v>
      </c>
      <c r="B2836" s="2" t="s">
        <v>8079</v>
      </c>
      <c r="C2836" s="2" t="s">
        <v>225</v>
      </c>
      <c r="D2836" s="2" t="s">
        <v>27</v>
      </c>
      <c r="E2836" s="4">
        <v>-32698</v>
      </c>
      <c r="F2836" s="3" t="s">
        <v>2705</v>
      </c>
      <c r="G2836" s="3" t="s">
        <v>2706</v>
      </c>
      <c r="H2836" s="2" t="s">
        <v>74</v>
      </c>
      <c r="I2836" s="2" t="s">
        <v>8080</v>
      </c>
      <c r="J2836" s="3" t="str">
        <f>HYPERLINK("https://www.boe.es/gazeta/dias/1810/06/22/pdfs/GEI-1810-38.pdf#page=8","Abrir facsímil")</f>
        <v>Abrir facsímil</v>
      </c>
      <c r="K2836" s="3" t="s">
        <v>76</v>
      </c>
    </row>
    <row r="2837" spans="1:11" ht="42" customHeight="1">
      <c r="A2837" s="2" t="s">
        <v>8081</v>
      </c>
      <c r="B2837" s="2" t="s">
        <v>8081</v>
      </c>
      <c r="C2837" s="2" t="s">
        <v>26</v>
      </c>
      <c r="D2837" s="2" t="s">
        <v>18</v>
      </c>
      <c r="E2837" s="4">
        <v>-32861</v>
      </c>
      <c r="F2837" s="3" t="s">
        <v>796</v>
      </c>
      <c r="G2837" s="3" t="s">
        <v>29</v>
      </c>
      <c r="H2837" s="2" t="s">
        <v>74</v>
      </c>
      <c r="I2837" s="2" t="s">
        <v>8082</v>
      </c>
      <c r="J2837" s="3" t="str">
        <f>HYPERLINK("https://www.boe.es/gazeta/dias/1810/01/10/pdfs/GMD-1810-10.pdf#page=2","Abrir facsímil")</f>
        <v>Abrir facsímil</v>
      </c>
      <c r="K2837" s="3" t="s">
        <v>76</v>
      </c>
    </row>
    <row r="2838" spans="1:11" ht="42" customHeight="1">
      <c r="A2838" s="2" t="s">
        <v>8081</v>
      </c>
      <c r="B2838" s="2" t="s">
        <v>8081</v>
      </c>
      <c r="C2838" s="2" t="s">
        <v>26</v>
      </c>
      <c r="D2838" s="2" t="s">
        <v>39</v>
      </c>
      <c r="E2838" s="4">
        <v>-32702</v>
      </c>
      <c r="F2838" s="3" t="s">
        <v>179</v>
      </c>
      <c r="G2838" s="3" t="s">
        <v>180</v>
      </c>
      <c r="H2838" s="2" t="s">
        <v>74</v>
      </c>
      <c r="I2838" s="2" t="s">
        <v>8083</v>
      </c>
      <c r="J2838" s="3" t="str">
        <f>HYPERLINK("https://www.boe.es/gazeta/dias/1810/06/18/pdfs/GMD-C-1810-169.pdf#page=2","Abrir facsímil")</f>
        <v>Abrir facsímil</v>
      </c>
      <c r="K2838" s="3" t="s">
        <v>76</v>
      </c>
    </row>
    <row r="2839" spans="1:11" ht="42" customHeight="1">
      <c r="A2839" s="2" t="s">
        <v>8081</v>
      </c>
      <c r="B2839" s="2" t="s">
        <v>8081</v>
      </c>
      <c r="C2839" s="2" t="s">
        <v>26</v>
      </c>
      <c r="D2839" s="2" t="s">
        <v>27</v>
      </c>
      <c r="E2839" s="4">
        <v>-32599</v>
      </c>
      <c r="F2839" s="3" t="s">
        <v>1586</v>
      </c>
      <c r="G2839" s="3" t="s">
        <v>140</v>
      </c>
      <c r="H2839" s="2" t="s">
        <v>74</v>
      </c>
      <c r="I2839" s="2" t="s">
        <v>8084</v>
      </c>
      <c r="J2839" s="3" t="str">
        <f>HYPERLINK("https://www.boe.es/gazeta/dias/1810/09/29/pdfs/GMD-1810-272.pdf#page=4","Abrir facsímil")</f>
        <v>Abrir facsímil</v>
      </c>
      <c r="K2839" s="3" t="s">
        <v>76</v>
      </c>
    </row>
    <row r="2840" spans="1:11" ht="42" customHeight="1">
      <c r="A2840" s="2" t="s">
        <v>8081</v>
      </c>
      <c r="B2840" s="2" t="s">
        <v>8081</v>
      </c>
      <c r="C2840" s="2" t="s">
        <v>88</v>
      </c>
      <c r="D2840" s="2" t="s">
        <v>117</v>
      </c>
      <c r="E2840" s="4">
        <v>-32596</v>
      </c>
      <c r="F2840" s="3" t="s">
        <v>1311</v>
      </c>
      <c r="G2840" s="3" t="s">
        <v>29</v>
      </c>
      <c r="H2840" s="2" t="s">
        <v>74</v>
      </c>
      <c r="I2840" s="2" t="s">
        <v>8085</v>
      </c>
      <c r="J2840" s="3" t="str">
        <f>HYPERLINK("https://www.boe.es/gazeta/dias/1810/10/02/pdfs/GMD-1810-275.pdf#page=4","Abrir facsímil")</f>
        <v>Abrir facsímil</v>
      </c>
      <c r="K2840" s="3" t="s">
        <v>76</v>
      </c>
    </row>
    <row r="2841" spans="1:11" ht="42" customHeight="1">
      <c r="A2841" s="2" t="s">
        <v>8081</v>
      </c>
      <c r="B2841" s="2" t="s">
        <v>8081</v>
      </c>
      <c r="C2841" s="2" t="s">
        <v>26</v>
      </c>
      <c r="D2841" s="2" t="s">
        <v>27</v>
      </c>
      <c r="E2841" s="4">
        <v>-32543</v>
      </c>
      <c r="F2841" s="3" t="s">
        <v>69</v>
      </c>
      <c r="G2841" s="3" t="s">
        <v>84</v>
      </c>
      <c r="H2841" s="2" t="s">
        <v>74</v>
      </c>
      <c r="I2841" s="2" t="s">
        <v>8086</v>
      </c>
      <c r="J2841" s="3" t="str">
        <f>HYPERLINK("https://www.boe.es/gazeta/dias/1810/11/24/pdfs/GEI-1810-99.pdf#page=7","Abrir facsímil")</f>
        <v>Abrir facsímil</v>
      </c>
      <c r="K2841" s="3" t="s">
        <v>76</v>
      </c>
    </row>
    <row r="2842" spans="1:11" ht="42" customHeight="1">
      <c r="A2842" s="2" t="s">
        <v>8087</v>
      </c>
      <c r="B2842" s="2" t="s">
        <v>8088</v>
      </c>
      <c r="C2842" s="2" t="s">
        <v>26</v>
      </c>
      <c r="D2842" s="2" t="s">
        <v>27</v>
      </c>
      <c r="E2842" s="4">
        <v>-32580</v>
      </c>
      <c r="F2842" s="3" t="s">
        <v>2508</v>
      </c>
      <c r="G2842" s="3" t="s">
        <v>3559</v>
      </c>
      <c r="H2842" s="2" t="s">
        <v>74</v>
      </c>
      <c r="I2842" s="2" t="s">
        <v>8089</v>
      </c>
      <c r="J2842" s="3" t="str">
        <f>HYPERLINK("https://www.boe.es/gazeta/dias/1810/10/18/pdfs/GEI-1810-83.pdf#page=8","Abrir facsímil")</f>
        <v>Abrir facsímil</v>
      </c>
      <c r="K2842" s="3" t="s">
        <v>76</v>
      </c>
    </row>
    <row r="2843" spans="1:11" ht="42" customHeight="1">
      <c r="A2843" s="2" t="s">
        <v>8090</v>
      </c>
      <c r="B2843" s="2" t="s">
        <v>8090</v>
      </c>
      <c r="C2843" s="2" t="s">
        <v>26</v>
      </c>
      <c r="D2843" s="2" t="s">
        <v>39</v>
      </c>
      <c r="E2843" s="4">
        <v>-32702</v>
      </c>
      <c r="F2843" s="3" t="s">
        <v>179</v>
      </c>
      <c r="G2843" s="3" t="s">
        <v>119</v>
      </c>
      <c r="H2843" s="2" t="s">
        <v>74</v>
      </c>
      <c r="I2843" s="2" t="s">
        <v>8091</v>
      </c>
      <c r="J2843" s="3" t="str">
        <f>HYPERLINK("https://www.boe.es/gazeta/dias/1810/06/18/pdfs/GMD-C-1810-169.pdf#page=1","Abrir facsímil")</f>
        <v>Abrir facsímil</v>
      </c>
      <c r="K2843" s="3" t="s">
        <v>76</v>
      </c>
    </row>
    <row r="2844" spans="1:11" ht="42" customHeight="1">
      <c r="A2844" s="2" t="s">
        <v>8092</v>
      </c>
      <c r="B2844" s="2" t="s">
        <v>8093</v>
      </c>
      <c r="C2844" s="2" t="s">
        <v>26</v>
      </c>
      <c r="D2844" s="2" t="s">
        <v>27</v>
      </c>
      <c r="E2844" s="4">
        <v>-32837</v>
      </c>
      <c r="F2844" s="3" t="s">
        <v>196</v>
      </c>
      <c r="G2844" s="3" t="s">
        <v>140</v>
      </c>
      <c r="H2844" s="2" t="s">
        <v>74</v>
      </c>
      <c r="I2844" s="2" t="s">
        <v>8094</v>
      </c>
      <c r="J2844" s="3" t="str">
        <f>HYPERLINK("https://www.boe.es/gazeta/dias/1810/02/03/pdfs/GMD-1810-34.pdf#page=4","Abrir facsímil")</f>
        <v>Abrir facsímil</v>
      </c>
      <c r="K2844" s="3" t="s">
        <v>76</v>
      </c>
    </row>
    <row r="2845" spans="1:11" ht="42" customHeight="1">
      <c r="A2845" s="2" t="s">
        <v>8095</v>
      </c>
      <c r="B2845" s="2" t="s">
        <v>8096</v>
      </c>
      <c r="C2845" s="2" t="s">
        <v>26</v>
      </c>
      <c r="D2845" s="2" t="s">
        <v>27</v>
      </c>
      <c r="E2845" s="4">
        <v>-32563</v>
      </c>
      <c r="F2845" s="3" t="s">
        <v>535</v>
      </c>
      <c r="G2845" s="3" t="s">
        <v>210</v>
      </c>
      <c r="H2845" s="2" t="s">
        <v>74</v>
      </c>
      <c r="I2845" s="2" t="s">
        <v>8097</v>
      </c>
      <c r="J2845" s="3" t="str">
        <f>HYPERLINK("https://www.boe.es/gazeta/dias/1810/11/04/pdfs/GMD-1810-308.pdf#page=18","Abrir facsímil")</f>
        <v>Abrir facsímil</v>
      </c>
      <c r="K2845" s="3" t="s">
        <v>76</v>
      </c>
    </row>
    <row r="2846" spans="1:11" ht="42" customHeight="1">
      <c r="A2846" s="2" t="s">
        <v>8098</v>
      </c>
      <c r="B2846" s="2" t="s">
        <v>8099</v>
      </c>
      <c r="C2846" s="2" t="s">
        <v>88</v>
      </c>
      <c r="D2846" s="2" t="s">
        <v>27</v>
      </c>
      <c r="E2846" s="4">
        <v>-32732</v>
      </c>
      <c r="F2846" s="3" t="s">
        <v>545</v>
      </c>
      <c r="G2846" s="3" t="s">
        <v>90</v>
      </c>
      <c r="H2846" s="2" t="s">
        <v>74</v>
      </c>
      <c r="I2846" s="2" t="s">
        <v>8100</v>
      </c>
      <c r="J2846" s="3" t="str">
        <f>HYPERLINK("https://www.boe.es/gazeta/dias/1810/05/19/pdfs/GMD-1810-139.pdf#page=4","Abrir facsímil")</f>
        <v>Abrir facsímil</v>
      </c>
      <c r="K2846" s="3" t="s">
        <v>76</v>
      </c>
    </row>
    <row r="2847" spans="1:11" ht="42" customHeight="1">
      <c r="A2847" s="2" t="s">
        <v>8101</v>
      </c>
      <c r="B2847" s="2" t="s">
        <v>8102</v>
      </c>
      <c r="C2847" s="2" t="s">
        <v>26</v>
      </c>
      <c r="D2847" s="2" t="s">
        <v>39</v>
      </c>
      <c r="E2847" s="4">
        <v>-32702</v>
      </c>
      <c r="F2847" s="3" t="s">
        <v>179</v>
      </c>
      <c r="G2847" s="3" t="s">
        <v>119</v>
      </c>
      <c r="H2847" s="2" t="s">
        <v>74</v>
      </c>
      <c r="I2847" s="2" t="s">
        <v>8103</v>
      </c>
      <c r="J2847" s="3" t="str">
        <f>HYPERLINK("https://www.boe.es/gazeta/dias/1810/06/18/pdfs/GMD-C-1810-169.pdf#page=1","Abrir facsímil")</f>
        <v>Abrir facsímil</v>
      </c>
      <c r="K2847" s="3" t="s">
        <v>76</v>
      </c>
    </row>
    <row r="2848" spans="1:11" ht="42" customHeight="1">
      <c r="A2848" s="2" t="s">
        <v>8104</v>
      </c>
      <c r="B2848" s="2" t="s">
        <v>8105</v>
      </c>
      <c r="C2848" s="2" t="s">
        <v>88</v>
      </c>
      <c r="D2848" s="2" t="s">
        <v>27</v>
      </c>
      <c r="E2848" s="4">
        <v>-32710</v>
      </c>
      <c r="F2848" s="3" t="s">
        <v>126</v>
      </c>
      <c r="G2848" s="3" t="s">
        <v>35</v>
      </c>
      <c r="H2848" s="2" t="s">
        <v>74</v>
      </c>
      <c r="I2848" s="2" t="s">
        <v>8106</v>
      </c>
      <c r="J2848" s="3" t="str">
        <f>HYPERLINK("https://www.boe.es/gazeta/dias/1810/06/10/pdfs/GMD-1810-161.pdf#page=2","Abrir facsímil")</f>
        <v>Abrir facsímil</v>
      </c>
      <c r="K2848" s="3" t="s">
        <v>76</v>
      </c>
    </row>
    <row r="2849" spans="1:11" ht="42" customHeight="1">
      <c r="A2849" s="2" t="s">
        <v>8107</v>
      </c>
      <c r="B2849" s="2" t="s">
        <v>8108</v>
      </c>
      <c r="C2849" s="2" t="s">
        <v>26</v>
      </c>
      <c r="D2849" s="2" t="s">
        <v>27</v>
      </c>
      <c r="E2849" s="4">
        <v>-32688</v>
      </c>
      <c r="F2849" s="3" t="s">
        <v>997</v>
      </c>
      <c r="G2849" s="3" t="s">
        <v>749</v>
      </c>
      <c r="H2849" s="2" t="s">
        <v>74</v>
      </c>
      <c r="I2849" s="2" t="s">
        <v>8109</v>
      </c>
      <c r="J2849" s="3" t="str">
        <f>HYPERLINK("https://www.boe.es/gazeta/dias/1810/07/02/pdfs/GMD-1810-183.pdf#page=4","Abrir facsímil")</f>
        <v>Abrir facsímil</v>
      </c>
      <c r="K2849" s="3" t="s">
        <v>76</v>
      </c>
    </row>
    <row r="2850" spans="1:11" ht="42" customHeight="1">
      <c r="A2850" s="2" t="s">
        <v>8110</v>
      </c>
      <c r="B2850" s="2" t="s">
        <v>8111</v>
      </c>
      <c r="C2850" s="2" t="s">
        <v>88</v>
      </c>
      <c r="D2850" s="2" t="s">
        <v>117</v>
      </c>
      <c r="E2850" s="4">
        <v>-32566</v>
      </c>
      <c r="F2850" s="3" t="s">
        <v>405</v>
      </c>
      <c r="G2850" s="3" t="s">
        <v>469</v>
      </c>
      <c r="H2850" s="2" t="s">
        <v>74</v>
      </c>
      <c r="I2850" s="2" t="s">
        <v>8112</v>
      </c>
      <c r="J2850" s="3" t="str">
        <f>HYPERLINK("https://www.boe.es/gazeta/dias/1810/11/01/pdfs/GMD-1810-305.pdf#page=2","Abrir facsímil")</f>
        <v>Abrir facsímil</v>
      </c>
      <c r="K2850" s="3" t="s">
        <v>76</v>
      </c>
    </row>
    <row r="2851" spans="1:11" ht="42" customHeight="1">
      <c r="A2851" s="2" t="s">
        <v>8113</v>
      </c>
      <c r="B2851" s="2" t="s">
        <v>8113</v>
      </c>
      <c r="C2851" s="2" t="s">
        <v>26</v>
      </c>
      <c r="D2851" s="2" t="s">
        <v>18</v>
      </c>
      <c r="E2851" s="4">
        <v>-32863</v>
      </c>
      <c r="F2851" s="3" t="s">
        <v>2391</v>
      </c>
      <c r="G2851" s="3" t="s">
        <v>180</v>
      </c>
      <c r="H2851" s="2" t="s">
        <v>74</v>
      </c>
      <c r="I2851" s="2" t="s">
        <v>8114</v>
      </c>
      <c r="J2851" s="3" t="str">
        <f>HYPERLINK("https://www.boe.es/gazeta/dias/1810/01/08/pdfs/GMD-1810-8.pdf#page=3","Abrir facsímil")</f>
        <v>Abrir facsímil</v>
      </c>
      <c r="K2851" s="3" t="s">
        <v>76</v>
      </c>
    </row>
    <row r="2852" spans="1:11" ht="42" customHeight="1">
      <c r="A2852" s="2" t="s">
        <v>8113</v>
      </c>
      <c r="B2852" s="2" t="s">
        <v>8113</v>
      </c>
      <c r="C2852" s="2" t="s">
        <v>88</v>
      </c>
      <c r="D2852" s="2" t="s">
        <v>27</v>
      </c>
      <c r="E2852" s="4">
        <v>-32833</v>
      </c>
      <c r="F2852" s="3" t="s">
        <v>1836</v>
      </c>
      <c r="G2852" s="3" t="s">
        <v>29</v>
      </c>
      <c r="H2852" s="2" t="s">
        <v>74</v>
      </c>
      <c r="I2852" s="2" t="s">
        <v>8115</v>
      </c>
      <c r="J2852" s="3" t="str">
        <f>HYPERLINK("https://www.boe.es/gazeta/dias/1810/02/07/pdfs/GMD-1810-38.pdf#page=3","Abrir facsímil")</f>
        <v>Abrir facsímil</v>
      </c>
      <c r="K2852" s="3" t="s">
        <v>76</v>
      </c>
    </row>
    <row r="2853" spans="1:11" ht="42" customHeight="1">
      <c r="A2853" s="2" t="s">
        <v>8113</v>
      </c>
      <c r="B2853" s="2" t="s">
        <v>8113</v>
      </c>
      <c r="C2853" s="2" t="s">
        <v>88</v>
      </c>
      <c r="D2853" s="2" t="s">
        <v>220</v>
      </c>
      <c r="E2853" s="4">
        <v>-32763</v>
      </c>
      <c r="F2853" s="3" t="s">
        <v>1146</v>
      </c>
      <c r="G2853" s="3" t="s">
        <v>140</v>
      </c>
      <c r="H2853" s="2" t="s">
        <v>74</v>
      </c>
      <c r="I2853" s="2" t="s">
        <v>8116</v>
      </c>
      <c r="J2853" s="3" t="str">
        <f>HYPERLINK("https://www.boe.es/gazeta/dias/1810/04/18/pdfs/GMD-1810-108.pdf#page=3","Abrir facsímil")</f>
        <v>Abrir facsímil</v>
      </c>
      <c r="K2853" s="3" t="s">
        <v>76</v>
      </c>
    </row>
    <row r="2854" spans="1:11" ht="42" customHeight="1">
      <c r="A2854" s="2" t="s">
        <v>8113</v>
      </c>
      <c r="B2854" s="2" t="s">
        <v>8113</v>
      </c>
      <c r="C2854" s="2" t="s">
        <v>88</v>
      </c>
      <c r="D2854" s="2" t="s">
        <v>117</v>
      </c>
      <c r="E2854" s="4">
        <v>-32631</v>
      </c>
      <c r="F2854" s="3" t="s">
        <v>2830</v>
      </c>
      <c r="G2854" s="3" t="s">
        <v>1347</v>
      </c>
      <c r="H2854" s="2" t="s">
        <v>74</v>
      </c>
      <c r="I2854" s="2" t="s">
        <v>8117</v>
      </c>
      <c r="J2854" s="3" t="str">
        <f>HYPERLINK("https://www.boe.es/gazeta/dias/1810/08/28/pdfs/GEI-D-1810-60.pdf#page=7","Abrir facsímil")</f>
        <v>Abrir facsímil</v>
      </c>
      <c r="K2854" s="3" t="s">
        <v>76</v>
      </c>
    </row>
    <row r="2855" spans="1:11" ht="42" customHeight="1">
      <c r="A2855" s="2" t="s">
        <v>8118</v>
      </c>
      <c r="B2855" s="2" t="s">
        <v>8119</v>
      </c>
      <c r="C2855" s="2" t="s">
        <v>88</v>
      </c>
      <c r="D2855" s="2" t="s">
        <v>27</v>
      </c>
      <c r="E2855" s="4">
        <v>-32708</v>
      </c>
      <c r="F2855" s="3" t="s">
        <v>654</v>
      </c>
      <c r="G2855" s="3" t="s">
        <v>8120</v>
      </c>
      <c r="H2855" s="2" t="s">
        <v>21</v>
      </c>
      <c r="I2855" s="2" t="s">
        <v>8121</v>
      </c>
      <c r="J2855" s="3" t="str">
        <f>HYPERLINK("https://www.boe.es/gazeta/dias/1810/06/12/pdfs/GEI-1810-35.pdf#page=7","Abrir facsímil")</f>
        <v>Abrir facsímil</v>
      </c>
      <c r="K2855" s="3" t="s">
        <v>23</v>
      </c>
    </row>
    <row r="2856" spans="1:11" ht="42" customHeight="1">
      <c r="A2856" s="2" t="s">
        <v>8122</v>
      </c>
      <c r="B2856" s="2" t="s">
        <v>8123</v>
      </c>
      <c r="C2856" s="2" t="s">
        <v>88</v>
      </c>
      <c r="D2856" s="2" t="s">
        <v>27</v>
      </c>
      <c r="E2856" s="4">
        <v>-32715</v>
      </c>
      <c r="F2856" s="3" t="s">
        <v>1029</v>
      </c>
      <c r="G2856" s="3" t="s">
        <v>180</v>
      </c>
      <c r="H2856" s="2" t="s">
        <v>21</v>
      </c>
      <c r="I2856" s="2" t="s">
        <v>8124</v>
      </c>
      <c r="J2856" s="3" t="str">
        <f>HYPERLINK("https://www.boe.es/gazeta/dias/1810/06/05/pdfs/GEI-1810-33.pdf#page=5","Abrir facsímil")</f>
        <v>Abrir facsímil</v>
      </c>
      <c r="K2856" s="3" t="s">
        <v>23</v>
      </c>
    </row>
    <row r="2857" spans="1:11" ht="42" customHeight="1">
      <c r="A2857" s="2" t="s">
        <v>8125</v>
      </c>
      <c r="B2857" s="2" t="s">
        <v>8126</v>
      </c>
      <c r="C2857" s="2" t="s">
        <v>88</v>
      </c>
      <c r="D2857" s="2" t="s">
        <v>117</v>
      </c>
      <c r="E2857" s="4">
        <v>-32597</v>
      </c>
      <c r="F2857" s="3" t="s">
        <v>2506</v>
      </c>
      <c r="G2857" s="3" t="s">
        <v>29</v>
      </c>
      <c r="H2857" s="2" t="s">
        <v>74</v>
      </c>
      <c r="I2857" s="2" t="s">
        <v>8127</v>
      </c>
      <c r="J2857" s="3" t="str">
        <f>HYPERLINK("https://www.boe.es/gazeta/dias/1810/10/01/pdfs/GMD-1810-274.pdf#page=4","Abrir facsímil")</f>
        <v>Abrir facsímil</v>
      </c>
      <c r="K2857" s="3" t="s">
        <v>76</v>
      </c>
    </row>
    <row r="2858" spans="1:11" ht="42" customHeight="1">
      <c r="A2858" s="2" t="s">
        <v>8128</v>
      </c>
      <c r="B2858" s="2" t="s">
        <v>8129</v>
      </c>
      <c r="C2858" s="2" t="s">
        <v>33</v>
      </c>
      <c r="D2858" s="2" t="s">
        <v>27</v>
      </c>
      <c r="E2858" s="4">
        <v>-32809</v>
      </c>
      <c r="F2858" s="3" t="s">
        <v>1873</v>
      </c>
      <c r="G2858" s="3" t="s">
        <v>735</v>
      </c>
      <c r="H2858" s="2" t="s">
        <v>74</v>
      </c>
      <c r="I2858" s="2" t="s">
        <v>8130</v>
      </c>
      <c r="J2858" s="3" t="str">
        <f>HYPERLINK("https://www.boe.es/gazeta/dias/1810/03/03/pdfs/GMD-1810-62.pdf#page=4","Abrir facsímil")</f>
        <v>Abrir facsímil</v>
      </c>
      <c r="K2858" s="3" t="s">
        <v>76</v>
      </c>
    </row>
    <row r="2859" spans="1:11" ht="42" customHeight="1">
      <c r="A2859" s="2" t="s">
        <v>8131</v>
      </c>
      <c r="B2859" s="2" t="s">
        <v>8132</v>
      </c>
      <c r="C2859" s="2" t="s">
        <v>88</v>
      </c>
      <c r="D2859" s="2" t="s">
        <v>117</v>
      </c>
      <c r="E2859" s="4">
        <v>-32645</v>
      </c>
      <c r="F2859" s="3" t="s">
        <v>122</v>
      </c>
      <c r="G2859" s="3" t="s">
        <v>588</v>
      </c>
      <c r="H2859" s="2" t="s">
        <v>74</v>
      </c>
      <c r="I2859" s="2" t="s">
        <v>8133</v>
      </c>
      <c r="J2859" s="3" t="str">
        <f>HYPERLINK("https://www.boe.es/gazeta/dias/1810/08/14/pdfs/GEI-1810-56.pdf#page=15","Abrir facsímil")</f>
        <v>Abrir facsímil</v>
      </c>
      <c r="K2859" s="3" t="s">
        <v>76</v>
      </c>
    </row>
    <row r="2860" spans="1:11" ht="42" customHeight="1">
      <c r="A2860" s="2" t="s">
        <v>8134</v>
      </c>
      <c r="B2860" s="2" t="s">
        <v>8135</v>
      </c>
      <c r="C2860" s="2" t="s">
        <v>33</v>
      </c>
      <c r="D2860" s="2" t="s">
        <v>39</v>
      </c>
      <c r="E2860" s="4">
        <v>-32661</v>
      </c>
      <c r="F2860" s="3" t="s">
        <v>157</v>
      </c>
      <c r="G2860" s="3" t="s">
        <v>158</v>
      </c>
      <c r="H2860" s="2" t="s">
        <v>74</v>
      </c>
      <c r="I2860" s="2" t="s">
        <v>8136</v>
      </c>
      <c r="J2860" s="3" t="str">
        <f>HYPERLINK("https://www.boe.es/gazeta/dias/1810/07/29/pdfs/GMD-C-1810-210.pdf#page=1","Abrir facsímil")</f>
        <v>Abrir facsímil</v>
      </c>
      <c r="K2860" s="3" t="s">
        <v>76</v>
      </c>
    </row>
    <row r="2861" spans="1:11" ht="42" customHeight="1">
      <c r="A2861" s="2" t="s">
        <v>8137</v>
      </c>
      <c r="B2861" s="2" t="s">
        <v>8137</v>
      </c>
      <c r="C2861" s="2" t="s">
        <v>26</v>
      </c>
      <c r="D2861" s="2" t="s">
        <v>27</v>
      </c>
      <c r="E2861" s="4">
        <v>-32730</v>
      </c>
      <c r="F2861" s="3" t="s">
        <v>50</v>
      </c>
      <c r="G2861" s="3" t="s">
        <v>180</v>
      </c>
      <c r="H2861" s="2" t="s">
        <v>74</v>
      </c>
      <c r="I2861" s="2" t="s">
        <v>8138</v>
      </c>
      <c r="J2861" s="3" t="str">
        <f>HYPERLINK("https://www.boe.es/gazeta/dias/1810/05/21/pdfs/GMD-1810-141.pdf#page=2","Abrir facsímil")</f>
        <v>Abrir facsímil</v>
      </c>
      <c r="K2861" s="3" t="s">
        <v>76</v>
      </c>
    </row>
    <row r="2862" spans="1:11" ht="42" customHeight="1">
      <c r="A2862" s="2" t="s">
        <v>8139</v>
      </c>
      <c r="B2862" s="2" t="s">
        <v>8139</v>
      </c>
      <c r="C2862" s="2" t="s">
        <v>225</v>
      </c>
      <c r="D2862" s="2" t="s">
        <v>117</v>
      </c>
      <c r="E2862" s="4">
        <v>-32695</v>
      </c>
      <c r="F2862" s="3" t="s">
        <v>1646</v>
      </c>
      <c r="G2862" s="3" t="s">
        <v>1647</v>
      </c>
      <c r="H2862" s="2" t="s">
        <v>74</v>
      </c>
      <c r="I2862" s="2" t="s">
        <v>8140</v>
      </c>
      <c r="J2862" s="3" t="str">
        <f>HYPERLINK("https://www.boe.es/gazeta/dias/1810/06/25/pdfs/GMD-1810-176.pdf#page=1","Abrir facsímil")</f>
        <v>Abrir facsímil</v>
      </c>
      <c r="K2862" s="3" t="s">
        <v>76</v>
      </c>
    </row>
    <row r="2863" spans="1:11" ht="42" customHeight="1">
      <c r="A2863" s="2" t="s">
        <v>8141</v>
      </c>
      <c r="B2863" s="2" t="s">
        <v>8142</v>
      </c>
      <c r="C2863" s="2" t="s">
        <v>88</v>
      </c>
      <c r="D2863" s="2" t="s">
        <v>117</v>
      </c>
      <c r="E2863" s="4">
        <v>-32842</v>
      </c>
      <c r="F2863" s="3" t="s">
        <v>1291</v>
      </c>
      <c r="G2863" s="3" t="s">
        <v>1292</v>
      </c>
      <c r="H2863" s="2" t="s">
        <v>74</v>
      </c>
      <c r="I2863" s="2" t="s">
        <v>8143</v>
      </c>
      <c r="J2863" s="3" t="str">
        <f>HYPERLINK("https://www.boe.es/gazeta/dias/1810/01/29/pdfs/GMD-1810-29.pdf#page=3","Abrir facsímil")</f>
        <v>Abrir facsímil</v>
      </c>
      <c r="K2863" s="3" t="s">
        <v>76</v>
      </c>
    </row>
    <row r="2864" spans="1:11" ht="42" customHeight="1">
      <c r="A2864" s="2" t="s">
        <v>8144</v>
      </c>
      <c r="B2864" s="2" t="s">
        <v>8145</v>
      </c>
      <c r="C2864" s="2" t="s">
        <v>111</v>
      </c>
      <c r="D2864" s="2" t="s">
        <v>27</v>
      </c>
      <c r="E2864" s="4">
        <v>-32607</v>
      </c>
      <c r="F2864" s="3" t="s">
        <v>6044</v>
      </c>
      <c r="G2864" s="3" t="s">
        <v>99</v>
      </c>
      <c r="H2864" s="2" t="s">
        <v>74</v>
      </c>
      <c r="I2864" s="2" t="s">
        <v>8146</v>
      </c>
      <c r="J2864" s="3" t="str">
        <f>HYPERLINK("https://www.boe.es/gazeta/dias/1810/09/21/pdfs/GMD-1810-264.pdf#page=3","Abrir facsímil")</f>
        <v>Abrir facsímil</v>
      </c>
      <c r="K2864" s="3" t="s">
        <v>76</v>
      </c>
    </row>
    <row r="2865" spans="1:11" ht="42" customHeight="1">
      <c r="A2865" s="2" t="s">
        <v>8144</v>
      </c>
      <c r="B2865" s="2" t="s">
        <v>8145</v>
      </c>
      <c r="C2865" s="2" t="s">
        <v>225</v>
      </c>
      <c r="D2865" s="2" t="s">
        <v>27</v>
      </c>
      <c r="E2865" s="4">
        <v>-32520</v>
      </c>
      <c r="F2865" s="3" t="s">
        <v>2109</v>
      </c>
      <c r="G2865" s="3" t="s">
        <v>2110</v>
      </c>
      <c r="H2865" s="2" t="s">
        <v>74</v>
      </c>
      <c r="I2865" s="2" t="s">
        <v>8147</v>
      </c>
      <c r="J2865" s="3" t="str">
        <f>HYPERLINK("https://www.boe.es/gazeta/dias/1810/12/17/pdfs/GMD-1810-351.pdf#page=2","Abrir facsímil")</f>
        <v>Abrir facsímil</v>
      </c>
      <c r="K2865" s="3" t="s">
        <v>76</v>
      </c>
    </row>
    <row r="2866" spans="1:11" ht="42" customHeight="1">
      <c r="A2866" s="2" t="s">
        <v>8148</v>
      </c>
      <c r="B2866" s="2" t="s">
        <v>8148</v>
      </c>
      <c r="C2866" s="2" t="s">
        <v>88</v>
      </c>
      <c r="D2866" s="2" t="s">
        <v>27</v>
      </c>
      <c r="E2866" s="4">
        <v>-32715</v>
      </c>
      <c r="F2866" s="3" t="s">
        <v>1029</v>
      </c>
      <c r="G2866" s="3" t="s">
        <v>180</v>
      </c>
      <c r="H2866" s="2" t="s">
        <v>74</v>
      </c>
      <c r="I2866" s="2" t="s">
        <v>8149</v>
      </c>
      <c r="J2866" s="3" t="str">
        <f>HYPERLINK("https://www.boe.es/gazeta/dias/1810/06/05/pdfs/GEI-1810-33.pdf#page=5","Abrir facsímil")</f>
        <v>Abrir facsímil</v>
      </c>
      <c r="K2866" s="3" t="s">
        <v>76</v>
      </c>
    </row>
    <row r="2867" spans="1:11" ht="42" customHeight="1">
      <c r="A2867" s="2" t="s">
        <v>8150</v>
      </c>
      <c r="B2867" s="2" t="s">
        <v>8150</v>
      </c>
      <c r="C2867" s="2" t="s">
        <v>17</v>
      </c>
      <c r="D2867" s="2" t="s">
        <v>27</v>
      </c>
      <c r="E2867" s="4">
        <v>-32695</v>
      </c>
      <c r="F2867" s="3" t="s">
        <v>1646</v>
      </c>
      <c r="G2867" s="3" t="s">
        <v>7532</v>
      </c>
      <c r="H2867" s="2" t="s">
        <v>74</v>
      </c>
      <c r="I2867" s="2" t="s">
        <v>8151</v>
      </c>
      <c r="J2867" s="3" t="str">
        <f>HYPERLINK("https://www.boe.es/gazeta/dias/1810/06/25/pdfs/GMD-1810-176.pdf#page=3","Abrir facsímil")</f>
        <v>Abrir facsímil</v>
      </c>
      <c r="K2867" s="3" t="s">
        <v>76</v>
      </c>
    </row>
    <row r="2868" spans="1:11" ht="42" customHeight="1">
      <c r="A2868" s="2" t="s">
        <v>8150</v>
      </c>
      <c r="B2868" s="2" t="s">
        <v>8150</v>
      </c>
      <c r="C2868" s="2" t="s">
        <v>88</v>
      </c>
      <c r="D2868" s="2" t="s">
        <v>117</v>
      </c>
      <c r="E2868" s="4">
        <v>-32578</v>
      </c>
      <c r="F2868" s="3" t="s">
        <v>2333</v>
      </c>
      <c r="G2868" s="3" t="s">
        <v>4095</v>
      </c>
      <c r="H2868" s="2" t="s">
        <v>74</v>
      </c>
      <c r="I2868" s="2" t="s">
        <v>8152</v>
      </c>
      <c r="J2868" s="3" t="str">
        <f>HYPERLINK("https://www.boe.es/gazeta/dias/1810/10/20/pdfs/GEI-1810-84.pdf#page=3","Abrir facsímil")</f>
        <v>Abrir facsímil</v>
      </c>
      <c r="K2868" s="3" t="s">
        <v>76</v>
      </c>
    </row>
    <row r="2869" spans="1:11" ht="42" customHeight="1">
      <c r="A2869" s="2" t="s">
        <v>8150</v>
      </c>
      <c r="B2869" s="2" t="s">
        <v>8150</v>
      </c>
      <c r="C2869" s="2" t="s">
        <v>88</v>
      </c>
      <c r="D2869" s="2" t="s">
        <v>117</v>
      </c>
      <c r="E2869" s="4">
        <v>-32575</v>
      </c>
      <c r="F2869" s="3" t="s">
        <v>135</v>
      </c>
      <c r="G2869" s="3" t="s">
        <v>3467</v>
      </c>
      <c r="H2869" s="2" t="s">
        <v>74</v>
      </c>
      <c r="I2869" s="2" t="s">
        <v>8153</v>
      </c>
      <c r="J2869" s="3" t="str">
        <f>HYPERLINK("https://www.boe.es/gazeta/dias/1810/10/23/pdfs/GEI-1810-85.pdf#page=2","Abrir facsímil")</f>
        <v>Abrir facsímil</v>
      </c>
      <c r="K2869" s="3" t="s">
        <v>76</v>
      </c>
    </row>
    <row r="2870" spans="1:11" ht="42" customHeight="1">
      <c r="A2870" s="2" t="s">
        <v>8154</v>
      </c>
      <c r="B2870" s="2" t="s">
        <v>8154</v>
      </c>
      <c r="C2870" s="2" t="s">
        <v>26</v>
      </c>
      <c r="D2870" s="2" t="s">
        <v>27</v>
      </c>
      <c r="E2870" s="4">
        <v>-32664</v>
      </c>
      <c r="F2870" s="3" t="s">
        <v>618</v>
      </c>
      <c r="G2870" s="3" t="s">
        <v>1985</v>
      </c>
      <c r="H2870" s="2" t="s">
        <v>74</v>
      </c>
      <c r="I2870" s="2" t="s">
        <v>8155</v>
      </c>
      <c r="J2870" s="3" t="str">
        <f>HYPERLINK("https://www.boe.es/gazeta/dias/1810/07/26/pdfs/GMD-1810-207.pdf#page=4","Abrir facsímil")</f>
        <v>Abrir facsímil</v>
      </c>
      <c r="K2870" s="3" t="s">
        <v>76</v>
      </c>
    </row>
    <row r="2871" spans="1:11" ht="42" customHeight="1">
      <c r="A2871" s="2" t="s">
        <v>8156</v>
      </c>
      <c r="B2871" s="2" t="s">
        <v>8157</v>
      </c>
      <c r="C2871" s="2" t="s">
        <v>88</v>
      </c>
      <c r="D2871" s="2" t="s">
        <v>117</v>
      </c>
      <c r="E2871" s="4">
        <v>-32684</v>
      </c>
      <c r="F2871" s="3" t="s">
        <v>1373</v>
      </c>
      <c r="G2871" s="3" t="s">
        <v>1142</v>
      </c>
      <c r="H2871" s="2" t="s">
        <v>74</v>
      </c>
      <c r="I2871" s="2" t="s">
        <v>8158</v>
      </c>
      <c r="J2871" s="3" t="str">
        <f>HYPERLINK("https://www.boe.es/gazeta/dias/1810/07/06/pdfs/GEI-1810-42.pdf#page=7","Abrir facsímil")</f>
        <v>Abrir facsímil</v>
      </c>
      <c r="K2871" s="3" t="s">
        <v>76</v>
      </c>
    </row>
    <row r="2872" spans="1:11" ht="42" customHeight="1">
      <c r="A2872" s="2" t="s">
        <v>8159</v>
      </c>
      <c r="B2872" s="2" t="s">
        <v>8159</v>
      </c>
      <c r="C2872" s="2" t="s">
        <v>88</v>
      </c>
      <c r="D2872" s="2" t="s">
        <v>117</v>
      </c>
      <c r="E2872" s="4">
        <v>-32580</v>
      </c>
      <c r="F2872" s="3" t="s">
        <v>2508</v>
      </c>
      <c r="G2872" s="3" t="s">
        <v>8160</v>
      </c>
      <c r="H2872" s="2" t="s">
        <v>74</v>
      </c>
      <c r="I2872" s="2" t="s">
        <v>8161</v>
      </c>
      <c r="J2872" s="3" t="str">
        <f>HYPERLINK("https://www.boe.es/gazeta/dias/1810/10/18/pdfs/GEI-1810-83.pdf#page=1","Abrir facsímil")</f>
        <v>Abrir facsímil</v>
      </c>
      <c r="K2872" s="3" t="s">
        <v>76</v>
      </c>
    </row>
    <row r="2873" spans="1:11" ht="42" customHeight="1">
      <c r="A2873" s="2" t="s">
        <v>8159</v>
      </c>
      <c r="B2873" s="2" t="s">
        <v>8159</v>
      </c>
      <c r="C2873" s="2" t="s">
        <v>88</v>
      </c>
      <c r="D2873" s="2" t="s">
        <v>27</v>
      </c>
      <c r="E2873" s="4">
        <v>-32524</v>
      </c>
      <c r="F2873" s="3" t="s">
        <v>281</v>
      </c>
      <c r="G2873" s="3" t="s">
        <v>29</v>
      </c>
      <c r="H2873" s="2" t="s">
        <v>74</v>
      </c>
      <c r="I2873" s="2" t="s">
        <v>8162</v>
      </c>
      <c r="J2873" s="3" t="str">
        <f>HYPERLINK("https://www.boe.es/gazeta/dias/1810/12/13/pdfs/GEI-1810-107.pdf#page=3","Abrir facsímil")</f>
        <v>Abrir facsímil</v>
      </c>
      <c r="K2873" s="3" t="s">
        <v>76</v>
      </c>
    </row>
    <row r="2874" spans="1:11" ht="42" customHeight="1">
      <c r="A2874" s="2" t="s">
        <v>8163</v>
      </c>
      <c r="B2874" s="2" t="s">
        <v>8164</v>
      </c>
      <c r="C2874" s="2" t="s">
        <v>26</v>
      </c>
      <c r="D2874" s="2" t="s">
        <v>27</v>
      </c>
      <c r="E2874" s="4">
        <v>-32552</v>
      </c>
      <c r="F2874" s="3" t="s">
        <v>8165</v>
      </c>
      <c r="G2874" s="3" t="s">
        <v>140</v>
      </c>
      <c r="H2874" s="2" t="s">
        <v>74</v>
      </c>
      <c r="I2874" s="2" t="s">
        <v>8166</v>
      </c>
      <c r="J2874" s="3" t="str">
        <f>HYPERLINK("https://www.boe.es/gazeta/dias/1810/11/15/pdfs/GEI-1810-95.pdf#page=4","Abrir facsímil")</f>
        <v>Abrir facsímil</v>
      </c>
      <c r="K2874" s="3" t="s">
        <v>76</v>
      </c>
    </row>
    <row r="2875" spans="1:11" ht="42" customHeight="1">
      <c r="A2875" s="2" t="s">
        <v>8167</v>
      </c>
      <c r="B2875" s="2" t="s">
        <v>8167</v>
      </c>
      <c r="C2875" s="2" t="s">
        <v>88</v>
      </c>
      <c r="D2875" s="2" t="s">
        <v>220</v>
      </c>
      <c r="E2875" s="4">
        <v>-32552</v>
      </c>
      <c r="F2875" s="3" t="s">
        <v>8165</v>
      </c>
      <c r="G2875" s="3" t="s">
        <v>140</v>
      </c>
      <c r="H2875" s="2" t="s">
        <v>74</v>
      </c>
      <c r="I2875" s="2" t="s">
        <v>8168</v>
      </c>
      <c r="J2875" s="3" t="str">
        <f>HYPERLINK("https://www.boe.es/gazeta/dias/1810/11/15/pdfs/GEI-1810-95.pdf#page=4","Abrir facsímil")</f>
        <v>Abrir facsímil</v>
      </c>
      <c r="K2875" s="3" t="s">
        <v>76</v>
      </c>
    </row>
    <row r="2876" spans="1:11" ht="42" customHeight="1">
      <c r="A2876" s="2" t="s">
        <v>8169</v>
      </c>
      <c r="B2876" s="2" t="s">
        <v>8170</v>
      </c>
      <c r="C2876" s="2" t="s">
        <v>88</v>
      </c>
      <c r="D2876" s="2" t="s">
        <v>27</v>
      </c>
      <c r="E2876" s="4">
        <v>-32713</v>
      </c>
      <c r="F2876" s="3" t="s">
        <v>959</v>
      </c>
      <c r="G2876" s="3" t="s">
        <v>960</v>
      </c>
      <c r="H2876" s="2" t="s">
        <v>74</v>
      </c>
      <c r="I2876" s="2" t="s">
        <v>8171</v>
      </c>
      <c r="J2876" s="3" t="str">
        <f>HYPERLINK("https://www.boe.es/gazeta/dias/1810/06/07/pdfs/GMD-1810-158.pdf#page=4","Abrir facsímil")</f>
        <v>Abrir facsímil</v>
      </c>
      <c r="K2876" s="3" t="s">
        <v>76</v>
      </c>
    </row>
    <row r="2877" spans="1:11" ht="42" customHeight="1">
      <c r="A2877" s="2" t="s">
        <v>8172</v>
      </c>
      <c r="B2877" s="2" t="s">
        <v>8173</v>
      </c>
      <c r="C2877" s="2" t="s">
        <v>26</v>
      </c>
      <c r="D2877" s="2" t="s">
        <v>27</v>
      </c>
      <c r="E2877" s="4">
        <v>-32761</v>
      </c>
      <c r="F2877" s="3" t="s">
        <v>811</v>
      </c>
      <c r="G2877" s="3" t="s">
        <v>140</v>
      </c>
      <c r="H2877" s="2" t="s">
        <v>74</v>
      </c>
      <c r="I2877" s="2" t="s">
        <v>8174</v>
      </c>
      <c r="J2877" s="3" t="str">
        <f>HYPERLINK("https://www.boe.es/gazeta/dias/1810/04/20/pdfs/GEI-1810-16.pdf#page=8","Abrir facsímil")</f>
        <v>Abrir facsímil</v>
      </c>
      <c r="K2877" s="3" t="s">
        <v>76</v>
      </c>
    </row>
    <row r="2878" spans="1:11" ht="42" customHeight="1">
      <c r="A2878" s="2" t="s">
        <v>8175</v>
      </c>
      <c r="B2878" s="2" t="s">
        <v>8176</v>
      </c>
      <c r="C2878" s="2" t="s">
        <v>88</v>
      </c>
      <c r="D2878" s="2" t="s">
        <v>117</v>
      </c>
      <c r="E2878" s="4">
        <v>-32697</v>
      </c>
      <c r="F2878" s="3" t="s">
        <v>1859</v>
      </c>
      <c r="G2878" s="3" t="s">
        <v>70</v>
      </c>
      <c r="H2878" s="2" t="s">
        <v>74</v>
      </c>
      <c r="I2878" s="2" t="s">
        <v>8177</v>
      </c>
      <c r="J2878" s="3" t="str">
        <f>HYPERLINK("https://www.boe.es/gazeta/dias/1810/06/23/pdfs/GMD-1810-174.pdf#page=4","Abrir facsímil")</f>
        <v>Abrir facsímil</v>
      </c>
      <c r="K2878" s="3" t="s">
        <v>76</v>
      </c>
    </row>
    <row r="2879" spans="1:11" ht="42" customHeight="1">
      <c r="A2879" s="2" t="s">
        <v>8178</v>
      </c>
      <c r="B2879" s="2" t="s">
        <v>8178</v>
      </c>
      <c r="C2879" s="2" t="s">
        <v>26</v>
      </c>
      <c r="D2879" s="2" t="s">
        <v>27</v>
      </c>
      <c r="E2879" s="4">
        <v>-32870</v>
      </c>
      <c r="F2879" s="3" t="s">
        <v>8179</v>
      </c>
      <c r="G2879" s="3" t="s">
        <v>29</v>
      </c>
      <c r="H2879" s="2" t="s">
        <v>74</v>
      </c>
      <c r="I2879" s="2" t="s">
        <v>8180</v>
      </c>
      <c r="J2879" s="3" t="str">
        <f>HYPERLINK("https://www.boe.es/gazeta/dias/1810/01/01/pdfs/GMD-1810-1.pdf#page=3","Abrir facsímil")</f>
        <v>Abrir facsímil</v>
      </c>
      <c r="K2879" s="3" t="s">
        <v>76</v>
      </c>
    </row>
    <row r="2880" spans="1:11" ht="42" customHeight="1">
      <c r="A2880" s="2" t="s">
        <v>8181</v>
      </c>
      <c r="B2880" s="2" t="s">
        <v>8181</v>
      </c>
      <c r="C2880" s="2" t="s">
        <v>88</v>
      </c>
      <c r="D2880" s="2" t="s">
        <v>117</v>
      </c>
      <c r="E2880" s="4">
        <v>-32557</v>
      </c>
      <c r="F2880" s="3" t="s">
        <v>8182</v>
      </c>
      <c r="G2880" s="3" t="s">
        <v>213</v>
      </c>
      <c r="H2880" s="2" t="s">
        <v>74</v>
      </c>
      <c r="I2880" s="2" t="s">
        <v>8183</v>
      </c>
      <c r="J2880" s="3" t="str">
        <f>HYPERLINK("https://www.boe.es/gazeta/dias/1810/11/10/pdfs/GMD-1810-314.pdf#page=4","Abrir facsímil")</f>
        <v>Abrir facsímil</v>
      </c>
      <c r="K2880" s="3" t="s">
        <v>76</v>
      </c>
    </row>
    <row r="2881" spans="1:11" ht="42" customHeight="1">
      <c r="A2881" s="2" t="s">
        <v>8184</v>
      </c>
      <c r="B2881" s="2" t="s">
        <v>8184</v>
      </c>
      <c r="C2881" s="2" t="s">
        <v>88</v>
      </c>
      <c r="D2881" s="2" t="s">
        <v>117</v>
      </c>
      <c r="E2881" s="4">
        <v>-32557</v>
      </c>
      <c r="F2881" s="3" t="s">
        <v>8182</v>
      </c>
      <c r="G2881" s="3" t="s">
        <v>213</v>
      </c>
      <c r="H2881" s="2" t="s">
        <v>74</v>
      </c>
      <c r="I2881" s="2" t="s">
        <v>8185</v>
      </c>
      <c r="J2881" s="3" t="str">
        <f>HYPERLINK("https://www.boe.es/gazeta/dias/1810/11/10/pdfs/GMD-1810-314.pdf#page=4","Abrir facsímil")</f>
        <v>Abrir facsímil</v>
      </c>
      <c r="K2881" s="3" t="s">
        <v>76</v>
      </c>
    </row>
    <row r="2882" spans="1:11" ht="42" customHeight="1">
      <c r="A2882" s="2" t="s">
        <v>8184</v>
      </c>
      <c r="B2882" s="2" t="s">
        <v>8184</v>
      </c>
      <c r="C2882" s="2" t="s">
        <v>88</v>
      </c>
      <c r="D2882" s="2" t="s">
        <v>27</v>
      </c>
      <c r="E2882" s="4">
        <v>-32545</v>
      </c>
      <c r="F2882" s="3" t="s">
        <v>2807</v>
      </c>
      <c r="G2882" s="3" t="s">
        <v>8186</v>
      </c>
      <c r="H2882" s="2" t="s">
        <v>74</v>
      </c>
      <c r="I2882" s="2" t="s">
        <v>8187</v>
      </c>
      <c r="J2882" s="3" t="str">
        <f>HYPERLINK("https://www.boe.es/gazeta/dias/1810/11/22/pdfs/GMD-1810-326.pdf#page=2","Abrir facsímil")</f>
        <v>Abrir facsímil</v>
      </c>
      <c r="K2882" s="3" t="s">
        <v>76</v>
      </c>
    </row>
    <row r="2883" spans="1:11" ht="42" customHeight="1">
      <c r="A2883" s="2" t="s">
        <v>8184</v>
      </c>
      <c r="B2883" s="2" t="s">
        <v>8184</v>
      </c>
      <c r="C2883" s="2" t="s">
        <v>88</v>
      </c>
      <c r="D2883" s="2" t="s">
        <v>117</v>
      </c>
      <c r="E2883" s="4">
        <v>-32519</v>
      </c>
      <c r="F2883" s="3" t="s">
        <v>2299</v>
      </c>
      <c r="G2883" s="3" t="s">
        <v>2739</v>
      </c>
      <c r="H2883" s="2" t="s">
        <v>74</v>
      </c>
      <c r="I2883" s="2" t="s">
        <v>8188</v>
      </c>
      <c r="J2883" s="3" t="str">
        <f>HYPERLINK("https://www.boe.es/gazeta/dias/1810/12/18/pdfs/GEI-1810-109.pdf#page=6","Abrir facsímil")</f>
        <v>Abrir facsímil</v>
      </c>
      <c r="K2883" s="3" t="s">
        <v>76</v>
      </c>
    </row>
    <row r="2884" spans="1:11" ht="42" customHeight="1">
      <c r="A2884" s="2" t="s">
        <v>8189</v>
      </c>
      <c r="B2884" s="2" t="s">
        <v>8190</v>
      </c>
      <c r="C2884" s="2" t="s">
        <v>26</v>
      </c>
      <c r="D2884" s="2" t="s">
        <v>18</v>
      </c>
      <c r="E2884" s="4">
        <v>-32601</v>
      </c>
      <c r="F2884" s="3" t="s">
        <v>392</v>
      </c>
      <c r="G2884" s="3" t="s">
        <v>1430</v>
      </c>
      <c r="H2884" s="2" t="s">
        <v>74</v>
      </c>
      <c r="I2884" s="2" t="s">
        <v>8191</v>
      </c>
      <c r="J2884" s="3" t="str">
        <f>HYPERLINK("https://www.boe.es/gazeta/dias/1810/09/27/pdfs/GEI-1810-74E.pdf#page=3","Abrir facsímil")</f>
        <v>Abrir facsímil</v>
      </c>
      <c r="K2884" s="3" t="s">
        <v>76</v>
      </c>
    </row>
    <row r="2885" spans="1:11" ht="42" customHeight="1">
      <c r="A2885" s="2" t="s">
        <v>8192</v>
      </c>
      <c r="B2885" s="2" t="s">
        <v>8193</v>
      </c>
      <c r="C2885" s="2" t="s">
        <v>26</v>
      </c>
      <c r="D2885" s="2" t="s">
        <v>27</v>
      </c>
      <c r="E2885" s="4">
        <v>-32720</v>
      </c>
      <c r="F2885" s="3" t="s">
        <v>3377</v>
      </c>
      <c r="G2885" s="3" t="s">
        <v>3378</v>
      </c>
      <c r="H2885" s="2" t="s">
        <v>74</v>
      </c>
      <c r="I2885" s="2" t="s">
        <v>8194</v>
      </c>
      <c r="J2885" s="3" t="str">
        <f>HYPERLINK("https://www.boe.es/gazeta/dias/1810/05/31/pdfs/GMD-1810-151.pdf#page=4","Abrir facsímil")</f>
        <v>Abrir facsímil</v>
      </c>
      <c r="K2885" s="3" t="s">
        <v>76</v>
      </c>
    </row>
    <row r="2886" spans="1:11" ht="42" customHeight="1">
      <c r="A2886" s="2" t="s">
        <v>8195</v>
      </c>
      <c r="B2886" s="2" t="s">
        <v>8196</v>
      </c>
      <c r="C2886" s="2" t="s">
        <v>317</v>
      </c>
      <c r="D2886" s="2" t="s">
        <v>27</v>
      </c>
      <c r="E2886" s="4">
        <v>-32718</v>
      </c>
      <c r="F2886" s="3" t="s">
        <v>2566</v>
      </c>
      <c r="G2886" s="3" t="s">
        <v>29</v>
      </c>
      <c r="H2886" s="2" t="s">
        <v>74</v>
      </c>
      <c r="I2886" s="2" t="s">
        <v>8197</v>
      </c>
      <c r="J2886" s="3" t="str">
        <f>HYPERLINK("https://www.boe.es/gazeta/dias/1810/06/02/pdfs/GMD-1810-153.pdf#page=4","Abrir facsímil")</f>
        <v>Abrir facsímil</v>
      </c>
      <c r="K2886" s="3" t="s">
        <v>76</v>
      </c>
    </row>
    <row r="2887" spans="1:11" ht="42" customHeight="1">
      <c r="A2887" s="2" t="s">
        <v>8198</v>
      </c>
      <c r="B2887" s="2" t="s">
        <v>8198</v>
      </c>
      <c r="C2887" s="2" t="s">
        <v>88</v>
      </c>
      <c r="D2887" s="2" t="s">
        <v>117</v>
      </c>
      <c r="E2887" s="4">
        <v>-32521</v>
      </c>
      <c r="F2887" s="3" t="s">
        <v>3569</v>
      </c>
      <c r="G2887" s="3" t="s">
        <v>291</v>
      </c>
      <c r="H2887" s="2" t="s">
        <v>74</v>
      </c>
      <c r="I2887" s="2" t="s">
        <v>8199</v>
      </c>
      <c r="J2887" s="3" t="str">
        <f>HYPERLINK("https://www.boe.es/gazeta/dias/1810/12/16/pdfs/GMD-1810-350.pdf#page=1","Abrir facsímil")</f>
        <v>Abrir facsímil</v>
      </c>
      <c r="K2887" s="3" t="s">
        <v>76</v>
      </c>
    </row>
    <row r="2888" spans="1:11" ht="42" customHeight="1">
      <c r="A2888" s="2" t="s">
        <v>8200</v>
      </c>
      <c r="B2888" s="2" t="s">
        <v>8201</v>
      </c>
      <c r="C2888" s="2" t="s">
        <v>26</v>
      </c>
      <c r="D2888" s="2" t="s">
        <v>27</v>
      </c>
      <c r="E2888" s="4">
        <v>-32684</v>
      </c>
      <c r="F2888" s="3" t="s">
        <v>1373</v>
      </c>
      <c r="G2888" s="3" t="s">
        <v>1374</v>
      </c>
      <c r="H2888" s="2" t="s">
        <v>74</v>
      </c>
      <c r="I2888" s="2" t="s">
        <v>8202</v>
      </c>
      <c r="J2888" s="3" t="str">
        <f>HYPERLINK("https://www.boe.es/gazeta/dias/1810/07/06/pdfs/GEI-1810-42.pdf#page=8","Abrir facsímil")</f>
        <v>Abrir facsímil</v>
      </c>
      <c r="K2888" s="3" t="s">
        <v>76</v>
      </c>
    </row>
    <row r="2889" spans="1:11" ht="42" customHeight="1">
      <c r="A2889" s="2" t="s">
        <v>8203</v>
      </c>
      <c r="B2889" s="2" t="s">
        <v>8204</v>
      </c>
      <c r="C2889" s="2" t="s">
        <v>26</v>
      </c>
      <c r="D2889" s="2" t="s">
        <v>27</v>
      </c>
      <c r="E2889" s="4">
        <v>-32659</v>
      </c>
      <c r="F2889" s="3" t="s">
        <v>328</v>
      </c>
      <c r="G2889" s="3" t="s">
        <v>119</v>
      </c>
      <c r="H2889" s="2" t="s">
        <v>74</v>
      </c>
      <c r="I2889" s="2" t="s">
        <v>8205</v>
      </c>
      <c r="J2889" s="3" t="str">
        <f>HYPERLINK("https://www.boe.es/gazeta/dias/1810/07/31/pdfs/GEI-1810-49.pdf#page=8","Abrir facsímil")</f>
        <v>Abrir facsímil</v>
      </c>
      <c r="K2889" s="3" t="s">
        <v>76</v>
      </c>
    </row>
    <row r="2890" spans="1:11" ht="42" customHeight="1">
      <c r="A2890" s="2" t="s">
        <v>8206</v>
      </c>
      <c r="B2890" s="2" t="s">
        <v>8207</v>
      </c>
      <c r="C2890" s="2" t="s">
        <v>26</v>
      </c>
      <c r="D2890" s="2" t="s">
        <v>27</v>
      </c>
      <c r="E2890" s="4">
        <v>-32647</v>
      </c>
      <c r="F2890" s="3" t="s">
        <v>118</v>
      </c>
      <c r="G2890" s="3" t="s">
        <v>140</v>
      </c>
      <c r="H2890" s="2" t="s">
        <v>74</v>
      </c>
      <c r="I2890" s="2" t="s">
        <v>8208</v>
      </c>
      <c r="J2890" s="3" t="str">
        <f>HYPERLINK("https://www.boe.es/gazeta/dias/1810/08/12/pdfs/GMD-1810-224.pdf#page=2","Abrir facsímil")</f>
        <v>Abrir facsímil</v>
      </c>
      <c r="K2890" s="3" t="s">
        <v>76</v>
      </c>
    </row>
    <row r="2891" spans="1:11" ht="42" customHeight="1">
      <c r="A2891" s="2" t="s">
        <v>8209</v>
      </c>
      <c r="B2891" s="2" t="s">
        <v>8210</v>
      </c>
      <c r="C2891" s="2" t="s">
        <v>88</v>
      </c>
      <c r="D2891" s="2" t="s">
        <v>18</v>
      </c>
      <c r="E2891" s="4">
        <v>-32728</v>
      </c>
      <c r="F2891" s="3" t="s">
        <v>269</v>
      </c>
      <c r="G2891" s="3" t="s">
        <v>119</v>
      </c>
      <c r="H2891" s="2" t="s">
        <v>74</v>
      </c>
      <c r="I2891" s="2" t="s">
        <v>8211</v>
      </c>
      <c r="J2891" s="3" t="str">
        <f>HYPERLINK("https://www.boe.es/gazeta/dias/1810/05/23/pdfs/GMD-1810-143.pdf#page=3","Abrir facsímil")</f>
        <v>Abrir facsímil</v>
      </c>
      <c r="K2891" s="3" t="s">
        <v>76</v>
      </c>
    </row>
    <row r="2892" spans="1:11" ht="42" customHeight="1">
      <c r="A2892" s="2" t="s">
        <v>8212</v>
      </c>
      <c r="B2892" s="2" t="s">
        <v>8212</v>
      </c>
      <c r="C2892" s="2" t="s">
        <v>88</v>
      </c>
      <c r="D2892" s="2" t="s">
        <v>117</v>
      </c>
      <c r="E2892" s="4">
        <v>-32749</v>
      </c>
      <c r="F2892" s="3" t="s">
        <v>2451</v>
      </c>
      <c r="G2892" s="3" t="s">
        <v>29</v>
      </c>
      <c r="H2892" s="2" t="s">
        <v>74</v>
      </c>
      <c r="I2892" s="2" t="s">
        <v>8213</v>
      </c>
      <c r="J2892" s="3" t="str">
        <f>HYPERLINK("https://www.boe.es/gazeta/dias/1810/05/02/pdfs/GEI-1810-20E.pdf#page=2","Abrir facsímil")</f>
        <v>Abrir facsímil</v>
      </c>
      <c r="K2892" s="3" t="s">
        <v>76</v>
      </c>
    </row>
    <row r="2893" spans="1:11" ht="42" customHeight="1">
      <c r="A2893" s="2" t="s">
        <v>8214</v>
      </c>
      <c r="B2893" s="2" t="s">
        <v>8215</v>
      </c>
      <c r="C2893" s="2" t="s">
        <v>26</v>
      </c>
      <c r="D2893" s="2" t="s">
        <v>27</v>
      </c>
      <c r="E2893" s="4">
        <v>-32647</v>
      </c>
      <c r="F2893" s="3" t="s">
        <v>118</v>
      </c>
      <c r="G2893" s="3" t="s">
        <v>20</v>
      </c>
      <c r="H2893" s="2" t="s">
        <v>74</v>
      </c>
      <c r="I2893" s="2" t="s">
        <v>8216</v>
      </c>
      <c r="J2893" s="3" t="str">
        <f>HYPERLINK("https://www.boe.es/gazeta/dias/1810/08/12/pdfs/GMD-1810-224.pdf#page=4","Abrir facsímil")</f>
        <v>Abrir facsímil</v>
      </c>
      <c r="K2893" s="3" t="s">
        <v>76</v>
      </c>
    </row>
    <row r="2894" spans="1:11" ht="42" customHeight="1">
      <c r="A2894" s="2" t="s">
        <v>8217</v>
      </c>
      <c r="B2894" s="2" t="s">
        <v>8217</v>
      </c>
      <c r="C2894" s="2" t="s">
        <v>88</v>
      </c>
      <c r="D2894" s="2" t="s">
        <v>117</v>
      </c>
      <c r="E2894" s="4">
        <v>-32727</v>
      </c>
      <c r="F2894" s="3" t="s">
        <v>1611</v>
      </c>
      <c r="G2894" s="3" t="s">
        <v>1644</v>
      </c>
      <c r="H2894" s="2" t="s">
        <v>74</v>
      </c>
      <c r="I2894" s="2" t="s">
        <v>8218</v>
      </c>
      <c r="J2894" s="3" t="str">
        <f>HYPERLINK("https://www.boe.es/gazeta/dias/1810/05/24/pdfs/GMD-1810-144.pdf#page=1","Abrir facsímil")</f>
        <v>Abrir facsímil</v>
      </c>
      <c r="K2894" s="3" t="s">
        <v>76</v>
      </c>
    </row>
    <row r="2895" spans="1:11" ht="42" customHeight="1">
      <c r="A2895" s="2" t="s">
        <v>8217</v>
      </c>
      <c r="B2895" s="2" t="s">
        <v>8217</v>
      </c>
      <c r="C2895" s="2" t="s">
        <v>88</v>
      </c>
      <c r="D2895" s="2" t="s">
        <v>117</v>
      </c>
      <c r="E2895" s="4">
        <v>-32712</v>
      </c>
      <c r="F2895" s="3" t="s">
        <v>6411</v>
      </c>
      <c r="G2895" s="3" t="s">
        <v>8219</v>
      </c>
      <c r="H2895" s="2" t="s">
        <v>74</v>
      </c>
      <c r="I2895" s="2" t="s">
        <v>8220</v>
      </c>
      <c r="J2895" s="3" t="str">
        <f>HYPERLINK("https://www.boe.es/gazeta/dias/1810/06/08/pdfs/GMD-1810-159.pdf#page=2","Abrir facsímil")</f>
        <v>Abrir facsímil</v>
      </c>
      <c r="K2895" s="3" t="s">
        <v>76</v>
      </c>
    </row>
    <row r="2896" spans="1:11" ht="42" customHeight="1">
      <c r="A2896" s="2" t="s">
        <v>8217</v>
      </c>
      <c r="B2896" s="2" t="s">
        <v>8217</v>
      </c>
      <c r="C2896" s="2" t="s">
        <v>88</v>
      </c>
      <c r="D2896" s="2" t="s">
        <v>27</v>
      </c>
      <c r="E2896" s="4">
        <v>-32673</v>
      </c>
      <c r="F2896" s="3" t="s">
        <v>472</v>
      </c>
      <c r="G2896" s="3" t="s">
        <v>35</v>
      </c>
      <c r="H2896" s="2" t="s">
        <v>74</v>
      </c>
      <c r="I2896" s="2" t="s">
        <v>8221</v>
      </c>
      <c r="J2896" s="3" t="str">
        <f>HYPERLINK("https://www.boe.es/gazeta/dias/1810/07/17/pdfs/GMD-1810-198.pdf#page=2","Abrir facsímil")</f>
        <v>Abrir facsímil</v>
      </c>
      <c r="K2896" s="3" t="s">
        <v>76</v>
      </c>
    </row>
    <row r="2897" spans="1:11" ht="42" customHeight="1">
      <c r="A2897" s="2" t="s">
        <v>8217</v>
      </c>
      <c r="B2897" s="2" t="s">
        <v>8217</v>
      </c>
      <c r="C2897" s="2" t="s">
        <v>225</v>
      </c>
      <c r="D2897" s="2" t="s">
        <v>117</v>
      </c>
      <c r="E2897" s="4">
        <v>-32587</v>
      </c>
      <c r="F2897" s="3" t="s">
        <v>1504</v>
      </c>
      <c r="G2897" s="3" t="s">
        <v>80</v>
      </c>
      <c r="H2897" s="2" t="s">
        <v>74</v>
      </c>
      <c r="I2897" s="2" t="s">
        <v>8222</v>
      </c>
      <c r="J2897" s="3" t="str">
        <f>HYPERLINK("https://www.boe.es/gazeta/dias/1810/10/11/pdfs/GMD-1810-284.pdf#page=1","Abrir facsímil")</f>
        <v>Abrir facsímil</v>
      </c>
      <c r="K2897" s="3" t="s">
        <v>76</v>
      </c>
    </row>
    <row r="2898" spans="1:11" ht="42" customHeight="1">
      <c r="A2898" s="2" t="s">
        <v>8223</v>
      </c>
      <c r="B2898" s="2" t="s">
        <v>8223</v>
      </c>
      <c r="C2898" s="2" t="s">
        <v>88</v>
      </c>
      <c r="D2898" s="2" t="s">
        <v>27</v>
      </c>
      <c r="E2898" s="4">
        <v>-32802</v>
      </c>
      <c r="F2898" s="3" t="s">
        <v>1075</v>
      </c>
      <c r="G2898" s="3" t="s">
        <v>35</v>
      </c>
      <c r="H2898" s="2" t="s">
        <v>74</v>
      </c>
      <c r="I2898" s="2" t="s">
        <v>8224</v>
      </c>
      <c r="J2898" s="3" t="str">
        <f>HYPERLINK("https://www.boe.es/gazeta/dias/1810/03/10/pdfs/GMD-1810-69.pdf#page=2","Abrir facsímil")</f>
        <v>Abrir facsímil</v>
      </c>
      <c r="K2898" s="3" t="s">
        <v>76</v>
      </c>
    </row>
    <row r="2899" spans="1:11" ht="42" customHeight="1">
      <c r="A2899" s="2" t="s">
        <v>8225</v>
      </c>
      <c r="B2899" s="2" t="s">
        <v>8226</v>
      </c>
      <c r="C2899" s="2" t="s">
        <v>88</v>
      </c>
      <c r="D2899" s="2" t="s">
        <v>117</v>
      </c>
      <c r="E2899" s="4">
        <v>-32697</v>
      </c>
      <c r="F2899" s="3" t="s">
        <v>1859</v>
      </c>
      <c r="G2899" s="3" t="s">
        <v>70</v>
      </c>
      <c r="H2899" s="2" t="s">
        <v>74</v>
      </c>
      <c r="I2899" s="2" t="s">
        <v>8227</v>
      </c>
      <c r="J2899" s="3" t="str">
        <f>HYPERLINK("https://www.boe.es/gazeta/dias/1810/06/23/pdfs/GMD-1810-174.pdf#page=4","Abrir facsímil")</f>
        <v>Abrir facsímil</v>
      </c>
      <c r="K2899" s="3" t="s">
        <v>76</v>
      </c>
    </row>
    <row r="2900" spans="1:11" ht="42" customHeight="1">
      <c r="A2900" s="2" t="s">
        <v>8228</v>
      </c>
      <c r="B2900" s="2" t="s">
        <v>8228</v>
      </c>
      <c r="C2900" s="2" t="s">
        <v>88</v>
      </c>
      <c r="D2900" s="2" t="s">
        <v>27</v>
      </c>
      <c r="E2900" s="4">
        <v>-32631</v>
      </c>
      <c r="F2900" s="3" t="s">
        <v>130</v>
      </c>
      <c r="G2900" s="3" t="s">
        <v>131</v>
      </c>
      <c r="H2900" s="2" t="s">
        <v>74</v>
      </c>
      <c r="I2900" s="2" t="s">
        <v>8229</v>
      </c>
      <c r="J2900" s="3" t="str">
        <f>HYPERLINK("https://www.boe.es/gazeta/dias/1810/08/28/pdfs/GEI-1810-60.pdf#page=6","Abrir facsímil")</f>
        <v>Abrir facsímil</v>
      </c>
      <c r="K2900" s="3" t="s">
        <v>76</v>
      </c>
    </row>
    <row r="2901" spans="1:11" ht="42" customHeight="1">
      <c r="A2901" s="2" t="s">
        <v>8230</v>
      </c>
      <c r="B2901" s="2" t="s">
        <v>8230</v>
      </c>
      <c r="C2901" s="2" t="s">
        <v>88</v>
      </c>
      <c r="D2901" s="2" t="s">
        <v>27</v>
      </c>
      <c r="E2901" s="4">
        <v>-32792</v>
      </c>
      <c r="F2901" s="3" t="s">
        <v>4405</v>
      </c>
      <c r="G2901" s="3" t="s">
        <v>119</v>
      </c>
      <c r="H2901" s="2" t="s">
        <v>74</v>
      </c>
      <c r="I2901" s="2" t="s">
        <v>8231</v>
      </c>
      <c r="J2901" s="3" t="str">
        <f>HYPERLINK("https://www.boe.es/gazeta/dias/1810/03/20/pdfs/GMD-1810-79.pdf#page=2","Abrir facsímil")</f>
        <v>Abrir facsímil</v>
      </c>
      <c r="K2901" s="3" t="s">
        <v>76</v>
      </c>
    </row>
    <row r="2902" spans="1:11" ht="42" customHeight="1">
      <c r="A2902" s="2" t="s">
        <v>8230</v>
      </c>
      <c r="B2902" s="2" t="s">
        <v>8230</v>
      </c>
      <c r="C2902" s="2" t="s">
        <v>88</v>
      </c>
      <c r="D2902" s="2" t="s">
        <v>117</v>
      </c>
      <c r="E2902" s="4">
        <v>-32752</v>
      </c>
      <c r="F2902" s="3" t="s">
        <v>601</v>
      </c>
      <c r="G2902" s="3" t="s">
        <v>668</v>
      </c>
      <c r="H2902" s="2" t="s">
        <v>74</v>
      </c>
      <c r="I2902" s="2" t="s">
        <v>8232</v>
      </c>
      <c r="J2902" s="3" t="str">
        <f>HYPERLINK("https://www.boe.es/gazeta/dias/1810/04/29/pdfs/GMD-1810-119.pdf#page=3","Abrir facsímil")</f>
        <v>Abrir facsímil</v>
      </c>
      <c r="K2902" s="3" t="s">
        <v>76</v>
      </c>
    </row>
    <row r="2903" spans="1:11" ht="42" customHeight="1">
      <c r="A2903" s="2" t="s">
        <v>8230</v>
      </c>
      <c r="B2903" s="2" t="s">
        <v>8230</v>
      </c>
      <c r="C2903" s="2" t="s">
        <v>88</v>
      </c>
      <c r="D2903" s="2" t="s">
        <v>117</v>
      </c>
      <c r="E2903" s="4">
        <v>-32751</v>
      </c>
      <c r="F2903" s="3" t="s">
        <v>1205</v>
      </c>
      <c r="G2903" s="3" t="s">
        <v>119</v>
      </c>
      <c r="H2903" s="2" t="s">
        <v>74</v>
      </c>
      <c r="I2903" s="2" t="s">
        <v>8233</v>
      </c>
      <c r="J2903" s="3" t="str">
        <f>HYPERLINK("https://www.boe.es/gazeta/dias/1810/04/30/pdfs/GMD-1810-120.pdf#page=2","Abrir facsímil")</f>
        <v>Abrir facsímil</v>
      </c>
      <c r="K2903" s="3" t="s">
        <v>76</v>
      </c>
    </row>
    <row r="2904" spans="1:11" ht="42" customHeight="1">
      <c r="A2904" s="2" t="s">
        <v>8234</v>
      </c>
      <c r="B2904" s="2" t="s">
        <v>8234</v>
      </c>
      <c r="C2904" s="2" t="s">
        <v>88</v>
      </c>
      <c r="D2904" s="2" t="s">
        <v>117</v>
      </c>
      <c r="E2904" s="4">
        <v>-32713</v>
      </c>
      <c r="F2904" s="3" t="s">
        <v>959</v>
      </c>
      <c r="G2904" s="3" t="s">
        <v>960</v>
      </c>
      <c r="H2904" s="2" t="s">
        <v>74</v>
      </c>
      <c r="I2904" s="2" t="s">
        <v>8235</v>
      </c>
      <c r="J2904" s="3" t="str">
        <f>HYPERLINK("https://www.boe.es/gazeta/dias/1810/06/07/pdfs/GMD-1810-158.pdf#page=4","Abrir facsímil")</f>
        <v>Abrir facsímil</v>
      </c>
      <c r="K2904" s="3" t="s">
        <v>76</v>
      </c>
    </row>
    <row r="2905" spans="1:11" ht="42" customHeight="1">
      <c r="A2905" s="2" t="s">
        <v>8236</v>
      </c>
      <c r="B2905" s="2" t="s">
        <v>8236</v>
      </c>
      <c r="C2905" s="2" t="s">
        <v>88</v>
      </c>
      <c r="D2905" s="2" t="s">
        <v>117</v>
      </c>
      <c r="E2905" s="4">
        <v>-32639</v>
      </c>
      <c r="F2905" s="3" t="s">
        <v>3411</v>
      </c>
      <c r="G2905" s="3" t="s">
        <v>8237</v>
      </c>
      <c r="H2905" s="2" t="s">
        <v>74</v>
      </c>
      <c r="I2905" s="2" t="s">
        <v>8238</v>
      </c>
      <c r="J2905" s="3" t="str">
        <f>HYPERLINK("https://www.boe.es/gazeta/dias/1810/08/20/pdfs/GMD-1810-232.pdf#page=2","Abrir facsímil")</f>
        <v>Abrir facsímil</v>
      </c>
      <c r="K2905" s="3" t="s">
        <v>76</v>
      </c>
    </row>
    <row r="2906" spans="1:11" ht="42" customHeight="1">
      <c r="A2906" s="2" t="s">
        <v>8239</v>
      </c>
      <c r="B2906" s="2" t="s">
        <v>8239</v>
      </c>
      <c r="C2906" s="2" t="s">
        <v>88</v>
      </c>
      <c r="D2906" s="2" t="s">
        <v>117</v>
      </c>
      <c r="E2906" s="4">
        <v>-32739</v>
      </c>
      <c r="F2906" s="3" t="s">
        <v>724</v>
      </c>
      <c r="G2906" s="3" t="s">
        <v>20</v>
      </c>
      <c r="H2906" s="2" t="s">
        <v>74</v>
      </c>
      <c r="I2906" s="2" t="s">
        <v>8240</v>
      </c>
      <c r="J2906" s="3" t="str">
        <f>HYPERLINK("https://www.boe.es/gazeta/dias/1810/05/12/pdfs/GMD-1810-132.pdf#page=4","Abrir facsímil")</f>
        <v>Abrir facsímil</v>
      </c>
      <c r="K2906" s="3" t="s">
        <v>76</v>
      </c>
    </row>
    <row r="2907" spans="1:11" ht="42" customHeight="1">
      <c r="A2907" s="2" t="s">
        <v>8239</v>
      </c>
      <c r="B2907" s="2" t="s">
        <v>8239</v>
      </c>
      <c r="C2907" s="2" t="s">
        <v>88</v>
      </c>
      <c r="D2907" s="2" t="s">
        <v>27</v>
      </c>
      <c r="E2907" s="4">
        <v>-32659</v>
      </c>
      <c r="F2907" s="3" t="s">
        <v>1684</v>
      </c>
      <c r="G2907" s="3" t="s">
        <v>8241</v>
      </c>
      <c r="H2907" s="2" t="s">
        <v>74</v>
      </c>
      <c r="I2907" s="2" t="s">
        <v>8242</v>
      </c>
      <c r="J2907" s="3" t="str">
        <f>HYPERLINK("https://www.boe.es/gazeta/dias/1810/07/31/pdfs/GMD-1810-212.pdf#page=2","Abrir facsímil")</f>
        <v>Abrir facsímil</v>
      </c>
      <c r="K2907" s="3" t="s">
        <v>76</v>
      </c>
    </row>
    <row r="2908" spans="1:11" ht="42" customHeight="1">
      <c r="A2908" s="2" t="s">
        <v>8243</v>
      </c>
      <c r="B2908" s="2" t="s">
        <v>8244</v>
      </c>
      <c r="C2908" s="2" t="s">
        <v>88</v>
      </c>
      <c r="D2908" s="2" t="s">
        <v>27</v>
      </c>
      <c r="E2908" s="4">
        <v>-32676</v>
      </c>
      <c r="F2908" s="3" t="s">
        <v>2863</v>
      </c>
      <c r="G2908" s="3" t="s">
        <v>592</v>
      </c>
      <c r="H2908" s="2" t="s">
        <v>74</v>
      </c>
      <c r="I2908" s="2" t="s">
        <v>8245</v>
      </c>
      <c r="J2908" s="3" t="str">
        <f>HYPERLINK("https://www.boe.es/gazeta/dias/1810/07/14/pdfs/GMD-1810-195.pdf#page=4","Abrir facsímil")</f>
        <v>Abrir facsímil</v>
      </c>
      <c r="K2908" s="3" t="s">
        <v>76</v>
      </c>
    </row>
    <row r="2909" spans="1:11" ht="42" customHeight="1">
      <c r="A2909" s="2" t="s">
        <v>8246</v>
      </c>
      <c r="B2909" s="2" t="s">
        <v>8247</v>
      </c>
      <c r="C2909" s="2" t="s">
        <v>317</v>
      </c>
      <c r="D2909" s="2" t="s">
        <v>27</v>
      </c>
      <c r="E2909" s="4">
        <v>-32514</v>
      </c>
      <c r="F2909" s="3" t="s">
        <v>3658</v>
      </c>
      <c r="G2909" s="3" t="s">
        <v>1222</v>
      </c>
      <c r="H2909" s="2" t="s">
        <v>74</v>
      </c>
      <c r="I2909" s="2" t="s">
        <v>8248</v>
      </c>
      <c r="J2909" s="3" t="str">
        <f>HYPERLINK("https://www.boe.es/gazeta/dias/1810/12/23/pdfs/GMD-1810-357.pdf#page=4","Abrir facsímil")</f>
        <v>Abrir facsímil</v>
      </c>
      <c r="K2909" s="3" t="s">
        <v>76</v>
      </c>
    </row>
    <row r="2910" spans="1:11" ht="42" customHeight="1">
      <c r="A2910" s="2" t="s">
        <v>8249</v>
      </c>
      <c r="B2910" s="2" t="s">
        <v>8250</v>
      </c>
      <c r="C2910" s="2" t="s">
        <v>317</v>
      </c>
      <c r="D2910" s="2" t="s">
        <v>27</v>
      </c>
      <c r="E2910" s="4">
        <v>-32649</v>
      </c>
      <c r="F2910" s="3" t="s">
        <v>1988</v>
      </c>
      <c r="G2910" s="3" t="s">
        <v>227</v>
      </c>
      <c r="H2910" s="2" t="s">
        <v>74</v>
      </c>
      <c r="I2910" s="2" t="s">
        <v>8251</v>
      </c>
      <c r="J2910" s="3" t="str">
        <f>HYPERLINK("https://www.boe.es/gazeta/dias/1810/08/10/pdfs/GMD-1810-222.pdf#page=4","Abrir facsímil")</f>
        <v>Abrir facsímil</v>
      </c>
      <c r="K2910" s="3" t="s">
        <v>76</v>
      </c>
    </row>
    <row r="2911" spans="1:11" ht="42" customHeight="1">
      <c r="A2911" s="2" t="s">
        <v>8252</v>
      </c>
      <c r="B2911" s="2" t="s">
        <v>8253</v>
      </c>
      <c r="C2911" s="2" t="s">
        <v>17</v>
      </c>
      <c r="D2911" s="2" t="s">
        <v>27</v>
      </c>
      <c r="E2911" s="4">
        <v>-32563</v>
      </c>
      <c r="F2911" s="3" t="s">
        <v>535</v>
      </c>
      <c r="G2911" s="3" t="s">
        <v>1590</v>
      </c>
      <c r="H2911" s="2" t="s">
        <v>74</v>
      </c>
      <c r="I2911" s="2" t="s">
        <v>8254</v>
      </c>
      <c r="J2911" s="3" t="str">
        <f>HYPERLINK("https://www.boe.es/gazeta/dias/1810/11/04/pdfs/GMD-1810-308.pdf#page=27","Abrir facsímil")</f>
        <v>Abrir facsímil</v>
      </c>
      <c r="K2911" s="3" t="s">
        <v>76</v>
      </c>
    </row>
    <row r="2912" spans="1:11" ht="42" customHeight="1">
      <c r="A2912" s="2" t="s">
        <v>8255</v>
      </c>
      <c r="B2912" s="2" t="s">
        <v>8256</v>
      </c>
      <c r="C2912" s="2" t="s">
        <v>88</v>
      </c>
      <c r="D2912" s="2" t="s">
        <v>58</v>
      </c>
      <c r="E2912" s="4">
        <v>-32651</v>
      </c>
      <c r="F2912" s="3" t="s">
        <v>59</v>
      </c>
      <c r="G2912" s="3" t="s">
        <v>2327</v>
      </c>
      <c r="H2912" s="2" t="s">
        <v>74</v>
      </c>
      <c r="I2912" s="2" t="s">
        <v>8257</v>
      </c>
      <c r="J2912" s="3" t="str">
        <f>HYPERLINK("https://www.boe.es/gazeta/dias/1810/08/08/pdfs/GEI-1810-53E.pdf#page=11","Abrir facsímil")</f>
        <v>Abrir facsímil</v>
      </c>
      <c r="K2912" s="3" t="s">
        <v>76</v>
      </c>
    </row>
    <row r="2913" spans="1:11" ht="42" customHeight="1">
      <c r="A2913" s="2" t="s">
        <v>8258</v>
      </c>
      <c r="B2913" s="2" t="s">
        <v>8259</v>
      </c>
      <c r="C2913" s="2" t="s">
        <v>33</v>
      </c>
      <c r="D2913" s="2" t="s">
        <v>27</v>
      </c>
      <c r="E2913" s="4">
        <v>-32784</v>
      </c>
      <c r="F2913" s="3" t="s">
        <v>429</v>
      </c>
      <c r="G2913" s="3" t="s">
        <v>131</v>
      </c>
      <c r="H2913" s="2" t="s">
        <v>74</v>
      </c>
      <c r="I2913" s="2" t="s">
        <v>8260</v>
      </c>
      <c r="J2913" s="3" t="str">
        <f>HYPERLINK("https://www.boe.es/gazeta/dias/1810/03/28/pdfs/GMD-1810-87.pdf#page=3","Abrir facsímil")</f>
        <v>Abrir facsímil</v>
      </c>
      <c r="K2913" s="3" t="s">
        <v>76</v>
      </c>
    </row>
    <row r="2914" spans="1:11" ht="42" customHeight="1">
      <c r="A2914" s="2" t="s">
        <v>8261</v>
      </c>
      <c r="B2914" s="2" t="s">
        <v>8262</v>
      </c>
      <c r="C2914" s="2" t="s">
        <v>33</v>
      </c>
      <c r="D2914" s="2" t="s">
        <v>27</v>
      </c>
      <c r="E2914" s="4">
        <v>-32544</v>
      </c>
      <c r="F2914" s="3" t="s">
        <v>1239</v>
      </c>
      <c r="G2914" s="3" t="s">
        <v>99</v>
      </c>
      <c r="H2914" s="2" t="s">
        <v>74</v>
      </c>
      <c r="I2914" s="2" t="s">
        <v>8263</v>
      </c>
      <c r="J2914" s="3" t="str">
        <f>HYPERLINK("https://www.boe.es/gazeta/dias/1810/11/23/pdfs/GMD-1810-327.pdf#page=3","Abrir facsímil")</f>
        <v>Abrir facsímil</v>
      </c>
      <c r="K2914" s="3" t="s">
        <v>76</v>
      </c>
    </row>
    <row r="2915" spans="1:11" ht="42" customHeight="1">
      <c r="A2915" s="2" t="s">
        <v>8264</v>
      </c>
      <c r="B2915" s="2" t="s">
        <v>8265</v>
      </c>
      <c r="C2915" s="2" t="s">
        <v>26</v>
      </c>
      <c r="D2915" s="2" t="s">
        <v>39</v>
      </c>
      <c r="E2915" s="4">
        <v>-32661</v>
      </c>
      <c r="F2915" s="3" t="s">
        <v>157</v>
      </c>
      <c r="G2915" s="3" t="s">
        <v>158</v>
      </c>
      <c r="H2915" s="2" t="s">
        <v>74</v>
      </c>
      <c r="I2915" s="2" t="s">
        <v>8266</v>
      </c>
      <c r="J2915" s="3" t="str">
        <f>HYPERLINK("https://www.boe.es/gazeta/dias/1810/07/29/pdfs/GMD-C-1810-210.pdf#page=1","Abrir facsímil")</f>
        <v>Abrir facsímil</v>
      </c>
      <c r="K2915" s="3" t="s">
        <v>76</v>
      </c>
    </row>
    <row r="2916" spans="1:11" ht="42" customHeight="1">
      <c r="A2916" s="2" t="s">
        <v>8267</v>
      </c>
      <c r="B2916" s="2" t="s">
        <v>8268</v>
      </c>
      <c r="C2916" s="2" t="s">
        <v>88</v>
      </c>
      <c r="D2916" s="2" t="s">
        <v>27</v>
      </c>
      <c r="E2916" s="4">
        <v>-32684</v>
      </c>
      <c r="F2916" s="3" t="s">
        <v>1373</v>
      </c>
      <c r="G2916" s="3" t="s">
        <v>227</v>
      </c>
      <c r="H2916" s="2" t="s">
        <v>74</v>
      </c>
      <c r="I2916" s="2" t="s">
        <v>8269</v>
      </c>
      <c r="J2916" s="3" t="str">
        <f>HYPERLINK("https://www.boe.es/gazeta/dias/1810/07/06/pdfs/GEI-1810-42.pdf#page=1","Abrir facsímil")</f>
        <v>Abrir facsímil</v>
      </c>
      <c r="K2916" s="3" t="s">
        <v>76</v>
      </c>
    </row>
    <row r="2917" spans="1:11" ht="42" customHeight="1">
      <c r="A2917" s="2" t="s">
        <v>8267</v>
      </c>
      <c r="B2917" s="2" t="s">
        <v>8268</v>
      </c>
      <c r="C2917" s="2" t="s">
        <v>26</v>
      </c>
      <c r="D2917" s="2" t="s">
        <v>27</v>
      </c>
      <c r="E2917" s="4">
        <v>-32561</v>
      </c>
      <c r="F2917" s="3" t="s">
        <v>273</v>
      </c>
      <c r="G2917" s="3" t="s">
        <v>5787</v>
      </c>
      <c r="H2917" s="2" t="s">
        <v>74</v>
      </c>
      <c r="I2917" s="2" t="s">
        <v>8270</v>
      </c>
      <c r="J2917" s="3" t="str">
        <f>HYPERLINK("https://www.boe.es/gazeta/dias/1810/11/06/pdfs/GEI-1810-91.pdf#page=4","Abrir facsímil")</f>
        <v>Abrir facsímil</v>
      </c>
      <c r="K2917" s="3" t="s">
        <v>76</v>
      </c>
    </row>
    <row r="2918" spans="1:11" ht="42" customHeight="1">
      <c r="A2918" s="2" t="s">
        <v>8271</v>
      </c>
      <c r="B2918" s="2" t="s">
        <v>8272</v>
      </c>
      <c r="C2918" s="2" t="s">
        <v>26</v>
      </c>
      <c r="D2918" s="2" t="s">
        <v>39</v>
      </c>
      <c r="E2918" s="4">
        <v>-32701</v>
      </c>
      <c r="F2918" s="3" t="s">
        <v>40</v>
      </c>
      <c r="G2918" s="3" t="s">
        <v>170</v>
      </c>
      <c r="H2918" s="2" t="s">
        <v>74</v>
      </c>
      <c r="I2918" s="2" t="s">
        <v>8273</v>
      </c>
      <c r="J2918" s="3" t="str">
        <f>HYPERLINK("https://www.boe.es/gazeta/dias/1810/06/19/pdfs/GMD-C-1810-170.pdf#page=1","Abrir facsímil")</f>
        <v>Abrir facsímil</v>
      </c>
      <c r="K2918" s="3" t="s">
        <v>76</v>
      </c>
    </row>
    <row r="2919" spans="1:11" ht="42" customHeight="1">
      <c r="A2919" s="2" t="s">
        <v>8274</v>
      </c>
      <c r="B2919" s="2" t="s">
        <v>8274</v>
      </c>
      <c r="C2919" s="2" t="s">
        <v>88</v>
      </c>
      <c r="D2919" s="2" t="s">
        <v>27</v>
      </c>
      <c r="E2919" s="4">
        <v>-32529</v>
      </c>
      <c r="F2919" s="3" t="s">
        <v>3700</v>
      </c>
      <c r="G2919" s="3" t="s">
        <v>213</v>
      </c>
      <c r="H2919" s="2" t="s">
        <v>74</v>
      </c>
      <c r="I2919" s="2" t="s">
        <v>8275</v>
      </c>
      <c r="J2919" s="3" t="str">
        <f>HYPERLINK("https://www.boe.es/gazeta/dias/1810/12/08/pdfs/GMD-1810-342.pdf#page=4","Abrir facsímil")</f>
        <v>Abrir facsímil</v>
      </c>
      <c r="K2919" s="3" t="s">
        <v>76</v>
      </c>
    </row>
    <row r="2920" spans="1:11" ht="42" customHeight="1">
      <c r="A2920" s="2" t="s">
        <v>8276</v>
      </c>
      <c r="B2920" s="2" t="s">
        <v>8277</v>
      </c>
      <c r="C2920" s="2" t="s">
        <v>26</v>
      </c>
      <c r="D2920" s="2" t="s">
        <v>27</v>
      </c>
      <c r="E2920" s="4">
        <v>-32710</v>
      </c>
      <c r="F2920" s="3" t="s">
        <v>126</v>
      </c>
      <c r="G2920" s="3" t="s">
        <v>184</v>
      </c>
      <c r="H2920" s="2" t="s">
        <v>74</v>
      </c>
      <c r="I2920" s="2" t="s">
        <v>8278</v>
      </c>
      <c r="J2920" s="3" t="str">
        <f>HYPERLINK("https://www.boe.es/gazeta/dias/1810/06/10/pdfs/GMD-1810-161.pdf#page=3","Abrir facsímil")</f>
        <v>Abrir facsímil</v>
      </c>
      <c r="K2920" s="3" t="s">
        <v>76</v>
      </c>
    </row>
    <row r="2921" spans="1:11" ht="42" customHeight="1">
      <c r="A2921" s="2" t="s">
        <v>8279</v>
      </c>
      <c r="B2921" s="2" t="s">
        <v>8279</v>
      </c>
      <c r="C2921" s="2" t="s">
        <v>88</v>
      </c>
      <c r="D2921" s="2" t="s">
        <v>117</v>
      </c>
      <c r="E2921" s="4">
        <v>-32751</v>
      </c>
      <c r="F2921" s="3" t="s">
        <v>1205</v>
      </c>
      <c r="G2921" s="3" t="s">
        <v>119</v>
      </c>
      <c r="H2921" s="2" t="s">
        <v>74</v>
      </c>
      <c r="I2921" s="2" t="s">
        <v>8280</v>
      </c>
      <c r="J2921" s="3" t="str">
        <f>HYPERLINK("https://www.boe.es/gazeta/dias/1810/04/30/pdfs/GMD-1810-120.pdf#page=2","Abrir facsímil")</f>
        <v>Abrir facsímil</v>
      </c>
      <c r="K2921" s="3" t="s">
        <v>76</v>
      </c>
    </row>
    <row r="2922" spans="1:11" ht="42" customHeight="1">
      <c r="A2922" s="2" t="s">
        <v>8279</v>
      </c>
      <c r="B2922" s="2" t="s">
        <v>8279</v>
      </c>
      <c r="C2922" s="2" t="s">
        <v>26</v>
      </c>
      <c r="D2922" s="2" t="s">
        <v>27</v>
      </c>
      <c r="E2922" s="4">
        <v>-32750</v>
      </c>
      <c r="F2922" s="3" t="s">
        <v>6507</v>
      </c>
      <c r="G2922" s="3" t="s">
        <v>140</v>
      </c>
      <c r="H2922" s="2" t="s">
        <v>74</v>
      </c>
      <c r="I2922" s="2" t="s">
        <v>8281</v>
      </c>
      <c r="J2922" s="3" t="str">
        <f>HYPERLINK("https://www.boe.es/gazeta/dias/1810/05/01/pdfs/GMD-1810-121.pdf#page=2","Abrir facsímil")</f>
        <v>Abrir facsímil</v>
      </c>
      <c r="K2922" s="3" t="s">
        <v>76</v>
      </c>
    </row>
    <row r="2923" spans="1:11" ht="42" customHeight="1">
      <c r="A2923" s="2" t="s">
        <v>8282</v>
      </c>
      <c r="B2923" s="2" t="s">
        <v>8282</v>
      </c>
      <c r="C2923" s="2" t="s">
        <v>88</v>
      </c>
      <c r="D2923" s="2" t="s">
        <v>27</v>
      </c>
      <c r="E2923" s="4">
        <v>-32842</v>
      </c>
      <c r="F2923" s="3" t="s">
        <v>1291</v>
      </c>
      <c r="G2923" s="3" t="s">
        <v>35</v>
      </c>
      <c r="H2923" s="2" t="s">
        <v>74</v>
      </c>
      <c r="I2923" s="2" t="s">
        <v>8283</v>
      </c>
      <c r="J2923" s="3" t="str">
        <f>HYPERLINK("https://www.boe.es/gazeta/dias/1810/01/29/pdfs/GMD-1810-29.pdf#page=2","Abrir facsímil")</f>
        <v>Abrir facsímil</v>
      </c>
      <c r="K2923" s="3" t="s">
        <v>76</v>
      </c>
    </row>
    <row r="2924" spans="1:11" ht="42" customHeight="1">
      <c r="A2924" s="2" t="s">
        <v>8284</v>
      </c>
      <c r="B2924" s="2" t="s">
        <v>8285</v>
      </c>
      <c r="C2924" s="2" t="s">
        <v>225</v>
      </c>
      <c r="D2924" s="2" t="s">
        <v>27</v>
      </c>
      <c r="E2924" s="4">
        <v>-32763</v>
      </c>
      <c r="F2924" s="3" t="s">
        <v>1146</v>
      </c>
      <c r="G2924" s="3" t="s">
        <v>20</v>
      </c>
      <c r="H2924" s="2" t="s">
        <v>74</v>
      </c>
      <c r="I2924" s="2" t="s">
        <v>8286</v>
      </c>
      <c r="J2924" s="3" t="str">
        <f>HYPERLINK("https://www.boe.es/gazeta/dias/1810/04/18/pdfs/GMD-1810-108.pdf#page=4","Abrir facsímil")</f>
        <v>Abrir facsímil</v>
      </c>
      <c r="K2924" s="3" t="s">
        <v>76</v>
      </c>
    </row>
    <row r="2925" spans="1:11" ht="42" customHeight="1">
      <c r="A2925" s="2" t="s">
        <v>8287</v>
      </c>
      <c r="B2925" s="2" t="s">
        <v>8287</v>
      </c>
      <c r="C2925" s="2" t="s">
        <v>88</v>
      </c>
      <c r="D2925" s="2" t="s">
        <v>27</v>
      </c>
      <c r="E2925" s="4">
        <v>-32535</v>
      </c>
      <c r="F2925" s="3" t="s">
        <v>3440</v>
      </c>
      <c r="G2925" s="3" t="s">
        <v>113</v>
      </c>
      <c r="H2925" s="2" t="s">
        <v>74</v>
      </c>
      <c r="I2925" s="2" t="s">
        <v>8288</v>
      </c>
      <c r="J2925" s="3" t="str">
        <f>HYPERLINK("https://www.boe.es/gazeta/dias/1810/12/02/pdfs/GMD-1810-336.pdf#page=3","Abrir facsímil")</f>
        <v>Abrir facsímil</v>
      </c>
      <c r="K2925" s="3" t="s">
        <v>76</v>
      </c>
    </row>
    <row r="2926" spans="1:11" ht="42" customHeight="1">
      <c r="A2926" s="2" t="s">
        <v>8289</v>
      </c>
      <c r="B2926" s="2" t="s">
        <v>8290</v>
      </c>
      <c r="C2926" s="2" t="s">
        <v>26</v>
      </c>
      <c r="D2926" s="2" t="s">
        <v>39</v>
      </c>
      <c r="E2926" s="4">
        <v>-32661</v>
      </c>
      <c r="F2926" s="3" t="s">
        <v>157</v>
      </c>
      <c r="G2926" s="3" t="s">
        <v>158</v>
      </c>
      <c r="H2926" s="2" t="s">
        <v>21</v>
      </c>
      <c r="I2926" s="2" t="s">
        <v>8291</v>
      </c>
      <c r="J2926" s="3" t="str">
        <f>HYPERLINK("https://www.boe.es/gazeta/dias/1810/07/29/pdfs/GMD-C-1810-210.pdf#page=1","Abrir facsímil")</f>
        <v>Abrir facsímil</v>
      </c>
      <c r="K2926" s="3" t="s">
        <v>23</v>
      </c>
    </row>
    <row r="2927" spans="1:11" ht="42" customHeight="1">
      <c r="A2927" s="2" t="s">
        <v>8292</v>
      </c>
      <c r="B2927" s="2" t="s">
        <v>8293</v>
      </c>
      <c r="C2927" s="2" t="s">
        <v>88</v>
      </c>
      <c r="D2927" s="2" t="s">
        <v>18</v>
      </c>
      <c r="E2927" s="4">
        <v>-32764</v>
      </c>
      <c r="F2927" s="3" t="s">
        <v>640</v>
      </c>
      <c r="G2927" s="3" t="s">
        <v>641</v>
      </c>
      <c r="H2927" s="2" t="s">
        <v>21</v>
      </c>
      <c r="I2927" s="2" t="s">
        <v>8294</v>
      </c>
      <c r="J2927" s="3" t="str">
        <f>HYPERLINK("https://www.boe.es/gazeta/dias/1810/04/17/pdfs/GEI-1810-15.pdf#page=8","Abrir facsímil")</f>
        <v>Abrir facsímil</v>
      </c>
      <c r="K2927" s="3" t="s">
        <v>23</v>
      </c>
    </row>
    <row r="2928" spans="1:11" ht="42" customHeight="1">
      <c r="A2928" s="2" t="s">
        <v>8295</v>
      </c>
      <c r="B2928" s="2" t="s">
        <v>8295</v>
      </c>
      <c r="C2928" s="2" t="s">
        <v>88</v>
      </c>
      <c r="D2928" s="2" t="s">
        <v>117</v>
      </c>
      <c r="E2928" s="4">
        <v>-32510</v>
      </c>
      <c r="F2928" s="3" t="s">
        <v>1955</v>
      </c>
      <c r="G2928" s="3" t="s">
        <v>8296</v>
      </c>
      <c r="H2928" s="2" t="s">
        <v>74</v>
      </c>
      <c r="I2928" s="2" t="s">
        <v>8297</v>
      </c>
      <c r="J2928" s="3" t="str">
        <f>HYPERLINK("https://www.boe.es/gazeta/dias/1810/12/27/pdfs/GEI-1810-113.pdf#page=1","Abrir facsímil")</f>
        <v>Abrir facsímil</v>
      </c>
      <c r="K2928" s="3" t="s">
        <v>76</v>
      </c>
    </row>
    <row r="2929" spans="1:11" ht="42" customHeight="1">
      <c r="A2929" s="2" t="s">
        <v>8298</v>
      </c>
      <c r="B2929" s="2" t="s">
        <v>8298</v>
      </c>
      <c r="C2929" s="2" t="s">
        <v>88</v>
      </c>
      <c r="D2929" s="2" t="s">
        <v>27</v>
      </c>
      <c r="E2929" s="4">
        <v>-32517</v>
      </c>
      <c r="F2929" s="3" t="s">
        <v>566</v>
      </c>
      <c r="G2929" s="3" t="s">
        <v>8299</v>
      </c>
      <c r="H2929" s="2" t="s">
        <v>74</v>
      </c>
      <c r="I2929" s="2" t="s">
        <v>8300</v>
      </c>
      <c r="J2929" s="3" t="str">
        <f>HYPERLINK("https://www.boe.es/gazeta/dias/1810/12/20/pdfs/GEI-1810-110.pdf#page=3","Abrir facsímil")</f>
        <v>Abrir facsímil</v>
      </c>
      <c r="K2929" s="3" t="s">
        <v>76</v>
      </c>
    </row>
    <row r="2930" spans="1:11" ht="42" customHeight="1">
      <c r="A2930" s="2" t="s">
        <v>8301</v>
      </c>
      <c r="B2930" s="2" t="s">
        <v>8301</v>
      </c>
      <c r="C2930" s="2" t="s">
        <v>88</v>
      </c>
      <c r="D2930" s="2" t="s">
        <v>117</v>
      </c>
      <c r="E2930" s="4">
        <v>-32639</v>
      </c>
      <c r="F2930" s="3" t="s">
        <v>3411</v>
      </c>
      <c r="G2930" s="3" t="s">
        <v>3412</v>
      </c>
      <c r="H2930" s="2" t="s">
        <v>74</v>
      </c>
      <c r="I2930" s="2" t="s">
        <v>8302</v>
      </c>
      <c r="J2930" s="3" t="str">
        <f>HYPERLINK("https://www.boe.es/gazeta/dias/1810/08/20/pdfs/GMD-1810-232.pdf#page=4","Abrir facsímil")</f>
        <v>Abrir facsímil</v>
      </c>
      <c r="K2930" s="3" t="s">
        <v>76</v>
      </c>
    </row>
    <row r="2931" spans="1:11" ht="42" customHeight="1">
      <c r="A2931" s="2" t="s">
        <v>8303</v>
      </c>
      <c r="B2931" s="2" t="s">
        <v>8304</v>
      </c>
      <c r="C2931" s="2" t="s">
        <v>26</v>
      </c>
      <c r="D2931" s="2" t="s">
        <v>27</v>
      </c>
      <c r="E2931" s="4">
        <v>-32624</v>
      </c>
      <c r="F2931" s="3" t="s">
        <v>2176</v>
      </c>
      <c r="G2931" s="3" t="s">
        <v>213</v>
      </c>
      <c r="H2931" s="2" t="s">
        <v>74</v>
      </c>
      <c r="I2931" s="2" t="s">
        <v>8305</v>
      </c>
      <c r="J2931" s="3" t="str">
        <f>HYPERLINK("https://www.boe.es/gazeta/dias/1810/09/04/pdfs/GEI-1810-64.pdf#page=7","Abrir facsímil")</f>
        <v>Abrir facsímil</v>
      </c>
      <c r="K2931" s="3" t="s">
        <v>76</v>
      </c>
    </row>
    <row r="2932" spans="1:11" ht="42" customHeight="1">
      <c r="A2932" s="2" t="s">
        <v>8306</v>
      </c>
      <c r="B2932" s="2" t="s">
        <v>8307</v>
      </c>
      <c r="C2932" s="2" t="s">
        <v>88</v>
      </c>
      <c r="D2932" s="2" t="s">
        <v>27</v>
      </c>
      <c r="E2932" s="4">
        <v>-32710</v>
      </c>
      <c r="F2932" s="3" t="s">
        <v>126</v>
      </c>
      <c r="G2932" s="3" t="s">
        <v>184</v>
      </c>
      <c r="H2932" s="2" t="s">
        <v>74</v>
      </c>
      <c r="I2932" s="2" t="s">
        <v>8308</v>
      </c>
      <c r="J2932" s="3" t="str">
        <f>HYPERLINK("https://www.boe.es/gazeta/dias/1810/06/10/pdfs/GMD-1810-161.pdf#page=3","Abrir facsímil")</f>
        <v>Abrir facsímil</v>
      </c>
      <c r="K2932" s="3" t="s">
        <v>76</v>
      </c>
    </row>
    <row r="2933" spans="1:11" ht="42" customHeight="1">
      <c r="A2933" s="2" t="s">
        <v>8309</v>
      </c>
      <c r="B2933" s="2" t="s">
        <v>8310</v>
      </c>
      <c r="C2933" s="2" t="s">
        <v>26</v>
      </c>
      <c r="D2933" s="2" t="s">
        <v>27</v>
      </c>
      <c r="E2933" s="4">
        <v>-32763</v>
      </c>
      <c r="F2933" s="3" t="s">
        <v>1146</v>
      </c>
      <c r="G2933" s="3" t="s">
        <v>20</v>
      </c>
      <c r="H2933" s="2" t="s">
        <v>74</v>
      </c>
      <c r="I2933" s="2" t="s">
        <v>8311</v>
      </c>
      <c r="J2933" s="3" t="str">
        <f>HYPERLINK("https://www.boe.es/gazeta/dias/1810/04/18/pdfs/GMD-1810-108.pdf#page=4","Abrir facsímil")</f>
        <v>Abrir facsímil</v>
      </c>
      <c r="K2933" s="3" t="s">
        <v>76</v>
      </c>
    </row>
    <row r="2934" spans="1:11" ht="42" customHeight="1">
      <c r="A2934" s="2" t="s">
        <v>8312</v>
      </c>
      <c r="B2934" s="2" t="s">
        <v>8313</v>
      </c>
      <c r="C2934" s="2" t="s">
        <v>225</v>
      </c>
      <c r="D2934" s="2" t="s">
        <v>27</v>
      </c>
      <c r="E2934" s="4">
        <v>-32784</v>
      </c>
      <c r="F2934" s="3" t="s">
        <v>429</v>
      </c>
      <c r="G2934" s="3" t="s">
        <v>131</v>
      </c>
      <c r="H2934" s="2" t="s">
        <v>74</v>
      </c>
      <c r="I2934" s="2" t="s">
        <v>8314</v>
      </c>
      <c r="J2934" s="3" t="str">
        <f>HYPERLINK("https://www.boe.es/gazeta/dias/1810/03/28/pdfs/GMD-1810-87.pdf#page=3","Abrir facsímil")</f>
        <v>Abrir facsímil</v>
      </c>
      <c r="K2934" s="3" t="s">
        <v>76</v>
      </c>
    </row>
    <row r="2935" spans="1:11" ht="42" customHeight="1">
      <c r="A2935" s="2" t="s">
        <v>8315</v>
      </c>
      <c r="B2935" s="2" t="s">
        <v>8315</v>
      </c>
      <c r="C2935" s="2" t="s">
        <v>26</v>
      </c>
      <c r="D2935" s="2" t="s">
        <v>27</v>
      </c>
      <c r="E2935" s="4">
        <v>-32677</v>
      </c>
      <c r="F2935" s="3" t="s">
        <v>1940</v>
      </c>
      <c r="G2935" s="3" t="s">
        <v>2828</v>
      </c>
      <c r="H2935" s="2" t="s">
        <v>74</v>
      </c>
      <c r="I2935" s="2" t="s">
        <v>8316</v>
      </c>
      <c r="J2935" s="3" t="str">
        <f>HYPERLINK("https://www.boe.es/gazeta/dias/1810/07/13/pdfs/GEI-1810-44.pdf#page=3","Abrir facsímil")</f>
        <v>Abrir facsímil</v>
      </c>
      <c r="K2935" s="3" t="s">
        <v>76</v>
      </c>
    </row>
    <row r="2936" spans="1:11" ht="42" customHeight="1">
      <c r="A2936" s="2" t="s">
        <v>8317</v>
      </c>
      <c r="B2936" s="2" t="s">
        <v>8317</v>
      </c>
      <c r="C2936" s="2" t="s">
        <v>88</v>
      </c>
      <c r="D2936" s="2" t="s">
        <v>27</v>
      </c>
      <c r="E2936" s="4">
        <v>-32838</v>
      </c>
      <c r="F2936" s="3" t="s">
        <v>7668</v>
      </c>
      <c r="G2936" s="3" t="s">
        <v>70</v>
      </c>
      <c r="H2936" s="2" t="s">
        <v>74</v>
      </c>
      <c r="I2936" s="2" t="s">
        <v>8318</v>
      </c>
      <c r="J2936" s="3" t="str">
        <f>HYPERLINK("https://www.boe.es/gazeta/dias/1810/02/02/pdfs/GMD-1810-33.pdf#page=3","Abrir facsímil")</f>
        <v>Abrir facsímil</v>
      </c>
      <c r="K2936" s="3" t="s">
        <v>76</v>
      </c>
    </row>
    <row r="2937" spans="1:11" ht="42" customHeight="1">
      <c r="A2937" s="2" t="s">
        <v>8319</v>
      </c>
      <c r="B2937" s="2" t="s">
        <v>8320</v>
      </c>
      <c r="C2937" s="2" t="s">
        <v>26</v>
      </c>
      <c r="D2937" s="2" t="s">
        <v>27</v>
      </c>
      <c r="E2937" s="4">
        <v>-32575</v>
      </c>
      <c r="F2937" s="3" t="s">
        <v>135</v>
      </c>
      <c r="G2937" s="3" t="s">
        <v>136</v>
      </c>
      <c r="H2937" s="2" t="s">
        <v>74</v>
      </c>
      <c r="I2937" s="2" t="s">
        <v>8321</v>
      </c>
      <c r="J2937" s="3" t="str">
        <f>HYPERLINK("https://www.boe.es/gazeta/dias/1810/10/23/pdfs/GEI-1810-85.pdf#page=11","Abrir facsímil")</f>
        <v>Abrir facsímil</v>
      </c>
      <c r="K2937" s="3" t="s">
        <v>76</v>
      </c>
    </row>
    <row r="2938" spans="1:11" ht="42" customHeight="1">
      <c r="A2938" s="2" t="s">
        <v>8322</v>
      </c>
      <c r="B2938" s="2" t="s">
        <v>8323</v>
      </c>
      <c r="C2938" s="2" t="s">
        <v>26</v>
      </c>
      <c r="D2938" s="2" t="s">
        <v>39</v>
      </c>
      <c r="E2938" s="4">
        <v>-32701</v>
      </c>
      <c r="F2938" s="3" t="s">
        <v>40</v>
      </c>
      <c r="G2938" s="3" t="s">
        <v>170</v>
      </c>
      <c r="H2938" s="2" t="s">
        <v>74</v>
      </c>
      <c r="I2938" s="2" t="s">
        <v>8324</v>
      </c>
      <c r="J2938" s="3" t="str">
        <f>HYPERLINK("https://www.boe.es/gazeta/dias/1810/06/19/pdfs/GMD-C-1810-170.pdf#page=1","Abrir facsímil")</f>
        <v>Abrir facsímil</v>
      </c>
      <c r="K2938" s="3" t="s">
        <v>76</v>
      </c>
    </row>
    <row r="2939" spans="1:11" ht="42" customHeight="1">
      <c r="A2939" s="2" t="s">
        <v>8325</v>
      </c>
      <c r="B2939" s="2" t="s">
        <v>8326</v>
      </c>
      <c r="C2939" s="2" t="s">
        <v>26</v>
      </c>
      <c r="D2939" s="2" t="s">
        <v>27</v>
      </c>
      <c r="E2939" s="4">
        <v>-32543</v>
      </c>
      <c r="F2939" s="3" t="s">
        <v>69</v>
      </c>
      <c r="G2939" s="3" t="s">
        <v>84</v>
      </c>
      <c r="H2939" s="2" t="s">
        <v>74</v>
      </c>
      <c r="I2939" s="2" t="s">
        <v>8327</v>
      </c>
      <c r="J2939" s="3" t="str">
        <f>HYPERLINK("https://www.boe.es/gazeta/dias/1810/11/24/pdfs/GEI-1810-99.pdf#page=7","Abrir facsímil")</f>
        <v>Abrir facsímil</v>
      </c>
      <c r="K2939" s="3" t="s">
        <v>76</v>
      </c>
    </row>
    <row r="2940" spans="1:11" ht="42" customHeight="1">
      <c r="A2940" s="2" t="s">
        <v>8328</v>
      </c>
      <c r="B2940" s="2" t="s">
        <v>8328</v>
      </c>
      <c r="C2940" s="2" t="s">
        <v>26</v>
      </c>
      <c r="D2940" s="2" t="s">
        <v>27</v>
      </c>
      <c r="E2940" s="4">
        <v>-32766</v>
      </c>
      <c r="F2940" s="3" t="s">
        <v>492</v>
      </c>
      <c r="G2940" s="3" t="s">
        <v>291</v>
      </c>
      <c r="H2940" s="2" t="s">
        <v>74</v>
      </c>
      <c r="I2940" s="2" t="s">
        <v>8329</v>
      </c>
      <c r="J2940" s="3" t="str">
        <f>HYPERLINK("https://www.boe.es/gazeta/dias/1810/04/15/pdfs/GMD-1810-105.pdf#page=2","Abrir facsímil")</f>
        <v>Abrir facsímil</v>
      </c>
      <c r="K2940" s="3" t="s">
        <v>76</v>
      </c>
    </row>
    <row r="2941" spans="1:11" ht="42" customHeight="1">
      <c r="A2941" s="2" t="s">
        <v>8330</v>
      </c>
      <c r="B2941" s="2" t="s">
        <v>8330</v>
      </c>
      <c r="C2941" s="2" t="s">
        <v>88</v>
      </c>
      <c r="D2941" s="2" t="s">
        <v>117</v>
      </c>
      <c r="E2941" s="4">
        <v>-32861</v>
      </c>
      <c r="F2941" s="3" t="s">
        <v>796</v>
      </c>
      <c r="G2941" s="3" t="s">
        <v>29</v>
      </c>
      <c r="H2941" s="2" t="s">
        <v>74</v>
      </c>
      <c r="I2941" s="2" t="s">
        <v>8331</v>
      </c>
      <c r="J2941" s="3" t="str">
        <f>HYPERLINK("https://www.boe.es/gazeta/dias/1810/01/10/pdfs/GMD-1810-10.pdf#page=2","Abrir facsímil")</f>
        <v>Abrir facsímil</v>
      </c>
      <c r="K2941" s="3" t="s">
        <v>76</v>
      </c>
    </row>
    <row r="2942" spans="1:11" ht="42" customHeight="1">
      <c r="A2942" s="2" t="s">
        <v>8330</v>
      </c>
      <c r="B2942" s="2" t="s">
        <v>8330</v>
      </c>
      <c r="C2942" s="2" t="s">
        <v>225</v>
      </c>
      <c r="D2942" s="2" t="s">
        <v>18</v>
      </c>
      <c r="E2942" s="4">
        <v>-32673</v>
      </c>
      <c r="F2942" s="3" t="s">
        <v>2174</v>
      </c>
      <c r="G2942" s="3" t="s">
        <v>5512</v>
      </c>
      <c r="H2942" s="2" t="s">
        <v>74</v>
      </c>
      <c r="I2942" s="2" t="s">
        <v>8332</v>
      </c>
      <c r="J2942" s="3" t="str">
        <f>HYPERLINK("https://www.boe.es/gazeta/dias/1810/07/17/pdfs/GEI-1810-45.pdf#page=12","Abrir facsímil")</f>
        <v>Abrir facsímil</v>
      </c>
      <c r="K2942" s="3" t="s">
        <v>76</v>
      </c>
    </row>
    <row r="2943" spans="1:11" ht="42" customHeight="1">
      <c r="A2943" s="2" t="s">
        <v>8330</v>
      </c>
      <c r="B2943" s="2" t="s">
        <v>8330</v>
      </c>
      <c r="C2943" s="2" t="s">
        <v>88</v>
      </c>
      <c r="D2943" s="2" t="s">
        <v>27</v>
      </c>
      <c r="E2943" s="4">
        <v>-32566</v>
      </c>
      <c r="F2943" s="3" t="s">
        <v>405</v>
      </c>
      <c r="G2943" s="3" t="s">
        <v>469</v>
      </c>
      <c r="H2943" s="2" t="s">
        <v>74</v>
      </c>
      <c r="I2943" s="2" t="s">
        <v>8333</v>
      </c>
      <c r="J2943" s="3" t="str">
        <f>HYPERLINK("https://www.boe.es/gazeta/dias/1810/11/01/pdfs/GMD-1810-305.pdf#page=2","Abrir facsímil")</f>
        <v>Abrir facsímil</v>
      </c>
      <c r="K2943" s="3" t="s">
        <v>76</v>
      </c>
    </row>
    <row r="2944" spans="1:11" ht="42" customHeight="1">
      <c r="A2944" s="2" t="s">
        <v>8334</v>
      </c>
      <c r="B2944" s="2" t="s">
        <v>8334</v>
      </c>
      <c r="C2944" s="2" t="s">
        <v>33</v>
      </c>
      <c r="D2944" s="2" t="s">
        <v>27</v>
      </c>
      <c r="E2944" s="4">
        <v>-32672</v>
      </c>
      <c r="F2944" s="3" t="s">
        <v>1663</v>
      </c>
      <c r="G2944" s="3" t="s">
        <v>119</v>
      </c>
      <c r="H2944" s="2" t="s">
        <v>74</v>
      </c>
      <c r="I2944" s="2" t="s">
        <v>8335</v>
      </c>
      <c r="J2944" s="3" t="str">
        <f>HYPERLINK("https://www.boe.es/gazeta/dias/1810/07/18/pdfs/GMD-1810-199.pdf#page=2","Abrir facsímil")</f>
        <v>Abrir facsímil</v>
      </c>
      <c r="K2944" s="3" t="s">
        <v>76</v>
      </c>
    </row>
    <row r="2945" spans="1:11" ht="42" customHeight="1">
      <c r="A2945" s="2" t="s">
        <v>8336</v>
      </c>
      <c r="B2945" s="2" t="s">
        <v>8336</v>
      </c>
      <c r="C2945" s="2" t="s">
        <v>26</v>
      </c>
      <c r="D2945" s="2" t="s">
        <v>18</v>
      </c>
      <c r="E2945" s="4">
        <v>-32809</v>
      </c>
      <c r="F2945" s="3" t="s">
        <v>1873</v>
      </c>
      <c r="G2945" s="3" t="s">
        <v>735</v>
      </c>
      <c r="H2945" s="2" t="s">
        <v>74</v>
      </c>
      <c r="I2945" s="2" t="s">
        <v>8337</v>
      </c>
      <c r="J2945" s="3" t="str">
        <f>HYPERLINK("https://www.boe.es/gazeta/dias/1810/03/03/pdfs/GMD-1810-62.pdf#page=4","Abrir facsímil")</f>
        <v>Abrir facsímil</v>
      </c>
      <c r="K2945" s="3" t="s">
        <v>76</v>
      </c>
    </row>
    <row r="2946" spans="1:11" ht="42" customHeight="1">
      <c r="A2946" s="2" t="s">
        <v>8338</v>
      </c>
      <c r="B2946" s="2" t="s">
        <v>8339</v>
      </c>
      <c r="C2946" s="2" t="s">
        <v>88</v>
      </c>
      <c r="D2946" s="2" t="s">
        <v>117</v>
      </c>
      <c r="E2946" s="4">
        <v>-32642</v>
      </c>
      <c r="F2946" s="3" t="s">
        <v>2273</v>
      </c>
      <c r="G2946" s="3" t="s">
        <v>191</v>
      </c>
      <c r="H2946" s="2" t="s">
        <v>74</v>
      </c>
      <c r="I2946" s="2" t="s">
        <v>8340</v>
      </c>
      <c r="J2946" s="3" t="str">
        <f>HYPERLINK("https://www.boe.es/gazeta/dias/1810/08/17/pdfs/GEI-D-1810-57.pdf#page=5","Abrir facsímil")</f>
        <v>Abrir facsímil</v>
      </c>
      <c r="K2946" s="3" t="s">
        <v>76</v>
      </c>
    </row>
    <row r="2947" spans="1:11" ht="42" customHeight="1">
      <c r="A2947" s="2" t="s">
        <v>8341</v>
      </c>
      <c r="B2947" s="2" t="s">
        <v>8342</v>
      </c>
      <c r="C2947" s="2" t="s">
        <v>17</v>
      </c>
      <c r="D2947" s="2" t="s">
        <v>27</v>
      </c>
      <c r="E2947" s="4">
        <v>-32722</v>
      </c>
      <c r="F2947" s="3" t="s">
        <v>856</v>
      </c>
      <c r="G2947" s="3" t="s">
        <v>90</v>
      </c>
      <c r="H2947" s="2" t="s">
        <v>74</v>
      </c>
      <c r="I2947" s="2" t="s">
        <v>8343</v>
      </c>
      <c r="J2947" s="3" t="str">
        <f>HYPERLINK("https://www.boe.es/gazeta/dias/1810/05/29/pdfs/GEI-1810-31.pdf#page=7","Abrir facsímil")</f>
        <v>Abrir facsímil</v>
      </c>
      <c r="K2947" s="3" t="s">
        <v>76</v>
      </c>
    </row>
    <row r="2948" spans="1:11" ht="42" customHeight="1">
      <c r="A2948" s="2" t="s">
        <v>8341</v>
      </c>
      <c r="B2948" s="2" t="s">
        <v>8342</v>
      </c>
      <c r="C2948" s="2" t="s">
        <v>26</v>
      </c>
      <c r="D2948" s="2" t="s">
        <v>27</v>
      </c>
      <c r="E2948" s="4">
        <v>-32722</v>
      </c>
      <c r="F2948" s="3" t="s">
        <v>856</v>
      </c>
      <c r="G2948" s="3" t="s">
        <v>8344</v>
      </c>
      <c r="H2948" s="2" t="s">
        <v>74</v>
      </c>
      <c r="I2948" s="2" t="s">
        <v>8345</v>
      </c>
      <c r="J2948" s="3" t="str">
        <f>HYPERLINK("https://www.boe.es/gazeta/dias/1810/05/29/pdfs/GEI-1810-31.pdf#page=9","Abrir facsímil")</f>
        <v>Abrir facsímil</v>
      </c>
      <c r="K2948" s="3" t="s">
        <v>76</v>
      </c>
    </row>
    <row r="2949" spans="1:11" ht="42" customHeight="1">
      <c r="A2949" s="2" t="s">
        <v>8346</v>
      </c>
      <c r="B2949" s="2" t="s">
        <v>8347</v>
      </c>
      <c r="C2949" s="2" t="s">
        <v>26</v>
      </c>
      <c r="D2949" s="2" t="s">
        <v>27</v>
      </c>
      <c r="E2949" s="4">
        <v>-32575</v>
      </c>
      <c r="F2949" s="3" t="s">
        <v>135</v>
      </c>
      <c r="G2949" s="3" t="s">
        <v>136</v>
      </c>
      <c r="H2949" s="2" t="s">
        <v>74</v>
      </c>
      <c r="I2949" s="2" t="s">
        <v>8348</v>
      </c>
      <c r="J2949" s="3" t="str">
        <f>HYPERLINK("https://www.boe.es/gazeta/dias/1810/10/23/pdfs/GEI-1810-85.pdf#page=11","Abrir facsímil")</f>
        <v>Abrir facsímil</v>
      </c>
      <c r="K2949" s="3" t="s">
        <v>76</v>
      </c>
    </row>
    <row r="2950" spans="1:11" ht="42" customHeight="1">
      <c r="A2950" s="2" t="s">
        <v>8349</v>
      </c>
      <c r="B2950" s="2" t="s">
        <v>8350</v>
      </c>
      <c r="C2950" s="2" t="s">
        <v>225</v>
      </c>
      <c r="D2950" s="2" t="s">
        <v>27</v>
      </c>
      <c r="E2950" s="4">
        <v>-32673</v>
      </c>
      <c r="F2950" s="3" t="s">
        <v>2174</v>
      </c>
      <c r="G2950" s="3" t="s">
        <v>5512</v>
      </c>
      <c r="H2950" s="2" t="s">
        <v>74</v>
      </c>
      <c r="I2950" s="2" t="s">
        <v>8351</v>
      </c>
      <c r="J2950" s="3" t="str">
        <f>HYPERLINK("https://www.boe.es/gazeta/dias/1810/07/17/pdfs/GEI-1810-45.pdf#page=12","Abrir facsímil")</f>
        <v>Abrir facsímil</v>
      </c>
      <c r="K2950" s="3" t="s">
        <v>76</v>
      </c>
    </row>
    <row r="2951" spans="1:11" ht="42" customHeight="1">
      <c r="A2951" s="2" t="s">
        <v>8352</v>
      </c>
      <c r="B2951" s="2" t="s">
        <v>8352</v>
      </c>
      <c r="C2951" s="2" t="s">
        <v>88</v>
      </c>
      <c r="D2951" s="2" t="s">
        <v>117</v>
      </c>
      <c r="E2951" s="4">
        <v>-32620</v>
      </c>
      <c r="F2951" s="3" t="s">
        <v>1499</v>
      </c>
      <c r="G2951" s="3" t="s">
        <v>227</v>
      </c>
      <c r="H2951" s="2" t="s">
        <v>74</v>
      </c>
      <c r="I2951" s="2" t="s">
        <v>8353</v>
      </c>
      <c r="J2951" s="3" t="str">
        <f>HYPERLINK("https://www.boe.es/gazeta/dias/1810/09/08/pdfs/GMD-1810-251.pdf#page=2","Abrir facsímil")</f>
        <v>Abrir facsímil</v>
      </c>
      <c r="K2951" s="3" t="s">
        <v>76</v>
      </c>
    </row>
    <row r="2952" spans="1:11" ht="42" customHeight="1">
      <c r="A2952" s="2" t="s">
        <v>8354</v>
      </c>
      <c r="B2952" s="2" t="s">
        <v>8354</v>
      </c>
      <c r="C2952" s="2" t="s">
        <v>26</v>
      </c>
      <c r="D2952" s="2" t="s">
        <v>27</v>
      </c>
      <c r="E2952" s="4">
        <v>-32757</v>
      </c>
      <c r="F2952" s="3" t="s">
        <v>414</v>
      </c>
      <c r="G2952" s="3" t="s">
        <v>70</v>
      </c>
      <c r="H2952" s="2" t="s">
        <v>74</v>
      </c>
      <c r="I2952" s="2" t="s">
        <v>8355</v>
      </c>
      <c r="J2952" s="3" t="str">
        <f>HYPERLINK("https://www.boe.es/gazeta/dias/1810/04/24/pdfs/GMD-1810-114.pdf#page=3","Abrir facsímil")</f>
        <v>Abrir facsímil</v>
      </c>
      <c r="K2952" s="3" t="s">
        <v>76</v>
      </c>
    </row>
    <row r="2953" spans="1:11" ht="42" customHeight="1">
      <c r="A2953" s="2" t="s">
        <v>8356</v>
      </c>
      <c r="B2953" s="2" t="s">
        <v>8357</v>
      </c>
      <c r="C2953" s="2" t="s">
        <v>26</v>
      </c>
      <c r="D2953" s="2" t="s">
        <v>27</v>
      </c>
      <c r="E2953" s="4">
        <v>-32545</v>
      </c>
      <c r="F2953" s="3" t="s">
        <v>165</v>
      </c>
      <c r="G2953" s="3" t="s">
        <v>166</v>
      </c>
      <c r="H2953" s="2" t="s">
        <v>74</v>
      </c>
      <c r="I2953" s="2" t="s">
        <v>8358</v>
      </c>
      <c r="J2953" s="3" t="str">
        <f>HYPERLINK("https://www.boe.es/gazeta/dias/1810/11/22/pdfs/GEI-1810-98.pdf#page=8","Abrir facsímil")</f>
        <v>Abrir facsímil</v>
      </c>
      <c r="K2953" s="3" t="s">
        <v>76</v>
      </c>
    </row>
    <row r="2954" spans="1:11" ht="42" customHeight="1">
      <c r="A2954" s="2" t="s">
        <v>8359</v>
      </c>
      <c r="B2954" s="2" t="s">
        <v>8359</v>
      </c>
      <c r="C2954" s="2" t="s">
        <v>26</v>
      </c>
      <c r="D2954" s="2" t="s">
        <v>27</v>
      </c>
      <c r="E2954" s="4">
        <v>-32675</v>
      </c>
      <c r="F2954" s="3" t="s">
        <v>729</v>
      </c>
      <c r="G2954" s="3" t="s">
        <v>1851</v>
      </c>
      <c r="H2954" s="2" t="s">
        <v>74</v>
      </c>
      <c r="I2954" s="2" t="s">
        <v>8360</v>
      </c>
      <c r="J2954" s="3" t="str">
        <f>HYPERLINK("https://www.boe.es/gazeta/dias/1810/07/15/pdfs/GMD-1810-196.pdf#page=1","Abrir facsímil")</f>
        <v>Abrir facsímil</v>
      </c>
      <c r="K2954" s="3" t="s">
        <v>76</v>
      </c>
    </row>
    <row r="2955" spans="1:11" ht="42" customHeight="1">
      <c r="A2955" s="2" t="s">
        <v>8361</v>
      </c>
      <c r="B2955" s="2" t="s">
        <v>8361</v>
      </c>
      <c r="C2955" s="2" t="s">
        <v>26</v>
      </c>
      <c r="D2955" s="2" t="s">
        <v>27</v>
      </c>
      <c r="E2955" s="4">
        <v>-32644</v>
      </c>
      <c r="F2955" s="3" t="s">
        <v>457</v>
      </c>
      <c r="G2955" s="3" t="s">
        <v>90</v>
      </c>
      <c r="H2955" s="2" t="s">
        <v>74</v>
      </c>
      <c r="I2955" s="2" t="s">
        <v>8362</v>
      </c>
      <c r="J2955" s="3" t="str">
        <f>HYPERLINK("https://www.boe.es/gazeta/dias/1810/08/15/pdfs/GMD-1810-227.pdf#page=2","Abrir facsímil")</f>
        <v>Abrir facsímil</v>
      </c>
      <c r="K2955" s="3" t="s">
        <v>76</v>
      </c>
    </row>
    <row r="2956" spans="1:11" ht="42" customHeight="1">
      <c r="A2956" s="2" t="s">
        <v>8363</v>
      </c>
      <c r="B2956" s="2" t="s">
        <v>8363</v>
      </c>
      <c r="C2956" s="2" t="s">
        <v>225</v>
      </c>
      <c r="D2956" s="2" t="s">
        <v>27</v>
      </c>
      <c r="E2956" s="4">
        <v>-32678</v>
      </c>
      <c r="F2956" s="3" t="s">
        <v>3679</v>
      </c>
      <c r="G2956" s="3" t="s">
        <v>971</v>
      </c>
      <c r="H2956" s="2" t="s">
        <v>74</v>
      </c>
      <c r="I2956" s="2" t="s">
        <v>8364</v>
      </c>
      <c r="J2956" s="3" t="str">
        <f>HYPERLINK("https://www.boe.es/gazeta/dias/1810/07/12/pdfs/GMD-1810-193.pdf#page=1","Abrir facsímil")</f>
        <v>Abrir facsímil</v>
      </c>
      <c r="K2956" s="3" t="s">
        <v>76</v>
      </c>
    </row>
    <row r="2957" spans="1:11" ht="42" customHeight="1">
      <c r="A2957" s="2" t="s">
        <v>8365</v>
      </c>
      <c r="B2957" s="2" t="s">
        <v>8366</v>
      </c>
      <c r="C2957" s="2" t="s">
        <v>26</v>
      </c>
      <c r="D2957" s="2" t="s">
        <v>27</v>
      </c>
      <c r="E2957" s="4">
        <v>-32867</v>
      </c>
      <c r="F2957" s="3" t="s">
        <v>712</v>
      </c>
      <c r="G2957" s="3" t="s">
        <v>291</v>
      </c>
      <c r="H2957" s="2" t="s">
        <v>74</v>
      </c>
      <c r="I2957" s="2" t="s">
        <v>8367</v>
      </c>
      <c r="J2957" s="3" t="str">
        <f>HYPERLINK("https://www.boe.es/gazeta/dias/1810/01/04/pdfs/GGB-1810-2.pdf#page=8","Abrir facsímil")</f>
        <v>Abrir facsímil</v>
      </c>
      <c r="K2957" s="3" t="s">
        <v>76</v>
      </c>
    </row>
    <row r="2958" spans="1:11" ht="42" customHeight="1">
      <c r="A2958" s="2" t="s">
        <v>8368</v>
      </c>
      <c r="B2958" s="2" t="s">
        <v>8369</v>
      </c>
      <c r="C2958" s="2" t="s">
        <v>26</v>
      </c>
      <c r="D2958" s="2" t="s">
        <v>27</v>
      </c>
      <c r="E2958" s="4">
        <v>-32684</v>
      </c>
      <c r="F2958" s="3" t="s">
        <v>1373</v>
      </c>
      <c r="G2958" s="3" t="s">
        <v>1374</v>
      </c>
      <c r="H2958" s="2" t="s">
        <v>74</v>
      </c>
      <c r="I2958" s="2" t="s">
        <v>8370</v>
      </c>
      <c r="J2958" s="3" t="str">
        <f>HYPERLINK("https://www.boe.es/gazeta/dias/1810/07/06/pdfs/GEI-1810-42.pdf#page=8","Abrir facsímil")</f>
        <v>Abrir facsímil</v>
      </c>
      <c r="K2958" s="3" t="s">
        <v>76</v>
      </c>
    </row>
    <row r="2959" spans="1:11" ht="42" customHeight="1">
      <c r="A2959" s="2" t="s">
        <v>8371</v>
      </c>
      <c r="B2959" s="2" t="s">
        <v>8372</v>
      </c>
      <c r="C2959" s="2" t="s">
        <v>26</v>
      </c>
      <c r="D2959" s="2" t="s">
        <v>27</v>
      </c>
      <c r="E2959" s="4">
        <v>-32576</v>
      </c>
      <c r="F2959" s="3" t="s">
        <v>447</v>
      </c>
      <c r="G2959" s="3" t="s">
        <v>8373</v>
      </c>
      <c r="H2959" s="2" t="s">
        <v>74</v>
      </c>
      <c r="I2959" s="2" t="s">
        <v>8374</v>
      </c>
      <c r="J2959" s="3" t="str">
        <f>HYPERLINK("https://www.boe.es/gazeta/dias/1810/10/22/pdfs/GMD-1810-295.pdf#page=2","Abrir facsímil")</f>
        <v>Abrir facsímil</v>
      </c>
      <c r="K2959" s="3" t="s">
        <v>76</v>
      </c>
    </row>
    <row r="2960" spans="1:11" ht="42" customHeight="1">
      <c r="A2960" s="2" t="s">
        <v>8375</v>
      </c>
      <c r="B2960" s="2" t="s">
        <v>8376</v>
      </c>
      <c r="C2960" s="2" t="s">
        <v>88</v>
      </c>
      <c r="D2960" s="2" t="s">
        <v>117</v>
      </c>
      <c r="E2960" s="4">
        <v>-32820</v>
      </c>
      <c r="F2960" s="3" t="s">
        <v>226</v>
      </c>
      <c r="G2960" s="3" t="s">
        <v>227</v>
      </c>
      <c r="H2960" s="2" t="s">
        <v>21</v>
      </c>
      <c r="I2960" s="2" t="s">
        <v>8377</v>
      </c>
      <c r="J2960" s="3" t="str">
        <f>HYPERLINK("https://www.boe.es/gazeta/dias/1810/02/20/pdfs/GMD-1810-51.pdf#page=4","Abrir facsímil")</f>
        <v>Abrir facsímil</v>
      </c>
      <c r="K2960" s="3" t="s">
        <v>23</v>
      </c>
    </row>
    <row r="2961" spans="1:11" ht="42" customHeight="1">
      <c r="A2961" s="2" t="s">
        <v>8378</v>
      </c>
      <c r="B2961" s="2" t="s">
        <v>8379</v>
      </c>
      <c r="C2961" s="2" t="s">
        <v>88</v>
      </c>
      <c r="D2961" s="2" t="s">
        <v>220</v>
      </c>
      <c r="E2961" s="4">
        <v>-32585</v>
      </c>
      <c r="F2961" s="3" t="s">
        <v>260</v>
      </c>
      <c r="G2961" s="3" t="s">
        <v>35</v>
      </c>
      <c r="H2961" s="2" t="s">
        <v>21</v>
      </c>
      <c r="I2961" s="2" t="s">
        <v>8380</v>
      </c>
      <c r="J2961" s="3" t="str">
        <f>HYPERLINK("https://www.boe.es/gazeta/dias/1810/10/13/pdfs/GEI-1810-81.pdf#page=2","Abrir facsímil")</f>
        <v>Abrir facsímil</v>
      </c>
      <c r="K2961" s="3" t="s">
        <v>23</v>
      </c>
    </row>
    <row r="2962" spans="1:11" ht="42" customHeight="1">
      <c r="A2962" s="2" t="s">
        <v>8381</v>
      </c>
      <c r="B2962" s="2" t="s">
        <v>8382</v>
      </c>
      <c r="C2962" s="2" t="s">
        <v>26</v>
      </c>
      <c r="D2962" s="2" t="s">
        <v>27</v>
      </c>
      <c r="E2962" s="4">
        <v>-32712</v>
      </c>
      <c r="F2962" s="3" t="s">
        <v>667</v>
      </c>
      <c r="G2962" s="3" t="s">
        <v>668</v>
      </c>
      <c r="H2962" s="2" t="s">
        <v>21</v>
      </c>
      <c r="I2962" s="2" t="s">
        <v>8383</v>
      </c>
      <c r="J2962" s="3" t="str">
        <f>HYPERLINK("https://www.boe.es/gazeta/dias/1810/06/08/pdfs/GEI-1810-34.pdf#page=3","Abrir facsímil")</f>
        <v>Abrir facsímil</v>
      </c>
      <c r="K2962" s="3" t="s">
        <v>23</v>
      </c>
    </row>
    <row r="2963" spans="1:11" ht="42" customHeight="1">
      <c r="A2963" s="2" t="s">
        <v>8384</v>
      </c>
      <c r="B2963" s="2" t="s">
        <v>8385</v>
      </c>
      <c r="C2963" s="2" t="s">
        <v>26</v>
      </c>
      <c r="D2963" s="2" t="s">
        <v>27</v>
      </c>
      <c r="E2963" s="4">
        <v>-32526</v>
      </c>
      <c r="F2963" s="3" t="s">
        <v>530</v>
      </c>
      <c r="G2963" s="3" t="s">
        <v>531</v>
      </c>
      <c r="H2963" s="2" t="s">
        <v>74</v>
      </c>
      <c r="I2963" s="2" t="s">
        <v>8386</v>
      </c>
      <c r="J2963" s="3" t="str">
        <f>HYPERLINK("https://www.boe.es/gazeta/dias/1810/12/11/pdfs/GEI-1810-106.pdf#page=2","Abrir facsímil")</f>
        <v>Abrir facsímil</v>
      </c>
      <c r="K2963" s="3" t="s">
        <v>76</v>
      </c>
    </row>
    <row r="2964" spans="1:11" ht="42" customHeight="1">
      <c r="A2964" s="2" t="s">
        <v>8387</v>
      </c>
      <c r="B2964" s="2" t="s">
        <v>8388</v>
      </c>
      <c r="C2964" s="2" t="s">
        <v>26</v>
      </c>
      <c r="D2964" s="2" t="s">
        <v>27</v>
      </c>
      <c r="E2964" s="4">
        <v>-32836</v>
      </c>
      <c r="F2964" s="3" t="s">
        <v>1094</v>
      </c>
      <c r="G2964" s="3" t="s">
        <v>140</v>
      </c>
      <c r="H2964" s="2" t="s">
        <v>21</v>
      </c>
      <c r="I2964" s="2" t="s">
        <v>8389</v>
      </c>
      <c r="J2964" s="3" t="str">
        <f>HYPERLINK("https://www.boe.es/gazeta/dias/1810/02/04/pdfs/GMD-1810-35.pdf#page=1","Abrir facsímil")</f>
        <v>Abrir facsímil</v>
      </c>
      <c r="K2964" s="3" t="s">
        <v>23</v>
      </c>
    </row>
    <row r="2965" spans="1:11" ht="42" customHeight="1">
      <c r="A2965" s="2" t="s">
        <v>8390</v>
      </c>
      <c r="B2965" s="2" t="s">
        <v>8391</v>
      </c>
      <c r="C2965" s="2" t="s">
        <v>111</v>
      </c>
      <c r="D2965" s="2" t="s">
        <v>27</v>
      </c>
      <c r="E2965" s="4">
        <v>-32802</v>
      </c>
      <c r="F2965" s="3" t="s">
        <v>1075</v>
      </c>
      <c r="G2965" s="3" t="s">
        <v>213</v>
      </c>
      <c r="H2965" s="2" t="s">
        <v>74</v>
      </c>
      <c r="I2965" s="2" t="s">
        <v>8392</v>
      </c>
      <c r="J2965" s="3" t="str">
        <f>HYPERLINK("https://www.boe.es/gazeta/dias/1810/03/10/pdfs/GMD-1810-69.pdf#page=1","Abrir facsímil")</f>
        <v>Abrir facsímil</v>
      </c>
      <c r="K2965" s="3" t="s">
        <v>76</v>
      </c>
    </row>
    <row r="2966" spans="1:11" ht="42" customHeight="1">
      <c r="A2966" s="2" t="s">
        <v>8393</v>
      </c>
      <c r="B2966" s="2" t="s">
        <v>8394</v>
      </c>
      <c r="C2966" s="2" t="s">
        <v>33</v>
      </c>
      <c r="D2966" s="2" t="s">
        <v>27</v>
      </c>
      <c r="E2966" s="4">
        <v>-32820</v>
      </c>
      <c r="F2966" s="3" t="s">
        <v>226</v>
      </c>
      <c r="G2966" s="3" t="s">
        <v>356</v>
      </c>
      <c r="H2966" s="2" t="s">
        <v>74</v>
      </c>
      <c r="I2966" s="2" t="s">
        <v>8395</v>
      </c>
      <c r="J2966" s="3" t="str">
        <f>HYPERLINK("https://www.boe.es/gazeta/dias/1810/02/20/pdfs/GMD-1810-51.pdf#page=3","Abrir facsímil")</f>
        <v>Abrir facsímil</v>
      </c>
      <c r="K2966" s="3" t="s">
        <v>76</v>
      </c>
    </row>
    <row r="2967" spans="1:11" ht="42" customHeight="1">
      <c r="A2967" s="2" t="s">
        <v>8396</v>
      </c>
      <c r="B2967" s="2" t="s">
        <v>8396</v>
      </c>
      <c r="C2967" s="2" t="s">
        <v>88</v>
      </c>
      <c r="D2967" s="2" t="s">
        <v>27</v>
      </c>
      <c r="E2967" s="4">
        <v>-32725</v>
      </c>
      <c r="F2967" s="3" t="s">
        <v>417</v>
      </c>
      <c r="G2967" s="3" t="s">
        <v>35</v>
      </c>
      <c r="H2967" s="2" t="s">
        <v>74</v>
      </c>
      <c r="I2967" s="2" t="s">
        <v>8397</v>
      </c>
      <c r="J2967" s="3" t="str">
        <f>HYPERLINK("https://www.boe.es/gazeta/dias/1810/05/26/pdfs/GMD-1810-146.pdf#page=2","Abrir facsímil")</f>
        <v>Abrir facsímil</v>
      </c>
      <c r="K2967" s="3" t="s">
        <v>76</v>
      </c>
    </row>
    <row r="2968" spans="1:11" ht="42" customHeight="1">
      <c r="A2968" s="2" t="s">
        <v>8398</v>
      </c>
      <c r="B2968" s="2" t="s">
        <v>8398</v>
      </c>
      <c r="C2968" s="2" t="s">
        <v>225</v>
      </c>
      <c r="D2968" s="2" t="s">
        <v>220</v>
      </c>
      <c r="E2968" s="4">
        <v>-32823</v>
      </c>
      <c r="F2968" s="3" t="s">
        <v>4250</v>
      </c>
      <c r="G2968" s="3" t="s">
        <v>3296</v>
      </c>
      <c r="H2968" s="2" t="s">
        <v>74</v>
      </c>
      <c r="I2968" s="2" t="s">
        <v>8399</v>
      </c>
      <c r="J2968" s="3" t="str">
        <f>HYPERLINK("https://www.boe.es/gazeta/dias/1810/02/17/pdfs/GMD-1810-48.pdf#page=1","Abrir facsímil")</f>
        <v>Abrir facsímil</v>
      </c>
      <c r="K2968" s="3" t="s">
        <v>76</v>
      </c>
    </row>
    <row r="2969" spans="1:11" ht="42" customHeight="1">
      <c r="A2969" s="2" t="s">
        <v>8400</v>
      </c>
      <c r="B2969" s="2" t="s">
        <v>8401</v>
      </c>
      <c r="C2969" s="2" t="s">
        <v>26</v>
      </c>
      <c r="D2969" s="2" t="s">
        <v>27</v>
      </c>
      <c r="E2969" s="4">
        <v>-32575</v>
      </c>
      <c r="F2969" s="3" t="s">
        <v>135</v>
      </c>
      <c r="G2969" s="3" t="s">
        <v>136</v>
      </c>
      <c r="H2969" s="2" t="s">
        <v>74</v>
      </c>
      <c r="I2969" s="2" t="s">
        <v>8402</v>
      </c>
      <c r="J2969" s="3" t="str">
        <f>HYPERLINK("https://www.boe.es/gazeta/dias/1810/10/23/pdfs/GEI-1810-85.pdf#page=11","Abrir facsímil")</f>
        <v>Abrir facsímil</v>
      </c>
      <c r="K2969" s="3" t="s">
        <v>76</v>
      </c>
    </row>
    <row r="2970" spans="1:11" ht="42" customHeight="1">
      <c r="A2970" s="2" t="s">
        <v>8403</v>
      </c>
      <c r="B2970" s="2" t="s">
        <v>8404</v>
      </c>
      <c r="C2970" s="2" t="s">
        <v>17</v>
      </c>
      <c r="D2970" s="2" t="s">
        <v>220</v>
      </c>
      <c r="E2970" s="4">
        <v>-32538</v>
      </c>
      <c r="F2970" s="3" t="s">
        <v>1949</v>
      </c>
      <c r="G2970" s="3" t="s">
        <v>8405</v>
      </c>
      <c r="H2970" s="2" t="s">
        <v>74</v>
      </c>
      <c r="I2970" s="2" t="s">
        <v>8406</v>
      </c>
      <c r="J2970" s="3" t="str">
        <f>HYPERLINK("https://www.boe.es/gazeta/dias/1810/11/29/pdfs/GEI-1810-101.pdf#page=6","Abrir facsímil")</f>
        <v>Abrir facsímil</v>
      </c>
      <c r="K2970" s="3" t="s">
        <v>76</v>
      </c>
    </row>
    <row r="2971" spans="1:11" ht="42" customHeight="1">
      <c r="A2971" s="2" t="s">
        <v>8407</v>
      </c>
      <c r="B2971" s="2" t="s">
        <v>8408</v>
      </c>
      <c r="C2971" s="2" t="s">
        <v>26</v>
      </c>
      <c r="D2971" s="2" t="s">
        <v>39</v>
      </c>
      <c r="E2971" s="4">
        <v>-32701</v>
      </c>
      <c r="F2971" s="3" t="s">
        <v>40</v>
      </c>
      <c r="G2971" s="3" t="s">
        <v>315</v>
      </c>
      <c r="H2971" s="2" t="s">
        <v>74</v>
      </c>
      <c r="I2971" s="2" t="s">
        <v>8409</v>
      </c>
      <c r="J2971" s="3" t="str">
        <f>HYPERLINK("https://www.boe.es/gazeta/dias/1810/06/19/pdfs/GMD-C-1810-170.pdf#page=2","Abrir facsímil")</f>
        <v>Abrir facsímil</v>
      </c>
      <c r="K2971" s="3" t="s">
        <v>76</v>
      </c>
    </row>
    <row r="2972" spans="1:11" ht="42" customHeight="1">
      <c r="A2972" s="2" t="s">
        <v>8407</v>
      </c>
      <c r="B2972" s="2" t="s">
        <v>8408</v>
      </c>
      <c r="C2972" s="2" t="s">
        <v>26</v>
      </c>
      <c r="D2972" s="2" t="s">
        <v>27</v>
      </c>
      <c r="E2972" s="4">
        <v>-32599</v>
      </c>
      <c r="F2972" s="3" t="s">
        <v>1586</v>
      </c>
      <c r="G2972" s="3" t="s">
        <v>140</v>
      </c>
      <c r="H2972" s="2" t="s">
        <v>74</v>
      </c>
      <c r="I2972" s="2" t="s">
        <v>8410</v>
      </c>
      <c r="J2972" s="3" t="str">
        <f>HYPERLINK("https://www.boe.es/gazeta/dias/1810/09/29/pdfs/GMD-1810-272.pdf#page=4","Abrir facsímil")</f>
        <v>Abrir facsímil</v>
      </c>
      <c r="K2972" s="3" t="s">
        <v>76</v>
      </c>
    </row>
    <row r="2973" spans="1:11" ht="42" customHeight="1">
      <c r="A2973" s="2" t="s">
        <v>8411</v>
      </c>
      <c r="B2973" s="2" t="s">
        <v>8412</v>
      </c>
      <c r="C2973" s="2" t="s">
        <v>26</v>
      </c>
      <c r="D2973" s="2" t="s">
        <v>39</v>
      </c>
      <c r="E2973" s="4">
        <v>-32701</v>
      </c>
      <c r="F2973" s="3" t="s">
        <v>40</v>
      </c>
      <c r="G2973" s="3" t="s">
        <v>315</v>
      </c>
      <c r="H2973" s="2" t="s">
        <v>74</v>
      </c>
      <c r="I2973" s="2" t="s">
        <v>8413</v>
      </c>
      <c r="J2973" s="3" t="str">
        <f>HYPERLINK("https://www.boe.es/gazeta/dias/1810/06/19/pdfs/GMD-C-1810-170.pdf#page=2","Abrir facsímil")</f>
        <v>Abrir facsímil</v>
      </c>
      <c r="K2973" s="3" t="s">
        <v>76</v>
      </c>
    </row>
    <row r="2974" spans="1:11" ht="42" customHeight="1">
      <c r="A2974" s="2" t="s">
        <v>8414</v>
      </c>
      <c r="B2974" s="2" t="s">
        <v>8415</v>
      </c>
      <c r="C2974" s="2" t="s">
        <v>26</v>
      </c>
      <c r="D2974" s="2" t="s">
        <v>39</v>
      </c>
      <c r="E2974" s="4">
        <v>-32701</v>
      </c>
      <c r="F2974" s="3" t="s">
        <v>40</v>
      </c>
      <c r="G2974" s="3" t="s">
        <v>315</v>
      </c>
      <c r="H2974" s="2" t="s">
        <v>74</v>
      </c>
      <c r="I2974" s="2" t="s">
        <v>8416</v>
      </c>
      <c r="J2974" s="3" t="str">
        <f>HYPERLINK("https://www.boe.es/gazeta/dias/1810/06/19/pdfs/GMD-C-1810-170.pdf#page=2","Abrir facsímil")</f>
        <v>Abrir facsímil</v>
      </c>
      <c r="K2974" s="3" t="s">
        <v>76</v>
      </c>
    </row>
    <row r="2975" spans="1:11" ht="42" customHeight="1">
      <c r="A2975" s="2" t="s">
        <v>8417</v>
      </c>
      <c r="B2975" s="2" t="s">
        <v>8418</v>
      </c>
      <c r="C2975" s="2" t="s">
        <v>26</v>
      </c>
      <c r="D2975" s="2" t="s">
        <v>39</v>
      </c>
      <c r="E2975" s="4">
        <v>-32701</v>
      </c>
      <c r="F2975" s="3" t="s">
        <v>40</v>
      </c>
      <c r="G2975" s="3" t="s">
        <v>315</v>
      </c>
      <c r="H2975" s="2" t="s">
        <v>74</v>
      </c>
      <c r="I2975" s="2" t="s">
        <v>8419</v>
      </c>
      <c r="J2975" s="3" t="str">
        <f>HYPERLINK("https://www.boe.es/gazeta/dias/1810/06/19/pdfs/GMD-C-1810-170.pdf#page=2","Abrir facsímil")</f>
        <v>Abrir facsímil</v>
      </c>
      <c r="K2975" s="3" t="s">
        <v>76</v>
      </c>
    </row>
    <row r="2976" spans="1:11" ht="42" customHeight="1">
      <c r="A2976" s="2" t="s">
        <v>8420</v>
      </c>
      <c r="B2976" s="2" t="s">
        <v>8421</v>
      </c>
      <c r="C2976" s="2" t="s">
        <v>26</v>
      </c>
      <c r="D2976" s="2" t="s">
        <v>27</v>
      </c>
      <c r="E2976" s="4">
        <v>-32526</v>
      </c>
      <c r="F2976" s="3" t="s">
        <v>530</v>
      </c>
      <c r="G2976" s="3" t="s">
        <v>531</v>
      </c>
      <c r="H2976" s="2" t="s">
        <v>74</v>
      </c>
      <c r="I2976" s="2" t="s">
        <v>8422</v>
      </c>
      <c r="J2976" s="3" t="str">
        <f>HYPERLINK("https://www.boe.es/gazeta/dias/1810/12/11/pdfs/GEI-1810-106.pdf#page=2","Abrir facsímil")</f>
        <v>Abrir facsímil</v>
      </c>
      <c r="K2976" s="3" t="s">
        <v>76</v>
      </c>
    </row>
    <row r="2977" spans="1:11" ht="42" customHeight="1">
      <c r="A2977" s="2" t="s">
        <v>8423</v>
      </c>
      <c r="B2977" s="2" t="s">
        <v>8423</v>
      </c>
      <c r="C2977" s="2" t="s">
        <v>88</v>
      </c>
      <c r="D2977" s="2" t="s">
        <v>117</v>
      </c>
      <c r="E2977" s="4">
        <v>-32564</v>
      </c>
      <c r="F2977" s="3" t="s">
        <v>1604</v>
      </c>
      <c r="G2977" s="3" t="s">
        <v>1605</v>
      </c>
      <c r="H2977" s="2" t="s">
        <v>74</v>
      </c>
      <c r="I2977" s="2" t="s">
        <v>8424</v>
      </c>
      <c r="J2977" s="3" t="str">
        <f>HYPERLINK("https://www.boe.es/gazeta/dias/1810/11/03/pdfs/GMD-1810-307.pdf#page=2","Abrir facsímil")</f>
        <v>Abrir facsímil</v>
      </c>
      <c r="K2977" s="3" t="s">
        <v>76</v>
      </c>
    </row>
    <row r="2978" spans="1:11" ht="42" customHeight="1">
      <c r="A2978" s="2" t="s">
        <v>8425</v>
      </c>
      <c r="B2978" s="2" t="s">
        <v>8426</v>
      </c>
      <c r="C2978" s="2" t="s">
        <v>26</v>
      </c>
      <c r="D2978" s="2" t="s">
        <v>27</v>
      </c>
      <c r="E2978" s="4">
        <v>-32517</v>
      </c>
      <c r="F2978" s="3" t="s">
        <v>566</v>
      </c>
      <c r="G2978" s="3" t="s">
        <v>762</v>
      </c>
      <c r="H2978" s="2" t="s">
        <v>74</v>
      </c>
      <c r="I2978" s="2" t="s">
        <v>8427</v>
      </c>
      <c r="J2978" s="3" t="str">
        <f>HYPERLINK("https://www.boe.es/gazeta/dias/1810/12/20/pdfs/GEI-1810-110.pdf#page=8","Abrir facsímil")</f>
        <v>Abrir facsímil</v>
      </c>
      <c r="K2978" s="3" t="s">
        <v>76</v>
      </c>
    </row>
    <row r="2979" spans="1:11" ht="42" customHeight="1">
      <c r="A2979" s="2" t="s">
        <v>8428</v>
      </c>
      <c r="B2979" s="2" t="s">
        <v>8429</v>
      </c>
      <c r="C2979" s="2" t="s">
        <v>26</v>
      </c>
      <c r="D2979" s="2" t="s">
        <v>39</v>
      </c>
      <c r="E2979" s="4">
        <v>-32702</v>
      </c>
      <c r="F2979" s="3" t="s">
        <v>179</v>
      </c>
      <c r="G2979" s="3" t="s">
        <v>180</v>
      </c>
      <c r="H2979" s="2" t="s">
        <v>74</v>
      </c>
      <c r="I2979" s="2" t="s">
        <v>8430</v>
      </c>
      <c r="J2979" s="3" t="str">
        <f>HYPERLINK("https://www.boe.es/gazeta/dias/1810/06/18/pdfs/GMD-C-1810-169.pdf#page=2","Abrir facsímil")</f>
        <v>Abrir facsímil</v>
      </c>
      <c r="K2979" s="3" t="s">
        <v>76</v>
      </c>
    </row>
    <row r="2980" spans="1:11" ht="42" customHeight="1">
      <c r="A2980" s="2" t="s">
        <v>8431</v>
      </c>
      <c r="B2980" s="2" t="s">
        <v>8432</v>
      </c>
      <c r="C2980" s="2" t="s">
        <v>17</v>
      </c>
      <c r="D2980" s="2" t="s">
        <v>18</v>
      </c>
      <c r="E2980" s="4">
        <v>-32730</v>
      </c>
      <c r="F2980" s="3" t="s">
        <v>50</v>
      </c>
      <c r="G2980" s="3" t="s">
        <v>20</v>
      </c>
      <c r="H2980" s="2" t="s">
        <v>74</v>
      </c>
      <c r="I2980" s="2" t="s">
        <v>8433</v>
      </c>
      <c r="J2980" s="3" t="str">
        <f>HYPERLINK("https://www.boe.es/gazeta/dias/1810/05/21/pdfs/GMD-1810-141.pdf#page=4","Abrir facsímil")</f>
        <v>Abrir facsímil</v>
      </c>
      <c r="K2980" s="3" t="s">
        <v>76</v>
      </c>
    </row>
    <row r="2981" spans="1:11" ht="42" customHeight="1">
      <c r="A2981" s="2" t="s">
        <v>8431</v>
      </c>
      <c r="B2981" s="2" t="s">
        <v>8432</v>
      </c>
      <c r="C2981" s="2" t="s">
        <v>26</v>
      </c>
      <c r="D2981" s="2" t="s">
        <v>27</v>
      </c>
      <c r="E2981" s="4">
        <v>-32647</v>
      </c>
      <c r="F2981" s="3" t="s">
        <v>118</v>
      </c>
      <c r="G2981" s="3" t="s">
        <v>20</v>
      </c>
      <c r="H2981" s="2" t="s">
        <v>74</v>
      </c>
      <c r="I2981" s="2" t="s">
        <v>8434</v>
      </c>
      <c r="J2981" s="3" t="str">
        <f>HYPERLINK("https://www.boe.es/gazeta/dias/1810/08/12/pdfs/GMD-1810-224.pdf#page=4","Abrir facsímil")</f>
        <v>Abrir facsímil</v>
      </c>
      <c r="K2981" s="3" t="s">
        <v>76</v>
      </c>
    </row>
    <row r="2982" spans="1:11" ht="42" customHeight="1">
      <c r="A2982" s="2" t="s">
        <v>8435</v>
      </c>
      <c r="B2982" s="2" t="s">
        <v>8435</v>
      </c>
      <c r="C2982" s="2" t="s">
        <v>26</v>
      </c>
      <c r="D2982" s="2" t="s">
        <v>27</v>
      </c>
      <c r="E2982" s="4">
        <v>-32785</v>
      </c>
      <c r="F2982" s="3" t="s">
        <v>5915</v>
      </c>
      <c r="G2982" s="3" t="s">
        <v>35</v>
      </c>
      <c r="H2982" s="2" t="s">
        <v>74</v>
      </c>
      <c r="I2982" s="2" t="s">
        <v>8436</v>
      </c>
      <c r="J2982" s="3" t="str">
        <f>HYPERLINK("https://www.boe.es/gazeta/dias/1810/03/27/pdfs/GMD-1810-86.pdf#page=2","Abrir facsímil")</f>
        <v>Abrir facsímil</v>
      </c>
      <c r="K2982" s="3" t="s">
        <v>76</v>
      </c>
    </row>
    <row r="2983" spans="1:11" ht="42" customHeight="1">
      <c r="A2983" s="2" t="s">
        <v>8435</v>
      </c>
      <c r="B2983" s="2" t="s">
        <v>8435</v>
      </c>
      <c r="C2983" s="2" t="s">
        <v>33</v>
      </c>
      <c r="D2983" s="2" t="s">
        <v>220</v>
      </c>
      <c r="E2983" s="4">
        <v>-32755</v>
      </c>
      <c r="F2983" s="3" t="s">
        <v>1641</v>
      </c>
      <c r="G2983" s="3" t="s">
        <v>99</v>
      </c>
      <c r="H2983" s="2" t="s">
        <v>74</v>
      </c>
      <c r="I2983" s="2" t="s">
        <v>8437</v>
      </c>
      <c r="J2983" s="3" t="str">
        <f>HYPERLINK("https://www.boe.es/gazeta/dias/1810/04/26/pdfs/GMD-1810-116.pdf#page=3","Abrir facsímil")</f>
        <v>Abrir facsímil</v>
      </c>
      <c r="K2983" s="3" t="s">
        <v>76</v>
      </c>
    </row>
    <row r="2984" spans="1:11" ht="42" customHeight="1">
      <c r="A2984" s="2" t="s">
        <v>8435</v>
      </c>
      <c r="B2984" s="2" t="s">
        <v>8435</v>
      </c>
      <c r="C2984" s="2" t="s">
        <v>88</v>
      </c>
      <c r="D2984" s="2" t="s">
        <v>117</v>
      </c>
      <c r="E2984" s="4">
        <v>-32754</v>
      </c>
      <c r="F2984" s="3" t="s">
        <v>34</v>
      </c>
      <c r="G2984" s="3" t="s">
        <v>35</v>
      </c>
      <c r="H2984" s="2" t="s">
        <v>74</v>
      </c>
      <c r="I2984" s="2" t="s">
        <v>8438</v>
      </c>
      <c r="J2984" s="3" t="str">
        <f>HYPERLINK("https://www.boe.es/gazeta/dias/1810/04/27/pdfs/GMD-1810-117.pdf#page=2","Abrir facsímil")</f>
        <v>Abrir facsímil</v>
      </c>
      <c r="K2984" s="3" t="s">
        <v>76</v>
      </c>
    </row>
    <row r="2985" spans="1:11" ht="42" customHeight="1">
      <c r="A2985" s="2" t="s">
        <v>8435</v>
      </c>
      <c r="B2985" s="2" t="s">
        <v>8435</v>
      </c>
      <c r="C2985" s="2" t="s">
        <v>33</v>
      </c>
      <c r="D2985" s="2" t="s">
        <v>27</v>
      </c>
      <c r="E2985" s="4">
        <v>-32754</v>
      </c>
      <c r="F2985" s="3" t="s">
        <v>34</v>
      </c>
      <c r="G2985" s="3" t="s">
        <v>29</v>
      </c>
      <c r="H2985" s="2" t="s">
        <v>74</v>
      </c>
      <c r="I2985" s="2" t="s">
        <v>8439</v>
      </c>
      <c r="J2985" s="3" t="str">
        <f>HYPERLINK("https://www.boe.es/gazeta/dias/1810/04/27/pdfs/GMD-1810-117.pdf#page=3","Abrir facsímil")</f>
        <v>Abrir facsímil</v>
      </c>
      <c r="K2985" s="3" t="s">
        <v>76</v>
      </c>
    </row>
    <row r="2986" spans="1:11" ht="42" customHeight="1">
      <c r="A2986" s="2" t="s">
        <v>8435</v>
      </c>
      <c r="B2986" s="2" t="s">
        <v>8435</v>
      </c>
      <c r="C2986" s="2" t="s">
        <v>26</v>
      </c>
      <c r="D2986" s="2" t="s">
        <v>220</v>
      </c>
      <c r="E2986" s="4">
        <v>-32745</v>
      </c>
      <c r="F2986" s="3" t="s">
        <v>7101</v>
      </c>
      <c r="G2986" s="3" t="s">
        <v>7102</v>
      </c>
      <c r="H2986" s="2" t="s">
        <v>74</v>
      </c>
      <c r="I2986" s="2" t="s">
        <v>8440</v>
      </c>
      <c r="J2986" s="3" t="str">
        <f>HYPERLINK("https://www.boe.es/gazeta/dias/1810/05/06/pdfs/GMD-1810-126.pdf#page=2","Abrir facsímil")</f>
        <v>Abrir facsímil</v>
      </c>
      <c r="K2986" s="3" t="s">
        <v>76</v>
      </c>
    </row>
    <row r="2987" spans="1:11" ht="42" customHeight="1">
      <c r="A2987" s="2" t="s">
        <v>8435</v>
      </c>
      <c r="B2987" s="2" t="s">
        <v>8435</v>
      </c>
      <c r="C2987" s="2" t="s">
        <v>88</v>
      </c>
      <c r="D2987" s="2" t="s">
        <v>220</v>
      </c>
      <c r="E2987" s="4">
        <v>-32625</v>
      </c>
      <c r="F2987" s="3" t="s">
        <v>4200</v>
      </c>
      <c r="G2987" s="3" t="s">
        <v>465</v>
      </c>
      <c r="H2987" s="2" t="s">
        <v>74</v>
      </c>
      <c r="I2987" s="2" t="s">
        <v>8441</v>
      </c>
      <c r="J2987" s="3" t="str">
        <f>HYPERLINK("https://www.boe.es/gazeta/dias/1810/09/03/pdfs/GMD-1810-246.pdf#page=1","Abrir facsímil")</f>
        <v>Abrir facsímil</v>
      </c>
      <c r="K2987" s="3" t="s">
        <v>76</v>
      </c>
    </row>
    <row r="2988" spans="1:11" ht="42" customHeight="1">
      <c r="A2988" s="2" t="s">
        <v>8435</v>
      </c>
      <c r="B2988" s="2" t="s">
        <v>8435</v>
      </c>
      <c r="C2988" s="2" t="s">
        <v>88</v>
      </c>
      <c r="D2988" s="2" t="s">
        <v>220</v>
      </c>
      <c r="E2988" s="4">
        <v>-32604</v>
      </c>
      <c r="F2988" s="3" t="s">
        <v>2233</v>
      </c>
      <c r="G2988" s="3" t="s">
        <v>1985</v>
      </c>
      <c r="H2988" s="2" t="s">
        <v>74</v>
      </c>
      <c r="I2988" s="2" t="s">
        <v>8442</v>
      </c>
      <c r="J2988" s="3" t="str">
        <f>HYPERLINK("https://www.boe.es/gazeta/dias/1810/09/24/pdfs/GMD-1810-267.pdf#page=2","Abrir facsímil")</f>
        <v>Abrir facsímil</v>
      </c>
      <c r="K2988" s="3" t="s">
        <v>76</v>
      </c>
    </row>
    <row r="2989" spans="1:11" ht="42" customHeight="1">
      <c r="A2989" s="2" t="s">
        <v>8443</v>
      </c>
      <c r="B2989" s="2" t="s">
        <v>8444</v>
      </c>
      <c r="C2989" s="2" t="s">
        <v>88</v>
      </c>
      <c r="D2989" s="2" t="s">
        <v>27</v>
      </c>
      <c r="E2989" s="4">
        <v>-32655</v>
      </c>
      <c r="F2989" s="3" t="s">
        <v>1040</v>
      </c>
      <c r="G2989" s="3" t="s">
        <v>1041</v>
      </c>
      <c r="H2989" s="2" t="s">
        <v>74</v>
      </c>
      <c r="I2989" s="2" t="s">
        <v>8445</v>
      </c>
      <c r="J2989" s="3" t="str">
        <f>HYPERLINK("https://www.boe.es/gazeta/dias/1810/08/04/pdfs/GMD-1810-216.pdf#page=4","Abrir facsímil")</f>
        <v>Abrir facsímil</v>
      </c>
      <c r="K2989" s="3" t="s">
        <v>76</v>
      </c>
    </row>
    <row r="2990" spans="1:11" ht="42" customHeight="1">
      <c r="A2990" s="2" t="s">
        <v>8446</v>
      </c>
      <c r="B2990" s="2" t="s">
        <v>8447</v>
      </c>
      <c r="C2990" s="2" t="s">
        <v>26</v>
      </c>
      <c r="D2990" s="2" t="s">
        <v>18</v>
      </c>
      <c r="E2990" s="4">
        <v>-32867</v>
      </c>
      <c r="F2990" s="3" t="s">
        <v>712</v>
      </c>
      <c r="G2990" s="3" t="s">
        <v>291</v>
      </c>
      <c r="H2990" s="2" t="s">
        <v>74</v>
      </c>
      <c r="I2990" s="2" t="s">
        <v>8448</v>
      </c>
      <c r="J2990" s="3" t="str">
        <f>HYPERLINK("https://www.boe.es/gazeta/dias/1810/01/04/pdfs/GGB-1810-2.pdf#page=8","Abrir facsímil")</f>
        <v>Abrir facsímil</v>
      </c>
      <c r="K2990" s="3" t="s">
        <v>76</v>
      </c>
    </row>
    <row r="2991" spans="1:11" ht="42" customHeight="1">
      <c r="A2991" s="2" t="s">
        <v>8449</v>
      </c>
      <c r="B2991" s="2" t="s">
        <v>8450</v>
      </c>
      <c r="C2991" s="2" t="s">
        <v>33</v>
      </c>
      <c r="D2991" s="2" t="s">
        <v>27</v>
      </c>
      <c r="E2991" s="4">
        <v>-32557</v>
      </c>
      <c r="F2991" s="3" t="s">
        <v>837</v>
      </c>
      <c r="G2991" s="3" t="s">
        <v>8451</v>
      </c>
      <c r="H2991" s="2" t="s">
        <v>74</v>
      </c>
      <c r="I2991" s="2" t="s">
        <v>8452</v>
      </c>
      <c r="J2991" s="3" t="str">
        <f>HYPERLINK("https://www.boe.es/gazeta/dias/1810/11/10/pdfs/GEI-1810-93.pdf#page=8","Abrir facsímil")</f>
        <v>Abrir facsímil</v>
      </c>
      <c r="K2991" s="3" t="s">
        <v>76</v>
      </c>
    </row>
    <row r="2992" spans="1:11" ht="42" customHeight="1">
      <c r="A2992" s="2" t="s">
        <v>8453</v>
      </c>
      <c r="B2992" s="2" t="s">
        <v>8454</v>
      </c>
      <c r="C2992" s="2" t="s">
        <v>26</v>
      </c>
      <c r="D2992" s="2" t="s">
        <v>27</v>
      </c>
      <c r="E2992" s="4">
        <v>-32537</v>
      </c>
      <c r="F2992" s="3" t="s">
        <v>1091</v>
      </c>
      <c r="G2992" s="3" t="s">
        <v>20</v>
      </c>
      <c r="H2992" s="2" t="s">
        <v>74</v>
      </c>
      <c r="I2992" s="2" t="s">
        <v>8455</v>
      </c>
      <c r="J2992" s="3" t="str">
        <f>HYPERLINK("https://www.boe.es/gazeta/dias/1810/11/30/pdfs/GMD-1810-334.pdf#page=4","Abrir facsímil")</f>
        <v>Abrir facsímil</v>
      </c>
      <c r="K2992" s="3" t="s">
        <v>76</v>
      </c>
    </row>
    <row r="2993" spans="1:11" ht="42" customHeight="1">
      <c r="A2993" s="2" t="s">
        <v>8456</v>
      </c>
      <c r="B2993" s="2" t="s">
        <v>8456</v>
      </c>
      <c r="C2993" s="2" t="s">
        <v>88</v>
      </c>
      <c r="D2993" s="2" t="s">
        <v>27</v>
      </c>
      <c r="E2993" s="4">
        <v>-32571</v>
      </c>
      <c r="F2993" s="3" t="s">
        <v>737</v>
      </c>
      <c r="G2993" s="3" t="s">
        <v>785</v>
      </c>
      <c r="H2993" s="2" t="s">
        <v>74</v>
      </c>
      <c r="I2993" s="2" t="s">
        <v>8457</v>
      </c>
      <c r="J2993" s="3" t="str">
        <f>HYPERLINK("https://www.boe.es/gazeta/dias/1810/10/27/pdfs/GEI-1810-87.pdf#page=3","Abrir facsímil")</f>
        <v>Abrir facsímil</v>
      </c>
      <c r="K2993" s="3" t="s">
        <v>76</v>
      </c>
    </row>
    <row r="2994" spans="1:11" ht="42" customHeight="1">
      <c r="A2994" s="2" t="s">
        <v>8458</v>
      </c>
      <c r="B2994" s="2" t="s">
        <v>8458</v>
      </c>
      <c r="C2994" s="2" t="s">
        <v>88</v>
      </c>
      <c r="D2994" s="2" t="s">
        <v>27</v>
      </c>
      <c r="E2994" s="4">
        <v>-32862</v>
      </c>
      <c r="F2994" s="3" t="s">
        <v>694</v>
      </c>
      <c r="G2994" s="3" t="s">
        <v>191</v>
      </c>
      <c r="H2994" s="2" t="s">
        <v>74</v>
      </c>
      <c r="I2994" s="2" t="s">
        <v>8459</v>
      </c>
      <c r="J2994" s="3" t="str">
        <f>HYPERLINK("https://www.boe.es/gazeta/dias/1810/01/09/pdfs/GGB-1810-4.pdf#page=2","Abrir facsímil")</f>
        <v>Abrir facsímil</v>
      </c>
      <c r="K2994" s="3" t="s">
        <v>76</v>
      </c>
    </row>
    <row r="2995" spans="1:11" ht="42" customHeight="1">
      <c r="A2995" s="2" t="s">
        <v>8460</v>
      </c>
      <c r="B2995" s="2" t="s">
        <v>8460</v>
      </c>
      <c r="C2995" s="2" t="s">
        <v>88</v>
      </c>
      <c r="D2995" s="2" t="s">
        <v>27</v>
      </c>
      <c r="E2995" s="4">
        <v>-32862</v>
      </c>
      <c r="F2995" s="3" t="s">
        <v>694</v>
      </c>
      <c r="G2995" s="3" t="s">
        <v>191</v>
      </c>
      <c r="H2995" s="2" t="s">
        <v>74</v>
      </c>
      <c r="I2995" s="2" t="s">
        <v>8461</v>
      </c>
      <c r="J2995" s="3" t="str">
        <f>HYPERLINK("https://www.boe.es/gazeta/dias/1810/01/09/pdfs/GGB-1810-4.pdf#page=2","Abrir facsímil")</f>
        <v>Abrir facsímil</v>
      </c>
      <c r="K2995" s="3" t="s">
        <v>76</v>
      </c>
    </row>
    <row r="2996" spans="1:11" ht="42" customHeight="1">
      <c r="A2996" s="2" t="s">
        <v>8462</v>
      </c>
      <c r="B2996" s="2" t="s">
        <v>8462</v>
      </c>
      <c r="C2996" s="2" t="s">
        <v>111</v>
      </c>
      <c r="D2996" s="2" t="s">
        <v>27</v>
      </c>
      <c r="E2996" s="4">
        <v>-32556</v>
      </c>
      <c r="F2996" s="3" t="s">
        <v>799</v>
      </c>
      <c r="G2996" s="3" t="s">
        <v>735</v>
      </c>
      <c r="H2996" s="2" t="s">
        <v>74</v>
      </c>
      <c r="I2996" s="2" t="s">
        <v>8463</v>
      </c>
      <c r="J2996" s="3" t="str">
        <f>HYPERLINK("https://www.boe.es/gazeta/dias/1810/11/11/pdfs/GMD-1810-315.pdf#page=3","Abrir facsímil")</f>
        <v>Abrir facsímil</v>
      </c>
      <c r="K2996" s="3" t="s">
        <v>76</v>
      </c>
    </row>
    <row r="2997" spans="1:11" ht="42" customHeight="1">
      <c r="A2997" s="2" t="s">
        <v>8464</v>
      </c>
      <c r="B2997" s="2" t="s">
        <v>8464</v>
      </c>
      <c r="C2997" s="2" t="s">
        <v>225</v>
      </c>
      <c r="D2997" s="2" t="s">
        <v>27</v>
      </c>
      <c r="E2997" s="4">
        <v>-32571</v>
      </c>
      <c r="F2997" s="3" t="s">
        <v>6811</v>
      </c>
      <c r="G2997" s="3" t="s">
        <v>735</v>
      </c>
      <c r="H2997" s="2" t="s">
        <v>74</v>
      </c>
      <c r="I2997" s="2" t="s">
        <v>8465</v>
      </c>
      <c r="J2997" s="3" t="str">
        <f>HYPERLINK("https://www.boe.es/gazeta/dias/1810/10/27/pdfs/GMD-1810-300.pdf#page=4","Abrir facsímil")</f>
        <v>Abrir facsímil</v>
      </c>
      <c r="K2997" s="3" t="s">
        <v>76</v>
      </c>
    </row>
    <row r="2998" spans="1:11" ht="42" customHeight="1">
      <c r="A2998" s="2" t="s">
        <v>8464</v>
      </c>
      <c r="B2998" s="2" t="s">
        <v>8464</v>
      </c>
      <c r="C2998" s="2" t="s">
        <v>17</v>
      </c>
      <c r="D2998" s="2" t="s">
        <v>27</v>
      </c>
      <c r="E2998" s="4">
        <v>-32556</v>
      </c>
      <c r="F2998" s="3" t="s">
        <v>799</v>
      </c>
      <c r="G2998" s="3" t="s">
        <v>735</v>
      </c>
      <c r="H2998" s="2" t="s">
        <v>74</v>
      </c>
      <c r="I2998" s="2" t="s">
        <v>8466</v>
      </c>
      <c r="J2998" s="3" t="str">
        <f>HYPERLINK("https://www.boe.es/gazeta/dias/1810/11/11/pdfs/GMD-1810-315.pdf#page=3","Abrir facsímil")</f>
        <v>Abrir facsímil</v>
      </c>
      <c r="K2998" s="3" t="s">
        <v>76</v>
      </c>
    </row>
    <row r="2999" spans="1:11" ht="42" customHeight="1">
      <c r="A2999" s="2" t="s">
        <v>8467</v>
      </c>
      <c r="B2999" s="2" t="s">
        <v>8467</v>
      </c>
      <c r="C2999" s="2" t="s">
        <v>111</v>
      </c>
      <c r="D2999" s="2" t="s">
        <v>27</v>
      </c>
      <c r="E2999" s="4">
        <v>-32556</v>
      </c>
      <c r="F2999" s="3" t="s">
        <v>799</v>
      </c>
      <c r="G2999" s="3" t="s">
        <v>735</v>
      </c>
      <c r="H2999" s="2" t="s">
        <v>74</v>
      </c>
      <c r="I2999" s="2" t="s">
        <v>8468</v>
      </c>
      <c r="J2999" s="3" t="str">
        <f>HYPERLINK("https://www.boe.es/gazeta/dias/1810/11/11/pdfs/GMD-1810-315.pdf#page=3","Abrir facsímil")</f>
        <v>Abrir facsímil</v>
      </c>
      <c r="K2999" s="3" t="s">
        <v>76</v>
      </c>
    </row>
    <row r="3000" spans="1:11" ht="42" customHeight="1">
      <c r="A3000" s="2" t="s">
        <v>8469</v>
      </c>
      <c r="B3000" s="2" t="s">
        <v>8469</v>
      </c>
      <c r="C3000" s="2" t="s">
        <v>88</v>
      </c>
      <c r="D3000" s="2" t="s">
        <v>117</v>
      </c>
      <c r="E3000" s="4">
        <v>-32529</v>
      </c>
      <c r="F3000" s="3" t="s">
        <v>3700</v>
      </c>
      <c r="G3000" s="3" t="s">
        <v>213</v>
      </c>
      <c r="H3000" s="2" t="s">
        <v>74</v>
      </c>
      <c r="I3000" s="2" t="s">
        <v>8470</v>
      </c>
      <c r="J3000" s="3" t="str">
        <f>HYPERLINK("https://www.boe.es/gazeta/dias/1810/12/08/pdfs/GMD-1810-342.pdf#page=4","Abrir facsímil")</f>
        <v>Abrir facsímil</v>
      </c>
      <c r="K3000" s="3" t="s">
        <v>76</v>
      </c>
    </row>
    <row r="3001" spans="1:11" ht="42" customHeight="1">
      <c r="A3001" s="2" t="s">
        <v>8471</v>
      </c>
      <c r="B3001" s="2" t="s">
        <v>8471</v>
      </c>
      <c r="C3001" s="2" t="s">
        <v>88</v>
      </c>
      <c r="D3001" s="2" t="s">
        <v>27</v>
      </c>
      <c r="E3001" s="4">
        <v>-32565</v>
      </c>
      <c r="F3001" s="3" t="s">
        <v>743</v>
      </c>
      <c r="G3001" s="3" t="s">
        <v>458</v>
      </c>
      <c r="H3001" s="2" t="s">
        <v>74</v>
      </c>
      <c r="I3001" s="2" t="s">
        <v>8472</v>
      </c>
      <c r="J3001" s="3" t="str">
        <f>HYPERLINK("https://www.boe.es/gazeta/dias/1810/11/02/pdfs/GMD-1810-306.pdf#page=2","Abrir facsímil")</f>
        <v>Abrir facsímil</v>
      </c>
      <c r="K3001" s="3" t="s">
        <v>76</v>
      </c>
    </row>
    <row r="3002" spans="1:11" ht="42" customHeight="1">
      <c r="A3002" s="2" t="s">
        <v>8473</v>
      </c>
      <c r="B3002" s="2" t="s">
        <v>8473</v>
      </c>
      <c r="C3002" s="2" t="s">
        <v>88</v>
      </c>
      <c r="D3002" s="2" t="s">
        <v>58</v>
      </c>
      <c r="E3002" s="4">
        <v>-32651</v>
      </c>
      <c r="F3002" s="3" t="s">
        <v>59</v>
      </c>
      <c r="G3002" s="3" t="s">
        <v>60</v>
      </c>
      <c r="H3002" s="2" t="s">
        <v>74</v>
      </c>
      <c r="I3002" s="2" t="s">
        <v>8474</v>
      </c>
      <c r="J3002" s="3" t="str">
        <f>HYPERLINK("https://www.boe.es/gazeta/dias/1810/08/08/pdfs/GEI-1810-53E.pdf#page=3","Abrir facsímil")</f>
        <v>Abrir facsímil</v>
      </c>
      <c r="K3002" s="3" t="s">
        <v>76</v>
      </c>
    </row>
    <row r="3003" spans="1:11" ht="42" customHeight="1">
      <c r="A3003" s="2" t="s">
        <v>8475</v>
      </c>
      <c r="B3003" s="2" t="s">
        <v>8475</v>
      </c>
      <c r="C3003" s="2" t="s">
        <v>26</v>
      </c>
      <c r="D3003" s="2" t="s">
        <v>27</v>
      </c>
      <c r="E3003" s="4">
        <v>-32865</v>
      </c>
      <c r="F3003" s="3" t="s">
        <v>1377</v>
      </c>
      <c r="G3003" s="3" t="s">
        <v>29</v>
      </c>
      <c r="H3003" s="2" t="s">
        <v>74</v>
      </c>
      <c r="I3003" s="2" t="s">
        <v>8476</v>
      </c>
      <c r="J3003" s="3" t="str">
        <f>HYPERLINK("https://www.boe.es/gazeta/dias/1810/01/06/pdfs/GMD-1810-6.pdf#page=3","Abrir facsímil")</f>
        <v>Abrir facsímil</v>
      </c>
      <c r="K3003" s="3" t="s">
        <v>76</v>
      </c>
    </row>
    <row r="3004" spans="1:11" ht="42" customHeight="1">
      <c r="A3004" s="2" t="s">
        <v>8477</v>
      </c>
      <c r="B3004" s="2" t="s">
        <v>8478</v>
      </c>
      <c r="C3004" s="2" t="s">
        <v>26</v>
      </c>
      <c r="D3004" s="2" t="s">
        <v>27</v>
      </c>
      <c r="E3004" s="4">
        <v>-32676</v>
      </c>
      <c r="F3004" s="3" t="s">
        <v>2863</v>
      </c>
      <c r="G3004" s="3" t="s">
        <v>592</v>
      </c>
      <c r="H3004" s="2" t="s">
        <v>74</v>
      </c>
      <c r="I3004" s="2" t="s">
        <v>8479</v>
      </c>
      <c r="J3004" s="3" t="str">
        <f>HYPERLINK("https://www.boe.es/gazeta/dias/1810/07/14/pdfs/GMD-1810-195.pdf#page=4","Abrir facsímil")</f>
        <v>Abrir facsímil</v>
      </c>
      <c r="K3004" s="3" t="s">
        <v>76</v>
      </c>
    </row>
    <row r="3005" spans="1:11" ht="42" customHeight="1">
      <c r="A3005" s="2" t="s">
        <v>8480</v>
      </c>
      <c r="B3005" s="2" t="s">
        <v>8481</v>
      </c>
      <c r="C3005" s="2" t="s">
        <v>195</v>
      </c>
      <c r="D3005" s="2" t="s">
        <v>27</v>
      </c>
      <c r="E3005" s="4">
        <v>-32784</v>
      </c>
      <c r="F3005" s="3" t="s">
        <v>429</v>
      </c>
      <c r="G3005" s="3" t="s">
        <v>131</v>
      </c>
      <c r="H3005" s="2" t="s">
        <v>74</v>
      </c>
      <c r="I3005" s="2" t="s">
        <v>8482</v>
      </c>
      <c r="J3005" s="3" t="str">
        <f>HYPERLINK("https://www.boe.es/gazeta/dias/1810/03/28/pdfs/GMD-1810-87.pdf#page=3","Abrir facsímil")</f>
        <v>Abrir facsímil</v>
      </c>
      <c r="K3005" s="3" t="s">
        <v>76</v>
      </c>
    </row>
    <row r="3006" spans="1:11" ht="42" customHeight="1">
      <c r="A3006" s="2" t="s">
        <v>8480</v>
      </c>
      <c r="B3006" s="2" t="s">
        <v>8481</v>
      </c>
      <c r="C3006" s="2" t="s">
        <v>88</v>
      </c>
      <c r="D3006" s="2" t="s">
        <v>27</v>
      </c>
      <c r="E3006" s="4">
        <v>-32725</v>
      </c>
      <c r="F3006" s="3" t="s">
        <v>417</v>
      </c>
      <c r="G3006" s="3" t="s">
        <v>140</v>
      </c>
      <c r="H3006" s="2" t="s">
        <v>74</v>
      </c>
      <c r="I3006" s="2" t="s">
        <v>8483</v>
      </c>
      <c r="J3006" s="3" t="str">
        <f>HYPERLINK("https://www.boe.es/gazeta/dias/1810/05/26/pdfs/GMD-1810-146.pdf#page=4","Abrir facsímil")</f>
        <v>Abrir facsímil</v>
      </c>
      <c r="K3006" s="3" t="s">
        <v>76</v>
      </c>
    </row>
    <row r="3007" spans="1:11" ht="42" customHeight="1">
      <c r="A3007" s="2" t="s">
        <v>8484</v>
      </c>
      <c r="B3007" s="2" t="s">
        <v>8485</v>
      </c>
      <c r="C3007" s="2" t="s">
        <v>26</v>
      </c>
      <c r="D3007" s="2" t="s">
        <v>27</v>
      </c>
      <c r="E3007" s="4">
        <v>-32599</v>
      </c>
      <c r="F3007" s="3" t="s">
        <v>1586</v>
      </c>
      <c r="G3007" s="3" t="s">
        <v>140</v>
      </c>
      <c r="H3007" s="2" t="s">
        <v>74</v>
      </c>
      <c r="I3007" s="2" t="s">
        <v>8486</v>
      </c>
      <c r="J3007" s="3" t="str">
        <f>HYPERLINK("https://www.boe.es/gazeta/dias/1810/09/29/pdfs/GMD-1810-272.pdf#page=4","Abrir facsímil")</f>
        <v>Abrir facsímil</v>
      </c>
      <c r="K3007" s="3" t="s">
        <v>76</v>
      </c>
    </row>
    <row r="3008" spans="1:11" ht="42" customHeight="1">
      <c r="A3008" s="2" t="s">
        <v>8487</v>
      </c>
      <c r="B3008" s="2" t="s">
        <v>8488</v>
      </c>
      <c r="C3008" s="2" t="s">
        <v>26</v>
      </c>
      <c r="D3008" s="2" t="s">
        <v>27</v>
      </c>
      <c r="E3008" s="4">
        <v>-32528</v>
      </c>
      <c r="F3008" s="3" t="s">
        <v>3058</v>
      </c>
      <c r="G3008" s="3" t="s">
        <v>359</v>
      </c>
      <c r="H3008" s="2" t="s">
        <v>74</v>
      </c>
      <c r="I3008" s="2" t="s">
        <v>8489</v>
      </c>
      <c r="J3008" s="3" t="str">
        <f>HYPERLINK("https://www.boe.es/gazeta/dias/1810/12/09/pdfs/GMD-1810-343.pdf#page=3","Abrir facsímil")</f>
        <v>Abrir facsímil</v>
      </c>
      <c r="K3008" s="3" t="s">
        <v>76</v>
      </c>
    </row>
    <row r="3009" spans="1:11" ht="42" customHeight="1">
      <c r="A3009" s="2" t="s">
        <v>8490</v>
      </c>
      <c r="B3009" s="2" t="s">
        <v>8491</v>
      </c>
      <c r="C3009" s="2" t="s">
        <v>225</v>
      </c>
      <c r="D3009" s="2" t="s">
        <v>27</v>
      </c>
      <c r="E3009" s="4">
        <v>-32644</v>
      </c>
      <c r="F3009" s="3" t="s">
        <v>457</v>
      </c>
      <c r="G3009" s="3" t="s">
        <v>213</v>
      </c>
      <c r="H3009" s="2" t="s">
        <v>74</v>
      </c>
      <c r="I3009" s="2" t="s">
        <v>8492</v>
      </c>
      <c r="J3009" s="3" t="str">
        <f>HYPERLINK("https://www.boe.es/gazeta/dias/1810/08/15/pdfs/GMD-1810-227.pdf#page=4","Abrir facsímil")</f>
        <v>Abrir facsímil</v>
      </c>
      <c r="K3009" s="3" t="s">
        <v>76</v>
      </c>
    </row>
    <row r="3010" spans="1:11" ht="42" customHeight="1">
      <c r="A3010" s="2" t="s">
        <v>8493</v>
      </c>
      <c r="B3010" s="2" t="s">
        <v>8494</v>
      </c>
      <c r="C3010" s="2" t="s">
        <v>26</v>
      </c>
      <c r="D3010" s="2" t="s">
        <v>27</v>
      </c>
      <c r="E3010" s="4">
        <v>-32703</v>
      </c>
      <c r="F3010" s="3" t="s">
        <v>1213</v>
      </c>
      <c r="G3010" s="3" t="s">
        <v>1214</v>
      </c>
      <c r="H3010" s="2" t="s">
        <v>74</v>
      </c>
      <c r="I3010" s="2" t="s">
        <v>8495</v>
      </c>
      <c r="J3010" s="3" t="str">
        <f>HYPERLINK("https://www.boe.es/gazeta/dias/1810/06/17/pdfs/GMD-1810-168.pdf#page=4","Abrir facsímil")</f>
        <v>Abrir facsímil</v>
      </c>
      <c r="K3010" s="3" t="s">
        <v>76</v>
      </c>
    </row>
    <row r="3011" spans="1:11" ht="42" customHeight="1">
      <c r="A3011" s="2" t="s">
        <v>8496</v>
      </c>
      <c r="B3011" s="2" t="s">
        <v>8497</v>
      </c>
      <c r="C3011" s="2" t="s">
        <v>26</v>
      </c>
      <c r="D3011" s="2" t="s">
        <v>27</v>
      </c>
      <c r="E3011" s="4">
        <v>-32508</v>
      </c>
      <c r="F3011" s="3" t="s">
        <v>864</v>
      </c>
      <c r="G3011" s="3" t="s">
        <v>691</v>
      </c>
      <c r="H3011" s="2" t="s">
        <v>74</v>
      </c>
      <c r="I3011" s="2" t="s">
        <v>8498</v>
      </c>
      <c r="J3011" s="3" t="str">
        <f>HYPERLINK("https://www.boe.es/gazeta/dias/1810/12/29/pdfs/GEI-1810-114.pdf#page=8","Abrir facsímil")</f>
        <v>Abrir facsímil</v>
      </c>
      <c r="K3011" s="3" t="s">
        <v>76</v>
      </c>
    </row>
    <row r="3012" spans="1:11" ht="42" customHeight="1">
      <c r="A3012" s="2" t="s">
        <v>8499</v>
      </c>
      <c r="B3012" s="2" t="s">
        <v>8499</v>
      </c>
      <c r="C3012" s="2" t="s">
        <v>317</v>
      </c>
      <c r="D3012" s="2" t="s">
        <v>27</v>
      </c>
      <c r="E3012" s="4">
        <v>-32655</v>
      </c>
      <c r="F3012" s="3" t="s">
        <v>1040</v>
      </c>
      <c r="G3012" s="3" t="s">
        <v>213</v>
      </c>
      <c r="H3012" s="2" t="s">
        <v>74</v>
      </c>
      <c r="I3012" s="2" t="s">
        <v>8500</v>
      </c>
      <c r="J3012" s="3" t="str">
        <f>HYPERLINK("https://www.boe.es/gazeta/dias/1810/08/04/pdfs/GMD-1810-216.pdf#page=1","Abrir facsímil")</f>
        <v>Abrir facsímil</v>
      </c>
      <c r="K3012" s="3" t="s">
        <v>76</v>
      </c>
    </row>
    <row r="3013" spans="1:11" ht="42" customHeight="1">
      <c r="A3013" s="2" t="s">
        <v>8501</v>
      </c>
      <c r="B3013" s="2" t="s">
        <v>8502</v>
      </c>
      <c r="C3013" s="2" t="s">
        <v>26</v>
      </c>
      <c r="D3013" s="2" t="s">
        <v>27</v>
      </c>
      <c r="E3013" s="4">
        <v>-32775</v>
      </c>
      <c r="F3013" s="3" t="s">
        <v>308</v>
      </c>
      <c r="G3013" s="3" t="s">
        <v>140</v>
      </c>
      <c r="H3013" s="2" t="s">
        <v>74</v>
      </c>
      <c r="I3013" s="2" t="s">
        <v>8503</v>
      </c>
      <c r="J3013" s="3" t="str">
        <f>HYPERLINK("https://www.boe.es/gazeta/dias/1810/04/06/pdfs/GMD-1810-96.pdf#page=3","Abrir facsímil")</f>
        <v>Abrir facsímil</v>
      </c>
      <c r="K3013" s="3" t="s">
        <v>76</v>
      </c>
    </row>
    <row r="3014" spans="1:11" ht="42" customHeight="1">
      <c r="A3014" s="2" t="s">
        <v>8504</v>
      </c>
      <c r="B3014" s="2" t="s">
        <v>8504</v>
      </c>
      <c r="C3014" s="2" t="s">
        <v>26</v>
      </c>
      <c r="D3014" s="2" t="s">
        <v>18</v>
      </c>
      <c r="E3014" s="4">
        <v>-32677</v>
      </c>
      <c r="F3014" s="3" t="s">
        <v>549</v>
      </c>
      <c r="G3014" s="3" t="s">
        <v>1540</v>
      </c>
      <c r="H3014" s="2" t="s">
        <v>74</v>
      </c>
      <c r="I3014" s="2" t="s">
        <v>8505</v>
      </c>
      <c r="J3014" s="3" t="str">
        <f>HYPERLINK("https://www.boe.es/gazeta/dias/1810/07/13/pdfs/GEI-D-1810-44.pdf#page=4","Abrir facsímil")</f>
        <v>Abrir facsímil</v>
      </c>
      <c r="K3014" s="3" t="s">
        <v>76</v>
      </c>
    </row>
    <row r="3015" spans="1:11" ht="42" customHeight="1">
      <c r="A3015" s="2" t="s">
        <v>8506</v>
      </c>
      <c r="B3015" s="2" t="s">
        <v>8506</v>
      </c>
      <c r="C3015" s="2" t="s">
        <v>88</v>
      </c>
      <c r="D3015" s="2" t="s">
        <v>27</v>
      </c>
      <c r="E3015" s="4">
        <v>-32535</v>
      </c>
      <c r="F3015" s="3" t="s">
        <v>3440</v>
      </c>
      <c r="G3015" s="3" t="s">
        <v>8507</v>
      </c>
      <c r="H3015" s="2" t="s">
        <v>74</v>
      </c>
      <c r="I3015" s="2" t="s">
        <v>8508</v>
      </c>
      <c r="J3015" s="3" t="str">
        <f>HYPERLINK("https://www.boe.es/gazeta/dias/1810/12/02/pdfs/GMD-1810-336.pdf#page=1","Abrir facsímil")</f>
        <v>Abrir facsímil</v>
      </c>
      <c r="K3015" s="3" t="s">
        <v>76</v>
      </c>
    </row>
    <row r="3016" spans="1:11" ht="42" customHeight="1">
      <c r="A3016" s="2" t="s">
        <v>8509</v>
      </c>
      <c r="B3016" s="2" t="s">
        <v>8510</v>
      </c>
      <c r="C3016" s="2" t="s">
        <v>26</v>
      </c>
      <c r="D3016" s="2" t="s">
        <v>39</v>
      </c>
      <c r="E3016" s="4">
        <v>-32701</v>
      </c>
      <c r="F3016" s="3" t="s">
        <v>40</v>
      </c>
      <c r="G3016" s="3" t="s">
        <v>41</v>
      </c>
      <c r="H3016" s="2" t="s">
        <v>74</v>
      </c>
      <c r="I3016" s="2" t="s">
        <v>8511</v>
      </c>
      <c r="J3016" s="3" t="str">
        <f>HYPERLINK("https://www.boe.es/gazeta/dias/1810/06/19/pdfs/GMD-C-1810-170.pdf#page=3","Abrir facsímil")</f>
        <v>Abrir facsímil</v>
      </c>
      <c r="K3016" s="3" t="s">
        <v>76</v>
      </c>
    </row>
    <row r="3017" spans="1:11" ht="42" customHeight="1">
      <c r="A3017" s="2" t="s">
        <v>8512</v>
      </c>
      <c r="B3017" s="2" t="s">
        <v>8513</v>
      </c>
      <c r="C3017" s="2" t="s">
        <v>26</v>
      </c>
      <c r="D3017" s="2" t="s">
        <v>27</v>
      </c>
      <c r="E3017" s="4">
        <v>-32839</v>
      </c>
      <c r="F3017" s="3" t="s">
        <v>28</v>
      </c>
      <c r="G3017" s="3" t="s">
        <v>29</v>
      </c>
      <c r="H3017" s="2" t="s">
        <v>74</v>
      </c>
      <c r="I3017" s="2" t="s">
        <v>8514</v>
      </c>
      <c r="J3017" s="3" t="str">
        <f>HYPERLINK("https://www.boe.es/gazeta/dias/1810/02/01/pdfs/GMD-1810-32.pdf#page=3","Abrir facsímil")</f>
        <v>Abrir facsímil</v>
      </c>
      <c r="K3017" s="3" t="s">
        <v>76</v>
      </c>
    </row>
    <row r="3018" spans="1:11" ht="42" customHeight="1">
      <c r="A3018" s="2" t="s">
        <v>8515</v>
      </c>
      <c r="B3018" s="2" t="s">
        <v>8516</v>
      </c>
      <c r="C3018" s="2" t="s">
        <v>26</v>
      </c>
      <c r="D3018" s="2" t="s">
        <v>27</v>
      </c>
      <c r="E3018" s="4">
        <v>-32617</v>
      </c>
      <c r="F3018" s="3" t="s">
        <v>3861</v>
      </c>
      <c r="G3018" s="3" t="s">
        <v>20</v>
      </c>
      <c r="H3018" s="2" t="s">
        <v>74</v>
      </c>
      <c r="I3018" s="2" t="s">
        <v>8517</v>
      </c>
      <c r="J3018" s="3" t="str">
        <f>HYPERLINK("https://www.boe.es/gazeta/dias/1810/09/11/pdfs/GMD-1810-254.pdf#page=4","Abrir facsímil")</f>
        <v>Abrir facsímil</v>
      </c>
      <c r="K3018" s="3" t="s">
        <v>76</v>
      </c>
    </row>
    <row r="3019" spans="1:11" ht="42" customHeight="1">
      <c r="A3019" s="2" t="s">
        <v>8518</v>
      </c>
      <c r="B3019" s="2" t="s">
        <v>8519</v>
      </c>
      <c r="C3019" s="2" t="s">
        <v>88</v>
      </c>
      <c r="D3019" s="2" t="s">
        <v>117</v>
      </c>
      <c r="E3019" s="4">
        <v>-32517</v>
      </c>
      <c r="F3019" s="3" t="s">
        <v>566</v>
      </c>
      <c r="G3019" s="3" t="s">
        <v>8520</v>
      </c>
      <c r="H3019" s="2" t="s">
        <v>74</v>
      </c>
      <c r="I3019" s="2" t="s">
        <v>8521</v>
      </c>
      <c r="J3019" s="3" t="str">
        <f>HYPERLINK("https://www.boe.es/gazeta/dias/1810/12/20/pdfs/GEI-1810-110.pdf#page=4","Abrir facsímil")</f>
        <v>Abrir facsímil</v>
      </c>
      <c r="K3019" s="3" t="s">
        <v>76</v>
      </c>
    </row>
    <row r="3020" spans="1:11" ht="42" customHeight="1">
      <c r="A3020" s="2" t="s">
        <v>8522</v>
      </c>
      <c r="B3020" s="2" t="s">
        <v>8522</v>
      </c>
      <c r="C3020" s="2" t="s">
        <v>26</v>
      </c>
      <c r="D3020" s="2" t="s">
        <v>27</v>
      </c>
      <c r="E3020" s="4">
        <v>-32596</v>
      </c>
      <c r="F3020" s="3" t="s">
        <v>1311</v>
      </c>
      <c r="G3020" s="3" t="s">
        <v>29</v>
      </c>
      <c r="H3020" s="2" t="s">
        <v>74</v>
      </c>
      <c r="I3020" s="2" t="s">
        <v>8523</v>
      </c>
      <c r="J3020" s="3" t="str">
        <f>HYPERLINK("https://www.boe.es/gazeta/dias/1810/10/02/pdfs/GMD-1810-275.pdf#page=3","Abrir facsímil")</f>
        <v>Abrir facsímil</v>
      </c>
      <c r="K3020" s="3" t="s">
        <v>76</v>
      </c>
    </row>
    <row r="3021" spans="1:11" ht="42" customHeight="1">
      <c r="A3021" s="2" t="s">
        <v>8524</v>
      </c>
      <c r="B3021" s="2" t="s">
        <v>8524</v>
      </c>
      <c r="C3021" s="2" t="s">
        <v>88</v>
      </c>
      <c r="D3021" s="2" t="s">
        <v>27</v>
      </c>
      <c r="E3021" s="4">
        <v>-32598</v>
      </c>
      <c r="F3021" s="3" t="s">
        <v>6961</v>
      </c>
      <c r="G3021" s="3" t="s">
        <v>180</v>
      </c>
      <c r="H3021" s="2" t="s">
        <v>74</v>
      </c>
      <c r="I3021" s="2" t="s">
        <v>8525</v>
      </c>
      <c r="J3021" s="3" t="str">
        <f>HYPERLINK("https://www.boe.es/gazeta/dias/1810/09/30/pdfs/GMD-1810-273.pdf#page=1","Abrir facsímil")</f>
        <v>Abrir facsímil</v>
      </c>
      <c r="K3021" s="3" t="s">
        <v>76</v>
      </c>
    </row>
    <row r="3022" spans="1:11" ht="42" customHeight="1">
      <c r="A3022" s="2" t="s">
        <v>8526</v>
      </c>
      <c r="B3022" s="2" t="s">
        <v>8527</v>
      </c>
      <c r="C3022" s="2" t="s">
        <v>88</v>
      </c>
      <c r="D3022" s="2" t="s">
        <v>27</v>
      </c>
      <c r="E3022" s="4">
        <v>-32700</v>
      </c>
      <c r="F3022" s="3" t="s">
        <v>89</v>
      </c>
      <c r="G3022" s="3" t="s">
        <v>90</v>
      </c>
      <c r="H3022" s="2" t="s">
        <v>74</v>
      </c>
      <c r="I3022" s="2" t="s">
        <v>8528</v>
      </c>
      <c r="J3022" s="3" t="str">
        <f>HYPERLINK("https://www.boe.es/gazeta/dias/1810/06/20/pdfs/GMD-1810-171.pdf#page=2","Abrir facsímil")</f>
        <v>Abrir facsímil</v>
      </c>
      <c r="K3022" s="3" t="s">
        <v>76</v>
      </c>
    </row>
    <row r="3023" spans="1:11" ht="42" customHeight="1">
      <c r="A3023" s="2" t="s">
        <v>8529</v>
      </c>
      <c r="B3023" s="2" t="s">
        <v>8530</v>
      </c>
      <c r="C3023" s="2" t="s">
        <v>26</v>
      </c>
      <c r="D3023" s="2" t="s">
        <v>27</v>
      </c>
      <c r="E3023" s="4">
        <v>-32517</v>
      </c>
      <c r="F3023" s="3" t="s">
        <v>566</v>
      </c>
      <c r="G3023" s="3" t="s">
        <v>818</v>
      </c>
      <c r="H3023" s="2" t="s">
        <v>74</v>
      </c>
      <c r="I3023" s="2" t="s">
        <v>8531</v>
      </c>
      <c r="J3023" s="3" t="str">
        <f>HYPERLINK("https://www.boe.es/gazeta/dias/1810/12/20/pdfs/GEI-1810-110.pdf#page=5","Abrir facsímil")</f>
        <v>Abrir facsímil</v>
      </c>
      <c r="K3023" s="3" t="s">
        <v>76</v>
      </c>
    </row>
    <row r="3024" spans="1:11" ht="42" customHeight="1">
      <c r="A3024" s="2" t="s">
        <v>8532</v>
      </c>
      <c r="B3024" s="2" t="s">
        <v>8533</v>
      </c>
      <c r="C3024" s="2" t="s">
        <v>17</v>
      </c>
      <c r="D3024" s="2" t="s">
        <v>27</v>
      </c>
      <c r="E3024" s="4">
        <v>-32741</v>
      </c>
      <c r="F3024" s="3" t="s">
        <v>98</v>
      </c>
      <c r="G3024" s="3" t="s">
        <v>90</v>
      </c>
      <c r="H3024" s="2" t="s">
        <v>74</v>
      </c>
      <c r="I3024" s="2" t="s">
        <v>8534</v>
      </c>
      <c r="J3024" s="3" t="str">
        <f>HYPERLINK("https://www.boe.es/gazeta/dias/1810/05/10/pdfs/GMD-1810-130.pdf#page=4","Abrir facsímil")</f>
        <v>Abrir facsímil</v>
      </c>
      <c r="K3024" s="3" t="s">
        <v>76</v>
      </c>
    </row>
    <row r="3025" spans="1:11" ht="42" customHeight="1">
      <c r="A3025" s="2" t="s">
        <v>8535</v>
      </c>
      <c r="B3025" s="2" t="s">
        <v>8536</v>
      </c>
      <c r="C3025" s="2" t="s">
        <v>26</v>
      </c>
      <c r="D3025" s="2" t="s">
        <v>27</v>
      </c>
      <c r="E3025" s="4">
        <v>-32563</v>
      </c>
      <c r="F3025" s="3" t="s">
        <v>535</v>
      </c>
      <c r="G3025" s="3" t="s">
        <v>8537</v>
      </c>
      <c r="H3025" s="2" t="s">
        <v>74</v>
      </c>
      <c r="I3025" s="2" t="s">
        <v>8538</v>
      </c>
      <c r="J3025" s="3" t="str">
        <f>HYPERLINK("https://www.boe.es/gazeta/dias/1810/11/04/pdfs/GMD-1810-308.pdf#page=24","Abrir facsímil")</f>
        <v>Abrir facsímil</v>
      </c>
      <c r="K3025" s="3" t="s">
        <v>76</v>
      </c>
    </row>
    <row r="3026" spans="1:11" ht="42" customHeight="1">
      <c r="A3026" s="2" t="s">
        <v>8539</v>
      </c>
      <c r="B3026" s="2" t="s">
        <v>8540</v>
      </c>
      <c r="C3026" s="2" t="s">
        <v>111</v>
      </c>
      <c r="D3026" s="2" t="s">
        <v>18</v>
      </c>
      <c r="E3026" s="4">
        <v>-32543</v>
      </c>
      <c r="F3026" s="3" t="s">
        <v>69</v>
      </c>
      <c r="G3026" s="3" t="s">
        <v>70</v>
      </c>
      <c r="H3026" s="2" t="s">
        <v>74</v>
      </c>
      <c r="I3026" s="2" t="s">
        <v>8541</v>
      </c>
      <c r="J3026" s="3" t="str">
        <f>HYPERLINK("https://www.boe.es/gazeta/dias/1810/11/24/pdfs/GEI-1810-99.pdf#page=8","Abrir facsímil")</f>
        <v>Abrir facsímil</v>
      </c>
      <c r="K3026" s="3" t="s">
        <v>76</v>
      </c>
    </row>
    <row r="3027" spans="1:11" ht="42" customHeight="1">
      <c r="A3027" s="2" t="s">
        <v>8542</v>
      </c>
      <c r="B3027" s="2" t="s">
        <v>8543</v>
      </c>
      <c r="C3027" s="2" t="s">
        <v>225</v>
      </c>
      <c r="D3027" s="2" t="s">
        <v>27</v>
      </c>
      <c r="E3027" s="4">
        <v>-32820</v>
      </c>
      <c r="F3027" s="3" t="s">
        <v>226</v>
      </c>
      <c r="G3027" s="3" t="s">
        <v>356</v>
      </c>
      <c r="H3027" s="2" t="s">
        <v>74</v>
      </c>
      <c r="I3027" s="2" t="s">
        <v>8544</v>
      </c>
      <c r="J3027" s="3" t="str">
        <f>HYPERLINK("https://www.boe.es/gazeta/dias/1810/02/20/pdfs/GMD-1810-51.pdf#page=3","Abrir facsímil")</f>
        <v>Abrir facsímil</v>
      </c>
      <c r="K3027" s="3" t="s">
        <v>76</v>
      </c>
    </row>
    <row r="3028" spans="1:11" ht="42" customHeight="1">
      <c r="A3028" s="2" t="s">
        <v>8545</v>
      </c>
      <c r="B3028" s="2" t="s">
        <v>8546</v>
      </c>
      <c r="C3028" s="2" t="s">
        <v>88</v>
      </c>
      <c r="D3028" s="2" t="s">
        <v>117</v>
      </c>
      <c r="E3028" s="4">
        <v>-32783</v>
      </c>
      <c r="F3028" s="3" t="s">
        <v>896</v>
      </c>
      <c r="G3028" s="3" t="s">
        <v>20</v>
      </c>
      <c r="H3028" s="2" t="s">
        <v>74</v>
      </c>
      <c r="I3028" s="2" t="s">
        <v>8547</v>
      </c>
      <c r="J3028" s="3" t="str">
        <f>HYPERLINK("https://www.boe.es/gazeta/dias/1810/03/29/pdfs/GMD-1810-88.pdf#page=4","Abrir facsímil")</f>
        <v>Abrir facsímil</v>
      </c>
      <c r="K3028" s="3" t="s">
        <v>76</v>
      </c>
    </row>
    <row r="3029" spans="1:11" ht="42" customHeight="1">
      <c r="A3029" s="2" t="s">
        <v>8548</v>
      </c>
      <c r="B3029" s="2" t="s">
        <v>8549</v>
      </c>
      <c r="C3029" s="2" t="s">
        <v>88</v>
      </c>
      <c r="D3029" s="2" t="s">
        <v>27</v>
      </c>
      <c r="E3029" s="4">
        <v>-32550</v>
      </c>
      <c r="F3029" s="3" t="s">
        <v>1472</v>
      </c>
      <c r="G3029" s="3" t="s">
        <v>1473</v>
      </c>
      <c r="H3029" s="2" t="s">
        <v>74</v>
      </c>
      <c r="I3029" s="2" t="s">
        <v>8550</v>
      </c>
      <c r="J3029" s="3" t="str">
        <f>HYPERLINK("https://www.boe.es/gazeta/dias/1810/11/17/pdfs/GEI-1810-96.pdf#page=8","Abrir facsímil")</f>
        <v>Abrir facsímil</v>
      </c>
      <c r="K3029" s="3" t="s">
        <v>76</v>
      </c>
    </row>
    <row r="3030" spans="1:11" ht="42" customHeight="1">
      <c r="A3030" s="2" t="s">
        <v>8551</v>
      </c>
      <c r="B3030" s="2" t="s">
        <v>8552</v>
      </c>
      <c r="C3030" s="2" t="s">
        <v>111</v>
      </c>
      <c r="D3030" s="2" t="s">
        <v>18</v>
      </c>
      <c r="E3030" s="4">
        <v>-32517</v>
      </c>
      <c r="F3030" s="3" t="s">
        <v>566</v>
      </c>
      <c r="G3030" s="3" t="s">
        <v>762</v>
      </c>
      <c r="H3030" s="2" t="s">
        <v>74</v>
      </c>
      <c r="I3030" s="2" t="s">
        <v>8553</v>
      </c>
      <c r="J3030" s="3" t="str">
        <f>HYPERLINK("https://www.boe.es/gazeta/dias/1810/12/20/pdfs/GEI-1810-110.pdf#page=8","Abrir facsímil")</f>
        <v>Abrir facsímil</v>
      </c>
      <c r="K3030" s="3" t="s">
        <v>76</v>
      </c>
    </row>
    <row r="3031" spans="1:11" ht="42" customHeight="1">
      <c r="A3031" s="2" t="s">
        <v>8554</v>
      </c>
      <c r="B3031" s="2" t="s">
        <v>8555</v>
      </c>
      <c r="C3031" s="2" t="s">
        <v>26</v>
      </c>
      <c r="D3031" s="2" t="s">
        <v>27</v>
      </c>
      <c r="E3031" s="4">
        <v>-32526</v>
      </c>
      <c r="F3031" s="3" t="s">
        <v>530</v>
      </c>
      <c r="G3031" s="3" t="s">
        <v>531</v>
      </c>
      <c r="H3031" s="2" t="s">
        <v>74</v>
      </c>
      <c r="I3031" s="2" t="s">
        <v>8556</v>
      </c>
      <c r="J3031" s="3" t="str">
        <f>HYPERLINK("https://www.boe.es/gazeta/dias/1810/12/11/pdfs/GEI-1810-106.pdf#page=2","Abrir facsímil")</f>
        <v>Abrir facsímil</v>
      </c>
      <c r="K3031" s="3" t="s">
        <v>76</v>
      </c>
    </row>
    <row r="3032" spans="1:11" ht="42" customHeight="1">
      <c r="A3032" s="2" t="s">
        <v>8557</v>
      </c>
      <c r="B3032" s="2" t="s">
        <v>8557</v>
      </c>
      <c r="C3032" s="2" t="s">
        <v>88</v>
      </c>
      <c r="D3032" s="2" t="s">
        <v>39</v>
      </c>
      <c r="E3032" s="4">
        <v>-32642</v>
      </c>
      <c r="F3032" s="3" t="s">
        <v>2273</v>
      </c>
      <c r="G3032" s="3" t="s">
        <v>8558</v>
      </c>
      <c r="H3032" s="2" t="s">
        <v>74</v>
      </c>
      <c r="I3032" s="2" t="s">
        <v>8559</v>
      </c>
      <c r="J3032" s="3" t="str">
        <f>HYPERLINK("https://www.boe.es/gazeta/dias/1810/08/17/pdfs/GEI-D-1810-57.pdf#page=3","Abrir facsímil")</f>
        <v>Abrir facsímil</v>
      </c>
      <c r="K3032" s="3" t="s">
        <v>76</v>
      </c>
    </row>
    <row r="3033" spans="1:11" ht="42" customHeight="1">
      <c r="A3033" s="2" t="s">
        <v>8557</v>
      </c>
      <c r="B3033" s="2" t="s">
        <v>8557</v>
      </c>
      <c r="C3033" s="2" t="s">
        <v>88</v>
      </c>
      <c r="D3033" s="2" t="s">
        <v>27</v>
      </c>
      <c r="E3033" s="4">
        <v>-32628</v>
      </c>
      <c r="F3033" s="3" t="s">
        <v>3118</v>
      </c>
      <c r="G3033" s="3" t="s">
        <v>29</v>
      </c>
      <c r="H3033" s="2" t="s">
        <v>74</v>
      </c>
      <c r="I3033" s="2" t="s">
        <v>8560</v>
      </c>
      <c r="J3033" s="3" t="str">
        <f>HYPERLINK("https://www.boe.es/gazeta/dias/1810/08/31/pdfs/GEI-1810-62.pdf#page=6","Abrir facsímil")</f>
        <v>Abrir facsímil</v>
      </c>
      <c r="K3033" s="3" t="s">
        <v>76</v>
      </c>
    </row>
    <row r="3034" spans="1:11" ht="42" customHeight="1">
      <c r="A3034" s="2" t="s">
        <v>8557</v>
      </c>
      <c r="B3034" s="2" t="s">
        <v>8557</v>
      </c>
      <c r="C3034" s="2" t="s">
        <v>88</v>
      </c>
      <c r="D3034" s="2" t="s">
        <v>27</v>
      </c>
      <c r="E3034" s="4">
        <v>-32628</v>
      </c>
      <c r="F3034" s="3" t="s">
        <v>3118</v>
      </c>
      <c r="G3034" s="3" t="s">
        <v>8561</v>
      </c>
      <c r="H3034" s="2" t="s">
        <v>74</v>
      </c>
      <c r="I3034" s="2" t="s">
        <v>8562</v>
      </c>
      <c r="J3034" s="3" t="str">
        <f>HYPERLINK("https://www.boe.es/gazeta/dias/1810/08/31/pdfs/GEI-1810-62.pdf#page=7","Abrir facsímil")</f>
        <v>Abrir facsímil</v>
      </c>
      <c r="K3034" s="3" t="s">
        <v>76</v>
      </c>
    </row>
    <row r="3035" spans="1:11" ht="42" customHeight="1">
      <c r="A3035" s="2" t="s">
        <v>8557</v>
      </c>
      <c r="B3035" s="2" t="s">
        <v>8557</v>
      </c>
      <c r="C3035" s="2" t="s">
        <v>88</v>
      </c>
      <c r="D3035" s="2" t="s">
        <v>27</v>
      </c>
      <c r="E3035" s="4">
        <v>-32596</v>
      </c>
      <c r="F3035" s="3" t="s">
        <v>248</v>
      </c>
      <c r="G3035" s="3" t="s">
        <v>1714</v>
      </c>
      <c r="H3035" s="2" t="s">
        <v>74</v>
      </c>
      <c r="I3035" s="2" t="s">
        <v>8563</v>
      </c>
      <c r="J3035" s="3" t="str">
        <f>HYPERLINK("https://www.boe.es/gazeta/dias/1810/10/02/pdfs/GEI-1810-76.pdf#page=3","Abrir facsímil")</f>
        <v>Abrir facsímil</v>
      </c>
      <c r="K3035" s="3" t="s">
        <v>76</v>
      </c>
    </row>
    <row r="3036" spans="1:11" ht="42" customHeight="1">
      <c r="A3036" s="2" t="s">
        <v>8557</v>
      </c>
      <c r="B3036" s="2" t="s">
        <v>8557</v>
      </c>
      <c r="C3036" s="2" t="s">
        <v>88</v>
      </c>
      <c r="D3036" s="2" t="s">
        <v>27</v>
      </c>
      <c r="E3036" s="4">
        <v>-32559</v>
      </c>
      <c r="F3036" s="3" t="s">
        <v>3062</v>
      </c>
      <c r="G3036" s="3" t="s">
        <v>20</v>
      </c>
      <c r="H3036" s="2" t="s">
        <v>74</v>
      </c>
      <c r="I3036" s="2" t="s">
        <v>8564</v>
      </c>
      <c r="J3036" s="3" t="str">
        <f>HYPERLINK("https://www.boe.es/gazeta/dias/1810/11/08/pdfs/GEI-1810-92.pdf#page=4","Abrir facsímil")</f>
        <v>Abrir facsímil</v>
      </c>
      <c r="K3036" s="3" t="s">
        <v>76</v>
      </c>
    </row>
    <row r="3037" spans="1:11" ht="42" customHeight="1">
      <c r="A3037" s="2" t="s">
        <v>8565</v>
      </c>
      <c r="B3037" s="2" t="s">
        <v>8566</v>
      </c>
      <c r="C3037" s="2" t="s">
        <v>111</v>
      </c>
      <c r="D3037" s="2" t="s">
        <v>27</v>
      </c>
      <c r="E3037" s="4">
        <v>-32575</v>
      </c>
      <c r="F3037" s="3" t="s">
        <v>135</v>
      </c>
      <c r="G3037" s="3" t="s">
        <v>140</v>
      </c>
      <c r="H3037" s="2" t="s">
        <v>74</v>
      </c>
      <c r="I3037" s="2" t="s">
        <v>8567</v>
      </c>
      <c r="J3037" s="3" t="str">
        <f>HYPERLINK("https://www.boe.es/gazeta/dias/1810/10/23/pdfs/GEI-1810-85.pdf#page=10","Abrir facsímil")</f>
        <v>Abrir facsímil</v>
      </c>
      <c r="K3037" s="3" t="s">
        <v>76</v>
      </c>
    </row>
    <row r="3038" spans="1:11" ht="42" customHeight="1">
      <c r="A3038" s="2" t="s">
        <v>8568</v>
      </c>
      <c r="B3038" s="2" t="s">
        <v>8569</v>
      </c>
      <c r="C3038" s="2" t="s">
        <v>26</v>
      </c>
      <c r="D3038" s="2" t="s">
        <v>27</v>
      </c>
      <c r="E3038" s="4">
        <v>-32763</v>
      </c>
      <c r="F3038" s="3" t="s">
        <v>1146</v>
      </c>
      <c r="G3038" s="3" t="s">
        <v>20</v>
      </c>
      <c r="H3038" s="2" t="s">
        <v>74</v>
      </c>
      <c r="I3038" s="2" t="s">
        <v>8570</v>
      </c>
      <c r="J3038" s="3" t="str">
        <f>HYPERLINK("https://www.boe.es/gazeta/dias/1810/04/18/pdfs/GMD-1810-108.pdf#page=4","Abrir facsímil")</f>
        <v>Abrir facsímil</v>
      </c>
      <c r="K3038" s="3" t="s">
        <v>76</v>
      </c>
    </row>
    <row r="3039" spans="1:11" ht="42" customHeight="1">
      <c r="A3039" s="2" t="s">
        <v>8571</v>
      </c>
      <c r="B3039" s="2" t="s">
        <v>8572</v>
      </c>
      <c r="C3039" s="2" t="s">
        <v>88</v>
      </c>
      <c r="D3039" s="2" t="s">
        <v>117</v>
      </c>
      <c r="E3039" s="4">
        <v>-32729</v>
      </c>
      <c r="F3039" s="3" t="s">
        <v>174</v>
      </c>
      <c r="G3039" s="3" t="s">
        <v>70</v>
      </c>
      <c r="H3039" s="2" t="s">
        <v>74</v>
      </c>
      <c r="I3039" s="2" t="s">
        <v>8573</v>
      </c>
      <c r="J3039" s="3" t="str">
        <f>HYPERLINK("https://www.boe.es/gazeta/dias/1810/05/22/pdfs/GEI-1810-28.pdf#page=7","Abrir facsímil")</f>
        <v>Abrir facsímil</v>
      </c>
      <c r="K3039" s="3" t="s">
        <v>76</v>
      </c>
    </row>
    <row r="3040" spans="1:11" ht="42" customHeight="1">
      <c r="A3040" s="2" t="s">
        <v>8574</v>
      </c>
      <c r="B3040" s="2" t="s">
        <v>8575</v>
      </c>
      <c r="C3040" s="2" t="s">
        <v>26</v>
      </c>
      <c r="D3040" s="2" t="s">
        <v>39</v>
      </c>
      <c r="E3040" s="4">
        <v>-32701</v>
      </c>
      <c r="F3040" s="3" t="s">
        <v>40</v>
      </c>
      <c r="G3040" s="3" t="s">
        <v>315</v>
      </c>
      <c r="H3040" s="2" t="s">
        <v>74</v>
      </c>
      <c r="I3040" s="2" t="s">
        <v>8576</v>
      </c>
      <c r="J3040" s="3" t="str">
        <f>HYPERLINK("https://www.boe.es/gazeta/dias/1810/06/19/pdfs/GMD-C-1810-170.pdf#page=2","Abrir facsímil")</f>
        <v>Abrir facsímil</v>
      </c>
      <c r="K3040" s="3" t="s">
        <v>76</v>
      </c>
    </row>
    <row r="3041" spans="1:11" ht="42" customHeight="1">
      <c r="A3041" s="2" t="s">
        <v>8577</v>
      </c>
      <c r="B3041" s="2" t="s">
        <v>8577</v>
      </c>
      <c r="C3041" s="2" t="s">
        <v>88</v>
      </c>
      <c r="D3041" s="2" t="s">
        <v>27</v>
      </c>
      <c r="E3041" s="4">
        <v>-32649</v>
      </c>
      <c r="F3041" s="3" t="s">
        <v>190</v>
      </c>
      <c r="G3041" s="3" t="s">
        <v>8507</v>
      </c>
      <c r="H3041" s="2" t="s">
        <v>74</v>
      </c>
      <c r="I3041" s="2" t="s">
        <v>8578</v>
      </c>
      <c r="J3041" s="3" t="str">
        <f>HYPERLINK("https://www.boe.es/gazeta/dias/1810/08/10/pdfs/GEI-1810-54.pdf#page=3","Abrir facsímil")</f>
        <v>Abrir facsímil</v>
      </c>
      <c r="K3041" s="3" t="s">
        <v>76</v>
      </c>
    </row>
    <row r="3042" spans="1:11" ht="42" customHeight="1">
      <c r="A3042" s="2" t="s">
        <v>8579</v>
      </c>
      <c r="B3042" s="2" t="s">
        <v>8580</v>
      </c>
      <c r="C3042" s="2" t="s">
        <v>26</v>
      </c>
      <c r="D3042" s="2" t="s">
        <v>27</v>
      </c>
      <c r="E3042" s="4">
        <v>-32771</v>
      </c>
      <c r="F3042" s="3" t="s">
        <v>543</v>
      </c>
      <c r="G3042" s="3" t="s">
        <v>65</v>
      </c>
      <c r="H3042" s="2" t="s">
        <v>74</v>
      </c>
      <c r="I3042" s="2" t="s">
        <v>8581</v>
      </c>
      <c r="J3042" s="3" t="str">
        <f>HYPERLINK("https://www.boe.es/gazeta/dias/1810/04/10/pdfs/GEI-1810-13.pdf#page=7","Abrir facsímil")</f>
        <v>Abrir facsímil</v>
      </c>
      <c r="K3042" s="3" t="s">
        <v>76</v>
      </c>
    </row>
    <row r="3043" spans="1:11" ht="42" customHeight="1">
      <c r="A3043" s="2" t="s">
        <v>8582</v>
      </c>
      <c r="B3043" s="2" t="s">
        <v>8583</v>
      </c>
      <c r="C3043" s="2" t="s">
        <v>26</v>
      </c>
      <c r="D3043" s="2" t="s">
        <v>39</v>
      </c>
      <c r="E3043" s="4">
        <v>-32684</v>
      </c>
      <c r="F3043" s="3" t="s">
        <v>372</v>
      </c>
      <c r="G3043" s="3" t="s">
        <v>373</v>
      </c>
      <c r="H3043" s="2" t="s">
        <v>74</v>
      </c>
      <c r="I3043" s="2" t="s">
        <v>8584</v>
      </c>
      <c r="J3043" s="3" t="str">
        <f>HYPERLINK("https://www.boe.es/gazeta/dias/1810/07/06/pdfs/GEI-D-1810-42.pdf#page=8","Abrir facsímil")</f>
        <v>Abrir facsímil</v>
      </c>
      <c r="K3043" s="3" t="s">
        <v>76</v>
      </c>
    </row>
    <row r="3044" spans="1:11" ht="42" customHeight="1">
      <c r="A3044" s="2" t="s">
        <v>8585</v>
      </c>
      <c r="B3044" s="2" t="s">
        <v>8586</v>
      </c>
      <c r="C3044" s="2" t="s">
        <v>88</v>
      </c>
      <c r="D3044" s="2" t="s">
        <v>27</v>
      </c>
      <c r="E3044" s="4">
        <v>-32515</v>
      </c>
      <c r="F3044" s="3" t="s">
        <v>351</v>
      </c>
      <c r="G3044" s="3" t="s">
        <v>352</v>
      </c>
      <c r="H3044" s="2" t="s">
        <v>74</v>
      </c>
      <c r="I3044" s="2" t="s">
        <v>8587</v>
      </c>
      <c r="J3044" s="3" t="str">
        <f>HYPERLINK("https://www.boe.es/gazeta/dias/1810/12/22/pdfs/GEI-1810-111.pdf#page=8","Abrir facsímil")</f>
        <v>Abrir facsímil</v>
      </c>
      <c r="K3044" s="3" t="s">
        <v>76</v>
      </c>
    </row>
    <row r="3045" spans="1:11" ht="42" customHeight="1">
      <c r="A3045" s="2" t="s">
        <v>8588</v>
      </c>
      <c r="B3045" s="2" t="s">
        <v>8589</v>
      </c>
      <c r="C3045" s="2" t="s">
        <v>26</v>
      </c>
      <c r="D3045" s="2" t="s">
        <v>27</v>
      </c>
      <c r="E3045" s="4">
        <v>-32528</v>
      </c>
      <c r="F3045" s="3" t="s">
        <v>3058</v>
      </c>
      <c r="G3045" s="3" t="s">
        <v>359</v>
      </c>
      <c r="H3045" s="2" t="s">
        <v>74</v>
      </c>
      <c r="I3045" s="2" t="s">
        <v>8590</v>
      </c>
      <c r="J3045" s="3" t="str">
        <f>HYPERLINK("https://www.boe.es/gazeta/dias/1810/12/09/pdfs/GMD-1810-343.pdf#page=3","Abrir facsímil")</f>
        <v>Abrir facsímil</v>
      </c>
      <c r="K3045" s="3" t="s">
        <v>76</v>
      </c>
    </row>
    <row r="3046" spans="1:11" ht="42" customHeight="1">
      <c r="A3046" s="2" t="s">
        <v>8591</v>
      </c>
      <c r="B3046" s="2" t="s">
        <v>8592</v>
      </c>
      <c r="C3046" s="2" t="s">
        <v>26</v>
      </c>
      <c r="D3046" s="2" t="s">
        <v>39</v>
      </c>
      <c r="E3046" s="4">
        <v>-32749</v>
      </c>
      <c r="F3046" s="3" t="s">
        <v>803</v>
      </c>
      <c r="G3046" s="3" t="s">
        <v>213</v>
      </c>
      <c r="H3046" s="2" t="s">
        <v>74</v>
      </c>
      <c r="I3046" s="2" t="s">
        <v>8593</v>
      </c>
      <c r="J3046" s="3" t="str">
        <f>HYPERLINK("https://www.boe.es/gazeta/dias/1810/05/02/pdfs/GMD-C-1810-122.pdf#page=2","Abrir facsímil")</f>
        <v>Abrir facsímil</v>
      </c>
      <c r="K3046" s="3" t="s">
        <v>76</v>
      </c>
    </row>
    <row r="3047" spans="1:11" ht="42" customHeight="1">
      <c r="A3047" s="2" t="s">
        <v>8594</v>
      </c>
      <c r="B3047" s="2" t="s">
        <v>8595</v>
      </c>
      <c r="C3047" s="2" t="s">
        <v>26</v>
      </c>
      <c r="D3047" s="2" t="s">
        <v>27</v>
      </c>
      <c r="E3047" s="4">
        <v>-32603</v>
      </c>
      <c r="F3047" s="3" t="s">
        <v>2163</v>
      </c>
      <c r="G3047" s="3" t="s">
        <v>29</v>
      </c>
      <c r="H3047" s="2" t="s">
        <v>74</v>
      </c>
      <c r="I3047" s="2" t="s">
        <v>8596</v>
      </c>
      <c r="J3047" s="3" t="str">
        <f>HYPERLINK("https://www.boe.es/gazeta/dias/1810/09/25/pdfs/GEI-1810-72.pdf#page=8","Abrir facsímil")</f>
        <v>Abrir facsímil</v>
      </c>
      <c r="K3047" s="3" t="s">
        <v>76</v>
      </c>
    </row>
    <row r="3048" spans="1:11" ht="42" customHeight="1">
      <c r="A3048" s="2" t="s">
        <v>8597</v>
      </c>
      <c r="B3048" s="2" t="s">
        <v>8597</v>
      </c>
      <c r="C3048" s="2" t="s">
        <v>88</v>
      </c>
      <c r="D3048" s="2" t="s">
        <v>27</v>
      </c>
      <c r="E3048" s="4">
        <v>-32848</v>
      </c>
      <c r="F3048" s="3" t="s">
        <v>8598</v>
      </c>
      <c r="G3048" s="3" t="s">
        <v>29</v>
      </c>
      <c r="H3048" s="2" t="s">
        <v>74</v>
      </c>
      <c r="I3048" s="2" t="s">
        <v>8599</v>
      </c>
      <c r="J3048" s="3" t="str">
        <f>HYPERLINK("https://www.boe.es/gazeta/dias/1810/01/23/pdfs/GMD-1810-23.pdf#page=3","Abrir facsímil")</f>
        <v>Abrir facsímil</v>
      </c>
      <c r="K3048" s="3" t="s">
        <v>76</v>
      </c>
    </row>
    <row r="3049" spans="1:11" ht="42" customHeight="1">
      <c r="A3049" s="2" t="s">
        <v>8600</v>
      </c>
      <c r="B3049" s="2" t="s">
        <v>8601</v>
      </c>
      <c r="C3049" s="2" t="s">
        <v>26</v>
      </c>
      <c r="D3049" s="2" t="s">
        <v>39</v>
      </c>
      <c r="E3049" s="4">
        <v>-32701</v>
      </c>
      <c r="F3049" s="3" t="s">
        <v>40</v>
      </c>
      <c r="G3049" s="3" t="s">
        <v>315</v>
      </c>
      <c r="H3049" s="2" t="s">
        <v>74</v>
      </c>
      <c r="I3049" s="2" t="s">
        <v>8602</v>
      </c>
      <c r="J3049" s="3" t="str">
        <f>HYPERLINK("https://www.boe.es/gazeta/dias/1810/06/19/pdfs/GMD-C-1810-170.pdf#page=2","Abrir facsímil")</f>
        <v>Abrir facsímil</v>
      </c>
      <c r="K3049" s="3" t="s">
        <v>76</v>
      </c>
    </row>
    <row r="3050" spans="1:11" ht="42" customHeight="1">
      <c r="A3050" s="2" t="s">
        <v>8603</v>
      </c>
      <c r="B3050" s="2" t="s">
        <v>8604</v>
      </c>
      <c r="C3050" s="2" t="s">
        <v>26</v>
      </c>
      <c r="D3050" s="2" t="s">
        <v>18</v>
      </c>
      <c r="E3050" s="4">
        <v>-32601</v>
      </c>
      <c r="F3050" s="3" t="s">
        <v>392</v>
      </c>
      <c r="G3050" s="3" t="s">
        <v>1430</v>
      </c>
      <c r="H3050" s="2" t="s">
        <v>74</v>
      </c>
      <c r="I3050" s="2" t="s">
        <v>8605</v>
      </c>
      <c r="J3050" s="3" t="str">
        <f>HYPERLINK("https://www.boe.es/gazeta/dias/1810/09/27/pdfs/GEI-1810-74E.pdf#page=3","Abrir facsímil")</f>
        <v>Abrir facsímil</v>
      </c>
      <c r="K3050" s="3" t="s">
        <v>76</v>
      </c>
    </row>
    <row r="3051" spans="1:11" ht="42" customHeight="1">
      <c r="A3051" s="2" t="s">
        <v>8606</v>
      </c>
      <c r="B3051" s="2" t="s">
        <v>8607</v>
      </c>
      <c r="C3051" s="2" t="s">
        <v>26</v>
      </c>
      <c r="D3051" s="2" t="s">
        <v>27</v>
      </c>
      <c r="E3051" s="4">
        <v>-32647</v>
      </c>
      <c r="F3051" s="3" t="s">
        <v>118</v>
      </c>
      <c r="G3051" s="3" t="s">
        <v>119</v>
      </c>
      <c r="H3051" s="2" t="s">
        <v>74</v>
      </c>
      <c r="I3051" s="2" t="s">
        <v>8608</v>
      </c>
      <c r="J3051" s="3" t="str">
        <f>HYPERLINK("https://www.boe.es/gazeta/dias/1810/08/12/pdfs/GMD-1810-224.pdf#page=3","Abrir facsímil")</f>
        <v>Abrir facsímil</v>
      </c>
      <c r="K3051" s="3" t="s">
        <v>76</v>
      </c>
    </row>
    <row r="3052" spans="1:11" ht="42" customHeight="1">
      <c r="A3052" s="2" t="s">
        <v>8609</v>
      </c>
      <c r="B3052" s="2" t="s">
        <v>8610</v>
      </c>
      <c r="C3052" s="2" t="s">
        <v>26</v>
      </c>
      <c r="D3052" s="2" t="s">
        <v>18</v>
      </c>
      <c r="E3052" s="4">
        <v>-32741</v>
      </c>
      <c r="F3052" s="3" t="s">
        <v>98</v>
      </c>
      <c r="G3052" s="3" t="s">
        <v>99</v>
      </c>
      <c r="H3052" s="2" t="s">
        <v>74</v>
      </c>
      <c r="I3052" s="2" t="s">
        <v>8611</v>
      </c>
      <c r="J3052" s="3" t="str">
        <f>HYPERLINK("https://www.boe.es/gazeta/dias/1810/05/10/pdfs/GMD-1810-130.pdf#page=3","Abrir facsímil")</f>
        <v>Abrir facsímil</v>
      </c>
      <c r="K3052" s="3" t="s">
        <v>76</v>
      </c>
    </row>
    <row r="3053" spans="1:11" ht="42" customHeight="1">
      <c r="A3053" s="2" t="s">
        <v>8612</v>
      </c>
      <c r="B3053" s="2" t="s">
        <v>8613</v>
      </c>
      <c r="C3053" s="2" t="s">
        <v>26</v>
      </c>
      <c r="D3053" s="2" t="s">
        <v>27</v>
      </c>
      <c r="E3053" s="4">
        <v>-32575</v>
      </c>
      <c r="F3053" s="3" t="s">
        <v>135</v>
      </c>
      <c r="G3053" s="3" t="s">
        <v>140</v>
      </c>
      <c r="H3053" s="2" t="s">
        <v>74</v>
      </c>
      <c r="I3053" s="2" t="s">
        <v>8614</v>
      </c>
      <c r="J3053" s="3" t="str">
        <f>HYPERLINK("https://www.boe.es/gazeta/dias/1810/10/23/pdfs/GEI-1810-85.pdf#page=10","Abrir facsímil")</f>
        <v>Abrir facsímil</v>
      </c>
      <c r="K3053" s="3" t="s">
        <v>76</v>
      </c>
    </row>
    <row r="3054" spans="1:11" ht="42" customHeight="1">
      <c r="A3054" s="2" t="s">
        <v>8615</v>
      </c>
      <c r="B3054" s="2" t="s">
        <v>8616</v>
      </c>
      <c r="C3054" s="2" t="s">
        <v>26</v>
      </c>
      <c r="D3054" s="2" t="s">
        <v>39</v>
      </c>
      <c r="E3054" s="4">
        <v>-32661</v>
      </c>
      <c r="F3054" s="3" t="s">
        <v>157</v>
      </c>
      <c r="G3054" s="3" t="s">
        <v>592</v>
      </c>
      <c r="H3054" s="2" t="s">
        <v>74</v>
      </c>
      <c r="I3054" s="2" t="s">
        <v>8617</v>
      </c>
      <c r="J3054" s="3" t="str">
        <f>HYPERLINK("https://www.boe.es/gazeta/dias/1810/07/29/pdfs/GMD-C-1810-210.pdf#page=2","Abrir facsímil")</f>
        <v>Abrir facsímil</v>
      </c>
      <c r="K3054" s="3" t="s">
        <v>76</v>
      </c>
    </row>
    <row r="3055" spans="1:11" ht="42" customHeight="1">
      <c r="A3055" s="2" t="s">
        <v>8618</v>
      </c>
      <c r="B3055" s="2" t="s">
        <v>8619</v>
      </c>
      <c r="C3055" s="2" t="s">
        <v>26</v>
      </c>
      <c r="D3055" s="2" t="s">
        <v>39</v>
      </c>
      <c r="E3055" s="4">
        <v>-32642</v>
      </c>
      <c r="F3055" s="3" t="s">
        <v>2273</v>
      </c>
      <c r="G3055" s="3" t="s">
        <v>274</v>
      </c>
      <c r="H3055" s="2" t="s">
        <v>74</v>
      </c>
      <c r="I3055" s="2" t="s">
        <v>8620</v>
      </c>
      <c r="J3055" s="3" t="str">
        <f>HYPERLINK("https://www.boe.es/gazeta/dias/1810/08/17/pdfs/GEI-D-1810-57.pdf#page=8","Abrir facsímil")</f>
        <v>Abrir facsímil</v>
      </c>
      <c r="K3055" s="3" t="s">
        <v>76</v>
      </c>
    </row>
    <row r="3056" spans="1:11" ht="42" customHeight="1">
      <c r="A3056" s="2" t="s">
        <v>8621</v>
      </c>
      <c r="B3056" s="2" t="s">
        <v>8622</v>
      </c>
      <c r="C3056" s="2" t="s">
        <v>26</v>
      </c>
      <c r="D3056" s="2" t="s">
        <v>27</v>
      </c>
      <c r="E3056" s="4">
        <v>-32508</v>
      </c>
      <c r="F3056" s="3" t="s">
        <v>864</v>
      </c>
      <c r="G3056" s="3" t="s">
        <v>691</v>
      </c>
      <c r="H3056" s="2" t="s">
        <v>74</v>
      </c>
      <c r="I3056" s="2" t="s">
        <v>8623</v>
      </c>
      <c r="J3056" s="3" t="str">
        <f>HYPERLINK("https://www.boe.es/gazeta/dias/1810/12/29/pdfs/GEI-1810-114.pdf#page=8","Abrir facsímil")</f>
        <v>Abrir facsímil</v>
      </c>
      <c r="K3056" s="3" t="s">
        <v>76</v>
      </c>
    </row>
    <row r="3057" spans="1:11" ht="42" customHeight="1">
      <c r="A3057" s="2" t="s">
        <v>8624</v>
      </c>
      <c r="B3057" s="2" t="s">
        <v>8625</v>
      </c>
      <c r="C3057" s="2" t="s">
        <v>26</v>
      </c>
      <c r="D3057" s="2" t="s">
        <v>27</v>
      </c>
      <c r="E3057" s="4">
        <v>-32543</v>
      </c>
      <c r="F3057" s="3" t="s">
        <v>69</v>
      </c>
      <c r="G3057" s="3" t="s">
        <v>70</v>
      </c>
      <c r="H3057" s="2" t="s">
        <v>74</v>
      </c>
      <c r="I3057" s="2" t="s">
        <v>8626</v>
      </c>
      <c r="J3057" s="3" t="str">
        <f>HYPERLINK("https://www.boe.es/gazeta/dias/1810/11/24/pdfs/GEI-1810-99.pdf#page=8","Abrir facsímil")</f>
        <v>Abrir facsímil</v>
      </c>
      <c r="K3057" s="3" t="s">
        <v>76</v>
      </c>
    </row>
    <row r="3058" spans="1:11" ht="42" customHeight="1">
      <c r="A3058" s="2" t="s">
        <v>8627</v>
      </c>
      <c r="B3058" s="2" t="s">
        <v>8628</v>
      </c>
      <c r="C3058" s="2" t="s">
        <v>26</v>
      </c>
      <c r="D3058" s="2" t="s">
        <v>27</v>
      </c>
      <c r="E3058" s="4">
        <v>-32632</v>
      </c>
      <c r="F3058" s="3" t="s">
        <v>358</v>
      </c>
      <c r="G3058" s="3" t="s">
        <v>359</v>
      </c>
      <c r="H3058" s="2" t="s">
        <v>74</v>
      </c>
      <c r="I3058" s="2" t="s">
        <v>8629</v>
      </c>
      <c r="J3058" s="3" t="str">
        <f>HYPERLINK("https://www.boe.es/gazeta/dias/1810/08/27/pdfs/GMD-1810-239.pdf#page=3","Abrir facsímil")</f>
        <v>Abrir facsímil</v>
      </c>
      <c r="K3058" s="3" t="s">
        <v>76</v>
      </c>
    </row>
    <row r="3059" spans="1:11" ht="42" customHeight="1">
      <c r="A3059" s="2" t="s">
        <v>8630</v>
      </c>
      <c r="B3059" s="2" t="s">
        <v>8631</v>
      </c>
      <c r="C3059" s="2" t="s">
        <v>88</v>
      </c>
      <c r="D3059" s="2" t="s">
        <v>27</v>
      </c>
      <c r="E3059" s="4">
        <v>-32754</v>
      </c>
      <c r="F3059" s="3" t="s">
        <v>1057</v>
      </c>
      <c r="G3059" s="3" t="s">
        <v>1058</v>
      </c>
      <c r="H3059" s="2" t="s">
        <v>74</v>
      </c>
      <c r="I3059" s="2" t="s">
        <v>8632</v>
      </c>
      <c r="J3059" s="3" t="str">
        <f>HYPERLINK("https://www.boe.es/gazeta/dias/1810/04/27/pdfs/GEI-1810-18.pdf#page=12","Abrir facsímil")</f>
        <v>Abrir facsímil</v>
      </c>
      <c r="K3059" s="3" t="s">
        <v>76</v>
      </c>
    </row>
    <row r="3060" spans="1:11" ht="42" customHeight="1">
      <c r="A3060" s="2" t="s">
        <v>8633</v>
      </c>
      <c r="B3060" s="2" t="s">
        <v>8634</v>
      </c>
      <c r="C3060" s="2" t="s">
        <v>88</v>
      </c>
      <c r="D3060" s="2" t="s">
        <v>27</v>
      </c>
      <c r="E3060" s="4">
        <v>-32710</v>
      </c>
      <c r="F3060" s="3" t="s">
        <v>126</v>
      </c>
      <c r="G3060" s="3" t="s">
        <v>184</v>
      </c>
      <c r="H3060" s="2" t="s">
        <v>74</v>
      </c>
      <c r="I3060" s="2" t="s">
        <v>8635</v>
      </c>
      <c r="J3060" s="3" t="str">
        <f>HYPERLINK("https://www.boe.es/gazeta/dias/1810/06/10/pdfs/GMD-1810-161.pdf#page=3","Abrir facsímil")</f>
        <v>Abrir facsímil</v>
      </c>
      <c r="K3060" s="3" t="s">
        <v>76</v>
      </c>
    </row>
    <row r="3061" spans="1:11" ht="42" customHeight="1">
      <c r="A3061" s="2" t="s">
        <v>8636</v>
      </c>
      <c r="B3061" s="2" t="s">
        <v>8637</v>
      </c>
      <c r="C3061" s="2" t="s">
        <v>88</v>
      </c>
      <c r="D3061" s="2" t="s">
        <v>27</v>
      </c>
      <c r="E3061" s="4">
        <v>-32700</v>
      </c>
      <c r="F3061" s="3" t="s">
        <v>89</v>
      </c>
      <c r="G3061" s="3" t="s">
        <v>70</v>
      </c>
      <c r="H3061" s="2" t="s">
        <v>74</v>
      </c>
      <c r="I3061" s="2" t="s">
        <v>8638</v>
      </c>
      <c r="J3061" s="3" t="str">
        <f>HYPERLINK("https://www.boe.es/gazeta/dias/1810/06/20/pdfs/GMD-1810-171.pdf#page=4","Abrir facsímil")</f>
        <v>Abrir facsímil</v>
      </c>
      <c r="K3061" s="3" t="s">
        <v>76</v>
      </c>
    </row>
    <row r="3062" spans="1:11" ht="42" customHeight="1">
      <c r="A3062" s="2" t="s">
        <v>8639</v>
      </c>
      <c r="B3062" s="2" t="s">
        <v>8640</v>
      </c>
      <c r="C3062" s="2" t="s">
        <v>26</v>
      </c>
      <c r="D3062" s="2" t="s">
        <v>39</v>
      </c>
      <c r="E3062" s="4">
        <v>-32702</v>
      </c>
      <c r="F3062" s="3" t="s">
        <v>179</v>
      </c>
      <c r="G3062" s="3" t="s">
        <v>180</v>
      </c>
      <c r="H3062" s="2" t="s">
        <v>74</v>
      </c>
      <c r="I3062" s="2" t="s">
        <v>8641</v>
      </c>
      <c r="J3062" s="3" t="str">
        <f>HYPERLINK("https://www.boe.es/gazeta/dias/1810/06/18/pdfs/GMD-C-1810-169.pdf#page=2","Abrir facsímil")</f>
        <v>Abrir facsímil</v>
      </c>
      <c r="K3062" s="3" t="s">
        <v>76</v>
      </c>
    </row>
    <row r="3063" spans="1:11" ht="42" customHeight="1">
      <c r="A3063" s="2" t="s">
        <v>8642</v>
      </c>
      <c r="B3063" s="2" t="s">
        <v>8643</v>
      </c>
      <c r="C3063" s="2" t="s">
        <v>26</v>
      </c>
      <c r="D3063" s="2" t="s">
        <v>27</v>
      </c>
      <c r="E3063" s="4">
        <v>-32802</v>
      </c>
      <c r="F3063" s="3" t="s">
        <v>1075</v>
      </c>
      <c r="G3063" s="3" t="s">
        <v>35</v>
      </c>
      <c r="H3063" s="2" t="s">
        <v>74</v>
      </c>
      <c r="I3063" s="2" t="s">
        <v>8644</v>
      </c>
      <c r="J3063" s="3" t="str">
        <f>HYPERLINK("https://www.boe.es/gazeta/dias/1810/03/10/pdfs/GMD-1810-69.pdf#page=2","Abrir facsímil")</f>
        <v>Abrir facsímil</v>
      </c>
      <c r="K3063" s="3" t="s">
        <v>76</v>
      </c>
    </row>
    <row r="3064" spans="1:11" ht="42" customHeight="1">
      <c r="A3064" s="2" t="s">
        <v>8645</v>
      </c>
      <c r="B3064" s="2" t="s">
        <v>8646</v>
      </c>
      <c r="C3064" s="2" t="s">
        <v>88</v>
      </c>
      <c r="D3064" s="2" t="s">
        <v>27</v>
      </c>
      <c r="E3064" s="4">
        <v>-32821</v>
      </c>
      <c r="F3064" s="3" t="s">
        <v>1743</v>
      </c>
      <c r="G3064" s="3" t="s">
        <v>99</v>
      </c>
      <c r="H3064" s="2" t="s">
        <v>74</v>
      </c>
      <c r="I3064" s="2" t="s">
        <v>8647</v>
      </c>
      <c r="J3064" s="3" t="str">
        <f>HYPERLINK("https://www.boe.es/gazeta/dias/1810/02/19/pdfs/GMD-1810-50.pdf#page=3","Abrir facsímil")</f>
        <v>Abrir facsímil</v>
      </c>
      <c r="K3064" s="3" t="s">
        <v>76</v>
      </c>
    </row>
    <row r="3065" spans="1:11" ht="42" customHeight="1">
      <c r="A3065" s="2" t="s">
        <v>8648</v>
      </c>
      <c r="B3065" s="2" t="s">
        <v>8649</v>
      </c>
      <c r="C3065" s="2" t="s">
        <v>26</v>
      </c>
      <c r="D3065" s="2" t="s">
        <v>27</v>
      </c>
      <c r="E3065" s="4">
        <v>-32756</v>
      </c>
      <c r="F3065" s="3" t="s">
        <v>203</v>
      </c>
      <c r="G3065" s="3" t="s">
        <v>180</v>
      </c>
      <c r="H3065" s="2" t="s">
        <v>74</v>
      </c>
      <c r="I3065" s="2" t="s">
        <v>8650</v>
      </c>
      <c r="J3065" s="3" t="str">
        <f>HYPERLINK("https://www.boe.es/gazeta/dias/1810/04/25/pdfs/GMD-1810-115.pdf#page=4","Abrir facsímil")</f>
        <v>Abrir facsímil</v>
      </c>
      <c r="K3065" s="3" t="s">
        <v>76</v>
      </c>
    </row>
    <row r="3066" spans="1:11" ht="42" customHeight="1">
      <c r="A3066" s="2" t="s">
        <v>8651</v>
      </c>
      <c r="B3066" s="2" t="s">
        <v>8652</v>
      </c>
      <c r="C3066" s="2" t="s">
        <v>26</v>
      </c>
      <c r="D3066" s="2" t="s">
        <v>27</v>
      </c>
      <c r="E3066" s="4">
        <v>-32517</v>
      </c>
      <c r="F3066" s="3" t="s">
        <v>566</v>
      </c>
      <c r="G3066" s="3" t="s">
        <v>762</v>
      </c>
      <c r="H3066" s="2" t="s">
        <v>74</v>
      </c>
      <c r="I3066" s="2" t="s">
        <v>8653</v>
      </c>
      <c r="J3066" s="3" t="str">
        <f>HYPERLINK("https://www.boe.es/gazeta/dias/1810/12/20/pdfs/GEI-1810-110.pdf#page=8","Abrir facsímil")</f>
        <v>Abrir facsímil</v>
      </c>
      <c r="K3066" s="3" t="s">
        <v>76</v>
      </c>
    </row>
    <row r="3067" spans="1:11" ht="42" customHeight="1">
      <c r="A3067" s="2" t="s">
        <v>8654</v>
      </c>
      <c r="B3067" s="2" t="s">
        <v>8655</v>
      </c>
      <c r="C3067" s="2" t="s">
        <v>111</v>
      </c>
      <c r="D3067" s="2" t="s">
        <v>27</v>
      </c>
      <c r="E3067" s="4">
        <v>-32724</v>
      </c>
      <c r="F3067" s="3" t="s">
        <v>1027</v>
      </c>
      <c r="G3067" s="3" t="s">
        <v>213</v>
      </c>
      <c r="H3067" s="2" t="s">
        <v>74</v>
      </c>
      <c r="I3067" s="2" t="s">
        <v>8656</v>
      </c>
      <c r="J3067" s="3" t="str">
        <f>HYPERLINK("https://www.boe.es/gazeta/dias/1810/05/27/pdfs/GMD-1810-147.pdf#page=4","Abrir facsímil")</f>
        <v>Abrir facsímil</v>
      </c>
      <c r="K3067" s="3" t="s">
        <v>76</v>
      </c>
    </row>
    <row r="3068" spans="1:11" ht="42" customHeight="1">
      <c r="A3068" s="2" t="s">
        <v>8654</v>
      </c>
      <c r="B3068" s="2" t="s">
        <v>8655</v>
      </c>
      <c r="C3068" s="2" t="s">
        <v>26</v>
      </c>
      <c r="D3068" s="2" t="s">
        <v>39</v>
      </c>
      <c r="E3068" s="4">
        <v>-32701</v>
      </c>
      <c r="F3068" s="3" t="s">
        <v>40</v>
      </c>
      <c r="G3068" s="3" t="s">
        <v>41</v>
      </c>
      <c r="H3068" s="2" t="s">
        <v>74</v>
      </c>
      <c r="I3068" s="2" t="s">
        <v>8657</v>
      </c>
      <c r="J3068" s="3" t="str">
        <f>HYPERLINK("https://www.boe.es/gazeta/dias/1810/06/19/pdfs/GMD-C-1810-170.pdf#page=3","Abrir facsímil")</f>
        <v>Abrir facsímil</v>
      </c>
      <c r="K3068" s="3" t="s">
        <v>76</v>
      </c>
    </row>
    <row r="3069" spans="1:11" ht="42" customHeight="1">
      <c r="A3069" s="2" t="s">
        <v>8654</v>
      </c>
      <c r="B3069" s="2" t="s">
        <v>8655</v>
      </c>
      <c r="C3069" s="2" t="s">
        <v>88</v>
      </c>
      <c r="D3069" s="2" t="s">
        <v>27</v>
      </c>
      <c r="E3069" s="4">
        <v>-32687</v>
      </c>
      <c r="F3069" s="3" t="s">
        <v>221</v>
      </c>
      <c r="G3069" s="3" t="s">
        <v>20</v>
      </c>
      <c r="H3069" s="2" t="s">
        <v>74</v>
      </c>
      <c r="I3069" s="2" t="s">
        <v>8658</v>
      </c>
      <c r="J3069" s="3" t="str">
        <f>HYPERLINK("https://www.boe.es/gazeta/dias/1810/07/03/pdfs/GMD-1810-184.pdf#page=4","Abrir facsímil")</f>
        <v>Abrir facsímil</v>
      </c>
      <c r="K3069" s="3" t="s">
        <v>76</v>
      </c>
    </row>
    <row r="3070" spans="1:11" ht="42" customHeight="1">
      <c r="A3070" s="2" t="s">
        <v>8654</v>
      </c>
      <c r="B3070" s="2" t="s">
        <v>8655</v>
      </c>
      <c r="C3070" s="2" t="s">
        <v>225</v>
      </c>
      <c r="D3070" s="2" t="s">
        <v>27</v>
      </c>
      <c r="E3070" s="4">
        <v>-32606</v>
      </c>
      <c r="F3070" s="3" t="s">
        <v>1676</v>
      </c>
      <c r="G3070" s="3" t="s">
        <v>7899</v>
      </c>
      <c r="H3070" s="2" t="s">
        <v>74</v>
      </c>
      <c r="I3070" s="2" t="s">
        <v>8659</v>
      </c>
      <c r="J3070" s="3" t="str">
        <f>HYPERLINK("https://www.boe.es/gazeta/dias/1810/09/22/pdfs/GMD-1810-265.pdf#page=4","Abrir facsímil")</f>
        <v>Abrir facsímil</v>
      </c>
      <c r="K3070" s="3" t="s">
        <v>76</v>
      </c>
    </row>
    <row r="3071" spans="1:11" ht="42" customHeight="1">
      <c r="A3071" s="2" t="s">
        <v>8660</v>
      </c>
      <c r="B3071" s="2" t="s">
        <v>8661</v>
      </c>
      <c r="C3071" s="2" t="s">
        <v>33</v>
      </c>
      <c r="D3071" s="2" t="s">
        <v>220</v>
      </c>
      <c r="E3071" s="4">
        <v>-32592</v>
      </c>
      <c r="F3071" s="3" t="s">
        <v>2782</v>
      </c>
      <c r="G3071" s="3" t="s">
        <v>2864</v>
      </c>
      <c r="H3071" s="2" t="s">
        <v>74</v>
      </c>
      <c r="I3071" s="2" t="s">
        <v>8662</v>
      </c>
      <c r="J3071" s="3" t="str">
        <f>HYPERLINK("https://www.boe.es/gazeta/dias/1810/10/06/pdfs/GMD-1810-279.pdf#page=4","Abrir facsímil")</f>
        <v>Abrir facsímil</v>
      </c>
      <c r="K3071" s="3" t="s">
        <v>76</v>
      </c>
    </row>
    <row r="3072" spans="1:11" ht="42" customHeight="1">
      <c r="A3072" s="2" t="s">
        <v>8663</v>
      </c>
      <c r="B3072" s="2" t="s">
        <v>8664</v>
      </c>
      <c r="C3072" s="2" t="s">
        <v>26</v>
      </c>
      <c r="D3072" s="2" t="s">
        <v>18</v>
      </c>
      <c r="E3072" s="4">
        <v>-32827</v>
      </c>
      <c r="F3072" s="3" t="s">
        <v>290</v>
      </c>
      <c r="G3072" s="3" t="s">
        <v>291</v>
      </c>
      <c r="H3072" s="2" t="s">
        <v>74</v>
      </c>
      <c r="I3072" s="2" t="s">
        <v>8665</v>
      </c>
      <c r="J3072" s="3" t="str">
        <f>HYPERLINK("https://www.boe.es/gazeta/dias/1810/02/13/pdfs/GMD-1810-44.pdf#page=4","Abrir facsímil")</f>
        <v>Abrir facsímil</v>
      </c>
      <c r="K3072" s="3" t="s">
        <v>76</v>
      </c>
    </row>
    <row r="3073" spans="1:11" ht="42" customHeight="1">
      <c r="A3073" s="2" t="s">
        <v>8666</v>
      </c>
      <c r="B3073" s="2" t="s">
        <v>8666</v>
      </c>
      <c r="C3073" s="2" t="s">
        <v>88</v>
      </c>
      <c r="D3073" s="2" t="s">
        <v>27</v>
      </c>
      <c r="E3073" s="4">
        <v>-32842</v>
      </c>
      <c r="F3073" s="3" t="s">
        <v>1291</v>
      </c>
      <c r="G3073" s="3" t="s">
        <v>1292</v>
      </c>
      <c r="H3073" s="2" t="s">
        <v>74</v>
      </c>
      <c r="I3073" s="2" t="s">
        <v>8667</v>
      </c>
      <c r="J3073" s="3" t="str">
        <f>HYPERLINK("https://www.boe.es/gazeta/dias/1810/01/29/pdfs/GMD-1810-29.pdf#page=3","Abrir facsímil")</f>
        <v>Abrir facsímil</v>
      </c>
      <c r="K3073" s="3" t="s">
        <v>76</v>
      </c>
    </row>
    <row r="3074" spans="1:11" ht="42" customHeight="1">
      <c r="A3074" s="2" t="s">
        <v>8668</v>
      </c>
      <c r="B3074" s="2" t="s">
        <v>8668</v>
      </c>
      <c r="C3074" s="2" t="s">
        <v>88</v>
      </c>
      <c r="D3074" s="2" t="s">
        <v>27</v>
      </c>
      <c r="E3074" s="4">
        <v>-32552</v>
      </c>
      <c r="F3074" s="3" t="s">
        <v>234</v>
      </c>
      <c r="G3074" s="3" t="s">
        <v>235</v>
      </c>
      <c r="H3074" s="2" t="s">
        <v>74</v>
      </c>
      <c r="I3074" s="2" t="s">
        <v>8669</v>
      </c>
      <c r="J3074" s="3" t="str">
        <f>HYPERLINK("https://www.boe.es/gazeta/dias/1810/11/15/pdfs/GMD-1810-319.pdf#page=1","Abrir facsímil")</f>
        <v>Abrir facsímil</v>
      </c>
      <c r="K3074" s="3" t="s">
        <v>76</v>
      </c>
    </row>
    <row r="3075" spans="1:11" ht="42" customHeight="1">
      <c r="A3075" s="2" t="s">
        <v>8670</v>
      </c>
      <c r="B3075" s="2" t="s">
        <v>8670</v>
      </c>
      <c r="C3075" s="2" t="s">
        <v>88</v>
      </c>
      <c r="D3075" s="2" t="s">
        <v>117</v>
      </c>
      <c r="E3075" s="4">
        <v>-32566</v>
      </c>
      <c r="F3075" s="3" t="s">
        <v>405</v>
      </c>
      <c r="G3075" s="3" t="s">
        <v>469</v>
      </c>
      <c r="H3075" s="2" t="s">
        <v>74</v>
      </c>
      <c r="I3075" s="2" t="s">
        <v>8671</v>
      </c>
      <c r="J3075" s="3" t="str">
        <f>HYPERLINK("https://www.boe.es/gazeta/dias/1810/11/01/pdfs/GMD-1810-305.pdf#page=2","Abrir facsímil")</f>
        <v>Abrir facsímil</v>
      </c>
      <c r="K3075" s="3" t="s">
        <v>76</v>
      </c>
    </row>
    <row r="3076" spans="1:11" ht="42" customHeight="1">
      <c r="A3076" s="2" t="s">
        <v>8672</v>
      </c>
      <c r="B3076" s="2" t="s">
        <v>8672</v>
      </c>
      <c r="C3076" s="2" t="s">
        <v>88</v>
      </c>
      <c r="D3076" s="2" t="s">
        <v>27</v>
      </c>
      <c r="E3076" s="4">
        <v>-32833</v>
      </c>
      <c r="F3076" s="3" t="s">
        <v>1836</v>
      </c>
      <c r="G3076" s="3" t="s">
        <v>35</v>
      </c>
      <c r="H3076" s="2" t="s">
        <v>74</v>
      </c>
      <c r="I3076" s="2" t="s">
        <v>8673</v>
      </c>
      <c r="J3076" s="3" t="str">
        <f>HYPERLINK("https://www.boe.es/gazeta/dias/1810/02/07/pdfs/GMD-1810-38.pdf#page=2","Abrir facsímil")</f>
        <v>Abrir facsímil</v>
      </c>
      <c r="K3076" s="3" t="s">
        <v>76</v>
      </c>
    </row>
    <row r="3077" spans="1:11" ht="42" customHeight="1">
      <c r="A3077" s="2" t="s">
        <v>8672</v>
      </c>
      <c r="B3077" s="2" t="s">
        <v>8672</v>
      </c>
      <c r="C3077" s="2" t="s">
        <v>26</v>
      </c>
      <c r="D3077" s="2" t="s">
        <v>27</v>
      </c>
      <c r="E3077" s="4">
        <v>-32750</v>
      </c>
      <c r="F3077" s="3" t="s">
        <v>6507</v>
      </c>
      <c r="G3077" s="3" t="s">
        <v>140</v>
      </c>
      <c r="H3077" s="2" t="s">
        <v>74</v>
      </c>
      <c r="I3077" s="2" t="s">
        <v>8674</v>
      </c>
      <c r="J3077" s="3" t="str">
        <f>HYPERLINK("https://www.boe.es/gazeta/dias/1810/05/01/pdfs/GMD-1810-121.pdf#page=2","Abrir facsímil")</f>
        <v>Abrir facsímil</v>
      </c>
      <c r="K3077" s="3" t="s">
        <v>76</v>
      </c>
    </row>
    <row r="3078" spans="1:11" ht="42" customHeight="1">
      <c r="A3078" s="2" t="s">
        <v>8672</v>
      </c>
      <c r="B3078" s="2" t="s">
        <v>8672</v>
      </c>
      <c r="C3078" s="2" t="s">
        <v>33</v>
      </c>
      <c r="D3078" s="2" t="s">
        <v>27</v>
      </c>
      <c r="E3078" s="4">
        <v>-32726</v>
      </c>
      <c r="F3078" s="3" t="s">
        <v>1850</v>
      </c>
      <c r="G3078" s="3" t="s">
        <v>8675</v>
      </c>
      <c r="H3078" s="2" t="s">
        <v>74</v>
      </c>
      <c r="I3078" s="2" t="s">
        <v>8676</v>
      </c>
      <c r="J3078" s="3" t="str">
        <f>HYPERLINK("https://www.boe.es/gazeta/dias/1810/05/25/pdfs/GEI-1810-30.pdf#page=4","Abrir facsímil")</f>
        <v>Abrir facsímil</v>
      </c>
      <c r="K3078" s="3" t="s">
        <v>76</v>
      </c>
    </row>
    <row r="3079" spans="1:11" ht="42" customHeight="1">
      <c r="A3079" s="2" t="s">
        <v>8672</v>
      </c>
      <c r="B3079" s="2" t="s">
        <v>8672</v>
      </c>
      <c r="C3079" s="2" t="s">
        <v>26</v>
      </c>
      <c r="D3079" s="2" t="s">
        <v>27</v>
      </c>
      <c r="E3079" s="4">
        <v>-32552</v>
      </c>
      <c r="F3079" s="3" t="s">
        <v>234</v>
      </c>
      <c r="G3079" s="3" t="s">
        <v>235</v>
      </c>
      <c r="H3079" s="2" t="s">
        <v>74</v>
      </c>
      <c r="I3079" s="2" t="s">
        <v>8677</v>
      </c>
      <c r="J3079" s="3" t="str">
        <f>HYPERLINK("https://www.boe.es/gazeta/dias/1810/11/15/pdfs/GMD-1810-319.pdf#page=1","Abrir facsímil")</f>
        <v>Abrir facsímil</v>
      </c>
      <c r="K3079" s="3" t="s">
        <v>76</v>
      </c>
    </row>
    <row r="3080" spans="1:11" ht="42" customHeight="1">
      <c r="A3080" s="2" t="s">
        <v>8678</v>
      </c>
      <c r="B3080" s="2" t="s">
        <v>8678</v>
      </c>
      <c r="C3080" s="2" t="s">
        <v>26</v>
      </c>
      <c r="D3080" s="2" t="s">
        <v>27</v>
      </c>
      <c r="E3080" s="4">
        <v>-32712</v>
      </c>
      <c r="F3080" s="3" t="s">
        <v>6411</v>
      </c>
      <c r="G3080" s="3" t="s">
        <v>180</v>
      </c>
      <c r="H3080" s="2" t="s">
        <v>74</v>
      </c>
      <c r="I3080" s="2" t="s">
        <v>8679</v>
      </c>
      <c r="J3080" s="3" t="str">
        <f>HYPERLINK("https://www.boe.es/gazeta/dias/1810/06/08/pdfs/GMD-1810-159.pdf#page=1","Abrir facsímil")</f>
        <v>Abrir facsímil</v>
      </c>
      <c r="K3080" s="3" t="s">
        <v>76</v>
      </c>
    </row>
    <row r="3081" spans="1:11" ht="42" customHeight="1">
      <c r="A3081" s="2" t="s">
        <v>8678</v>
      </c>
      <c r="B3081" s="2" t="s">
        <v>8678</v>
      </c>
      <c r="C3081" s="2" t="s">
        <v>26</v>
      </c>
      <c r="D3081" s="2" t="s">
        <v>27</v>
      </c>
      <c r="E3081" s="4">
        <v>-32684</v>
      </c>
      <c r="F3081" s="3" t="s">
        <v>4741</v>
      </c>
      <c r="G3081" s="3" t="s">
        <v>227</v>
      </c>
      <c r="H3081" s="2" t="s">
        <v>74</v>
      </c>
      <c r="I3081" s="2" t="s">
        <v>8680</v>
      </c>
      <c r="J3081" s="3" t="str">
        <f>HYPERLINK("https://www.boe.es/gazeta/dias/1810/07/06/pdfs/GMD-1810-187.pdf#page=4","Abrir facsímil")</f>
        <v>Abrir facsímil</v>
      </c>
      <c r="K3081" s="3" t="s">
        <v>76</v>
      </c>
    </row>
    <row r="3082" spans="1:11" ht="42" customHeight="1">
      <c r="A3082" s="2" t="s">
        <v>8678</v>
      </c>
      <c r="B3082" s="2" t="s">
        <v>8678</v>
      </c>
      <c r="C3082" s="2" t="s">
        <v>17</v>
      </c>
      <c r="D3082" s="2" t="s">
        <v>220</v>
      </c>
      <c r="E3082" s="4">
        <v>-32592</v>
      </c>
      <c r="F3082" s="3" t="s">
        <v>2782</v>
      </c>
      <c r="G3082" s="3" t="s">
        <v>2864</v>
      </c>
      <c r="H3082" s="2" t="s">
        <v>74</v>
      </c>
      <c r="I3082" s="2" t="s">
        <v>8681</v>
      </c>
      <c r="J3082" s="3" t="str">
        <f>HYPERLINK("https://www.boe.es/gazeta/dias/1810/10/06/pdfs/GMD-1810-279.pdf#page=4","Abrir facsímil")</f>
        <v>Abrir facsímil</v>
      </c>
      <c r="K3082" s="3" t="s">
        <v>76</v>
      </c>
    </row>
    <row r="3083" spans="1:11" ht="42" customHeight="1">
      <c r="A3083" s="2" t="s">
        <v>8682</v>
      </c>
      <c r="B3083" s="2" t="s">
        <v>8683</v>
      </c>
      <c r="C3083" s="2" t="s">
        <v>26</v>
      </c>
      <c r="D3083" s="2" t="s">
        <v>27</v>
      </c>
      <c r="E3083" s="4">
        <v>-32562</v>
      </c>
      <c r="F3083" s="3" t="s">
        <v>1186</v>
      </c>
      <c r="G3083" s="3" t="s">
        <v>90</v>
      </c>
      <c r="H3083" s="2" t="s">
        <v>74</v>
      </c>
      <c r="I3083" s="2" t="s">
        <v>8684</v>
      </c>
      <c r="J3083" s="3" t="str">
        <f>HYPERLINK("https://www.boe.es/gazeta/dias/1810/11/05/pdfs/GMD-1810-309.pdf#page=3","Abrir facsímil")</f>
        <v>Abrir facsímil</v>
      </c>
      <c r="K3083" s="3" t="s">
        <v>76</v>
      </c>
    </row>
    <row r="3084" spans="1:11" ht="42" customHeight="1">
      <c r="A3084" s="2" t="s">
        <v>8685</v>
      </c>
      <c r="B3084" s="2" t="s">
        <v>8686</v>
      </c>
      <c r="C3084" s="2" t="s">
        <v>26</v>
      </c>
      <c r="D3084" s="2" t="s">
        <v>27</v>
      </c>
      <c r="E3084" s="4">
        <v>-32842</v>
      </c>
      <c r="F3084" s="3" t="s">
        <v>1291</v>
      </c>
      <c r="G3084" s="3" t="s">
        <v>1292</v>
      </c>
      <c r="H3084" s="2" t="s">
        <v>74</v>
      </c>
      <c r="I3084" s="2" t="s">
        <v>8687</v>
      </c>
      <c r="J3084" s="3" t="str">
        <f>HYPERLINK("https://www.boe.es/gazeta/dias/1810/01/29/pdfs/GMD-1810-29.pdf#page=3","Abrir facsímil")</f>
        <v>Abrir facsímil</v>
      </c>
      <c r="K3084" s="3" t="s">
        <v>76</v>
      </c>
    </row>
    <row r="3085" spans="1:11" ht="42" customHeight="1">
      <c r="A3085" s="2" t="s">
        <v>8688</v>
      </c>
      <c r="B3085" s="2" t="s">
        <v>8689</v>
      </c>
      <c r="C3085" s="2" t="s">
        <v>26</v>
      </c>
      <c r="D3085" s="2" t="s">
        <v>27</v>
      </c>
      <c r="E3085" s="4">
        <v>-32545</v>
      </c>
      <c r="F3085" s="3" t="s">
        <v>165</v>
      </c>
      <c r="G3085" s="3" t="s">
        <v>166</v>
      </c>
      <c r="H3085" s="2" t="s">
        <v>74</v>
      </c>
      <c r="I3085" s="2" t="s">
        <v>8690</v>
      </c>
      <c r="J3085" s="3" t="str">
        <f>HYPERLINK("https://www.boe.es/gazeta/dias/1810/11/22/pdfs/GEI-1810-98.pdf#page=8","Abrir facsímil")</f>
        <v>Abrir facsímil</v>
      </c>
      <c r="K3085" s="3" t="s">
        <v>76</v>
      </c>
    </row>
    <row r="3086" spans="1:11" ht="42" customHeight="1">
      <c r="A3086" s="2" t="s">
        <v>8691</v>
      </c>
      <c r="B3086" s="2" t="s">
        <v>8691</v>
      </c>
      <c r="C3086" s="2" t="s">
        <v>88</v>
      </c>
      <c r="D3086" s="2" t="s">
        <v>18</v>
      </c>
      <c r="E3086" s="4">
        <v>-32566</v>
      </c>
      <c r="F3086" s="3" t="s">
        <v>405</v>
      </c>
      <c r="G3086" s="3" t="s">
        <v>99</v>
      </c>
      <c r="H3086" s="2" t="s">
        <v>74</v>
      </c>
      <c r="I3086" s="2" t="s">
        <v>8692</v>
      </c>
      <c r="J3086" s="3" t="str">
        <f>HYPERLINK("https://www.boe.es/gazeta/dias/1810/11/01/pdfs/GMD-1810-305.pdf#page=3","Abrir facsímil")</f>
        <v>Abrir facsímil</v>
      </c>
      <c r="K3086" s="3" t="s">
        <v>76</v>
      </c>
    </row>
    <row r="3087" spans="1:11" ht="42" customHeight="1">
      <c r="A3087" s="2" t="s">
        <v>8693</v>
      </c>
      <c r="B3087" s="2" t="s">
        <v>8694</v>
      </c>
      <c r="C3087" s="2" t="s">
        <v>26</v>
      </c>
      <c r="D3087" s="2" t="s">
        <v>39</v>
      </c>
      <c r="E3087" s="4">
        <v>-32667</v>
      </c>
      <c r="F3087" s="3" t="s">
        <v>924</v>
      </c>
      <c r="G3087" s="3" t="s">
        <v>465</v>
      </c>
      <c r="H3087" s="2" t="s">
        <v>74</v>
      </c>
      <c r="I3087" s="2" t="s">
        <v>8695</v>
      </c>
      <c r="J3087" s="3" t="str">
        <f>HYPERLINK("https://www.boe.es/gazeta/dias/1810/07/23/pdfs/GMD-C-1810-204.pdf#page=2","Abrir facsímil")</f>
        <v>Abrir facsímil</v>
      </c>
      <c r="K3087" s="3" t="s">
        <v>76</v>
      </c>
    </row>
    <row r="3088" spans="1:11" ht="42" customHeight="1">
      <c r="A3088" s="2" t="s">
        <v>8696</v>
      </c>
      <c r="B3088" s="2" t="s">
        <v>8697</v>
      </c>
      <c r="C3088" s="2" t="s">
        <v>26</v>
      </c>
      <c r="D3088" s="2" t="s">
        <v>39</v>
      </c>
      <c r="E3088" s="4">
        <v>-32701</v>
      </c>
      <c r="F3088" s="3" t="s">
        <v>40</v>
      </c>
      <c r="G3088" s="3" t="s">
        <v>170</v>
      </c>
      <c r="H3088" s="2" t="s">
        <v>74</v>
      </c>
      <c r="I3088" s="2" t="s">
        <v>8698</v>
      </c>
      <c r="J3088" s="3" t="str">
        <f>HYPERLINK("https://www.boe.es/gazeta/dias/1810/06/19/pdfs/GMD-C-1810-170.pdf#page=1","Abrir facsímil")</f>
        <v>Abrir facsímil</v>
      </c>
      <c r="K3088" s="3" t="s">
        <v>76</v>
      </c>
    </row>
    <row r="3089" spans="1:11" ht="42" customHeight="1">
      <c r="A3089" s="2" t="s">
        <v>8699</v>
      </c>
      <c r="B3089" s="2" t="s">
        <v>8700</v>
      </c>
      <c r="C3089" s="2" t="s">
        <v>26</v>
      </c>
      <c r="D3089" s="2" t="s">
        <v>39</v>
      </c>
      <c r="E3089" s="4">
        <v>-32702</v>
      </c>
      <c r="F3089" s="3" t="s">
        <v>179</v>
      </c>
      <c r="G3089" s="3" t="s">
        <v>119</v>
      </c>
      <c r="H3089" s="2" t="s">
        <v>74</v>
      </c>
      <c r="I3089" s="2" t="s">
        <v>8701</v>
      </c>
      <c r="J3089" s="3" t="str">
        <f>HYPERLINK("https://www.boe.es/gazeta/dias/1810/06/18/pdfs/GMD-C-1810-169.pdf#page=1","Abrir facsímil")</f>
        <v>Abrir facsímil</v>
      </c>
      <c r="K3089" s="3" t="s">
        <v>76</v>
      </c>
    </row>
    <row r="3090" spans="1:11" ht="42" customHeight="1">
      <c r="A3090" s="2" t="s">
        <v>8702</v>
      </c>
      <c r="B3090" s="2" t="s">
        <v>8702</v>
      </c>
      <c r="C3090" s="2" t="s">
        <v>317</v>
      </c>
      <c r="D3090" s="2" t="s">
        <v>27</v>
      </c>
      <c r="E3090" s="4">
        <v>-32757</v>
      </c>
      <c r="F3090" s="3" t="s">
        <v>414</v>
      </c>
      <c r="G3090" s="3" t="s">
        <v>70</v>
      </c>
      <c r="H3090" s="2" t="s">
        <v>74</v>
      </c>
      <c r="I3090" s="2" t="s">
        <v>8703</v>
      </c>
      <c r="J3090" s="3" t="str">
        <f>HYPERLINK("https://www.boe.es/gazeta/dias/1810/04/24/pdfs/GMD-1810-114.pdf#page=3","Abrir facsímil")</f>
        <v>Abrir facsímil</v>
      </c>
      <c r="K3090" s="3" t="s">
        <v>76</v>
      </c>
    </row>
    <row r="3091" spans="1:11" ht="42" customHeight="1">
      <c r="A3091" s="2" t="s">
        <v>8702</v>
      </c>
      <c r="B3091" s="2" t="s">
        <v>8702</v>
      </c>
      <c r="C3091" s="2" t="s">
        <v>317</v>
      </c>
      <c r="D3091" s="2" t="s">
        <v>220</v>
      </c>
      <c r="E3091" s="4">
        <v>-32755</v>
      </c>
      <c r="F3091" s="3" t="s">
        <v>1641</v>
      </c>
      <c r="G3091" s="3" t="s">
        <v>99</v>
      </c>
      <c r="H3091" s="2" t="s">
        <v>74</v>
      </c>
      <c r="I3091" s="2" t="s">
        <v>8704</v>
      </c>
      <c r="J3091" s="3" t="str">
        <f>HYPERLINK("https://www.boe.es/gazeta/dias/1810/04/26/pdfs/GMD-1810-116.pdf#page=3","Abrir facsímil")</f>
        <v>Abrir facsímil</v>
      </c>
      <c r="K3091" s="3" t="s">
        <v>76</v>
      </c>
    </row>
    <row r="3092" spans="1:11" ht="42" customHeight="1">
      <c r="A3092" s="2" t="s">
        <v>8702</v>
      </c>
      <c r="B3092" s="2" t="s">
        <v>8702</v>
      </c>
      <c r="C3092" s="2" t="s">
        <v>317</v>
      </c>
      <c r="D3092" s="2" t="s">
        <v>27</v>
      </c>
      <c r="E3092" s="4">
        <v>-32754</v>
      </c>
      <c r="F3092" s="3" t="s">
        <v>34</v>
      </c>
      <c r="G3092" s="3" t="s">
        <v>29</v>
      </c>
      <c r="H3092" s="2" t="s">
        <v>74</v>
      </c>
      <c r="I3092" s="2" t="s">
        <v>8705</v>
      </c>
      <c r="J3092" s="3" t="str">
        <f>HYPERLINK("https://www.boe.es/gazeta/dias/1810/04/27/pdfs/GMD-1810-117.pdf#page=3","Abrir facsímil")</f>
        <v>Abrir facsímil</v>
      </c>
      <c r="K3092" s="3" t="s">
        <v>76</v>
      </c>
    </row>
    <row r="3093" spans="1:11" ht="42" customHeight="1">
      <c r="A3093" s="2" t="s">
        <v>8706</v>
      </c>
      <c r="B3093" s="2" t="s">
        <v>8706</v>
      </c>
      <c r="C3093" s="2" t="s">
        <v>88</v>
      </c>
      <c r="D3093" s="2" t="s">
        <v>117</v>
      </c>
      <c r="E3093" s="4">
        <v>-32727</v>
      </c>
      <c r="F3093" s="3" t="s">
        <v>1611</v>
      </c>
      <c r="G3093" s="3" t="s">
        <v>1644</v>
      </c>
      <c r="H3093" s="2" t="s">
        <v>74</v>
      </c>
      <c r="I3093" s="2" t="s">
        <v>8707</v>
      </c>
      <c r="J3093" s="3" t="str">
        <f>HYPERLINK("https://www.boe.es/gazeta/dias/1810/05/24/pdfs/GMD-1810-144.pdf#page=1","Abrir facsímil")</f>
        <v>Abrir facsímil</v>
      </c>
      <c r="K3093" s="3" t="s">
        <v>76</v>
      </c>
    </row>
    <row r="3094" spans="1:11" ht="42" customHeight="1">
      <c r="A3094" s="2" t="s">
        <v>8708</v>
      </c>
      <c r="B3094" s="2" t="s">
        <v>8709</v>
      </c>
      <c r="C3094" s="2" t="s">
        <v>26</v>
      </c>
      <c r="D3094" s="2" t="s">
        <v>39</v>
      </c>
      <c r="E3094" s="4">
        <v>-32678</v>
      </c>
      <c r="F3094" s="3" t="s">
        <v>8710</v>
      </c>
      <c r="G3094" s="3" t="s">
        <v>213</v>
      </c>
      <c r="H3094" s="2" t="s">
        <v>74</v>
      </c>
      <c r="I3094" s="2" t="s">
        <v>8711</v>
      </c>
      <c r="J3094" s="3" t="str">
        <f>HYPERLINK("https://www.boe.es/gazeta/dias/1810/07/12/pdfs/GMD-C-1810-193.pdf#page=1","Abrir facsímil")</f>
        <v>Abrir facsímil</v>
      </c>
      <c r="K3094" s="3" t="s">
        <v>76</v>
      </c>
    </row>
    <row r="3095" spans="1:11" ht="42" customHeight="1">
      <c r="A3095" s="2" t="s">
        <v>8712</v>
      </c>
      <c r="B3095" s="2" t="s">
        <v>8713</v>
      </c>
      <c r="C3095" s="2" t="s">
        <v>26</v>
      </c>
      <c r="D3095" s="2" t="s">
        <v>39</v>
      </c>
      <c r="E3095" s="4">
        <v>-32661</v>
      </c>
      <c r="F3095" s="3" t="s">
        <v>157</v>
      </c>
      <c r="G3095" s="3" t="s">
        <v>592</v>
      </c>
      <c r="H3095" s="2" t="s">
        <v>74</v>
      </c>
      <c r="I3095" s="2" t="s">
        <v>8714</v>
      </c>
      <c r="J3095" s="3" t="str">
        <f>HYPERLINK("https://www.boe.es/gazeta/dias/1810/07/29/pdfs/GMD-C-1810-210.pdf#page=2","Abrir facsímil")</f>
        <v>Abrir facsímil</v>
      </c>
      <c r="K3095" s="3" t="s">
        <v>76</v>
      </c>
    </row>
    <row r="3096" spans="1:11" ht="42" customHeight="1">
      <c r="A3096" s="2" t="s">
        <v>8715</v>
      </c>
      <c r="B3096" s="2" t="s">
        <v>8715</v>
      </c>
      <c r="C3096" s="2" t="s">
        <v>111</v>
      </c>
      <c r="D3096" s="2" t="s">
        <v>27</v>
      </c>
      <c r="E3096" s="4">
        <v>-32751</v>
      </c>
      <c r="F3096" s="3" t="s">
        <v>1205</v>
      </c>
      <c r="G3096" s="3" t="s">
        <v>119</v>
      </c>
      <c r="H3096" s="2" t="s">
        <v>74</v>
      </c>
      <c r="I3096" s="2" t="s">
        <v>8716</v>
      </c>
      <c r="J3096" s="3" t="str">
        <f>HYPERLINK("https://www.boe.es/gazeta/dias/1810/04/30/pdfs/GMD-1810-120.pdf#page=2","Abrir facsímil")</f>
        <v>Abrir facsímil</v>
      </c>
      <c r="K3096" s="3" t="s">
        <v>76</v>
      </c>
    </row>
    <row r="3097" spans="1:11" ht="42" customHeight="1">
      <c r="A3097" s="2" t="s">
        <v>8717</v>
      </c>
      <c r="B3097" s="2" t="s">
        <v>8717</v>
      </c>
      <c r="C3097" s="2" t="s">
        <v>88</v>
      </c>
      <c r="D3097" s="2" t="s">
        <v>117</v>
      </c>
      <c r="E3097" s="4">
        <v>-32813</v>
      </c>
      <c r="F3097" s="3" t="s">
        <v>1067</v>
      </c>
      <c r="G3097" s="3" t="s">
        <v>1068</v>
      </c>
      <c r="H3097" s="2" t="s">
        <v>74</v>
      </c>
      <c r="I3097" s="2" t="s">
        <v>8718</v>
      </c>
      <c r="J3097" s="3" t="str">
        <f>HYPERLINK("https://www.boe.es/gazeta/dias/1810/02/27/pdfs/GMD-1810-58.pdf#page=1","Abrir facsímil")</f>
        <v>Abrir facsímil</v>
      </c>
      <c r="K3097" s="3" t="s">
        <v>76</v>
      </c>
    </row>
    <row r="3098" spans="1:11" ht="42" customHeight="1">
      <c r="A3098" s="2" t="s">
        <v>8717</v>
      </c>
      <c r="B3098" s="2" t="s">
        <v>8717</v>
      </c>
      <c r="C3098" s="2" t="s">
        <v>33</v>
      </c>
      <c r="D3098" s="2" t="s">
        <v>27</v>
      </c>
      <c r="E3098" s="4">
        <v>-32771</v>
      </c>
      <c r="F3098" s="3" t="s">
        <v>8719</v>
      </c>
      <c r="G3098" s="3" t="s">
        <v>35</v>
      </c>
      <c r="H3098" s="2" t="s">
        <v>74</v>
      </c>
      <c r="I3098" s="2" t="s">
        <v>8720</v>
      </c>
      <c r="J3098" s="3" t="str">
        <f>HYPERLINK("https://www.boe.es/gazeta/dias/1810/04/10/pdfs/GMD-1810-100.pdf#page=2","Abrir facsímil")</f>
        <v>Abrir facsímil</v>
      </c>
      <c r="K3098" s="3" t="s">
        <v>76</v>
      </c>
    </row>
    <row r="3099" spans="1:11" ht="42" customHeight="1">
      <c r="A3099" s="2" t="s">
        <v>8717</v>
      </c>
      <c r="B3099" s="2" t="s">
        <v>8717</v>
      </c>
      <c r="C3099" s="2" t="s">
        <v>33</v>
      </c>
      <c r="D3099" s="2" t="s">
        <v>220</v>
      </c>
      <c r="E3099" s="4">
        <v>-32744</v>
      </c>
      <c r="F3099" s="3" t="s">
        <v>1570</v>
      </c>
      <c r="G3099" s="3" t="s">
        <v>35</v>
      </c>
      <c r="H3099" s="2" t="s">
        <v>74</v>
      </c>
      <c r="I3099" s="2" t="s">
        <v>8721</v>
      </c>
      <c r="J3099" s="3" t="str">
        <f>HYPERLINK("https://www.boe.es/gazeta/dias/1810/05/07/pdfs/GMD-1810-127.pdf#page=2","Abrir facsímil")</f>
        <v>Abrir facsímil</v>
      </c>
      <c r="K3099" s="3" t="s">
        <v>76</v>
      </c>
    </row>
    <row r="3100" spans="1:11" ht="42" customHeight="1">
      <c r="A3100" s="2" t="s">
        <v>8717</v>
      </c>
      <c r="B3100" s="2" t="s">
        <v>8717</v>
      </c>
      <c r="C3100" s="2" t="s">
        <v>225</v>
      </c>
      <c r="D3100" s="2" t="s">
        <v>220</v>
      </c>
      <c r="E3100" s="4">
        <v>-32713</v>
      </c>
      <c r="F3100" s="3" t="s">
        <v>959</v>
      </c>
      <c r="G3100" s="3" t="s">
        <v>632</v>
      </c>
      <c r="H3100" s="2" t="s">
        <v>74</v>
      </c>
      <c r="I3100" s="2" t="s">
        <v>8722</v>
      </c>
      <c r="J3100" s="3" t="str">
        <f>HYPERLINK("https://www.boe.es/gazeta/dias/1810/06/07/pdfs/GMD-1810-158.pdf#page=2","Abrir facsímil")</f>
        <v>Abrir facsímil</v>
      </c>
      <c r="K3100" s="3" t="s">
        <v>76</v>
      </c>
    </row>
    <row r="3101" spans="1:11" ht="42" customHeight="1">
      <c r="A3101" s="2" t="s">
        <v>8717</v>
      </c>
      <c r="B3101" s="2" t="s">
        <v>8717</v>
      </c>
      <c r="C3101" s="2" t="s">
        <v>88</v>
      </c>
      <c r="D3101" s="2" t="s">
        <v>117</v>
      </c>
      <c r="E3101" s="4">
        <v>-32644</v>
      </c>
      <c r="F3101" s="3" t="s">
        <v>457</v>
      </c>
      <c r="G3101" s="3" t="s">
        <v>90</v>
      </c>
      <c r="H3101" s="2" t="s">
        <v>74</v>
      </c>
      <c r="I3101" s="2" t="s">
        <v>8723</v>
      </c>
      <c r="J3101" s="3" t="str">
        <f>HYPERLINK("https://www.boe.es/gazeta/dias/1810/08/15/pdfs/GMD-1810-227.pdf#page=2","Abrir facsímil")</f>
        <v>Abrir facsímil</v>
      </c>
      <c r="K3101" s="3" t="s">
        <v>76</v>
      </c>
    </row>
    <row r="3102" spans="1:11" ht="42" customHeight="1">
      <c r="A3102" s="2" t="s">
        <v>8724</v>
      </c>
      <c r="B3102" s="2" t="s">
        <v>8725</v>
      </c>
      <c r="C3102" s="2" t="s">
        <v>17</v>
      </c>
      <c r="D3102" s="2" t="s">
        <v>220</v>
      </c>
      <c r="E3102" s="4">
        <v>-32847</v>
      </c>
      <c r="F3102" s="3" t="s">
        <v>8726</v>
      </c>
      <c r="G3102" s="3" t="s">
        <v>99</v>
      </c>
      <c r="H3102" s="2" t="s">
        <v>74</v>
      </c>
      <c r="I3102" s="2" t="s">
        <v>8727</v>
      </c>
      <c r="J3102" s="3" t="str">
        <f>HYPERLINK("https://www.boe.es/gazeta/dias/1810/01/24/pdfs/GMD-1810-24.pdf#page=3","Abrir facsímil")</f>
        <v>Abrir facsímil</v>
      </c>
      <c r="K3102" s="3" t="s">
        <v>76</v>
      </c>
    </row>
    <row r="3103" spans="1:11" ht="42" customHeight="1">
      <c r="A3103" s="2" t="s">
        <v>8724</v>
      </c>
      <c r="B3103" s="2" t="s">
        <v>8725</v>
      </c>
      <c r="C3103" s="2" t="s">
        <v>88</v>
      </c>
      <c r="D3103" s="2" t="s">
        <v>27</v>
      </c>
      <c r="E3103" s="4">
        <v>-32782</v>
      </c>
      <c r="F3103" s="3" t="s">
        <v>1141</v>
      </c>
      <c r="G3103" s="3" t="s">
        <v>99</v>
      </c>
      <c r="H3103" s="2" t="s">
        <v>74</v>
      </c>
      <c r="I3103" s="2" t="s">
        <v>8728</v>
      </c>
      <c r="J3103" s="3" t="str">
        <f>HYPERLINK("https://www.boe.es/gazeta/dias/1810/03/30/pdfs/GMD-1810-89.pdf#page=3","Abrir facsímil")</f>
        <v>Abrir facsímil</v>
      </c>
      <c r="K3103" s="3" t="s">
        <v>76</v>
      </c>
    </row>
    <row r="3104" spans="1:11" ht="42" customHeight="1">
      <c r="A3104" s="2" t="s">
        <v>8729</v>
      </c>
      <c r="B3104" s="2" t="s">
        <v>8730</v>
      </c>
      <c r="C3104" s="2" t="s">
        <v>26</v>
      </c>
      <c r="D3104" s="2" t="s">
        <v>27</v>
      </c>
      <c r="E3104" s="4">
        <v>-32592</v>
      </c>
      <c r="F3104" s="3" t="s">
        <v>2782</v>
      </c>
      <c r="G3104" s="3" t="s">
        <v>2864</v>
      </c>
      <c r="H3104" s="2" t="s">
        <v>74</v>
      </c>
      <c r="I3104" s="2" t="s">
        <v>8731</v>
      </c>
      <c r="J3104" s="3" t="str">
        <f>HYPERLINK("https://www.boe.es/gazeta/dias/1810/10/06/pdfs/GMD-1810-279.pdf#page=4","Abrir facsímil")</f>
        <v>Abrir facsímil</v>
      </c>
      <c r="K3104" s="3" t="s">
        <v>76</v>
      </c>
    </row>
    <row r="3105" spans="1:11" ht="42" customHeight="1">
      <c r="A3105" s="2" t="s">
        <v>8732</v>
      </c>
      <c r="B3105" s="2" t="s">
        <v>8733</v>
      </c>
      <c r="C3105" s="2" t="s">
        <v>88</v>
      </c>
      <c r="D3105" s="2" t="s">
        <v>27</v>
      </c>
      <c r="E3105" s="4">
        <v>-32564</v>
      </c>
      <c r="F3105" s="3" t="s">
        <v>108</v>
      </c>
      <c r="G3105" s="3" t="s">
        <v>109</v>
      </c>
      <c r="H3105" s="2" t="s">
        <v>74</v>
      </c>
      <c r="I3105" s="2" t="s">
        <v>8734</v>
      </c>
      <c r="J3105" s="3" t="str">
        <f>HYPERLINK("https://www.boe.es/gazeta/dias/1810/11/03/pdfs/GEI-1810-90.pdf#page=8","Abrir facsímil")</f>
        <v>Abrir facsímil</v>
      </c>
      <c r="K3105" s="3" t="s">
        <v>76</v>
      </c>
    </row>
    <row r="3106" spans="1:11" ht="42" customHeight="1">
      <c r="A3106" s="2" t="s">
        <v>8735</v>
      </c>
      <c r="B3106" s="2" t="s">
        <v>8735</v>
      </c>
      <c r="C3106" s="2" t="s">
        <v>26</v>
      </c>
      <c r="D3106" s="2" t="s">
        <v>27</v>
      </c>
      <c r="E3106" s="4">
        <v>-32762</v>
      </c>
      <c r="F3106" s="3" t="s">
        <v>231</v>
      </c>
      <c r="G3106" s="3" t="s">
        <v>29</v>
      </c>
      <c r="H3106" s="2" t="s">
        <v>74</v>
      </c>
      <c r="I3106" s="2" t="s">
        <v>8736</v>
      </c>
      <c r="J3106" s="3" t="str">
        <f>HYPERLINK("https://www.boe.es/gazeta/dias/1810/04/19/pdfs/GMD-1810-109.pdf#page=2","Abrir facsímil")</f>
        <v>Abrir facsímil</v>
      </c>
      <c r="K3106" s="3" t="s">
        <v>76</v>
      </c>
    </row>
    <row r="3107" spans="1:11" ht="42" customHeight="1">
      <c r="A3107" s="2" t="s">
        <v>8737</v>
      </c>
      <c r="B3107" s="2" t="s">
        <v>8738</v>
      </c>
      <c r="C3107" s="2" t="s">
        <v>26</v>
      </c>
      <c r="D3107" s="2" t="s">
        <v>39</v>
      </c>
      <c r="E3107" s="4">
        <v>-32749</v>
      </c>
      <c r="F3107" s="3" t="s">
        <v>803</v>
      </c>
      <c r="G3107" s="3" t="s">
        <v>213</v>
      </c>
      <c r="H3107" s="2" t="s">
        <v>74</v>
      </c>
      <c r="I3107" s="2" t="s">
        <v>8739</v>
      </c>
      <c r="J3107" s="3" t="str">
        <f>HYPERLINK("https://www.boe.es/gazeta/dias/1810/05/02/pdfs/GMD-C-1810-122.pdf#page=2","Abrir facsímil")</f>
        <v>Abrir facsímil</v>
      </c>
      <c r="K3107" s="3" t="s">
        <v>76</v>
      </c>
    </row>
    <row r="3108" spans="1:11" ht="42" customHeight="1">
      <c r="A3108" s="2" t="s">
        <v>8740</v>
      </c>
      <c r="B3108" s="2" t="s">
        <v>8741</v>
      </c>
      <c r="C3108" s="2" t="s">
        <v>88</v>
      </c>
      <c r="D3108" s="2" t="s">
        <v>39</v>
      </c>
      <c r="E3108" s="4">
        <v>-32631</v>
      </c>
      <c r="F3108" s="3" t="s">
        <v>2830</v>
      </c>
      <c r="G3108" s="3" t="s">
        <v>3308</v>
      </c>
      <c r="H3108" s="2" t="s">
        <v>74</v>
      </c>
      <c r="I3108" s="2" t="s">
        <v>8742</v>
      </c>
      <c r="J3108" s="3" t="str">
        <f>HYPERLINK("https://www.boe.es/gazeta/dias/1810/08/28/pdfs/GEI-D-1810-60.pdf#page=2","Abrir facsímil")</f>
        <v>Abrir facsímil</v>
      </c>
      <c r="K3108" s="3" t="s">
        <v>76</v>
      </c>
    </row>
    <row r="3109" spans="1:11" ht="42" customHeight="1">
      <c r="A3109" s="2" t="s">
        <v>8743</v>
      </c>
      <c r="B3109" s="2" t="s">
        <v>8744</v>
      </c>
      <c r="C3109" s="2" t="s">
        <v>26</v>
      </c>
      <c r="D3109" s="2" t="s">
        <v>27</v>
      </c>
      <c r="E3109" s="4">
        <v>-32595</v>
      </c>
      <c r="F3109" s="3" t="s">
        <v>700</v>
      </c>
      <c r="G3109" s="3" t="s">
        <v>29</v>
      </c>
      <c r="H3109" s="2" t="s">
        <v>74</v>
      </c>
      <c r="I3109" s="2" t="s">
        <v>8745</v>
      </c>
      <c r="J3109" s="3" t="str">
        <f>HYPERLINK("https://www.boe.es/gazeta/dias/1810/10/03/pdfs/GMD-1810-276.pdf#page=4","Abrir facsímil")</f>
        <v>Abrir facsímil</v>
      </c>
      <c r="K3109" s="3" t="s">
        <v>76</v>
      </c>
    </row>
    <row r="3110" spans="1:11" ht="42" customHeight="1">
      <c r="A3110" s="2" t="s">
        <v>8746</v>
      </c>
      <c r="B3110" s="2" t="s">
        <v>8747</v>
      </c>
      <c r="C3110" s="2" t="s">
        <v>88</v>
      </c>
      <c r="D3110" s="2" t="s">
        <v>27</v>
      </c>
      <c r="E3110" s="4">
        <v>-32543</v>
      </c>
      <c r="F3110" s="3" t="s">
        <v>69</v>
      </c>
      <c r="G3110" s="3" t="s">
        <v>70</v>
      </c>
      <c r="H3110" s="2" t="s">
        <v>74</v>
      </c>
      <c r="I3110" s="2" t="s">
        <v>8748</v>
      </c>
      <c r="J3110" s="3" t="str">
        <f>HYPERLINK("https://www.boe.es/gazeta/dias/1810/11/24/pdfs/GEI-1810-99.pdf#page=8","Abrir facsímil")</f>
        <v>Abrir facsímil</v>
      </c>
      <c r="K3110" s="3" t="s">
        <v>76</v>
      </c>
    </row>
    <row r="3111" spans="1:11" ht="42" customHeight="1">
      <c r="A3111" s="2" t="s">
        <v>8749</v>
      </c>
      <c r="B3111" s="2" t="s">
        <v>8750</v>
      </c>
      <c r="C3111" s="2" t="s">
        <v>930</v>
      </c>
      <c r="D3111" s="2" t="s">
        <v>27</v>
      </c>
      <c r="E3111" s="4">
        <v>-32554</v>
      </c>
      <c r="F3111" s="3" t="s">
        <v>5190</v>
      </c>
      <c r="G3111" s="3" t="s">
        <v>5191</v>
      </c>
      <c r="H3111" s="2" t="s">
        <v>74</v>
      </c>
      <c r="I3111" s="2" t="s">
        <v>8751</v>
      </c>
      <c r="J3111" s="3" t="str">
        <f>HYPERLINK("https://www.boe.es/gazeta/dias/1810/11/13/pdfs/GEI-1810-94.pdf#page=8","Abrir facsímil")</f>
        <v>Abrir facsímil</v>
      </c>
      <c r="K3111" s="3" t="s">
        <v>76</v>
      </c>
    </row>
    <row r="3112" spans="1:11" ht="42" customHeight="1">
      <c r="A3112" s="2" t="s">
        <v>8752</v>
      </c>
      <c r="B3112" s="2" t="s">
        <v>8753</v>
      </c>
      <c r="C3112" s="2" t="s">
        <v>26</v>
      </c>
      <c r="D3112" s="2" t="s">
        <v>27</v>
      </c>
      <c r="E3112" s="4">
        <v>-32626</v>
      </c>
      <c r="F3112" s="3" t="s">
        <v>64</v>
      </c>
      <c r="G3112" s="3" t="s">
        <v>8754</v>
      </c>
      <c r="H3112" s="2" t="s">
        <v>74</v>
      </c>
      <c r="I3112" s="2" t="s">
        <v>8755</v>
      </c>
      <c r="J3112" s="3" t="str">
        <f>HYPERLINK("https://www.boe.es/gazeta/dias/1810/09/02/pdfs/GMD-1810-245.pdf#page=4","Abrir facsímil")</f>
        <v>Abrir facsímil</v>
      </c>
      <c r="K3112" s="3" t="s">
        <v>76</v>
      </c>
    </row>
    <row r="3113" spans="1:11" ht="42" customHeight="1">
      <c r="A3113" s="2" t="s">
        <v>8756</v>
      </c>
      <c r="B3113" s="2" t="s">
        <v>8757</v>
      </c>
      <c r="C3113" s="2" t="s">
        <v>88</v>
      </c>
      <c r="D3113" s="2" t="s">
        <v>117</v>
      </c>
      <c r="E3113" s="4">
        <v>-32584</v>
      </c>
      <c r="F3113" s="3" t="s">
        <v>1560</v>
      </c>
      <c r="G3113" s="3" t="s">
        <v>971</v>
      </c>
      <c r="H3113" s="2" t="s">
        <v>74</v>
      </c>
      <c r="I3113" s="2" t="s">
        <v>8758</v>
      </c>
      <c r="J3113" s="3" t="str">
        <f>HYPERLINK("https://www.boe.es/gazeta/dias/1810/10/14/pdfs/GMD-1810-287.pdf#page=3","Abrir facsímil")</f>
        <v>Abrir facsímil</v>
      </c>
      <c r="K3113" s="3" t="s">
        <v>76</v>
      </c>
    </row>
    <row r="3114" spans="1:11" ht="42" customHeight="1">
      <c r="A3114" s="2" t="s">
        <v>8759</v>
      </c>
      <c r="B3114" s="2" t="s">
        <v>8759</v>
      </c>
      <c r="C3114" s="2" t="s">
        <v>26</v>
      </c>
      <c r="D3114" s="2" t="s">
        <v>220</v>
      </c>
      <c r="E3114" s="4">
        <v>-32766</v>
      </c>
      <c r="F3114" s="3" t="s">
        <v>492</v>
      </c>
      <c r="G3114" s="3" t="s">
        <v>180</v>
      </c>
      <c r="H3114" s="2" t="s">
        <v>74</v>
      </c>
      <c r="I3114" s="2" t="s">
        <v>8760</v>
      </c>
      <c r="J3114" s="3" t="str">
        <f>HYPERLINK("https://www.boe.es/gazeta/dias/1810/04/15/pdfs/GMD-1810-105.pdf#page=1","Abrir facsímil")</f>
        <v>Abrir facsímil</v>
      </c>
      <c r="K3114" s="3" t="s">
        <v>76</v>
      </c>
    </row>
    <row r="3115" spans="1:11" ht="42" customHeight="1">
      <c r="A3115" s="2" t="s">
        <v>8761</v>
      </c>
      <c r="B3115" s="2" t="s">
        <v>8761</v>
      </c>
      <c r="C3115" s="2" t="s">
        <v>17</v>
      </c>
      <c r="D3115" s="2" t="s">
        <v>27</v>
      </c>
      <c r="E3115" s="4">
        <v>-32757</v>
      </c>
      <c r="F3115" s="3" t="s">
        <v>1136</v>
      </c>
      <c r="G3115" s="3" t="s">
        <v>8762</v>
      </c>
      <c r="H3115" s="2" t="s">
        <v>74</v>
      </c>
      <c r="I3115" s="2" t="s">
        <v>8763</v>
      </c>
      <c r="J3115" s="3" t="str">
        <f>HYPERLINK("https://www.boe.es/gazeta/dias/1810/04/24/pdfs/GEI-1810-17.pdf#page=4","Abrir facsímil")</f>
        <v>Abrir facsímil</v>
      </c>
      <c r="K3115" s="3" t="s">
        <v>76</v>
      </c>
    </row>
    <row r="3116" spans="1:11" ht="42" customHeight="1">
      <c r="A3116" s="2" t="s">
        <v>8761</v>
      </c>
      <c r="B3116" s="2" t="s">
        <v>8761</v>
      </c>
      <c r="C3116" s="2" t="s">
        <v>33</v>
      </c>
      <c r="D3116" s="2" t="s">
        <v>27</v>
      </c>
      <c r="E3116" s="4">
        <v>-32754</v>
      </c>
      <c r="F3116" s="3" t="s">
        <v>34</v>
      </c>
      <c r="G3116" s="3" t="s">
        <v>35</v>
      </c>
      <c r="H3116" s="2" t="s">
        <v>74</v>
      </c>
      <c r="I3116" s="2" t="s">
        <v>8764</v>
      </c>
      <c r="J3116" s="3" t="str">
        <f>HYPERLINK("https://www.boe.es/gazeta/dias/1810/04/27/pdfs/GMD-1810-117.pdf#page=2","Abrir facsímil")</f>
        <v>Abrir facsímil</v>
      </c>
      <c r="K3116" s="3" t="s">
        <v>76</v>
      </c>
    </row>
    <row r="3117" spans="1:11" ht="42" customHeight="1">
      <c r="A3117" s="2" t="s">
        <v>8761</v>
      </c>
      <c r="B3117" s="2" t="s">
        <v>8761</v>
      </c>
      <c r="C3117" s="2" t="s">
        <v>88</v>
      </c>
      <c r="D3117" s="2" t="s">
        <v>27</v>
      </c>
      <c r="E3117" s="4">
        <v>-32603</v>
      </c>
      <c r="F3117" s="3" t="s">
        <v>2163</v>
      </c>
      <c r="G3117" s="3" t="s">
        <v>4601</v>
      </c>
      <c r="H3117" s="2" t="s">
        <v>74</v>
      </c>
      <c r="I3117" s="2" t="s">
        <v>8765</v>
      </c>
      <c r="J3117" s="3" t="str">
        <f>HYPERLINK("https://www.boe.es/gazeta/dias/1810/09/25/pdfs/GEI-1810-72.pdf#page=7","Abrir facsímil")</f>
        <v>Abrir facsímil</v>
      </c>
      <c r="K3117" s="3" t="s">
        <v>76</v>
      </c>
    </row>
    <row r="3118" spans="1:11" ht="42" customHeight="1">
      <c r="A3118" s="2" t="s">
        <v>8766</v>
      </c>
      <c r="B3118" s="2" t="s">
        <v>8767</v>
      </c>
      <c r="C3118" s="2" t="s">
        <v>88</v>
      </c>
      <c r="D3118" s="2" t="s">
        <v>18</v>
      </c>
      <c r="E3118" s="4">
        <v>-32861</v>
      </c>
      <c r="F3118" s="3" t="s">
        <v>796</v>
      </c>
      <c r="G3118" s="3" t="s">
        <v>29</v>
      </c>
      <c r="H3118" s="2" t="s">
        <v>74</v>
      </c>
      <c r="I3118" s="2" t="s">
        <v>8768</v>
      </c>
      <c r="J3118" s="3" t="str">
        <f>HYPERLINK("https://www.boe.es/gazeta/dias/1810/01/10/pdfs/GMD-1810-10.pdf#page=2","Abrir facsímil")</f>
        <v>Abrir facsímil</v>
      </c>
      <c r="K3118" s="3" t="s">
        <v>76</v>
      </c>
    </row>
    <row r="3119" spans="1:11" ht="42" customHeight="1">
      <c r="A3119" s="2" t="s">
        <v>8769</v>
      </c>
      <c r="B3119" s="2" t="s">
        <v>8770</v>
      </c>
      <c r="C3119" s="2" t="s">
        <v>17</v>
      </c>
      <c r="D3119" s="2" t="s">
        <v>27</v>
      </c>
      <c r="E3119" s="4">
        <v>-32537</v>
      </c>
      <c r="F3119" s="3" t="s">
        <v>1091</v>
      </c>
      <c r="G3119" s="3" t="s">
        <v>20</v>
      </c>
      <c r="H3119" s="2" t="s">
        <v>74</v>
      </c>
      <c r="I3119" s="2" t="s">
        <v>8771</v>
      </c>
      <c r="J3119" s="3" t="str">
        <f>HYPERLINK("https://www.boe.es/gazeta/dias/1810/11/30/pdfs/GMD-1810-334.pdf#page=4","Abrir facsímil")</f>
        <v>Abrir facsímil</v>
      </c>
      <c r="K3119" s="3" t="s">
        <v>76</v>
      </c>
    </row>
    <row r="3120" spans="1:11" ht="42" customHeight="1">
      <c r="A3120" s="2" t="s">
        <v>8772</v>
      </c>
      <c r="B3120" s="2" t="s">
        <v>8772</v>
      </c>
      <c r="C3120" s="2" t="s">
        <v>26</v>
      </c>
      <c r="D3120" s="2" t="s">
        <v>27</v>
      </c>
      <c r="E3120" s="4">
        <v>-32702</v>
      </c>
      <c r="F3120" s="3" t="s">
        <v>8773</v>
      </c>
      <c r="G3120" s="3" t="s">
        <v>113</v>
      </c>
      <c r="H3120" s="2" t="s">
        <v>74</v>
      </c>
      <c r="I3120" s="2" t="s">
        <v>8774</v>
      </c>
      <c r="J3120" s="3" t="str">
        <f>HYPERLINK("https://www.boe.es/gazeta/dias/1810/06/18/pdfs/GMD-1810-169.pdf#page=4","Abrir facsímil")</f>
        <v>Abrir facsímil</v>
      </c>
      <c r="K3120" s="3" t="s">
        <v>76</v>
      </c>
    </row>
    <row r="3121" spans="1:11" ht="42" customHeight="1">
      <c r="A3121" s="2" t="s">
        <v>8772</v>
      </c>
      <c r="B3121" s="2" t="s">
        <v>8772</v>
      </c>
      <c r="C3121" s="2" t="s">
        <v>26</v>
      </c>
      <c r="D3121" s="2" t="s">
        <v>27</v>
      </c>
      <c r="E3121" s="4">
        <v>-32700</v>
      </c>
      <c r="F3121" s="3" t="s">
        <v>89</v>
      </c>
      <c r="G3121" s="3" t="s">
        <v>29</v>
      </c>
      <c r="H3121" s="2" t="s">
        <v>74</v>
      </c>
      <c r="I3121" s="2" t="s">
        <v>8775</v>
      </c>
      <c r="J3121" s="3" t="str">
        <f>HYPERLINK("https://www.boe.es/gazeta/dias/1810/06/20/pdfs/GMD-1810-171.pdf#page=3","Abrir facsímil")</f>
        <v>Abrir facsímil</v>
      </c>
      <c r="K3121" s="3" t="s">
        <v>76</v>
      </c>
    </row>
    <row r="3122" spans="1:11" ht="42" customHeight="1">
      <c r="A3122" s="2" t="s">
        <v>8772</v>
      </c>
      <c r="B3122" s="2" t="s">
        <v>8772</v>
      </c>
      <c r="C3122" s="2" t="s">
        <v>88</v>
      </c>
      <c r="D3122" s="2" t="s">
        <v>27</v>
      </c>
      <c r="E3122" s="4">
        <v>-32698</v>
      </c>
      <c r="F3122" s="3" t="s">
        <v>1721</v>
      </c>
      <c r="G3122" s="3" t="s">
        <v>632</v>
      </c>
      <c r="H3122" s="2" t="s">
        <v>74</v>
      </c>
      <c r="I3122" s="2" t="s">
        <v>8776</v>
      </c>
      <c r="J3122" s="3" t="str">
        <f>HYPERLINK("https://www.boe.es/gazeta/dias/1810/06/22/pdfs/GMD-1810-173.pdf#page=4","Abrir facsímil")</f>
        <v>Abrir facsímil</v>
      </c>
      <c r="K3122" s="3" t="s">
        <v>76</v>
      </c>
    </row>
    <row r="3123" spans="1:11" ht="42" customHeight="1">
      <c r="A3123" s="2" t="s">
        <v>8777</v>
      </c>
      <c r="B3123" s="2" t="s">
        <v>8777</v>
      </c>
      <c r="C3123" s="2" t="s">
        <v>33</v>
      </c>
      <c r="D3123" s="2" t="s">
        <v>27</v>
      </c>
      <c r="E3123" s="4">
        <v>-32547</v>
      </c>
      <c r="F3123" s="3" t="s">
        <v>407</v>
      </c>
      <c r="G3123" s="3" t="s">
        <v>1347</v>
      </c>
      <c r="H3123" s="2" t="s">
        <v>74</v>
      </c>
      <c r="I3123" s="2" t="s">
        <v>8778</v>
      </c>
      <c r="J3123" s="3" t="str">
        <f>HYPERLINK("https://www.boe.es/gazeta/dias/1810/11/20/pdfs/GEI-1810-97.pdf#page=7","Abrir facsímil")</f>
        <v>Abrir facsímil</v>
      </c>
      <c r="K3123" s="3" t="s">
        <v>76</v>
      </c>
    </row>
    <row r="3124" spans="1:11" ht="42" customHeight="1">
      <c r="A3124" s="2" t="s">
        <v>8779</v>
      </c>
      <c r="B3124" s="2" t="s">
        <v>8779</v>
      </c>
      <c r="C3124" s="2" t="s">
        <v>88</v>
      </c>
      <c r="D3124" s="2" t="s">
        <v>18</v>
      </c>
      <c r="E3124" s="4">
        <v>-32863</v>
      </c>
      <c r="F3124" s="3" t="s">
        <v>2391</v>
      </c>
      <c r="G3124" s="3" t="s">
        <v>35</v>
      </c>
      <c r="H3124" s="2" t="s">
        <v>74</v>
      </c>
      <c r="I3124" s="2" t="s">
        <v>8780</v>
      </c>
      <c r="J3124" s="3" t="str">
        <f>HYPERLINK("https://www.boe.es/gazeta/dias/1810/01/08/pdfs/GMD-1810-8.pdf#page=2","Abrir facsímil")</f>
        <v>Abrir facsímil</v>
      </c>
      <c r="K3124" s="3" t="s">
        <v>76</v>
      </c>
    </row>
    <row r="3125" spans="1:11" ht="42" customHeight="1">
      <c r="A3125" s="2" t="s">
        <v>8779</v>
      </c>
      <c r="B3125" s="2" t="s">
        <v>8779</v>
      </c>
      <c r="C3125" s="2" t="s">
        <v>317</v>
      </c>
      <c r="D3125" s="2" t="s">
        <v>27</v>
      </c>
      <c r="E3125" s="4">
        <v>-32627</v>
      </c>
      <c r="F3125" s="3" t="s">
        <v>1496</v>
      </c>
      <c r="G3125" s="3" t="s">
        <v>1497</v>
      </c>
      <c r="H3125" s="2" t="s">
        <v>74</v>
      </c>
      <c r="I3125" s="2" t="s">
        <v>8781</v>
      </c>
      <c r="J3125" s="3" t="str">
        <f>HYPERLINK("https://www.boe.es/gazeta/dias/1810/09/01/pdfs/GMD-1810-244.pdf#page=1","Abrir facsímil")</f>
        <v>Abrir facsímil</v>
      </c>
      <c r="K3125" s="3" t="s">
        <v>76</v>
      </c>
    </row>
    <row r="3126" spans="1:11" ht="42" customHeight="1">
      <c r="A3126" s="2" t="s">
        <v>8782</v>
      </c>
      <c r="B3126" s="2" t="s">
        <v>8783</v>
      </c>
      <c r="C3126" s="2" t="s">
        <v>33</v>
      </c>
      <c r="D3126" s="2" t="s">
        <v>27</v>
      </c>
      <c r="E3126" s="4">
        <v>-32820</v>
      </c>
      <c r="F3126" s="3" t="s">
        <v>226</v>
      </c>
      <c r="G3126" s="3" t="s">
        <v>356</v>
      </c>
      <c r="H3126" s="2" t="s">
        <v>74</v>
      </c>
      <c r="I3126" s="2" t="s">
        <v>8784</v>
      </c>
      <c r="J3126" s="3" t="str">
        <f>HYPERLINK("https://www.boe.es/gazeta/dias/1810/02/20/pdfs/GMD-1810-51.pdf#page=3","Abrir facsímil")</f>
        <v>Abrir facsímil</v>
      </c>
      <c r="K3126" s="3" t="s">
        <v>76</v>
      </c>
    </row>
    <row r="3127" spans="1:11" ht="42" customHeight="1">
      <c r="A3127" s="2" t="s">
        <v>8785</v>
      </c>
      <c r="B3127" s="2" t="s">
        <v>8786</v>
      </c>
      <c r="C3127" s="2" t="s">
        <v>17</v>
      </c>
      <c r="D3127" s="2" t="s">
        <v>27</v>
      </c>
      <c r="E3127" s="4">
        <v>-32689</v>
      </c>
      <c r="F3127" s="3" t="s">
        <v>571</v>
      </c>
      <c r="G3127" s="3" t="s">
        <v>29</v>
      </c>
      <c r="H3127" s="2" t="s">
        <v>74</v>
      </c>
      <c r="I3127" s="2" t="s">
        <v>8787</v>
      </c>
      <c r="J3127" s="3" t="str">
        <f>HYPERLINK("https://www.boe.es/gazeta/dias/1810/07/01/pdfs/GMD-1810-182.pdf#page=3","Abrir facsímil")</f>
        <v>Abrir facsímil</v>
      </c>
      <c r="K3127" s="3" t="s">
        <v>76</v>
      </c>
    </row>
    <row r="3128" spans="1:11" ht="42" customHeight="1">
      <c r="A3128" s="2" t="s">
        <v>8788</v>
      </c>
      <c r="B3128" s="2" t="s">
        <v>8789</v>
      </c>
      <c r="C3128" s="2" t="s">
        <v>26</v>
      </c>
      <c r="D3128" s="2" t="s">
        <v>27</v>
      </c>
      <c r="E3128" s="4">
        <v>-32689</v>
      </c>
      <c r="F3128" s="3" t="s">
        <v>571</v>
      </c>
      <c r="G3128" s="3" t="s">
        <v>140</v>
      </c>
      <c r="H3128" s="2" t="s">
        <v>74</v>
      </c>
      <c r="I3128" s="2" t="s">
        <v>8790</v>
      </c>
      <c r="J3128" s="3" t="str">
        <f>HYPERLINK("https://www.boe.es/gazeta/dias/1810/07/01/pdfs/GMD-1810-182.pdf#page=4","Abrir facsímil")</f>
        <v>Abrir facsímil</v>
      </c>
      <c r="K3128" s="3" t="s">
        <v>76</v>
      </c>
    </row>
    <row r="3129" spans="1:11" ht="42" customHeight="1">
      <c r="A3129" s="2" t="s">
        <v>8791</v>
      </c>
      <c r="B3129" s="2" t="s">
        <v>8792</v>
      </c>
      <c r="C3129" s="2" t="s">
        <v>88</v>
      </c>
      <c r="D3129" s="2" t="s">
        <v>27</v>
      </c>
      <c r="E3129" s="4">
        <v>-32510</v>
      </c>
      <c r="F3129" s="3" t="s">
        <v>1955</v>
      </c>
      <c r="G3129" s="3" t="s">
        <v>140</v>
      </c>
      <c r="H3129" s="2" t="s">
        <v>74</v>
      </c>
      <c r="I3129" s="2" t="s">
        <v>8793</v>
      </c>
      <c r="J3129" s="3" t="str">
        <f>HYPERLINK("https://www.boe.es/gazeta/dias/1810/12/27/pdfs/GEI-1810-113.pdf#page=8","Abrir facsímil")</f>
        <v>Abrir facsímil</v>
      </c>
      <c r="K3129" s="3" t="s">
        <v>76</v>
      </c>
    </row>
    <row r="3130" spans="1:11" ht="42" customHeight="1">
      <c r="A3130" s="2" t="s">
        <v>8794</v>
      </c>
      <c r="B3130" s="2" t="s">
        <v>8795</v>
      </c>
      <c r="C3130" s="2" t="s">
        <v>88</v>
      </c>
      <c r="D3130" s="2" t="s">
        <v>117</v>
      </c>
      <c r="E3130" s="4">
        <v>-32762</v>
      </c>
      <c r="F3130" s="3" t="s">
        <v>231</v>
      </c>
      <c r="G3130" s="3" t="s">
        <v>140</v>
      </c>
      <c r="H3130" s="2" t="s">
        <v>74</v>
      </c>
      <c r="I3130" s="2" t="s">
        <v>8796</v>
      </c>
      <c r="J3130" s="3" t="str">
        <f>HYPERLINK("https://www.boe.es/gazeta/dias/1810/04/19/pdfs/GMD-1810-109.pdf#page=3","Abrir facsímil")</f>
        <v>Abrir facsímil</v>
      </c>
      <c r="K3130" s="3" t="s">
        <v>76</v>
      </c>
    </row>
    <row r="3131" spans="1:11" ht="42" customHeight="1">
      <c r="A3131" s="2" t="s">
        <v>8797</v>
      </c>
      <c r="B3131" s="2" t="s">
        <v>8798</v>
      </c>
      <c r="C3131" s="2" t="s">
        <v>26</v>
      </c>
      <c r="D3131" s="2" t="s">
        <v>27</v>
      </c>
      <c r="E3131" s="4">
        <v>-32703</v>
      </c>
      <c r="F3131" s="3" t="s">
        <v>1213</v>
      </c>
      <c r="G3131" s="3" t="s">
        <v>1214</v>
      </c>
      <c r="H3131" s="2" t="s">
        <v>74</v>
      </c>
      <c r="I3131" s="2" t="s">
        <v>8799</v>
      </c>
      <c r="J3131" s="3" t="str">
        <f>HYPERLINK("https://www.boe.es/gazeta/dias/1810/06/17/pdfs/GMD-1810-168.pdf#page=4","Abrir facsímil")</f>
        <v>Abrir facsímil</v>
      </c>
      <c r="K3131" s="3" t="s">
        <v>76</v>
      </c>
    </row>
    <row r="3132" spans="1:11" ht="42" customHeight="1">
      <c r="A3132" s="2" t="s">
        <v>8800</v>
      </c>
      <c r="B3132" s="2" t="s">
        <v>8801</v>
      </c>
      <c r="C3132" s="2" t="s">
        <v>17</v>
      </c>
      <c r="D3132" s="2" t="s">
        <v>27</v>
      </c>
      <c r="E3132" s="4">
        <v>-32638</v>
      </c>
      <c r="F3132" s="3" t="s">
        <v>489</v>
      </c>
      <c r="G3132" s="3" t="s">
        <v>8802</v>
      </c>
      <c r="H3132" s="2" t="s">
        <v>74</v>
      </c>
      <c r="I3132" s="2" t="s">
        <v>8803</v>
      </c>
      <c r="J3132" s="3" t="str">
        <f>HYPERLINK("https://www.boe.es/gazeta/dias/1810/08/21/pdfs/GMD-1810-233.pdf#page=3","Abrir facsímil")</f>
        <v>Abrir facsímil</v>
      </c>
      <c r="K3132" s="3" t="s">
        <v>76</v>
      </c>
    </row>
    <row r="3133" spans="1:11" ht="42" customHeight="1">
      <c r="A3133" s="2" t="s">
        <v>8804</v>
      </c>
      <c r="B3133" s="2" t="s">
        <v>8805</v>
      </c>
      <c r="C3133" s="2" t="s">
        <v>26</v>
      </c>
      <c r="D3133" s="2" t="s">
        <v>27</v>
      </c>
      <c r="E3133" s="4">
        <v>-32647</v>
      </c>
      <c r="F3133" s="3" t="s">
        <v>118</v>
      </c>
      <c r="G3133" s="3" t="s">
        <v>140</v>
      </c>
      <c r="H3133" s="2" t="s">
        <v>21</v>
      </c>
      <c r="I3133" s="2" t="s">
        <v>8806</v>
      </c>
      <c r="J3133" s="3" t="str">
        <f>HYPERLINK("https://www.boe.es/gazeta/dias/1810/08/12/pdfs/GMD-1810-224.pdf#page=2","Abrir facsímil")</f>
        <v>Abrir facsímil</v>
      </c>
      <c r="K3133" s="3" t="s">
        <v>23</v>
      </c>
    </row>
    <row r="3134" spans="1:11" ht="42" customHeight="1">
      <c r="A3134" s="2" t="s">
        <v>8807</v>
      </c>
      <c r="B3134" s="2" t="s">
        <v>8808</v>
      </c>
      <c r="C3134" s="2" t="s">
        <v>26</v>
      </c>
      <c r="D3134" s="2" t="s">
        <v>27</v>
      </c>
      <c r="E3134" s="4">
        <v>-32730</v>
      </c>
      <c r="F3134" s="3" t="s">
        <v>50</v>
      </c>
      <c r="G3134" s="3" t="s">
        <v>20</v>
      </c>
      <c r="H3134" s="2" t="s">
        <v>21</v>
      </c>
      <c r="I3134" s="2" t="s">
        <v>8809</v>
      </c>
      <c r="J3134" s="3" t="str">
        <f>HYPERLINK("https://www.boe.es/gazeta/dias/1810/05/21/pdfs/GMD-1810-141.pdf#page=4","Abrir facsímil")</f>
        <v>Abrir facsímil</v>
      </c>
      <c r="K3134" s="3" t="s">
        <v>23</v>
      </c>
    </row>
    <row r="3135" spans="1:11" ht="42" customHeight="1">
      <c r="A3135" s="2" t="s">
        <v>8810</v>
      </c>
      <c r="B3135" s="2" t="s">
        <v>8811</v>
      </c>
      <c r="C3135" s="2" t="s">
        <v>26</v>
      </c>
      <c r="D3135" s="2" t="s">
        <v>27</v>
      </c>
      <c r="E3135" s="4">
        <v>-32543</v>
      </c>
      <c r="F3135" s="3" t="s">
        <v>69</v>
      </c>
      <c r="G3135" s="3" t="s">
        <v>70</v>
      </c>
      <c r="H3135" s="2" t="s">
        <v>74</v>
      </c>
      <c r="I3135" s="2" t="s">
        <v>8812</v>
      </c>
      <c r="J3135" s="3" t="str">
        <f>HYPERLINK("https://www.boe.es/gazeta/dias/1810/11/24/pdfs/GEI-1810-99.pdf#page=8","Abrir facsímil")</f>
        <v>Abrir facsímil</v>
      </c>
      <c r="K3135" s="3" t="s">
        <v>76</v>
      </c>
    </row>
    <row r="3136" spans="1:11" ht="42" customHeight="1">
      <c r="A3136" s="2" t="s">
        <v>8813</v>
      </c>
      <c r="B3136" s="2" t="s">
        <v>8814</v>
      </c>
      <c r="C3136" s="2" t="s">
        <v>88</v>
      </c>
      <c r="D3136" s="2" t="s">
        <v>27</v>
      </c>
      <c r="E3136" s="4">
        <v>-32537</v>
      </c>
      <c r="F3136" s="3" t="s">
        <v>1091</v>
      </c>
      <c r="G3136" s="3" t="s">
        <v>20</v>
      </c>
      <c r="H3136" s="2" t="s">
        <v>74</v>
      </c>
      <c r="I3136" s="2" t="s">
        <v>8815</v>
      </c>
      <c r="J3136" s="3" t="str">
        <f>HYPERLINK("https://www.boe.es/gazeta/dias/1810/11/30/pdfs/GMD-1810-334.pdf#page=4","Abrir facsímil")</f>
        <v>Abrir facsímil</v>
      </c>
      <c r="K3136" s="3" t="s">
        <v>76</v>
      </c>
    </row>
    <row r="3137" spans="1:11" ht="42" customHeight="1">
      <c r="A3137" s="2" t="s">
        <v>8816</v>
      </c>
      <c r="B3137" s="2" t="s">
        <v>8816</v>
      </c>
      <c r="C3137" s="2" t="s">
        <v>225</v>
      </c>
      <c r="D3137" s="2" t="s">
        <v>27</v>
      </c>
      <c r="E3137" s="4">
        <v>-32707</v>
      </c>
      <c r="F3137" s="3" t="s">
        <v>1753</v>
      </c>
      <c r="G3137" s="3" t="s">
        <v>227</v>
      </c>
      <c r="H3137" s="2" t="s">
        <v>74</v>
      </c>
      <c r="I3137" s="2" t="s">
        <v>8817</v>
      </c>
      <c r="J3137" s="3" t="str">
        <f>HYPERLINK("https://www.boe.es/gazeta/dias/1810/06/13/pdfs/GMD-1810-164.pdf#page=4","Abrir facsímil")</f>
        <v>Abrir facsímil</v>
      </c>
      <c r="K3137" s="3" t="s">
        <v>76</v>
      </c>
    </row>
    <row r="3138" spans="1:11" ht="42" customHeight="1">
      <c r="A3138" s="2" t="s">
        <v>8818</v>
      </c>
      <c r="B3138" s="2" t="s">
        <v>8819</v>
      </c>
      <c r="C3138" s="2" t="s">
        <v>88</v>
      </c>
      <c r="D3138" s="2" t="s">
        <v>117</v>
      </c>
      <c r="E3138" s="4">
        <v>-32635</v>
      </c>
      <c r="F3138" s="3" t="s">
        <v>2674</v>
      </c>
      <c r="G3138" s="3" t="s">
        <v>8820</v>
      </c>
      <c r="H3138" s="2" t="s">
        <v>74</v>
      </c>
      <c r="I3138" s="2" t="s">
        <v>8821</v>
      </c>
      <c r="J3138" s="3" t="str">
        <f>HYPERLINK("https://www.boe.es/gazeta/dias/1810/08/24/pdfs/GEI-D-1810-59.pdf#page=3","Abrir facsímil")</f>
        <v>Abrir facsímil</v>
      </c>
      <c r="K3138" s="3" t="s">
        <v>76</v>
      </c>
    </row>
    <row r="3139" spans="1:11" ht="42" customHeight="1">
      <c r="A3139" s="2" t="s">
        <v>8822</v>
      </c>
      <c r="B3139" s="2" t="s">
        <v>8823</v>
      </c>
      <c r="C3139" s="2" t="s">
        <v>26</v>
      </c>
      <c r="D3139" s="2" t="s">
        <v>27</v>
      </c>
      <c r="E3139" s="4">
        <v>-32647</v>
      </c>
      <c r="F3139" s="3" t="s">
        <v>118</v>
      </c>
      <c r="G3139" s="3" t="s">
        <v>20</v>
      </c>
      <c r="H3139" s="2" t="s">
        <v>74</v>
      </c>
      <c r="I3139" s="2" t="s">
        <v>8824</v>
      </c>
      <c r="J3139" s="3" t="str">
        <f>HYPERLINK("https://www.boe.es/gazeta/dias/1810/08/12/pdfs/GMD-1810-224.pdf#page=4","Abrir facsímil")</f>
        <v>Abrir facsímil</v>
      </c>
      <c r="K3139" s="3" t="s">
        <v>76</v>
      </c>
    </row>
    <row r="3140" spans="1:11" ht="42" customHeight="1">
      <c r="A3140" s="2" t="s">
        <v>8825</v>
      </c>
      <c r="B3140" s="2" t="s">
        <v>8825</v>
      </c>
      <c r="C3140" s="2" t="s">
        <v>26</v>
      </c>
      <c r="D3140" s="2" t="s">
        <v>27</v>
      </c>
      <c r="E3140" s="4">
        <v>-32771</v>
      </c>
      <c r="F3140" s="3" t="s">
        <v>543</v>
      </c>
      <c r="G3140" s="3" t="s">
        <v>1667</v>
      </c>
      <c r="H3140" s="2" t="s">
        <v>74</v>
      </c>
      <c r="I3140" s="2" t="s">
        <v>8826</v>
      </c>
      <c r="J3140" s="3" t="str">
        <f>HYPERLINK("https://www.boe.es/gazeta/dias/1810/04/10/pdfs/GEI-1810-13.pdf#page=4","Abrir facsímil")</f>
        <v>Abrir facsímil</v>
      </c>
      <c r="K3140" s="3" t="s">
        <v>76</v>
      </c>
    </row>
    <row r="3141" spans="1:11" ht="42" customHeight="1">
      <c r="A3141" s="2" t="s">
        <v>8827</v>
      </c>
      <c r="B3141" s="2" t="s">
        <v>8828</v>
      </c>
      <c r="C3141" s="2" t="s">
        <v>88</v>
      </c>
      <c r="D3141" s="2" t="s">
        <v>117</v>
      </c>
      <c r="E3141" s="4">
        <v>-32771</v>
      </c>
      <c r="F3141" s="3" t="s">
        <v>543</v>
      </c>
      <c r="G3141" s="3" t="s">
        <v>1667</v>
      </c>
      <c r="H3141" s="2" t="s">
        <v>74</v>
      </c>
      <c r="I3141" s="2" t="s">
        <v>8829</v>
      </c>
      <c r="J3141" s="3" t="str">
        <f>HYPERLINK("https://www.boe.es/gazeta/dias/1810/04/10/pdfs/GEI-1810-13.pdf#page=4","Abrir facsímil")</f>
        <v>Abrir facsímil</v>
      </c>
      <c r="K3141" s="3" t="s">
        <v>76</v>
      </c>
    </row>
    <row r="3142" spans="1:11" ht="42" customHeight="1">
      <c r="A3142" s="2" t="s">
        <v>8830</v>
      </c>
      <c r="B3142" s="2" t="s">
        <v>8830</v>
      </c>
      <c r="C3142" s="2" t="s">
        <v>26</v>
      </c>
      <c r="D3142" s="2" t="s">
        <v>27</v>
      </c>
      <c r="E3142" s="4">
        <v>-32684</v>
      </c>
      <c r="F3142" s="3" t="s">
        <v>1373</v>
      </c>
      <c r="G3142" s="3" t="s">
        <v>227</v>
      </c>
      <c r="H3142" s="2" t="s">
        <v>74</v>
      </c>
      <c r="I3142" s="2" t="s">
        <v>8831</v>
      </c>
      <c r="J3142" s="3" t="str">
        <f>HYPERLINK("https://www.boe.es/gazeta/dias/1810/07/06/pdfs/GEI-1810-42.pdf#page=1","Abrir facsímil")</f>
        <v>Abrir facsímil</v>
      </c>
      <c r="K3142" s="3" t="s">
        <v>76</v>
      </c>
    </row>
    <row r="3143" spans="1:11" ht="42" customHeight="1">
      <c r="A3143" s="2" t="s">
        <v>8832</v>
      </c>
      <c r="B3143" s="2" t="s">
        <v>8833</v>
      </c>
      <c r="C3143" s="2" t="s">
        <v>88</v>
      </c>
      <c r="D3143" s="2" t="s">
        <v>27</v>
      </c>
      <c r="E3143" s="4">
        <v>-32771</v>
      </c>
      <c r="F3143" s="3" t="s">
        <v>543</v>
      </c>
      <c r="G3143" s="3" t="s">
        <v>65</v>
      </c>
      <c r="H3143" s="2" t="s">
        <v>74</v>
      </c>
      <c r="I3143" s="2" t="s">
        <v>8834</v>
      </c>
      <c r="J3143" s="3" t="str">
        <f>HYPERLINK("https://www.boe.es/gazeta/dias/1810/04/10/pdfs/GEI-1810-13.pdf#page=7","Abrir facsímil")</f>
        <v>Abrir facsímil</v>
      </c>
      <c r="K3143" s="3" t="s">
        <v>76</v>
      </c>
    </row>
    <row r="3144" spans="1:11" ht="42" customHeight="1">
      <c r="A3144" s="2" t="s">
        <v>8835</v>
      </c>
      <c r="B3144" s="2" t="s">
        <v>8836</v>
      </c>
      <c r="C3144" s="2" t="s">
        <v>225</v>
      </c>
      <c r="D3144" s="2" t="s">
        <v>27</v>
      </c>
      <c r="E3144" s="4">
        <v>-32764</v>
      </c>
      <c r="F3144" s="3" t="s">
        <v>640</v>
      </c>
      <c r="G3144" s="3" t="s">
        <v>641</v>
      </c>
      <c r="H3144" s="2" t="s">
        <v>74</v>
      </c>
      <c r="I3144" s="2" t="s">
        <v>8837</v>
      </c>
      <c r="J3144" s="3" t="str">
        <f>HYPERLINK("https://www.boe.es/gazeta/dias/1810/04/17/pdfs/GEI-1810-15.pdf#page=8","Abrir facsímil")</f>
        <v>Abrir facsímil</v>
      </c>
      <c r="K3144" s="3" t="s">
        <v>76</v>
      </c>
    </row>
    <row r="3145" spans="1:11" ht="42" customHeight="1">
      <c r="A3145" s="2" t="s">
        <v>8838</v>
      </c>
      <c r="B3145" s="2" t="s">
        <v>8839</v>
      </c>
      <c r="C3145" s="2" t="s">
        <v>26</v>
      </c>
      <c r="D3145" s="2" t="s">
        <v>27</v>
      </c>
      <c r="E3145" s="4">
        <v>-32829</v>
      </c>
      <c r="F3145" s="3" t="s">
        <v>1126</v>
      </c>
      <c r="G3145" s="3" t="s">
        <v>29</v>
      </c>
      <c r="H3145" s="2" t="s">
        <v>74</v>
      </c>
      <c r="I3145" s="2" t="s">
        <v>8840</v>
      </c>
      <c r="J3145" s="3" t="str">
        <f>HYPERLINK("https://www.boe.es/gazeta/dias/1810/02/11/pdfs/GMD-1810-42.pdf#page=2","Abrir facsímil")</f>
        <v>Abrir facsímil</v>
      </c>
      <c r="K3145" s="3" t="s">
        <v>76</v>
      </c>
    </row>
    <row r="3146" spans="1:11" ht="42" customHeight="1">
      <c r="A3146" s="2" t="s">
        <v>8841</v>
      </c>
      <c r="B3146" s="2" t="s">
        <v>8842</v>
      </c>
      <c r="C3146" s="2" t="s">
        <v>26</v>
      </c>
      <c r="D3146" s="2" t="s">
        <v>27</v>
      </c>
      <c r="E3146" s="4">
        <v>-32666</v>
      </c>
      <c r="F3146" s="3" t="s">
        <v>346</v>
      </c>
      <c r="G3146" s="3" t="s">
        <v>8843</v>
      </c>
      <c r="H3146" s="2" t="s">
        <v>74</v>
      </c>
      <c r="I3146" s="2" t="s">
        <v>8844</v>
      </c>
      <c r="J3146" s="3" t="str">
        <f>HYPERLINK("https://www.boe.es/gazeta/dias/1810/07/24/pdfs/GEI-1810-47.pdf#page=3","Abrir facsímil")</f>
        <v>Abrir facsímil</v>
      </c>
      <c r="K3146" s="3" t="s">
        <v>76</v>
      </c>
    </row>
    <row r="3147" spans="1:11" ht="42" customHeight="1">
      <c r="A3147" s="2" t="s">
        <v>8845</v>
      </c>
      <c r="B3147" s="2" t="s">
        <v>8846</v>
      </c>
      <c r="C3147" s="2" t="s">
        <v>88</v>
      </c>
      <c r="D3147" s="2" t="s">
        <v>117</v>
      </c>
      <c r="E3147" s="4">
        <v>-32725</v>
      </c>
      <c r="F3147" s="3" t="s">
        <v>417</v>
      </c>
      <c r="G3147" s="3" t="s">
        <v>140</v>
      </c>
      <c r="H3147" s="2" t="s">
        <v>74</v>
      </c>
      <c r="I3147" s="2" t="s">
        <v>8847</v>
      </c>
      <c r="J3147" s="3" t="str">
        <f>HYPERLINK("https://www.boe.es/gazeta/dias/1810/05/26/pdfs/GMD-1810-146.pdf#page=4","Abrir facsímil")</f>
        <v>Abrir facsímil</v>
      </c>
      <c r="K3147" s="3" t="s">
        <v>76</v>
      </c>
    </row>
    <row r="3148" spans="1:11" ht="42" customHeight="1">
      <c r="A3148" s="2" t="s">
        <v>8848</v>
      </c>
      <c r="B3148" s="2" t="s">
        <v>8848</v>
      </c>
      <c r="C3148" s="2" t="s">
        <v>88</v>
      </c>
      <c r="D3148" s="2" t="s">
        <v>27</v>
      </c>
      <c r="E3148" s="4">
        <v>-32678</v>
      </c>
      <c r="F3148" s="3" t="s">
        <v>3679</v>
      </c>
      <c r="G3148" s="3" t="s">
        <v>29</v>
      </c>
      <c r="H3148" s="2" t="s">
        <v>74</v>
      </c>
      <c r="I3148" s="2" t="s">
        <v>8849</v>
      </c>
      <c r="J3148" s="3" t="str">
        <f>HYPERLINK("https://www.boe.es/gazeta/dias/1810/07/12/pdfs/GMD-1810-193.pdf#page=2","Abrir facsímil")</f>
        <v>Abrir facsímil</v>
      </c>
      <c r="K3148" s="3" t="s">
        <v>76</v>
      </c>
    </row>
    <row r="3149" spans="1:11" ht="42" customHeight="1">
      <c r="A3149" s="2" t="s">
        <v>8850</v>
      </c>
      <c r="B3149" s="2" t="s">
        <v>8850</v>
      </c>
      <c r="C3149" s="2" t="s">
        <v>88</v>
      </c>
      <c r="D3149" s="2" t="s">
        <v>117</v>
      </c>
      <c r="E3149" s="4">
        <v>-32568</v>
      </c>
      <c r="F3149" s="3" t="s">
        <v>683</v>
      </c>
      <c r="G3149" s="3" t="s">
        <v>766</v>
      </c>
      <c r="H3149" s="2" t="s">
        <v>74</v>
      </c>
      <c r="I3149" s="2" t="s">
        <v>8851</v>
      </c>
      <c r="J3149" s="3" t="str">
        <f>HYPERLINK("https://www.boe.es/gazeta/dias/1810/10/30/pdfs/GEI-1810-88.pdf#page=6","Abrir facsímil")</f>
        <v>Abrir facsímil</v>
      </c>
      <c r="K3149" s="3" t="s">
        <v>76</v>
      </c>
    </row>
    <row r="3150" spans="1:11" ht="42" customHeight="1">
      <c r="A3150" s="2" t="s">
        <v>8850</v>
      </c>
      <c r="B3150" s="2" t="s">
        <v>8850</v>
      </c>
      <c r="C3150" s="2" t="s">
        <v>88</v>
      </c>
      <c r="D3150" s="2" t="s">
        <v>27</v>
      </c>
      <c r="E3150" s="4">
        <v>-32568</v>
      </c>
      <c r="F3150" s="3" t="s">
        <v>683</v>
      </c>
      <c r="G3150" s="3" t="s">
        <v>1396</v>
      </c>
      <c r="H3150" s="2" t="s">
        <v>74</v>
      </c>
      <c r="I3150" s="2" t="s">
        <v>8852</v>
      </c>
      <c r="J3150" s="3" t="str">
        <f>HYPERLINK("https://www.boe.es/gazeta/dias/1810/10/30/pdfs/GEI-1810-88.pdf#page=11","Abrir facsímil")</f>
        <v>Abrir facsímil</v>
      </c>
      <c r="K3150" s="3" t="s">
        <v>76</v>
      </c>
    </row>
    <row r="3151" spans="1:11" ht="42" customHeight="1">
      <c r="A3151" s="2" t="s">
        <v>8850</v>
      </c>
      <c r="B3151" s="2" t="s">
        <v>8850</v>
      </c>
      <c r="C3151" s="2" t="s">
        <v>88</v>
      </c>
      <c r="D3151" s="2" t="s">
        <v>27</v>
      </c>
      <c r="E3151" s="4">
        <v>-32568</v>
      </c>
      <c r="F3151" s="3" t="s">
        <v>683</v>
      </c>
      <c r="G3151" s="3" t="s">
        <v>687</v>
      </c>
      <c r="H3151" s="2" t="s">
        <v>74</v>
      </c>
      <c r="I3151" s="2" t="s">
        <v>8853</v>
      </c>
      <c r="J3151" s="3" t="str">
        <f>HYPERLINK("https://www.boe.es/gazeta/dias/1810/10/30/pdfs/GEI-1810-88.pdf#page=12","Abrir facsímil")</f>
        <v>Abrir facsímil</v>
      </c>
      <c r="K3151" s="3" t="s">
        <v>76</v>
      </c>
    </row>
    <row r="3152" spans="1:11" ht="42" customHeight="1">
      <c r="A3152" s="2" t="s">
        <v>8854</v>
      </c>
      <c r="B3152" s="2" t="s">
        <v>8855</v>
      </c>
      <c r="C3152" s="2" t="s">
        <v>88</v>
      </c>
      <c r="D3152" s="2" t="s">
        <v>18</v>
      </c>
      <c r="E3152" s="4">
        <v>-32728</v>
      </c>
      <c r="F3152" s="3" t="s">
        <v>269</v>
      </c>
      <c r="G3152" s="3" t="s">
        <v>119</v>
      </c>
      <c r="H3152" s="2" t="s">
        <v>74</v>
      </c>
      <c r="I3152" s="2" t="s">
        <v>8856</v>
      </c>
      <c r="J3152" s="3" t="str">
        <f>HYPERLINK("https://www.boe.es/gazeta/dias/1810/05/23/pdfs/GMD-1810-143.pdf#page=3","Abrir facsímil")</f>
        <v>Abrir facsímil</v>
      </c>
      <c r="K3152" s="3" t="s">
        <v>76</v>
      </c>
    </row>
    <row r="3153" spans="1:11" ht="42" customHeight="1">
      <c r="A3153" s="2" t="s">
        <v>8857</v>
      </c>
      <c r="B3153" s="2" t="s">
        <v>8857</v>
      </c>
      <c r="C3153" s="2" t="s">
        <v>88</v>
      </c>
      <c r="D3153" s="2" t="s">
        <v>27</v>
      </c>
      <c r="E3153" s="4">
        <v>-32531</v>
      </c>
      <c r="F3153" s="3" t="s">
        <v>2483</v>
      </c>
      <c r="G3153" s="3" t="s">
        <v>732</v>
      </c>
      <c r="H3153" s="2" t="s">
        <v>74</v>
      </c>
      <c r="I3153" s="2" t="s">
        <v>8858</v>
      </c>
      <c r="J3153" s="3" t="str">
        <f>HYPERLINK("https://www.boe.es/gazeta/dias/1810/12/06/pdfs/GEI-1810-104.pdf#page=1","Abrir facsímil")</f>
        <v>Abrir facsímil</v>
      </c>
      <c r="K3153" s="3" t="s">
        <v>76</v>
      </c>
    </row>
    <row r="3154" spans="1:11" ht="42" customHeight="1">
      <c r="A3154" s="2" t="s">
        <v>8857</v>
      </c>
      <c r="B3154" s="2" t="s">
        <v>8857</v>
      </c>
      <c r="C3154" s="2" t="s">
        <v>88</v>
      </c>
      <c r="D3154" s="2" t="s">
        <v>27</v>
      </c>
      <c r="E3154" s="4">
        <v>-32531</v>
      </c>
      <c r="F3154" s="3" t="s">
        <v>2483</v>
      </c>
      <c r="G3154" s="3" t="s">
        <v>749</v>
      </c>
      <c r="H3154" s="2" t="s">
        <v>74</v>
      </c>
      <c r="I3154" s="2" t="s">
        <v>8859</v>
      </c>
      <c r="J3154" s="3" t="str">
        <f>HYPERLINK("https://www.boe.es/gazeta/dias/1810/12/06/pdfs/GEI-1810-104.pdf#page=3","Abrir facsímil")</f>
        <v>Abrir facsímil</v>
      </c>
      <c r="K3154" s="3" t="s">
        <v>76</v>
      </c>
    </row>
    <row r="3155" spans="1:11" ht="42" customHeight="1">
      <c r="A3155" s="2" t="s">
        <v>8857</v>
      </c>
      <c r="B3155" s="2" t="s">
        <v>8857</v>
      </c>
      <c r="C3155" s="2" t="s">
        <v>88</v>
      </c>
      <c r="D3155" s="2" t="s">
        <v>27</v>
      </c>
      <c r="E3155" s="4">
        <v>-32506</v>
      </c>
      <c r="F3155" s="3" t="s">
        <v>7076</v>
      </c>
      <c r="G3155" s="3" t="s">
        <v>227</v>
      </c>
      <c r="H3155" s="2" t="s">
        <v>74</v>
      </c>
      <c r="I3155" s="2" t="s">
        <v>8860</v>
      </c>
      <c r="J3155" s="3" t="str">
        <f>HYPERLINK("https://www.boe.es/gazeta/dias/1810/12/31/pdfs/GMD-1810-365.pdf#page=2","Abrir facsímil")</f>
        <v>Abrir facsímil</v>
      </c>
      <c r="K3155" s="3" t="s">
        <v>76</v>
      </c>
    </row>
    <row r="3156" spans="1:11" ht="42" customHeight="1">
      <c r="A3156" s="2" t="s">
        <v>8861</v>
      </c>
      <c r="B3156" s="2" t="s">
        <v>8862</v>
      </c>
      <c r="C3156" s="2" t="s">
        <v>26</v>
      </c>
      <c r="D3156" s="2" t="s">
        <v>39</v>
      </c>
      <c r="E3156" s="4">
        <v>-32701</v>
      </c>
      <c r="F3156" s="3" t="s">
        <v>40</v>
      </c>
      <c r="G3156" s="3" t="s">
        <v>333</v>
      </c>
      <c r="H3156" s="2" t="s">
        <v>74</v>
      </c>
      <c r="I3156" s="2" t="s">
        <v>8863</v>
      </c>
      <c r="J3156" s="3" t="str">
        <f>HYPERLINK("https://www.boe.es/gazeta/dias/1810/06/19/pdfs/GMD-C-1810-170.pdf#page=4","Abrir facsímil")</f>
        <v>Abrir facsímil</v>
      </c>
      <c r="K3156" s="3" t="s">
        <v>76</v>
      </c>
    </row>
    <row r="3157" spans="1:11" ht="42" customHeight="1">
      <c r="A3157" s="2" t="s">
        <v>8864</v>
      </c>
      <c r="B3157" s="2" t="s">
        <v>8865</v>
      </c>
      <c r="C3157" s="2" t="s">
        <v>26</v>
      </c>
      <c r="D3157" s="2" t="s">
        <v>27</v>
      </c>
      <c r="E3157" s="4">
        <v>-32647</v>
      </c>
      <c r="F3157" s="3" t="s">
        <v>118</v>
      </c>
      <c r="G3157" s="3" t="s">
        <v>119</v>
      </c>
      <c r="H3157" s="2" t="s">
        <v>74</v>
      </c>
      <c r="I3157" s="2" t="s">
        <v>8866</v>
      </c>
      <c r="J3157" s="3" t="str">
        <f>HYPERLINK("https://www.boe.es/gazeta/dias/1810/08/12/pdfs/GMD-1810-224.pdf#page=3","Abrir facsímil")</f>
        <v>Abrir facsímil</v>
      </c>
      <c r="K3157" s="3" t="s">
        <v>76</v>
      </c>
    </row>
    <row r="3158" spans="1:11" ht="42" customHeight="1">
      <c r="A3158" s="2" t="s">
        <v>8867</v>
      </c>
      <c r="B3158" s="2" t="s">
        <v>8868</v>
      </c>
      <c r="C3158" s="2" t="s">
        <v>317</v>
      </c>
      <c r="D3158" s="2" t="s">
        <v>27</v>
      </c>
      <c r="E3158" s="4">
        <v>-32669</v>
      </c>
      <c r="F3158" s="3" t="s">
        <v>217</v>
      </c>
      <c r="G3158" s="3" t="s">
        <v>20</v>
      </c>
      <c r="H3158" s="2" t="s">
        <v>74</v>
      </c>
      <c r="I3158" s="2" t="s">
        <v>8869</v>
      </c>
      <c r="J3158" s="3" t="str">
        <f>HYPERLINK("https://www.boe.es/gazeta/dias/1810/07/21/pdfs/GMD-1810-202.pdf#page=4","Abrir facsímil")</f>
        <v>Abrir facsímil</v>
      </c>
      <c r="K3158" s="3" t="s">
        <v>76</v>
      </c>
    </row>
    <row r="3159" spans="1:11" ht="42" customHeight="1">
      <c r="A3159" s="2" t="s">
        <v>8870</v>
      </c>
      <c r="B3159" s="2" t="s">
        <v>8871</v>
      </c>
      <c r="C3159" s="2" t="s">
        <v>88</v>
      </c>
      <c r="D3159" s="2" t="s">
        <v>117</v>
      </c>
      <c r="E3159" s="4">
        <v>-32631</v>
      </c>
      <c r="F3159" s="3" t="s">
        <v>497</v>
      </c>
      <c r="G3159" s="3" t="s">
        <v>498</v>
      </c>
      <c r="H3159" s="2" t="s">
        <v>74</v>
      </c>
      <c r="I3159" s="2" t="s">
        <v>8872</v>
      </c>
      <c r="J3159" s="3" t="str">
        <f>HYPERLINK("https://www.boe.es/gazeta/dias/1810/08/28/pdfs/GMD-1810-240.pdf#page=2","Abrir facsímil")</f>
        <v>Abrir facsímil</v>
      </c>
      <c r="K3159" s="3" t="s">
        <v>76</v>
      </c>
    </row>
    <row r="3160" spans="1:11" ht="42" customHeight="1">
      <c r="A3160" s="2" t="s">
        <v>8873</v>
      </c>
      <c r="B3160" s="2" t="s">
        <v>8874</v>
      </c>
      <c r="C3160" s="2" t="s">
        <v>26</v>
      </c>
      <c r="D3160" s="2" t="s">
        <v>27</v>
      </c>
      <c r="E3160" s="4">
        <v>-32584</v>
      </c>
      <c r="F3160" s="3" t="s">
        <v>1560</v>
      </c>
      <c r="G3160" s="3" t="s">
        <v>971</v>
      </c>
      <c r="H3160" s="2" t="s">
        <v>74</v>
      </c>
      <c r="I3160" s="2" t="s">
        <v>8875</v>
      </c>
      <c r="J3160" s="3" t="str">
        <f>HYPERLINK("https://www.boe.es/gazeta/dias/1810/10/14/pdfs/GMD-1810-287.pdf#page=3","Abrir facsímil")</f>
        <v>Abrir facsímil</v>
      </c>
      <c r="K3160" s="3" t="s">
        <v>76</v>
      </c>
    </row>
    <row r="3161" spans="1:11" ht="42" customHeight="1">
      <c r="A3161" s="2" t="s">
        <v>8876</v>
      </c>
      <c r="B3161" s="2" t="s">
        <v>8877</v>
      </c>
      <c r="C3161" s="2" t="s">
        <v>26</v>
      </c>
      <c r="D3161" s="2" t="s">
        <v>27</v>
      </c>
      <c r="E3161" s="4">
        <v>-32563</v>
      </c>
      <c r="F3161" s="3" t="s">
        <v>535</v>
      </c>
      <c r="G3161" s="3" t="s">
        <v>8537</v>
      </c>
      <c r="H3161" s="2" t="s">
        <v>74</v>
      </c>
      <c r="I3161" s="2" t="s">
        <v>8878</v>
      </c>
      <c r="J3161" s="3" t="str">
        <f>HYPERLINK("https://www.boe.es/gazeta/dias/1810/11/04/pdfs/GMD-1810-308.pdf#page=24","Abrir facsímil")</f>
        <v>Abrir facsímil</v>
      </c>
      <c r="K3161" s="3" t="s">
        <v>76</v>
      </c>
    </row>
    <row r="3162" spans="1:11" ht="42" customHeight="1">
      <c r="A3162" s="2" t="s">
        <v>8879</v>
      </c>
      <c r="B3162" s="2" t="s">
        <v>8879</v>
      </c>
      <c r="C3162" s="2" t="s">
        <v>88</v>
      </c>
      <c r="D3162" s="2" t="s">
        <v>27</v>
      </c>
      <c r="E3162" s="4">
        <v>-32772</v>
      </c>
      <c r="F3162" s="3" t="s">
        <v>398</v>
      </c>
      <c r="G3162" s="3" t="s">
        <v>99</v>
      </c>
      <c r="H3162" s="2" t="s">
        <v>74</v>
      </c>
      <c r="I3162" s="2" t="s">
        <v>8880</v>
      </c>
      <c r="J3162" s="3" t="str">
        <f>HYPERLINK("https://www.boe.es/gazeta/dias/1810/04/09/pdfs/GMD-1810-99.pdf#page=3","Abrir facsímil")</f>
        <v>Abrir facsímil</v>
      </c>
      <c r="K3162" s="3" t="s">
        <v>76</v>
      </c>
    </row>
    <row r="3163" spans="1:11" ht="42" customHeight="1">
      <c r="A3163" s="2" t="s">
        <v>8881</v>
      </c>
      <c r="B3163" s="2" t="s">
        <v>8882</v>
      </c>
      <c r="C3163" s="2" t="s">
        <v>26</v>
      </c>
      <c r="D3163" s="2" t="s">
        <v>27</v>
      </c>
      <c r="E3163" s="4">
        <v>-32818</v>
      </c>
      <c r="F3163" s="3" t="s">
        <v>936</v>
      </c>
      <c r="G3163" s="3" t="s">
        <v>6380</v>
      </c>
      <c r="H3163" s="2" t="s">
        <v>21</v>
      </c>
      <c r="I3163" s="2" t="s">
        <v>8883</v>
      </c>
      <c r="J3163" s="3" t="str">
        <f>HYPERLINK("https://www.boe.es/gazeta/dias/1810/02/22/pdfs/GMD-1810-53.pdf#page=4","Abrir facsímil")</f>
        <v>Abrir facsímil</v>
      </c>
      <c r="K3163" s="3" t="s">
        <v>23</v>
      </c>
    </row>
    <row r="3164" spans="1:11" ht="42" customHeight="1">
      <c r="A3164" s="2" t="s">
        <v>8884</v>
      </c>
      <c r="B3164" s="2" t="s">
        <v>8885</v>
      </c>
      <c r="C3164" s="2" t="s">
        <v>88</v>
      </c>
      <c r="D3164" s="2" t="s">
        <v>18</v>
      </c>
      <c r="E3164" s="4">
        <v>-32728</v>
      </c>
      <c r="F3164" s="3" t="s">
        <v>269</v>
      </c>
      <c r="G3164" s="3" t="s">
        <v>119</v>
      </c>
      <c r="H3164" s="2" t="s">
        <v>74</v>
      </c>
      <c r="I3164" s="2" t="s">
        <v>8886</v>
      </c>
      <c r="J3164" s="3" t="str">
        <f>HYPERLINK("https://www.boe.es/gazeta/dias/1810/05/23/pdfs/GMD-1810-143.pdf#page=3","Abrir facsímil")</f>
        <v>Abrir facsímil</v>
      </c>
      <c r="K3164" s="3" t="s">
        <v>76</v>
      </c>
    </row>
    <row r="3165" spans="1:11" ht="42" customHeight="1">
      <c r="A3165" s="2" t="s">
        <v>8887</v>
      </c>
      <c r="B3165" s="2" t="s">
        <v>8887</v>
      </c>
      <c r="C3165" s="2" t="s">
        <v>88</v>
      </c>
      <c r="D3165" s="2" t="s">
        <v>27</v>
      </c>
      <c r="E3165" s="4">
        <v>-32557</v>
      </c>
      <c r="F3165" s="3" t="s">
        <v>8182</v>
      </c>
      <c r="G3165" s="3" t="s">
        <v>213</v>
      </c>
      <c r="H3165" s="2" t="s">
        <v>74</v>
      </c>
      <c r="I3165" s="2" t="s">
        <v>8888</v>
      </c>
      <c r="J3165" s="3" t="str">
        <f>HYPERLINK("https://www.boe.es/gazeta/dias/1810/11/10/pdfs/GMD-1810-314.pdf#page=4","Abrir facsímil")</f>
        <v>Abrir facsímil</v>
      </c>
      <c r="K3165" s="3" t="s">
        <v>76</v>
      </c>
    </row>
    <row r="3166" spans="1:11" ht="42" customHeight="1">
      <c r="A3166" s="2" t="s">
        <v>8889</v>
      </c>
      <c r="B3166" s="2" t="s">
        <v>8889</v>
      </c>
      <c r="C3166" s="2" t="s">
        <v>88</v>
      </c>
      <c r="D3166" s="2" t="s">
        <v>27</v>
      </c>
      <c r="E3166" s="4">
        <v>-32713</v>
      </c>
      <c r="F3166" s="3" t="s">
        <v>959</v>
      </c>
      <c r="G3166" s="3" t="s">
        <v>960</v>
      </c>
      <c r="H3166" s="2" t="s">
        <v>74</v>
      </c>
      <c r="I3166" s="2" t="s">
        <v>8890</v>
      </c>
      <c r="J3166" s="3" t="str">
        <f>HYPERLINK("https://www.boe.es/gazeta/dias/1810/06/07/pdfs/GMD-1810-158.pdf#page=4","Abrir facsímil")</f>
        <v>Abrir facsímil</v>
      </c>
      <c r="K3166" s="3" t="s">
        <v>76</v>
      </c>
    </row>
    <row r="3167" spans="1:11" ht="42" customHeight="1">
      <c r="A3167" s="2" t="s">
        <v>8891</v>
      </c>
      <c r="B3167" s="2" t="s">
        <v>8891</v>
      </c>
      <c r="C3167" s="2" t="s">
        <v>88</v>
      </c>
      <c r="D3167" s="2" t="s">
        <v>117</v>
      </c>
      <c r="E3167" s="4">
        <v>-32747</v>
      </c>
      <c r="F3167" s="3" t="s">
        <v>2337</v>
      </c>
      <c r="G3167" s="3" t="s">
        <v>8892</v>
      </c>
      <c r="H3167" s="2" t="s">
        <v>74</v>
      </c>
      <c r="I3167" s="2" t="s">
        <v>8893</v>
      </c>
      <c r="J3167" s="3" t="str">
        <f>HYPERLINK("https://www.boe.es/gazeta/dias/1810/05/04/pdfs/GEI-1810-21.pdf#page=2","Abrir facsímil")</f>
        <v>Abrir facsímil</v>
      </c>
      <c r="K3167" s="3" t="s">
        <v>76</v>
      </c>
    </row>
    <row r="3168" spans="1:11" ht="42" customHeight="1">
      <c r="A3168" s="2" t="s">
        <v>8894</v>
      </c>
      <c r="B3168" s="2" t="s">
        <v>8894</v>
      </c>
      <c r="C3168" s="2" t="s">
        <v>33</v>
      </c>
      <c r="D3168" s="2" t="s">
        <v>39</v>
      </c>
      <c r="E3168" s="4">
        <v>-32645</v>
      </c>
      <c r="F3168" s="3" t="s">
        <v>2492</v>
      </c>
      <c r="G3168" s="3" t="s">
        <v>20</v>
      </c>
      <c r="H3168" s="2" t="s">
        <v>74</v>
      </c>
      <c r="I3168" s="2" t="s">
        <v>8895</v>
      </c>
      <c r="J3168" s="3" t="str">
        <f>HYPERLINK("https://www.boe.es/gazeta/dias/1810/08/14/pdfs/GEI-D-1810-56.pdf#page=4","Abrir facsímil")</f>
        <v>Abrir facsímil</v>
      </c>
      <c r="K3168" s="3" t="s">
        <v>76</v>
      </c>
    </row>
    <row r="3169" spans="1:11" ht="42" customHeight="1">
      <c r="A3169" s="2" t="s">
        <v>8894</v>
      </c>
      <c r="B3169" s="2" t="s">
        <v>8894</v>
      </c>
      <c r="C3169" s="2" t="s">
        <v>26</v>
      </c>
      <c r="D3169" s="2" t="s">
        <v>27</v>
      </c>
      <c r="E3169" s="4">
        <v>-32528</v>
      </c>
      <c r="F3169" s="3" t="s">
        <v>3058</v>
      </c>
      <c r="G3169" s="3" t="s">
        <v>359</v>
      </c>
      <c r="H3169" s="2" t="s">
        <v>74</v>
      </c>
      <c r="I3169" s="2" t="s">
        <v>8896</v>
      </c>
      <c r="J3169" s="3" t="str">
        <f>HYPERLINK("https://www.boe.es/gazeta/dias/1810/12/09/pdfs/GMD-1810-343.pdf#page=3","Abrir facsímil")</f>
        <v>Abrir facsímil</v>
      </c>
      <c r="K3169" s="3" t="s">
        <v>76</v>
      </c>
    </row>
    <row r="3170" spans="1:11" ht="42" customHeight="1">
      <c r="A3170" s="2" t="s">
        <v>8897</v>
      </c>
      <c r="B3170" s="2" t="s">
        <v>8897</v>
      </c>
      <c r="C3170" s="2" t="s">
        <v>17</v>
      </c>
      <c r="D3170" s="2" t="s">
        <v>27</v>
      </c>
      <c r="E3170" s="4">
        <v>-32672</v>
      </c>
      <c r="F3170" s="3" t="s">
        <v>1663</v>
      </c>
      <c r="G3170" s="3" t="s">
        <v>119</v>
      </c>
      <c r="H3170" s="2" t="s">
        <v>74</v>
      </c>
      <c r="I3170" s="2" t="s">
        <v>8898</v>
      </c>
      <c r="J3170" s="3" t="str">
        <f>HYPERLINK("https://www.boe.es/gazeta/dias/1810/07/18/pdfs/GMD-1810-199.pdf#page=3","Abrir facsímil")</f>
        <v>Abrir facsímil</v>
      </c>
      <c r="K3170" s="3" t="s">
        <v>76</v>
      </c>
    </row>
    <row r="3171" spans="1:11" ht="42" customHeight="1">
      <c r="A3171" s="2" t="s">
        <v>8899</v>
      </c>
      <c r="B3171" s="2" t="s">
        <v>8900</v>
      </c>
      <c r="C3171" s="2" t="s">
        <v>26</v>
      </c>
      <c r="D3171" s="2" t="s">
        <v>39</v>
      </c>
      <c r="E3171" s="4">
        <v>-32701</v>
      </c>
      <c r="F3171" s="3" t="s">
        <v>40</v>
      </c>
      <c r="G3171" s="3" t="s">
        <v>333</v>
      </c>
      <c r="H3171" s="2" t="s">
        <v>74</v>
      </c>
      <c r="I3171" s="2" t="s">
        <v>8901</v>
      </c>
      <c r="J3171" s="3" t="str">
        <f>HYPERLINK("https://www.boe.es/gazeta/dias/1810/06/19/pdfs/GMD-C-1810-170.pdf#page=4","Abrir facsímil")</f>
        <v>Abrir facsímil</v>
      </c>
      <c r="K3171" s="3" t="s">
        <v>76</v>
      </c>
    </row>
    <row r="3172" spans="1:11" ht="42" customHeight="1">
      <c r="A3172" s="2" t="s">
        <v>8902</v>
      </c>
      <c r="B3172" s="2" t="s">
        <v>8903</v>
      </c>
      <c r="C3172" s="2" t="s">
        <v>26</v>
      </c>
      <c r="D3172" s="2" t="s">
        <v>27</v>
      </c>
      <c r="E3172" s="4">
        <v>-32829</v>
      </c>
      <c r="F3172" s="3" t="s">
        <v>1126</v>
      </c>
      <c r="G3172" s="3" t="s">
        <v>29</v>
      </c>
      <c r="H3172" s="2" t="s">
        <v>74</v>
      </c>
      <c r="I3172" s="2" t="s">
        <v>8904</v>
      </c>
      <c r="J3172" s="3" t="str">
        <f>HYPERLINK("https://www.boe.es/gazeta/dias/1810/02/11/pdfs/GMD-1810-42.pdf#page=2","Abrir facsímil")</f>
        <v>Abrir facsímil</v>
      </c>
      <c r="K3172" s="3" t="s">
        <v>76</v>
      </c>
    </row>
    <row r="3173" spans="1:11" ht="42" customHeight="1">
      <c r="A3173" s="2" t="s">
        <v>8905</v>
      </c>
      <c r="B3173" s="2" t="s">
        <v>8906</v>
      </c>
      <c r="C3173" s="2" t="s">
        <v>88</v>
      </c>
      <c r="D3173" s="2" t="s">
        <v>117</v>
      </c>
      <c r="E3173" s="4">
        <v>-32757</v>
      </c>
      <c r="F3173" s="3" t="s">
        <v>1136</v>
      </c>
      <c r="G3173" s="3" t="s">
        <v>592</v>
      </c>
      <c r="H3173" s="2" t="s">
        <v>74</v>
      </c>
      <c r="I3173" s="2" t="s">
        <v>8907</v>
      </c>
      <c r="J3173" s="3" t="str">
        <f>HYPERLINK("https://www.boe.es/gazeta/dias/1810/04/24/pdfs/GEI-1810-17.pdf#page=7","Abrir facsímil")</f>
        <v>Abrir facsímil</v>
      </c>
      <c r="K3173" s="3" t="s">
        <v>76</v>
      </c>
    </row>
    <row r="3174" spans="1:11" ht="42" customHeight="1">
      <c r="A3174" s="2" t="s">
        <v>8905</v>
      </c>
      <c r="B3174" s="2" t="s">
        <v>8906</v>
      </c>
      <c r="C3174" s="2" t="s">
        <v>88</v>
      </c>
      <c r="D3174" s="2" t="s">
        <v>117</v>
      </c>
      <c r="E3174" s="4">
        <v>-32645</v>
      </c>
      <c r="F3174" s="3" t="s">
        <v>122</v>
      </c>
      <c r="G3174" s="3" t="s">
        <v>140</v>
      </c>
      <c r="H3174" s="2" t="s">
        <v>74</v>
      </c>
      <c r="I3174" s="2" t="s">
        <v>8908</v>
      </c>
      <c r="J3174" s="3" t="str">
        <f>HYPERLINK("https://www.boe.es/gazeta/dias/1810/08/14/pdfs/GEI-1810-56.pdf#page=6","Abrir facsímil")</f>
        <v>Abrir facsímil</v>
      </c>
      <c r="K3174" s="3" t="s">
        <v>76</v>
      </c>
    </row>
    <row r="3175" spans="1:11" ht="42" customHeight="1">
      <c r="A3175" s="2" t="s">
        <v>8909</v>
      </c>
      <c r="B3175" s="2" t="s">
        <v>8910</v>
      </c>
      <c r="C3175" s="2" t="s">
        <v>195</v>
      </c>
      <c r="D3175" s="2" t="s">
        <v>39</v>
      </c>
      <c r="E3175" s="4">
        <v>-32614</v>
      </c>
      <c r="F3175" s="3" t="s">
        <v>5016</v>
      </c>
      <c r="G3175" s="3" t="s">
        <v>5017</v>
      </c>
      <c r="H3175" s="2" t="s">
        <v>74</v>
      </c>
      <c r="I3175" s="2" t="s">
        <v>8911</v>
      </c>
      <c r="J3175" s="3" t="str">
        <f>HYPERLINK("https://www.boe.es/gazeta/dias/1810/09/14/pdfs/GEI-D-1810-67.pdf#page=6","Abrir facsímil")</f>
        <v>Abrir facsímil</v>
      </c>
      <c r="K3175" s="3" t="s">
        <v>76</v>
      </c>
    </row>
    <row r="3176" spans="1:11" ht="42" customHeight="1">
      <c r="A3176" s="2" t="s">
        <v>8912</v>
      </c>
      <c r="B3176" s="2" t="s">
        <v>8913</v>
      </c>
      <c r="C3176" s="2" t="s">
        <v>17</v>
      </c>
      <c r="D3176" s="2" t="s">
        <v>18</v>
      </c>
      <c r="E3176" s="4">
        <v>-32689</v>
      </c>
      <c r="F3176" s="3" t="s">
        <v>571</v>
      </c>
      <c r="G3176" s="3" t="s">
        <v>29</v>
      </c>
      <c r="H3176" s="2" t="s">
        <v>74</v>
      </c>
      <c r="I3176" s="2" t="s">
        <v>8914</v>
      </c>
      <c r="J3176" s="3" t="str">
        <f>HYPERLINK("https://www.boe.es/gazeta/dias/1810/07/01/pdfs/GMD-1810-182.pdf#page=3","Abrir facsímil")</f>
        <v>Abrir facsímil</v>
      </c>
      <c r="K3176" s="3" t="s">
        <v>76</v>
      </c>
    </row>
    <row r="3177" spans="1:11" ht="42" customHeight="1">
      <c r="A3177" s="2" t="s">
        <v>8915</v>
      </c>
      <c r="B3177" s="2" t="s">
        <v>8916</v>
      </c>
      <c r="C3177" s="2" t="s">
        <v>26</v>
      </c>
      <c r="D3177" s="2" t="s">
        <v>27</v>
      </c>
      <c r="E3177" s="4">
        <v>-32647</v>
      </c>
      <c r="F3177" s="3" t="s">
        <v>118</v>
      </c>
      <c r="G3177" s="3" t="s">
        <v>119</v>
      </c>
      <c r="H3177" s="2" t="s">
        <v>74</v>
      </c>
      <c r="I3177" s="2" t="s">
        <v>8917</v>
      </c>
      <c r="J3177" s="3" t="str">
        <f>HYPERLINK("https://www.boe.es/gazeta/dias/1810/08/12/pdfs/GMD-1810-224.pdf#page=3","Abrir facsímil")</f>
        <v>Abrir facsímil</v>
      </c>
      <c r="K3177" s="3" t="s">
        <v>76</v>
      </c>
    </row>
    <row r="3178" spans="1:11" ht="42" customHeight="1">
      <c r="A3178" s="2" t="s">
        <v>8918</v>
      </c>
      <c r="B3178" s="2" t="s">
        <v>8919</v>
      </c>
      <c r="C3178" s="2" t="s">
        <v>26</v>
      </c>
      <c r="D3178" s="2" t="s">
        <v>18</v>
      </c>
      <c r="E3178" s="4">
        <v>-32724</v>
      </c>
      <c r="F3178" s="3" t="s">
        <v>1027</v>
      </c>
      <c r="G3178" s="3" t="s">
        <v>119</v>
      </c>
      <c r="H3178" s="2" t="s">
        <v>74</v>
      </c>
      <c r="I3178" s="2" t="s">
        <v>8920</v>
      </c>
      <c r="J3178" s="3" t="str">
        <f>HYPERLINK("https://www.boe.es/gazeta/dias/1810/05/27/pdfs/GMD-1810-147.pdf#page=1","Abrir facsímil")</f>
        <v>Abrir facsímil</v>
      </c>
      <c r="K3178" s="3" t="s">
        <v>76</v>
      </c>
    </row>
    <row r="3179" spans="1:11" ht="42" customHeight="1">
      <c r="A3179" s="2" t="s">
        <v>8921</v>
      </c>
      <c r="B3179" s="2" t="s">
        <v>8921</v>
      </c>
      <c r="C3179" s="2" t="s">
        <v>26</v>
      </c>
      <c r="D3179" s="2" t="s">
        <v>27</v>
      </c>
      <c r="E3179" s="4">
        <v>-32610</v>
      </c>
      <c r="F3179" s="3" t="s">
        <v>4991</v>
      </c>
      <c r="G3179" s="3" t="s">
        <v>35</v>
      </c>
      <c r="H3179" s="2" t="s">
        <v>74</v>
      </c>
      <c r="I3179" s="2" t="s">
        <v>8922</v>
      </c>
      <c r="J3179" s="3" t="str">
        <f>HYPERLINK("https://www.boe.es/gazeta/dias/1810/09/18/pdfs/GEI-1810-69.pdf#page=2","Abrir facsímil")</f>
        <v>Abrir facsímil</v>
      </c>
      <c r="K3179" s="3" t="s">
        <v>76</v>
      </c>
    </row>
    <row r="3180" spans="1:11" ht="42" customHeight="1">
      <c r="A3180" s="2" t="s">
        <v>8923</v>
      </c>
      <c r="B3180" s="2" t="s">
        <v>8924</v>
      </c>
      <c r="C3180" s="2" t="s">
        <v>26</v>
      </c>
      <c r="D3180" s="2" t="s">
        <v>27</v>
      </c>
      <c r="E3180" s="4">
        <v>-32686</v>
      </c>
      <c r="F3180" s="3" t="s">
        <v>2362</v>
      </c>
      <c r="G3180" s="3" t="s">
        <v>8925</v>
      </c>
      <c r="H3180" s="2" t="s">
        <v>74</v>
      </c>
      <c r="I3180" s="2" t="s">
        <v>8926</v>
      </c>
      <c r="J3180" s="3" t="str">
        <f>HYPERLINK("https://www.boe.es/gazeta/dias/1810/07/04/pdfs/GMD-1810-185.pdf#page=1","Abrir facsímil")</f>
        <v>Abrir facsímil</v>
      </c>
      <c r="K3180" s="3" t="s">
        <v>76</v>
      </c>
    </row>
    <row r="3181" spans="1:11" ht="42" customHeight="1">
      <c r="A3181" s="2" t="s">
        <v>8927</v>
      </c>
      <c r="B3181" s="2" t="s">
        <v>8928</v>
      </c>
      <c r="C3181" s="2" t="s">
        <v>26</v>
      </c>
      <c r="D3181" s="2" t="s">
        <v>27</v>
      </c>
      <c r="E3181" s="4">
        <v>-32771</v>
      </c>
      <c r="F3181" s="3" t="s">
        <v>543</v>
      </c>
      <c r="G3181" s="3" t="s">
        <v>65</v>
      </c>
      <c r="H3181" s="2" t="s">
        <v>74</v>
      </c>
      <c r="I3181" s="2" t="s">
        <v>8929</v>
      </c>
      <c r="J3181" s="3" t="str">
        <f>HYPERLINK("https://www.boe.es/gazeta/dias/1810/04/10/pdfs/GEI-1810-13.pdf#page=7","Abrir facsímil")</f>
        <v>Abrir facsímil</v>
      </c>
      <c r="K3181" s="3" t="s">
        <v>76</v>
      </c>
    </row>
    <row r="3182" spans="1:11" ht="42" customHeight="1">
      <c r="A3182" s="2" t="s">
        <v>8930</v>
      </c>
      <c r="B3182" s="2" t="s">
        <v>8930</v>
      </c>
      <c r="C3182" s="2" t="s">
        <v>88</v>
      </c>
      <c r="D3182" s="2" t="s">
        <v>117</v>
      </c>
      <c r="E3182" s="4">
        <v>-32565</v>
      </c>
      <c r="F3182" s="3" t="s">
        <v>743</v>
      </c>
      <c r="G3182" s="3" t="s">
        <v>458</v>
      </c>
      <c r="H3182" s="2" t="s">
        <v>74</v>
      </c>
      <c r="I3182" s="2" t="s">
        <v>8931</v>
      </c>
      <c r="J3182" s="3" t="str">
        <f>HYPERLINK("https://www.boe.es/gazeta/dias/1810/11/02/pdfs/GMD-1810-306.pdf#page=2","Abrir facsímil")</f>
        <v>Abrir facsímil</v>
      </c>
      <c r="K3182" s="3" t="s">
        <v>76</v>
      </c>
    </row>
    <row r="3183" spans="1:11" ht="42" customHeight="1">
      <c r="A3183" s="2" t="s">
        <v>8930</v>
      </c>
      <c r="B3183" s="2" t="s">
        <v>8930</v>
      </c>
      <c r="C3183" s="2" t="s">
        <v>33</v>
      </c>
      <c r="D3183" s="2" t="s">
        <v>27</v>
      </c>
      <c r="E3183" s="4">
        <v>-32514</v>
      </c>
      <c r="F3183" s="3" t="s">
        <v>3658</v>
      </c>
      <c r="G3183" s="3" t="s">
        <v>213</v>
      </c>
      <c r="H3183" s="2" t="s">
        <v>74</v>
      </c>
      <c r="I3183" s="2" t="s">
        <v>8932</v>
      </c>
      <c r="J3183" s="3" t="str">
        <f>HYPERLINK("https://www.boe.es/gazeta/dias/1810/12/23/pdfs/GMD-1810-357.pdf#page=1","Abrir facsímil")</f>
        <v>Abrir facsímil</v>
      </c>
      <c r="K3183" s="3" t="s">
        <v>76</v>
      </c>
    </row>
    <row r="3184" spans="1:11" ht="42" customHeight="1">
      <c r="A3184" s="2" t="s">
        <v>8933</v>
      </c>
      <c r="B3184" s="2" t="s">
        <v>8934</v>
      </c>
      <c r="C3184" s="2" t="s">
        <v>26</v>
      </c>
      <c r="D3184" s="2" t="s">
        <v>27</v>
      </c>
      <c r="E3184" s="4">
        <v>-32771</v>
      </c>
      <c r="F3184" s="3" t="s">
        <v>543</v>
      </c>
      <c r="G3184" s="3" t="s">
        <v>65</v>
      </c>
      <c r="H3184" s="2" t="s">
        <v>74</v>
      </c>
      <c r="I3184" s="2" t="s">
        <v>8935</v>
      </c>
      <c r="J3184" s="3" t="str">
        <f>HYPERLINK("https://www.boe.es/gazeta/dias/1810/04/10/pdfs/GEI-1810-13.pdf#page=7","Abrir facsímil")</f>
        <v>Abrir facsímil</v>
      </c>
      <c r="K3184" s="3" t="s">
        <v>76</v>
      </c>
    </row>
    <row r="3185" spans="1:11" ht="42" customHeight="1">
      <c r="A3185" s="2" t="s">
        <v>8936</v>
      </c>
      <c r="B3185" s="2" t="s">
        <v>8936</v>
      </c>
      <c r="C3185" s="2" t="s">
        <v>88</v>
      </c>
      <c r="D3185" s="2" t="s">
        <v>27</v>
      </c>
      <c r="E3185" s="4">
        <v>-32603</v>
      </c>
      <c r="F3185" s="3" t="s">
        <v>2163</v>
      </c>
      <c r="G3185" s="3" t="s">
        <v>4601</v>
      </c>
      <c r="H3185" s="2" t="s">
        <v>74</v>
      </c>
      <c r="I3185" s="2" t="s">
        <v>8937</v>
      </c>
      <c r="J3185" s="3" t="str">
        <f>HYPERLINK("https://www.boe.es/gazeta/dias/1810/09/25/pdfs/GEI-1810-72.pdf#page=7","Abrir facsímil")</f>
        <v>Abrir facsímil</v>
      </c>
      <c r="K3185" s="3" t="s">
        <v>76</v>
      </c>
    </row>
    <row r="3186" spans="1:11" ht="42" customHeight="1">
      <c r="A3186" s="2" t="s">
        <v>8938</v>
      </c>
      <c r="B3186" s="2" t="s">
        <v>8938</v>
      </c>
      <c r="C3186" s="2" t="s">
        <v>26</v>
      </c>
      <c r="D3186" s="2" t="s">
        <v>58</v>
      </c>
      <c r="E3186" s="4">
        <v>-32601</v>
      </c>
      <c r="F3186" s="3" t="s">
        <v>392</v>
      </c>
      <c r="G3186" s="3" t="s">
        <v>8939</v>
      </c>
      <c r="H3186" s="2" t="s">
        <v>74</v>
      </c>
      <c r="I3186" s="2" t="s">
        <v>8940</v>
      </c>
      <c r="J3186" s="3" t="str">
        <f>HYPERLINK("https://www.boe.es/gazeta/dias/1810/09/27/pdfs/GEI-1810-74E.pdf#page=4","Abrir facsímil")</f>
        <v>Abrir facsímil</v>
      </c>
      <c r="K3186" s="3" t="s">
        <v>76</v>
      </c>
    </row>
    <row r="3187" spans="1:11" ht="42" customHeight="1">
      <c r="A3187" s="2" t="s">
        <v>8941</v>
      </c>
      <c r="B3187" s="2" t="s">
        <v>8942</v>
      </c>
      <c r="C3187" s="2" t="s">
        <v>88</v>
      </c>
      <c r="D3187" s="2" t="s">
        <v>117</v>
      </c>
      <c r="E3187" s="4">
        <v>-32697</v>
      </c>
      <c r="F3187" s="3" t="s">
        <v>1859</v>
      </c>
      <c r="G3187" s="3" t="s">
        <v>70</v>
      </c>
      <c r="H3187" s="2" t="s">
        <v>74</v>
      </c>
      <c r="I3187" s="2" t="s">
        <v>8943</v>
      </c>
      <c r="J3187" s="3" t="str">
        <f>HYPERLINK("https://www.boe.es/gazeta/dias/1810/06/23/pdfs/GMD-1810-174.pdf#page=4","Abrir facsímil")</f>
        <v>Abrir facsímil</v>
      </c>
      <c r="K3187" s="3" t="s">
        <v>76</v>
      </c>
    </row>
    <row r="3188" spans="1:11" ht="42" customHeight="1">
      <c r="A3188" s="2" t="s">
        <v>8944</v>
      </c>
      <c r="B3188" s="2" t="s">
        <v>8945</v>
      </c>
      <c r="C3188" s="2" t="s">
        <v>26</v>
      </c>
      <c r="D3188" s="2" t="s">
        <v>39</v>
      </c>
      <c r="E3188" s="4">
        <v>-32702</v>
      </c>
      <c r="F3188" s="3" t="s">
        <v>179</v>
      </c>
      <c r="G3188" s="3" t="s">
        <v>119</v>
      </c>
      <c r="H3188" s="2" t="s">
        <v>74</v>
      </c>
      <c r="I3188" s="2" t="s">
        <v>8946</v>
      </c>
      <c r="J3188" s="3" t="str">
        <f>HYPERLINK("https://www.boe.es/gazeta/dias/1810/06/18/pdfs/GMD-C-1810-169.pdf#page=1","Abrir facsímil")</f>
        <v>Abrir facsímil</v>
      </c>
      <c r="K3188" s="3" t="s">
        <v>76</v>
      </c>
    </row>
    <row r="3189" spans="1:11" ht="42" customHeight="1">
      <c r="A3189" s="2" t="s">
        <v>8947</v>
      </c>
      <c r="B3189" s="2" t="s">
        <v>8948</v>
      </c>
      <c r="C3189" s="2" t="s">
        <v>26</v>
      </c>
      <c r="D3189" s="2" t="s">
        <v>220</v>
      </c>
      <c r="E3189" s="4">
        <v>-32827</v>
      </c>
      <c r="F3189" s="3" t="s">
        <v>290</v>
      </c>
      <c r="G3189" s="3" t="s">
        <v>291</v>
      </c>
      <c r="H3189" s="2" t="s">
        <v>74</v>
      </c>
      <c r="I3189" s="2" t="s">
        <v>8949</v>
      </c>
      <c r="J3189" s="3" t="str">
        <f>HYPERLINK("https://www.boe.es/gazeta/dias/1810/02/13/pdfs/GMD-1810-44.pdf#page=4","Abrir facsímil")</f>
        <v>Abrir facsímil</v>
      </c>
      <c r="K3189" s="3" t="s">
        <v>76</v>
      </c>
    </row>
    <row r="3190" spans="1:11" ht="42" customHeight="1">
      <c r="A3190" s="2" t="s">
        <v>8950</v>
      </c>
      <c r="B3190" s="2" t="s">
        <v>8951</v>
      </c>
      <c r="C3190" s="2" t="s">
        <v>26</v>
      </c>
      <c r="D3190" s="2" t="s">
        <v>27</v>
      </c>
      <c r="E3190" s="4">
        <v>-32828</v>
      </c>
      <c r="F3190" s="3" t="s">
        <v>1195</v>
      </c>
      <c r="G3190" s="3" t="s">
        <v>701</v>
      </c>
      <c r="H3190" s="2" t="s">
        <v>74</v>
      </c>
      <c r="I3190" s="2" t="s">
        <v>8952</v>
      </c>
      <c r="J3190" s="3" t="str">
        <f>HYPERLINK("https://www.boe.es/gazeta/dias/1810/02/12/pdfs/GMD-1810-43.pdf#page=2","Abrir facsímil")</f>
        <v>Abrir facsímil</v>
      </c>
      <c r="K3190" s="3" t="s">
        <v>76</v>
      </c>
    </row>
    <row r="3191" spans="1:11" ht="42" customHeight="1">
      <c r="A3191" s="2" t="s">
        <v>8953</v>
      </c>
      <c r="B3191" s="2" t="s">
        <v>8953</v>
      </c>
      <c r="C3191" s="2" t="s">
        <v>33</v>
      </c>
      <c r="D3191" s="2" t="s">
        <v>27</v>
      </c>
      <c r="E3191" s="4">
        <v>-32610</v>
      </c>
      <c r="F3191" s="3" t="s">
        <v>4991</v>
      </c>
      <c r="G3191" s="3" t="s">
        <v>35</v>
      </c>
      <c r="H3191" s="2" t="s">
        <v>74</v>
      </c>
      <c r="I3191" s="2" t="s">
        <v>8954</v>
      </c>
      <c r="J3191" s="3" t="str">
        <f>HYPERLINK("https://www.boe.es/gazeta/dias/1810/09/18/pdfs/GEI-1810-69.pdf#page=2","Abrir facsímil")</f>
        <v>Abrir facsímil</v>
      </c>
      <c r="K3191" s="3" t="s">
        <v>76</v>
      </c>
    </row>
    <row r="3192" spans="1:11" ht="42" customHeight="1">
      <c r="A3192" s="2" t="s">
        <v>8955</v>
      </c>
      <c r="B3192" s="2" t="s">
        <v>8956</v>
      </c>
      <c r="C3192" s="2" t="s">
        <v>33</v>
      </c>
      <c r="D3192" s="2" t="s">
        <v>27</v>
      </c>
      <c r="E3192" s="4">
        <v>-32855</v>
      </c>
      <c r="F3192" s="3" t="s">
        <v>3911</v>
      </c>
      <c r="G3192" s="3" t="s">
        <v>80</v>
      </c>
      <c r="H3192" s="2" t="s">
        <v>74</v>
      </c>
      <c r="I3192" s="2" t="s">
        <v>8957</v>
      </c>
      <c r="J3192" s="3" t="str">
        <f>HYPERLINK("https://www.boe.es/gazeta/dias/1810/01/16/pdfs/GGB-1810-7.pdf#page=5","Abrir facsímil")</f>
        <v>Abrir facsímil</v>
      </c>
      <c r="K3192" s="3" t="s">
        <v>76</v>
      </c>
    </row>
    <row r="3193" spans="1:11" ht="42" customHeight="1">
      <c r="A3193" s="2" t="s">
        <v>8958</v>
      </c>
      <c r="B3193" s="2" t="s">
        <v>8958</v>
      </c>
      <c r="C3193" s="2" t="s">
        <v>26</v>
      </c>
      <c r="D3193" s="2" t="s">
        <v>27</v>
      </c>
      <c r="E3193" s="4">
        <v>-32674</v>
      </c>
      <c r="F3193" s="3" t="s">
        <v>1319</v>
      </c>
      <c r="G3193" s="3" t="s">
        <v>235</v>
      </c>
      <c r="H3193" s="2" t="s">
        <v>74</v>
      </c>
      <c r="I3193" s="2" t="s">
        <v>8959</v>
      </c>
      <c r="J3193" s="3" t="str">
        <f>HYPERLINK("https://www.boe.es/gazeta/dias/1810/07/16/pdfs/GMD-1810-197.pdf#page=4","Abrir facsímil")</f>
        <v>Abrir facsímil</v>
      </c>
      <c r="K3193" s="3" t="s">
        <v>76</v>
      </c>
    </row>
    <row r="3194" spans="1:11" ht="42" customHeight="1">
      <c r="A3194" s="2" t="s">
        <v>8960</v>
      </c>
      <c r="B3194" s="2" t="s">
        <v>8960</v>
      </c>
      <c r="C3194" s="2" t="s">
        <v>88</v>
      </c>
      <c r="D3194" s="2" t="s">
        <v>27</v>
      </c>
      <c r="E3194" s="4">
        <v>-32767</v>
      </c>
      <c r="F3194" s="3" t="s">
        <v>1265</v>
      </c>
      <c r="G3194" s="3" t="s">
        <v>1266</v>
      </c>
      <c r="H3194" s="2" t="s">
        <v>74</v>
      </c>
      <c r="I3194" s="2" t="s">
        <v>8961</v>
      </c>
      <c r="J3194" s="3" t="str">
        <f>HYPERLINK("https://www.boe.es/gazeta/dias/1810/04/14/pdfs/GMD-1810-104.pdf#page=4","Abrir facsímil")</f>
        <v>Abrir facsímil</v>
      </c>
      <c r="K3194" s="3" t="s">
        <v>76</v>
      </c>
    </row>
    <row r="3195" spans="1:11" ht="42" customHeight="1">
      <c r="A3195" s="2" t="s">
        <v>8960</v>
      </c>
      <c r="B3195" s="2" t="s">
        <v>8960</v>
      </c>
      <c r="C3195" s="2" t="s">
        <v>26</v>
      </c>
      <c r="D3195" s="2" t="s">
        <v>27</v>
      </c>
      <c r="E3195" s="4">
        <v>-32736</v>
      </c>
      <c r="F3195" s="3" t="s">
        <v>400</v>
      </c>
      <c r="G3195" s="3" t="s">
        <v>401</v>
      </c>
      <c r="H3195" s="2" t="s">
        <v>74</v>
      </c>
      <c r="I3195" s="2" t="s">
        <v>8962</v>
      </c>
      <c r="J3195" s="3" t="str">
        <f>HYPERLINK("https://www.boe.es/gazeta/dias/1810/05/15/pdfs/GMD-1810-135.pdf#page=4","Abrir facsímil")</f>
        <v>Abrir facsímil</v>
      </c>
      <c r="K3195" s="3" t="s">
        <v>76</v>
      </c>
    </row>
    <row r="3196" spans="1:11" ht="42" customHeight="1">
      <c r="A3196" s="2" t="s">
        <v>8960</v>
      </c>
      <c r="B3196" s="2" t="s">
        <v>8960</v>
      </c>
      <c r="C3196" s="2" t="s">
        <v>26</v>
      </c>
      <c r="D3196" s="2" t="s">
        <v>27</v>
      </c>
      <c r="E3196" s="4">
        <v>-32678</v>
      </c>
      <c r="F3196" s="3" t="s">
        <v>3679</v>
      </c>
      <c r="G3196" s="3" t="s">
        <v>8963</v>
      </c>
      <c r="H3196" s="2" t="s">
        <v>74</v>
      </c>
      <c r="I3196" s="2" t="s">
        <v>8964</v>
      </c>
      <c r="J3196" s="3" t="str">
        <f>HYPERLINK("https://www.boe.es/gazeta/dias/1810/07/12/pdfs/GMD-1810-193.pdf#page=4","Abrir facsímil")</f>
        <v>Abrir facsímil</v>
      </c>
      <c r="K3196" s="3" t="s">
        <v>76</v>
      </c>
    </row>
    <row r="3197" spans="1:11" ht="42" customHeight="1">
      <c r="A3197" s="2" t="s">
        <v>8960</v>
      </c>
      <c r="B3197" s="2" t="s">
        <v>8960</v>
      </c>
      <c r="C3197" s="2" t="s">
        <v>26</v>
      </c>
      <c r="D3197" s="2" t="s">
        <v>18</v>
      </c>
      <c r="E3197" s="4">
        <v>-32677</v>
      </c>
      <c r="F3197" s="3" t="s">
        <v>209</v>
      </c>
      <c r="G3197" s="3" t="s">
        <v>29</v>
      </c>
      <c r="H3197" s="2" t="s">
        <v>74</v>
      </c>
      <c r="I3197" s="2" t="s">
        <v>8965</v>
      </c>
      <c r="J3197" s="3" t="str">
        <f>HYPERLINK("https://www.boe.es/gazeta/dias/1810/07/13/pdfs/GMD-1810-194.pdf#page=4","Abrir facsímil")</f>
        <v>Abrir facsímil</v>
      </c>
      <c r="K3197" s="3" t="s">
        <v>76</v>
      </c>
    </row>
    <row r="3198" spans="1:11" ht="42" customHeight="1">
      <c r="A3198" s="2" t="s">
        <v>8960</v>
      </c>
      <c r="B3198" s="2" t="s">
        <v>8960</v>
      </c>
      <c r="C3198" s="2" t="s">
        <v>26</v>
      </c>
      <c r="D3198" s="2" t="s">
        <v>220</v>
      </c>
      <c r="E3198" s="4">
        <v>-32674</v>
      </c>
      <c r="F3198" s="3" t="s">
        <v>1319</v>
      </c>
      <c r="G3198" s="3" t="s">
        <v>227</v>
      </c>
      <c r="H3198" s="2" t="s">
        <v>74</v>
      </c>
      <c r="I3198" s="2" t="s">
        <v>8966</v>
      </c>
      <c r="J3198" s="3" t="str">
        <f>HYPERLINK("https://www.boe.es/gazeta/dias/1810/07/16/pdfs/GMD-1810-197.pdf#page=3","Abrir facsímil")</f>
        <v>Abrir facsímil</v>
      </c>
      <c r="K3198" s="3" t="s">
        <v>76</v>
      </c>
    </row>
    <row r="3199" spans="1:11" ht="42" customHeight="1">
      <c r="A3199" s="2" t="s">
        <v>8960</v>
      </c>
      <c r="B3199" s="2" t="s">
        <v>8960</v>
      </c>
      <c r="C3199" s="2" t="s">
        <v>26</v>
      </c>
      <c r="D3199" s="2" t="s">
        <v>27</v>
      </c>
      <c r="E3199" s="4">
        <v>-32672</v>
      </c>
      <c r="F3199" s="3" t="s">
        <v>1663</v>
      </c>
      <c r="G3199" s="3" t="s">
        <v>465</v>
      </c>
      <c r="H3199" s="2" t="s">
        <v>74</v>
      </c>
      <c r="I3199" s="2" t="s">
        <v>8967</v>
      </c>
      <c r="J3199" s="3" t="str">
        <f>HYPERLINK("https://www.boe.es/gazeta/dias/1810/07/18/pdfs/GMD-1810-199.pdf#page=1","Abrir facsímil")</f>
        <v>Abrir facsímil</v>
      </c>
      <c r="K3199" s="3" t="s">
        <v>76</v>
      </c>
    </row>
    <row r="3200" spans="1:11" ht="42" customHeight="1">
      <c r="A3200" s="2" t="s">
        <v>8960</v>
      </c>
      <c r="B3200" s="2" t="s">
        <v>8960</v>
      </c>
      <c r="C3200" s="2" t="s">
        <v>26</v>
      </c>
      <c r="D3200" s="2" t="s">
        <v>220</v>
      </c>
      <c r="E3200" s="4">
        <v>-32669</v>
      </c>
      <c r="F3200" s="3" t="s">
        <v>217</v>
      </c>
      <c r="G3200" s="3" t="s">
        <v>180</v>
      </c>
      <c r="H3200" s="2" t="s">
        <v>74</v>
      </c>
      <c r="I3200" s="2" t="s">
        <v>8968</v>
      </c>
      <c r="J3200" s="3" t="str">
        <f>HYPERLINK("https://www.boe.es/gazeta/dias/1810/07/21/pdfs/GMD-1810-202.pdf#page=1","Abrir facsímil")</f>
        <v>Abrir facsímil</v>
      </c>
      <c r="K3200" s="3" t="s">
        <v>76</v>
      </c>
    </row>
    <row r="3201" spans="1:11" ht="42" customHeight="1">
      <c r="A3201" s="2" t="s">
        <v>8960</v>
      </c>
      <c r="B3201" s="2" t="s">
        <v>8960</v>
      </c>
      <c r="C3201" s="2" t="s">
        <v>17</v>
      </c>
      <c r="D3201" s="2" t="s">
        <v>27</v>
      </c>
      <c r="E3201" s="4">
        <v>-32669</v>
      </c>
      <c r="F3201" s="3" t="s">
        <v>217</v>
      </c>
      <c r="G3201" s="3" t="s">
        <v>20</v>
      </c>
      <c r="H3201" s="2" t="s">
        <v>74</v>
      </c>
      <c r="I3201" s="2" t="s">
        <v>8969</v>
      </c>
      <c r="J3201" s="3" t="str">
        <f>HYPERLINK("https://www.boe.es/gazeta/dias/1810/07/21/pdfs/GMD-1810-202.pdf#page=4","Abrir facsímil")</f>
        <v>Abrir facsímil</v>
      </c>
      <c r="K3201" s="3" t="s">
        <v>76</v>
      </c>
    </row>
    <row r="3202" spans="1:11" ht="42" customHeight="1">
      <c r="A3202" s="2" t="s">
        <v>8960</v>
      </c>
      <c r="B3202" s="2" t="s">
        <v>8960</v>
      </c>
      <c r="C3202" s="2" t="s">
        <v>88</v>
      </c>
      <c r="D3202" s="2" t="s">
        <v>117</v>
      </c>
      <c r="E3202" s="4">
        <v>-32566</v>
      </c>
      <c r="F3202" s="3" t="s">
        <v>405</v>
      </c>
      <c r="G3202" s="3" t="s">
        <v>469</v>
      </c>
      <c r="H3202" s="2" t="s">
        <v>74</v>
      </c>
      <c r="I3202" s="2" t="s">
        <v>8970</v>
      </c>
      <c r="J3202" s="3" t="str">
        <f>HYPERLINK("https://www.boe.es/gazeta/dias/1810/11/01/pdfs/GMD-1810-305.pdf#page=2","Abrir facsímil")</f>
        <v>Abrir facsímil</v>
      </c>
      <c r="K3202" s="3" t="s">
        <v>76</v>
      </c>
    </row>
    <row r="3203" spans="1:11" ht="42" customHeight="1">
      <c r="A3203" s="2" t="s">
        <v>8971</v>
      </c>
      <c r="B3203" s="2" t="s">
        <v>8972</v>
      </c>
      <c r="C3203" s="2" t="s">
        <v>33</v>
      </c>
      <c r="D3203" s="2" t="s">
        <v>58</v>
      </c>
      <c r="E3203" s="4">
        <v>-32601</v>
      </c>
      <c r="F3203" s="3" t="s">
        <v>392</v>
      </c>
      <c r="G3203" s="3" t="s">
        <v>1430</v>
      </c>
      <c r="H3203" s="2" t="s">
        <v>74</v>
      </c>
      <c r="I3203" s="2" t="s">
        <v>8973</v>
      </c>
      <c r="J3203" s="3" t="str">
        <f>HYPERLINK("https://www.boe.es/gazeta/dias/1810/09/27/pdfs/GEI-1810-74E.pdf#page=3","Abrir facsímil")</f>
        <v>Abrir facsímil</v>
      </c>
      <c r="K3203" s="3" t="s">
        <v>76</v>
      </c>
    </row>
    <row r="3204" spans="1:11" ht="42" customHeight="1">
      <c r="A3204" s="2" t="s">
        <v>8974</v>
      </c>
      <c r="B3204" s="2" t="s">
        <v>8974</v>
      </c>
      <c r="C3204" s="2" t="s">
        <v>26</v>
      </c>
      <c r="D3204" s="2" t="s">
        <v>27</v>
      </c>
      <c r="E3204" s="4">
        <v>-32701</v>
      </c>
      <c r="F3204" s="3" t="s">
        <v>1019</v>
      </c>
      <c r="G3204" s="3" t="s">
        <v>20</v>
      </c>
      <c r="H3204" s="2" t="s">
        <v>74</v>
      </c>
      <c r="I3204" s="2" t="s">
        <v>8975</v>
      </c>
      <c r="J3204" s="3" t="str">
        <f>HYPERLINK("https://www.boe.es/gazeta/dias/1810/06/19/pdfs/GMD-1810-170.pdf#page=4","Abrir facsímil")</f>
        <v>Abrir facsímil</v>
      </c>
      <c r="K3204" s="3" t="s">
        <v>76</v>
      </c>
    </row>
    <row r="3205" spans="1:11" ht="42" customHeight="1">
      <c r="A3205" s="2" t="s">
        <v>8974</v>
      </c>
      <c r="B3205" s="2" t="s">
        <v>8974</v>
      </c>
      <c r="C3205" s="2" t="s">
        <v>26</v>
      </c>
      <c r="D3205" s="2" t="s">
        <v>39</v>
      </c>
      <c r="E3205" s="4">
        <v>-32661</v>
      </c>
      <c r="F3205" s="3" t="s">
        <v>157</v>
      </c>
      <c r="G3205" s="3" t="s">
        <v>592</v>
      </c>
      <c r="H3205" s="2" t="s">
        <v>74</v>
      </c>
      <c r="I3205" s="2" t="s">
        <v>8976</v>
      </c>
      <c r="J3205" s="3" t="str">
        <f>HYPERLINK("https://www.boe.es/gazeta/dias/1810/07/29/pdfs/GMD-C-1810-210.pdf#page=2","Abrir facsímil")</f>
        <v>Abrir facsímil</v>
      </c>
      <c r="K3205" s="3" t="s">
        <v>76</v>
      </c>
    </row>
    <row r="3206" spans="1:11" ht="42" customHeight="1">
      <c r="A3206" s="2" t="s">
        <v>8974</v>
      </c>
      <c r="B3206" s="2" t="s">
        <v>8974</v>
      </c>
      <c r="C3206" s="2" t="s">
        <v>26</v>
      </c>
      <c r="D3206" s="2" t="s">
        <v>27</v>
      </c>
      <c r="E3206" s="4">
        <v>-32655</v>
      </c>
      <c r="F3206" s="3" t="s">
        <v>1040</v>
      </c>
      <c r="G3206" s="3" t="s">
        <v>1041</v>
      </c>
      <c r="H3206" s="2" t="s">
        <v>74</v>
      </c>
      <c r="I3206" s="2" t="s">
        <v>8977</v>
      </c>
      <c r="J3206" s="3" t="str">
        <f>HYPERLINK("https://www.boe.es/gazeta/dias/1810/08/04/pdfs/GMD-1810-216.pdf#page=4","Abrir facsímil")</f>
        <v>Abrir facsímil</v>
      </c>
      <c r="K3206" s="3" t="s">
        <v>76</v>
      </c>
    </row>
    <row r="3207" spans="1:11" ht="42" customHeight="1">
      <c r="A3207" s="2" t="s">
        <v>8974</v>
      </c>
      <c r="B3207" s="2" t="s">
        <v>8974</v>
      </c>
      <c r="C3207" s="2" t="s">
        <v>111</v>
      </c>
      <c r="D3207" s="2" t="s">
        <v>27</v>
      </c>
      <c r="E3207" s="4">
        <v>-32647</v>
      </c>
      <c r="F3207" s="3" t="s">
        <v>118</v>
      </c>
      <c r="G3207" s="3" t="s">
        <v>119</v>
      </c>
      <c r="H3207" s="2" t="s">
        <v>74</v>
      </c>
      <c r="I3207" s="2" t="s">
        <v>8978</v>
      </c>
      <c r="J3207" s="3" t="str">
        <f>HYPERLINK("https://www.boe.es/gazeta/dias/1810/08/12/pdfs/GMD-1810-224.pdf#page=3","Abrir facsímil")</f>
        <v>Abrir facsímil</v>
      </c>
      <c r="K3207" s="3" t="s">
        <v>76</v>
      </c>
    </row>
    <row r="3208" spans="1:11" ht="42" customHeight="1">
      <c r="A3208" s="2" t="s">
        <v>8974</v>
      </c>
      <c r="B3208" s="2" t="s">
        <v>8974</v>
      </c>
      <c r="C3208" s="2" t="s">
        <v>26</v>
      </c>
      <c r="D3208" s="2" t="s">
        <v>18</v>
      </c>
      <c r="E3208" s="4">
        <v>-32635</v>
      </c>
      <c r="F3208" s="3" t="s">
        <v>8979</v>
      </c>
      <c r="G3208" s="3" t="s">
        <v>119</v>
      </c>
      <c r="H3208" s="2" t="s">
        <v>74</v>
      </c>
      <c r="I3208" s="2" t="s">
        <v>8980</v>
      </c>
      <c r="J3208" s="3" t="str">
        <f>HYPERLINK("https://www.boe.es/gazeta/dias/1810/08/24/pdfs/GMD-1810-236.pdf#page=3","Abrir facsímil")</f>
        <v>Abrir facsímil</v>
      </c>
      <c r="K3208" s="3" t="s">
        <v>76</v>
      </c>
    </row>
    <row r="3209" spans="1:11" ht="42" customHeight="1">
      <c r="A3209" s="2" t="s">
        <v>8974</v>
      </c>
      <c r="B3209" s="2" t="s">
        <v>8974</v>
      </c>
      <c r="C3209" s="2" t="s">
        <v>88</v>
      </c>
      <c r="D3209" s="2" t="s">
        <v>18</v>
      </c>
      <c r="E3209" s="4">
        <v>-32566</v>
      </c>
      <c r="F3209" s="3" t="s">
        <v>405</v>
      </c>
      <c r="G3209" s="3" t="s">
        <v>469</v>
      </c>
      <c r="H3209" s="2" t="s">
        <v>74</v>
      </c>
      <c r="I3209" s="2" t="s">
        <v>8981</v>
      </c>
      <c r="J3209" s="3" t="str">
        <f>HYPERLINK("https://www.boe.es/gazeta/dias/1810/11/01/pdfs/GMD-1810-305.pdf#page=2","Abrir facsímil")</f>
        <v>Abrir facsímil</v>
      </c>
      <c r="K3209" s="3" t="s">
        <v>76</v>
      </c>
    </row>
    <row r="3210" spans="1:11" ht="42" customHeight="1">
      <c r="A3210" s="2" t="s">
        <v>8982</v>
      </c>
      <c r="B3210" s="2" t="s">
        <v>8983</v>
      </c>
      <c r="C3210" s="2" t="s">
        <v>26</v>
      </c>
      <c r="D3210" s="2" t="s">
        <v>27</v>
      </c>
      <c r="E3210" s="4">
        <v>-32736</v>
      </c>
      <c r="F3210" s="3" t="s">
        <v>400</v>
      </c>
      <c r="G3210" s="3" t="s">
        <v>401</v>
      </c>
      <c r="H3210" s="2" t="s">
        <v>74</v>
      </c>
      <c r="I3210" s="2" t="s">
        <v>8984</v>
      </c>
      <c r="J3210" s="3" t="str">
        <f>HYPERLINK("https://www.boe.es/gazeta/dias/1810/05/15/pdfs/GMD-1810-135.pdf#page=4","Abrir facsímil")</f>
        <v>Abrir facsímil</v>
      </c>
      <c r="K3210" s="3" t="s">
        <v>76</v>
      </c>
    </row>
    <row r="3211" spans="1:11" ht="42" customHeight="1">
      <c r="A3211" s="2" t="s">
        <v>8985</v>
      </c>
      <c r="B3211" s="2" t="s">
        <v>8985</v>
      </c>
      <c r="C3211" s="2" t="s">
        <v>26</v>
      </c>
      <c r="D3211" s="2" t="s">
        <v>27</v>
      </c>
      <c r="E3211" s="4">
        <v>-32649</v>
      </c>
      <c r="F3211" s="3" t="s">
        <v>190</v>
      </c>
      <c r="G3211" s="3" t="s">
        <v>191</v>
      </c>
      <c r="H3211" s="2" t="s">
        <v>74</v>
      </c>
      <c r="I3211" s="2" t="s">
        <v>8986</v>
      </c>
      <c r="J3211" s="3" t="str">
        <f>HYPERLINK("https://www.boe.es/gazeta/dias/1810/08/10/pdfs/GEI-1810-54.pdf#page=10","Abrir facsímil")</f>
        <v>Abrir facsímil</v>
      </c>
      <c r="K3211" s="3" t="s">
        <v>76</v>
      </c>
    </row>
    <row r="3212" spans="1:11" ht="42" customHeight="1">
      <c r="A3212" s="2" t="s">
        <v>8987</v>
      </c>
      <c r="B3212" s="2" t="s">
        <v>8987</v>
      </c>
      <c r="C3212" s="2" t="s">
        <v>88</v>
      </c>
      <c r="D3212" s="2" t="s">
        <v>117</v>
      </c>
      <c r="E3212" s="4">
        <v>-32538</v>
      </c>
      <c r="F3212" s="3" t="s">
        <v>1949</v>
      </c>
      <c r="G3212" s="3" t="s">
        <v>35</v>
      </c>
      <c r="H3212" s="2" t="s">
        <v>74</v>
      </c>
      <c r="I3212" s="2" t="s">
        <v>8988</v>
      </c>
      <c r="J3212" s="3" t="str">
        <f>HYPERLINK("https://www.boe.es/gazeta/dias/1810/11/29/pdfs/GEI-1810-101.pdf#page=2","Abrir facsímil")</f>
        <v>Abrir facsímil</v>
      </c>
      <c r="K3212" s="3" t="s">
        <v>76</v>
      </c>
    </row>
    <row r="3213" spans="1:11" ht="42" customHeight="1">
      <c r="A3213" s="2" t="s">
        <v>8989</v>
      </c>
      <c r="B3213" s="2" t="s">
        <v>8989</v>
      </c>
      <c r="C3213" s="2" t="s">
        <v>88</v>
      </c>
      <c r="D3213" s="2" t="s">
        <v>117</v>
      </c>
      <c r="E3213" s="4">
        <v>-32510</v>
      </c>
      <c r="F3213" s="3" t="s">
        <v>1955</v>
      </c>
      <c r="G3213" s="3" t="s">
        <v>8296</v>
      </c>
      <c r="H3213" s="2" t="s">
        <v>74</v>
      </c>
      <c r="I3213" s="2" t="s">
        <v>8990</v>
      </c>
      <c r="J3213" s="3" t="str">
        <f>HYPERLINK("https://www.boe.es/gazeta/dias/1810/12/27/pdfs/GEI-1810-113.pdf#page=1","Abrir facsímil")</f>
        <v>Abrir facsímil</v>
      </c>
      <c r="K3213" s="3" t="s">
        <v>76</v>
      </c>
    </row>
    <row r="3214" spans="1:11" ht="42" customHeight="1">
      <c r="A3214" s="2" t="s">
        <v>8991</v>
      </c>
      <c r="B3214" s="2" t="s">
        <v>8991</v>
      </c>
      <c r="C3214" s="2" t="s">
        <v>26</v>
      </c>
      <c r="D3214" s="2" t="s">
        <v>27</v>
      </c>
      <c r="E3214" s="4">
        <v>-32782</v>
      </c>
      <c r="F3214" s="3" t="s">
        <v>79</v>
      </c>
      <c r="G3214" s="3" t="s">
        <v>80</v>
      </c>
      <c r="H3214" s="2" t="s">
        <v>74</v>
      </c>
      <c r="I3214" s="2" t="s">
        <v>8992</v>
      </c>
      <c r="J3214" s="3" t="str">
        <f>HYPERLINK("https://www.boe.es/gazeta/dias/1810/03/30/pdfs/GEI-1810-9.pdf#page=7","Abrir facsímil")</f>
        <v>Abrir facsímil</v>
      </c>
      <c r="K3214" s="3" t="s">
        <v>76</v>
      </c>
    </row>
    <row r="3215" spans="1:11" ht="42" customHeight="1">
      <c r="A3215" s="2" t="s">
        <v>8991</v>
      </c>
      <c r="B3215" s="2" t="s">
        <v>8991</v>
      </c>
      <c r="C3215" s="2" t="s">
        <v>26</v>
      </c>
      <c r="D3215" s="2" t="s">
        <v>58</v>
      </c>
      <c r="E3215" s="4">
        <v>-32734</v>
      </c>
      <c r="F3215" s="3" t="s">
        <v>2797</v>
      </c>
      <c r="G3215" s="3" t="s">
        <v>99</v>
      </c>
      <c r="H3215" s="2" t="s">
        <v>74</v>
      </c>
      <c r="I3215" s="2" t="s">
        <v>8993</v>
      </c>
      <c r="J3215" s="3" t="str">
        <f>HYPERLINK("https://www.boe.es/gazeta/dias/1810/05/17/pdfs/GEI-1810-26E.pdf#page=3","Abrir facsímil")</f>
        <v>Abrir facsímil</v>
      </c>
      <c r="K3215" s="3" t="s">
        <v>76</v>
      </c>
    </row>
    <row r="3216" spans="1:11" ht="42" customHeight="1">
      <c r="A3216" s="2" t="s">
        <v>8991</v>
      </c>
      <c r="B3216" s="2" t="s">
        <v>8991</v>
      </c>
      <c r="C3216" s="2" t="s">
        <v>317</v>
      </c>
      <c r="D3216" s="2" t="s">
        <v>117</v>
      </c>
      <c r="E3216" s="4">
        <v>-32720</v>
      </c>
      <c r="F3216" s="3" t="s">
        <v>3377</v>
      </c>
      <c r="G3216" s="3" t="s">
        <v>8994</v>
      </c>
      <c r="H3216" s="2" t="s">
        <v>74</v>
      </c>
      <c r="I3216" s="2" t="s">
        <v>8995</v>
      </c>
      <c r="J3216" s="3" t="str">
        <f>HYPERLINK("https://www.boe.es/gazeta/dias/1810/05/31/pdfs/GMD-1810-151.pdf#page=1","Abrir facsímil")</f>
        <v>Abrir facsímil</v>
      </c>
      <c r="K3216" s="3" t="s">
        <v>76</v>
      </c>
    </row>
    <row r="3217" spans="1:11" ht="42" customHeight="1">
      <c r="A3217" s="2" t="s">
        <v>8991</v>
      </c>
      <c r="B3217" s="2" t="s">
        <v>8991</v>
      </c>
      <c r="C3217" s="2" t="s">
        <v>88</v>
      </c>
      <c r="D3217" s="2" t="s">
        <v>27</v>
      </c>
      <c r="E3217" s="4">
        <v>-32715</v>
      </c>
      <c r="F3217" s="3" t="s">
        <v>1029</v>
      </c>
      <c r="G3217" s="3" t="s">
        <v>3268</v>
      </c>
      <c r="H3217" s="2" t="s">
        <v>74</v>
      </c>
      <c r="I3217" s="2" t="s">
        <v>8996</v>
      </c>
      <c r="J3217" s="3" t="str">
        <f>HYPERLINK("https://www.boe.es/gazeta/dias/1810/06/05/pdfs/GEI-1810-33.pdf#page=12","Abrir facsímil")</f>
        <v>Abrir facsímil</v>
      </c>
      <c r="K3217" s="3" t="s">
        <v>76</v>
      </c>
    </row>
    <row r="3218" spans="1:11" ht="42" customHeight="1">
      <c r="A3218" s="2" t="s">
        <v>8991</v>
      </c>
      <c r="B3218" s="2" t="s">
        <v>8991</v>
      </c>
      <c r="C3218" s="2" t="s">
        <v>17</v>
      </c>
      <c r="D3218" s="2" t="s">
        <v>27</v>
      </c>
      <c r="E3218" s="4">
        <v>-32652</v>
      </c>
      <c r="F3218" s="3" t="s">
        <v>3295</v>
      </c>
      <c r="G3218" s="3" t="s">
        <v>8997</v>
      </c>
      <c r="H3218" s="2" t="s">
        <v>74</v>
      </c>
      <c r="I3218" s="2" t="s">
        <v>8998</v>
      </c>
      <c r="J3218" s="3" t="str">
        <f>HYPERLINK("https://www.boe.es/gazeta/dias/1810/08/07/pdfs/GEI-1810-52.pdf#page=6","Abrir facsímil")</f>
        <v>Abrir facsímil</v>
      </c>
      <c r="K3218" s="3" t="s">
        <v>76</v>
      </c>
    </row>
    <row r="3219" spans="1:11" ht="42" customHeight="1">
      <c r="A3219" s="2" t="s">
        <v>8991</v>
      </c>
      <c r="B3219" s="2" t="s">
        <v>8991</v>
      </c>
      <c r="C3219" s="2" t="s">
        <v>26</v>
      </c>
      <c r="D3219" s="2" t="s">
        <v>27</v>
      </c>
      <c r="E3219" s="4">
        <v>-32614</v>
      </c>
      <c r="F3219" s="3" t="s">
        <v>403</v>
      </c>
      <c r="G3219" s="3" t="s">
        <v>140</v>
      </c>
      <c r="H3219" s="2" t="s">
        <v>74</v>
      </c>
      <c r="I3219" s="2" t="s">
        <v>8999</v>
      </c>
      <c r="J3219" s="3" t="str">
        <f>HYPERLINK("https://www.boe.es/gazeta/dias/1810/09/14/pdfs/GMD-1810-257.pdf#page=2","Abrir facsímil")</f>
        <v>Abrir facsímil</v>
      </c>
      <c r="K3219" s="3" t="s">
        <v>76</v>
      </c>
    </row>
    <row r="3220" spans="1:11" ht="42" customHeight="1">
      <c r="A3220" s="2" t="s">
        <v>8991</v>
      </c>
      <c r="B3220" s="2" t="s">
        <v>8991</v>
      </c>
      <c r="C3220" s="2" t="s">
        <v>33</v>
      </c>
      <c r="D3220" s="2" t="s">
        <v>27</v>
      </c>
      <c r="E3220" s="4">
        <v>-32614</v>
      </c>
      <c r="F3220" s="3" t="s">
        <v>1083</v>
      </c>
      <c r="G3220" s="3" t="s">
        <v>1084</v>
      </c>
      <c r="H3220" s="2" t="s">
        <v>74</v>
      </c>
      <c r="I3220" s="2" t="s">
        <v>9000</v>
      </c>
      <c r="J3220" s="3" t="str">
        <f>HYPERLINK("https://www.boe.es/gazeta/dias/1810/09/14/pdfs/GEI-1810-67.pdf#page=10","Abrir facsímil")</f>
        <v>Abrir facsímil</v>
      </c>
      <c r="K3220" s="3" t="s">
        <v>76</v>
      </c>
    </row>
    <row r="3221" spans="1:11" ht="42" customHeight="1">
      <c r="A3221" s="2" t="s">
        <v>8991</v>
      </c>
      <c r="B3221" s="2" t="s">
        <v>8991</v>
      </c>
      <c r="C3221" s="2" t="s">
        <v>26</v>
      </c>
      <c r="D3221" s="2" t="s">
        <v>27</v>
      </c>
      <c r="E3221" s="4">
        <v>-32533</v>
      </c>
      <c r="F3221" s="3" t="s">
        <v>1357</v>
      </c>
      <c r="G3221" s="3" t="s">
        <v>701</v>
      </c>
      <c r="H3221" s="2" t="s">
        <v>74</v>
      </c>
      <c r="I3221" s="2" t="s">
        <v>9001</v>
      </c>
      <c r="J3221" s="3" t="str">
        <f>HYPERLINK("https://www.boe.es/gazeta/dias/1810/12/04/pdfs/GEI-1810-103.pdf#page=8","Abrir facsímil")</f>
        <v>Abrir facsímil</v>
      </c>
      <c r="K3221" s="3" t="s">
        <v>76</v>
      </c>
    </row>
    <row r="3222" spans="1:11" ht="42" customHeight="1">
      <c r="A3222" s="2" t="s">
        <v>9002</v>
      </c>
      <c r="B3222" s="2" t="s">
        <v>9003</v>
      </c>
      <c r="C3222" s="2" t="s">
        <v>33</v>
      </c>
      <c r="D3222" s="2" t="s">
        <v>27</v>
      </c>
      <c r="E3222" s="4">
        <v>-32797</v>
      </c>
      <c r="F3222" s="3" t="s">
        <v>3666</v>
      </c>
      <c r="G3222" s="3" t="s">
        <v>9004</v>
      </c>
      <c r="H3222" s="2" t="s">
        <v>74</v>
      </c>
      <c r="I3222" s="2" t="s">
        <v>9005</v>
      </c>
      <c r="J3222" s="3" t="str">
        <f>HYPERLINK("https://www.boe.es/gazeta/dias/1810/03/15/pdfs/GMD-1810-74.pdf#page=4","Abrir facsímil")</f>
        <v>Abrir facsímil</v>
      </c>
      <c r="K3222" s="3" t="s">
        <v>76</v>
      </c>
    </row>
    <row r="3223" spans="1:11" ht="42" customHeight="1">
      <c r="A3223" s="2" t="s">
        <v>9006</v>
      </c>
      <c r="B3223" s="2" t="s">
        <v>9007</v>
      </c>
      <c r="C3223" s="2" t="s">
        <v>88</v>
      </c>
      <c r="D3223" s="2" t="s">
        <v>27</v>
      </c>
      <c r="E3223" s="4">
        <v>-32650</v>
      </c>
      <c r="F3223" s="3" t="s">
        <v>9008</v>
      </c>
      <c r="G3223" s="3" t="s">
        <v>70</v>
      </c>
      <c r="H3223" s="2" t="s">
        <v>74</v>
      </c>
      <c r="I3223" s="2" t="s">
        <v>9009</v>
      </c>
      <c r="J3223" s="3" t="str">
        <f>HYPERLINK("https://www.boe.es/gazeta/dias/1810/08/09/pdfs/GMD-1810-221.pdf#page=1","Abrir facsímil")</f>
        <v>Abrir facsímil</v>
      </c>
      <c r="K3223" s="3" t="s">
        <v>76</v>
      </c>
    </row>
    <row r="3224" spans="1:11" ht="42" customHeight="1">
      <c r="A3224" s="2" t="s">
        <v>9010</v>
      </c>
      <c r="B3224" s="2" t="s">
        <v>9011</v>
      </c>
      <c r="C3224" s="2" t="s">
        <v>88</v>
      </c>
      <c r="D3224" s="2" t="s">
        <v>27</v>
      </c>
      <c r="E3224" s="4">
        <v>-32575</v>
      </c>
      <c r="F3224" s="3" t="s">
        <v>135</v>
      </c>
      <c r="G3224" s="3" t="s">
        <v>7908</v>
      </c>
      <c r="H3224" s="2" t="s">
        <v>74</v>
      </c>
      <c r="I3224" s="2" t="s">
        <v>9012</v>
      </c>
      <c r="J3224" s="3" t="str">
        <f>HYPERLINK("https://www.boe.es/gazeta/dias/1810/10/23/pdfs/GEI-1810-85.pdf#page=7","Abrir facsímil")</f>
        <v>Abrir facsímil</v>
      </c>
      <c r="K3224" s="3" t="s">
        <v>76</v>
      </c>
    </row>
    <row r="3225" spans="1:11" ht="42" customHeight="1">
      <c r="A3225" s="2" t="s">
        <v>9013</v>
      </c>
      <c r="B3225" s="2" t="s">
        <v>9014</v>
      </c>
      <c r="C3225" s="2" t="s">
        <v>317</v>
      </c>
      <c r="D3225" s="2" t="s">
        <v>27</v>
      </c>
      <c r="E3225" s="4">
        <v>-32634</v>
      </c>
      <c r="F3225" s="3" t="s">
        <v>4472</v>
      </c>
      <c r="G3225" s="3" t="s">
        <v>180</v>
      </c>
      <c r="H3225" s="2" t="s">
        <v>74</v>
      </c>
      <c r="I3225" s="2" t="s">
        <v>9015</v>
      </c>
      <c r="J3225" s="3" t="str">
        <f>HYPERLINK("https://www.boe.es/gazeta/dias/1810/08/25/pdfs/GMD-1810-237.pdf#page=1","Abrir facsímil")</f>
        <v>Abrir facsímil</v>
      </c>
      <c r="K3225" s="3" t="s">
        <v>76</v>
      </c>
    </row>
    <row r="3226" spans="1:11" ht="42" customHeight="1">
      <c r="A3226" s="2" t="s">
        <v>9016</v>
      </c>
      <c r="B3226" s="2" t="s">
        <v>9016</v>
      </c>
      <c r="C3226" s="2" t="s">
        <v>33</v>
      </c>
      <c r="D3226" s="2" t="s">
        <v>27</v>
      </c>
      <c r="E3226" s="4">
        <v>-32820</v>
      </c>
      <c r="F3226" s="3" t="s">
        <v>226</v>
      </c>
      <c r="G3226" s="3" t="s">
        <v>356</v>
      </c>
      <c r="H3226" s="2" t="s">
        <v>74</v>
      </c>
      <c r="I3226" s="2" t="s">
        <v>9017</v>
      </c>
      <c r="J3226" s="3" t="str">
        <f>HYPERLINK("https://www.boe.es/gazeta/dias/1810/02/20/pdfs/GMD-1810-51.pdf#page=3","Abrir facsímil")</f>
        <v>Abrir facsímil</v>
      </c>
      <c r="K3226" s="3" t="s">
        <v>76</v>
      </c>
    </row>
    <row r="3227" spans="1:11" ht="42" customHeight="1">
      <c r="A3227" s="2" t="s">
        <v>9016</v>
      </c>
      <c r="B3227" s="2" t="s">
        <v>9016</v>
      </c>
      <c r="C3227" s="2" t="s">
        <v>26</v>
      </c>
      <c r="D3227" s="2" t="s">
        <v>27</v>
      </c>
      <c r="E3227" s="4">
        <v>-32726</v>
      </c>
      <c r="F3227" s="3" t="s">
        <v>1850</v>
      </c>
      <c r="G3227" s="3" t="s">
        <v>136</v>
      </c>
      <c r="H3227" s="2" t="s">
        <v>74</v>
      </c>
      <c r="I3227" s="2" t="s">
        <v>9018</v>
      </c>
      <c r="J3227" s="3" t="str">
        <f>HYPERLINK("https://www.boe.es/gazeta/dias/1810/05/25/pdfs/GEI-1810-30.pdf#page=5","Abrir facsímil")</f>
        <v>Abrir facsímil</v>
      </c>
      <c r="K3227" s="3" t="s">
        <v>76</v>
      </c>
    </row>
    <row r="3228" spans="1:11" ht="42" customHeight="1">
      <c r="A3228" s="2" t="s">
        <v>9019</v>
      </c>
      <c r="B3228" s="2" t="s">
        <v>9019</v>
      </c>
      <c r="C3228" s="2" t="s">
        <v>26</v>
      </c>
      <c r="D3228" s="2" t="s">
        <v>27</v>
      </c>
      <c r="E3228" s="4">
        <v>-32543</v>
      </c>
      <c r="F3228" s="3" t="s">
        <v>69</v>
      </c>
      <c r="G3228" s="3" t="s">
        <v>84</v>
      </c>
      <c r="H3228" s="2" t="s">
        <v>74</v>
      </c>
      <c r="I3228" s="2" t="s">
        <v>9020</v>
      </c>
      <c r="J3228" s="3" t="str">
        <f>HYPERLINK("https://www.boe.es/gazeta/dias/1810/11/24/pdfs/GEI-1810-99.pdf#page=7","Abrir facsímil")</f>
        <v>Abrir facsímil</v>
      </c>
      <c r="K3228" s="3" t="s">
        <v>76</v>
      </c>
    </row>
    <row r="3229" spans="1:11" ht="42" customHeight="1">
      <c r="A3229" s="2" t="s">
        <v>9021</v>
      </c>
      <c r="B3229" s="2" t="s">
        <v>9022</v>
      </c>
      <c r="C3229" s="2" t="s">
        <v>26</v>
      </c>
      <c r="D3229" s="2" t="s">
        <v>27</v>
      </c>
      <c r="E3229" s="4">
        <v>-32687</v>
      </c>
      <c r="F3229" s="3" t="s">
        <v>221</v>
      </c>
      <c r="G3229" s="3" t="s">
        <v>106</v>
      </c>
      <c r="H3229" s="2" t="s">
        <v>74</v>
      </c>
      <c r="I3229" s="2" t="s">
        <v>9023</v>
      </c>
      <c r="J3229" s="3" t="str">
        <f>HYPERLINK("https://www.boe.es/gazeta/dias/1810/07/03/pdfs/GMD-1810-184.pdf#page=1","Abrir facsímil")</f>
        <v>Abrir facsímil</v>
      </c>
      <c r="K3229" s="3" t="s">
        <v>76</v>
      </c>
    </row>
    <row r="3230" spans="1:11" ht="42" customHeight="1">
      <c r="A3230" s="2" t="s">
        <v>9024</v>
      </c>
      <c r="B3230" s="2" t="s">
        <v>9025</v>
      </c>
      <c r="C3230" s="2" t="s">
        <v>26</v>
      </c>
      <c r="D3230" s="2" t="s">
        <v>27</v>
      </c>
      <c r="E3230" s="4">
        <v>-32575</v>
      </c>
      <c r="F3230" s="3" t="s">
        <v>135</v>
      </c>
      <c r="G3230" s="3" t="s">
        <v>136</v>
      </c>
      <c r="H3230" s="2" t="s">
        <v>74</v>
      </c>
      <c r="I3230" s="2" t="s">
        <v>9026</v>
      </c>
      <c r="J3230" s="3" t="str">
        <f>HYPERLINK("https://www.boe.es/gazeta/dias/1810/10/23/pdfs/GEI-1810-85.pdf#page=11","Abrir facsímil")</f>
        <v>Abrir facsímil</v>
      </c>
      <c r="K3230" s="3" t="s">
        <v>76</v>
      </c>
    </row>
    <row r="3231" spans="1:11" ht="42" customHeight="1">
      <c r="A3231" s="2" t="s">
        <v>9027</v>
      </c>
      <c r="B3231" s="2" t="s">
        <v>9028</v>
      </c>
      <c r="C3231" s="2" t="s">
        <v>26</v>
      </c>
      <c r="D3231" s="2" t="s">
        <v>27</v>
      </c>
      <c r="E3231" s="4">
        <v>-32515</v>
      </c>
      <c r="F3231" s="3" t="s">
        <v>351</v>
      </c>
      <c r="G3231" s="3" t="s">
        <v>352</v>
      </c>
      <c r="H3231" s="2" t="s">
        <v>74</v>
      </c>
      <c r="I3231" s="2" t="s">
        <v>9029</v>
      </c>
      <c r="J3231" s="3" t="str">
        <f>HYPERLINK("https://www.boe.es/gazeta/dias/1810/12/22/pdfs/GEI-1810-111.pdf#page=8","Abrir facsímil")</f>
        <v>Abrir facsímil</v>
      </c>
      <c r="K3231" s="3" t="s">
        <v>76</v>
      </c>
    </row>
    <row r="3232" spans="1:11" ht="42" customHeight="1">
      <c r="A3232" s="2" t="s">
        <v>9030</v>
      </c>
      <c r="B3232" s="2" t="s">
        <v>9031</v>
      </c>
      <c r="C3232" s="2" t="s">
        <v>26</v>
      </c>
      <c r="D3232" s="2" t="s">
        <v>27</v>
      </c>
      <c r="E3232" s="4">
        <v>-32761</v>
      </c>
      <c r="F3232" s="3" t="s">
        <v>811</v>
      </c>
      <c r="G3232" s="3" t="s">
        <v>119</v>
      </c>
      <c r="H3232" s="2" t="s">
        <v>74</v>
      </c>
      <c r="I3232" s="2" t="s">
        <v>9032</v>
      </c>
      <c r="J3232" s="3" t="str">
        <f>HYPERLINK("https://www.boe.es/gazeta/dias/1810/04/20/pdfs/GEI-1810-16.pdf#page=7","Abrir facsímil")</f>
        <v>Abrir facsímil</v>
      </c>
      <c r="K3232" s="3" t="s">
        <v>76</v>
      </c>
    </row>
    <row r="3233" spans="1:11" ht="42" customHeight="1">
      <c r="A3233" s="2" t="s">
        <v>9030</v>
      </c>
      <c r="B3233" s="2" t="s">
        <v>9031</v>
      </c>
      <c r="C3233" s="2" t="s">
        <v>26</v>
      </c>
      <c r="D3233" s="2" t="s">
        <v>39</v>
      </c>
      <c r="E3233" s="4">
        <v>-32701</v>
      </c>
      <c r="F3233" s="3" t="s">
        <v>40</v>
      </c>
      <c r="G3233" s="3" t="s">
        <v>315</v>
      </c>
      <c r="H3233" s="2" t="s">
        <v>74</v>
      </c>
      <c r="I3233" s="2" t="s">
        <v>9033</v>
      </c>
      <c r="J3233" s="3" t="str">
        <f>HYPERLINK("https://www.boe.es/gazeta/dias/1810/06/19/pdfs/GMD-C-1810-170.pdf#page=2","Abrir facsímil")</f>
        <v>Abrir facsímil</v>
      </c>
      <c r="K3233" s="3" t="s">
        <v>76</v>
      </c>
    </row>
    <row r="3234" spans="1:11" ht="42" customHeight="1">
      <c r="A3234" s="2" t="s">
        <v>9030</v>
      </c>
      <c r="B3234" s="2" t="s">
        <v>9031</v>
      </c>
      <c r="C3234" s="2" t="s">
        <v>26</v>
      </c>
      <c r="D3234" s="2" t="s">
        <v>39</v>
      </c>
      <c r="E3234" s="4">
        <v>-32701</v>
      </c>
      <c r="F3234" s="3" t="s">
        <v>40</v>
      </c>
      <c r="G3234" s="3" t="s">
        <v>333</v>
      </c>
      <c r="H3234" s="2" t="s">
        <v>74</v>
      </c>
      <c r="I3234" s="2" t="s">
        <v>9034</v>
      </c>
      <c r="J3234" s="3" t="str">
        <f>HYPERLINK("https://www.boe.es/gazeta/dias/1810/06/19/pdfs/GMD-C-1810-170.pdf#page=4","Abrir facsímil")</f>
        <v>Abrir facsímil</v>
      </c>
      <c r="K3234" s="3" t="s">
        <v>76</v>
      </c>
    </row>
    <row r="3235" spans="1:11" ht="42" customHeight="1">
      <c r="A3235" s="2" t="s">
        <v>9030</v>
      </c>
      <c r="B3235" s="2" t="s">
        <v>9031</v>
      </c>
      <c r="C3235" s="2" t="s">
        <v>111</v>
      </c>
      <c r="D3235" s="2" t="s">
        <v>27</v>
      </c>
      <c r="E3235" s="4">
        <v>-32634</v>
      </c>
      <c r="F3235" s="3" t="s">
        <v>4472</v>
      </c>
      <c r="G3235" s="3" t="s">
        <v>227</v>
      </c>
      <c r="H3235" s="2" t="s">
        <v>74</v>
      </c>
      <c r="I3235" s="2" t="s">
        <v>9035</v>
      </c>
      <c r="J3235" s="3" t="str">
        <f>HYPERLINK("https://www.boe.es/gazeta/dias/1810/08/25/pdfs/GMD-1810-237.pdf#page=4","Abrir facsímil")</f>
        <v>Abrir facsímil</v>
      </c>
      <c r="K3235" s="3" t="s">
        <v>76</v>
      </c>
    </row>
    <row r="3236" spans="1:11" ht="42" customHeight="1">
      <c r="A3236" s="2" t="s">
        <v>9030</v>
      </c>
      <c r="B3236" s="2" t="s">
        <v>9031</v>
      </c>
      <c r="C3236" s="2" t="s">
        <v>317</v>
      </c>
      <c r="D3236" s="2" t="s">
        <v>27</v>
      </c>
      <c r="E3236" s="4">
        <v>-32568</v>
      </c>
      <c r="F3236" s="3" t="s">
        <v>1233</v>
      </c>
      <c r="G3236" s="3" t="s">
        <v>140</v>
      </c>
      <c r="H3236" s="2" t="s">
        <v>74</v>
      </c>
      <c r="I3236" s="2" t="s">
        <v>9036</v>
      </c>
      <c r="J3236" s="3" t="str">
        <f>HYPERLINK("https://www.boe.es/gazeta/dias/1810/10/30/pdfs/GMD-1810-303.pdf#page=4","Abrir facsímil")</f>
        <v>Abrir facsímil</v>
      </c>
      <c r="K3236" s="3" t="s">
        <v>76</v>
      </c>
    </row>
    <row r="3237" spans="1:11" ht="42" customHeight="1">
      <c r="A3237" s="2" t="s">
        <v>9037</v>
      </c>
      <c r="B3237" s="2" t="s">
        <v>9038</v>
      </c>
      <c r="C3237" s="2" t="s">
        <v>26</v>
      </c>
      <c r="D3237" s="2" t="s">
        <v>39</v>
      </c>
      <c r="E3237" s="4">
        <v>-32702</v>
      </c>
      <c r="F3237" s="3" t="s">
        <v>179</v>
      </c>
      <c r="G3237" s="3" t="s">
        <v>119</v>
      </c>
      <c r="H3237" s="2" t="s">
        <v>74</v>
      </c>
      <c r="I3237" s="2" t="s">
        <v>9039</v>
      </c>
      <c r="J3237" s="3" t="str">
        <f>HYPERLINK("https://www.boe.es/gazeta/dias/1810/06/18/pdfs/GMD-C-1810-169.pdf#page=1","Abrir facsímil")</f>
        <v>Abrir facsímil</v>
      </c>
      <c r="K3237" s="3" t="s">
        <v>76</v>
      </c>
    </row>
    <row r="3238" spans="1:11" ht="42" customHeight="1">
      <c r="A3238" s="2" t="s">
        <v>9040</v>
      </c>
      <c r="B3238" s="2" t="s">
        <v>9041</v>
      </c>
      <c r="C3238" s="2" t="s">
        <v>88</v>
      </c>
      <c r="D3238" s="2" t="s">
        <v>27</v>
      </c>
      <c r="E3238" s="4">
        <v>-32575</v>
      </c>
      <c r="F3238" s="3" t="s">
        <v>135</v>
      </c>
      <c r="G3238" s="3" t="s">
        <v>7908</v>
      </c>
      <c r="H3238" s="2" t="s">
        <v>74</v>
      </c>
      <c r="I3238" s="2" t="s">
        <v>9042</v>
      </c>
      <c r="J3238" s="3" t="str">
        <f>HYPERLINK("https://www.boe.es/gazeta/dias/1810/10/23/pdfs/GEI-1810-85.pdf#page=7","Abrir facsímil")</f>
        <v>Abrir facsímil</v>
      </c>
      <c r="K3238" s="3" t="s">
        <v>76</v>
      </c>
    </row>
    <row r="3239" spans="1:11" ht="42" customHeight="1">
      <c r="A3239" s="2" t="s">
        <v>9043</v>
      </c>
      <c r="B3239" s="2" t="s">
        <v>9044</v>
      </c>
      <c r="C3239" s="2" t="s">
        <v>26</v>
      </c>
      <c r="D3239" s="2" t="s">
        <v>39</v>
      </c>
      <c r="E3239" s="4">
        <v>-32661</v>
      </c>
      <c r="F3239" s="3" t="s">
        <v>157</v>
      </c>
      <c r="G3239" s="3" t="s">
        <v>592</v>
      </c>
      <c r="H3239" s="2" t="s">
        <v>74</v>
      </c>
      <c r="I3239" s="2" t="s">
        <v>9045</v>
      </c>
      <c r="J3239" s="3" t="str">
        <f>HYPERLINK("https://www.boe.es/gazeta/dias/1810/07/29/pdfs/GMD-C-1810-210.pdf#page=2","Abrir facsímil")</f>
        <v>Abrir facsímil</v>
      </c>
      <c r="K3239" s="3" t="s">
        <v>76</v>
      </c>
    </row>
    <row r="3240" spans="1:11" ht="42" customHeight="1">
      <c r="A3240" s="2" t="s">
        <v>9046</v>
      </c>
      <c r="B3240" s="2" t="s">
        <v>9047</v>
      </c>
      <c r="C3240" s="2" t="s">
        <v>26</v>
      </c>
      <c r="D3240" s="2" t="s">
        <v>39</v>
      </c>
      <c r="E3240" s="4">
        <v>-32661</v>
      </c>
      <c r="F3240" s="3" t="s">
        <v>157</v>
      </c>
      <c r="G3240" s="3" t="s">
        <v>592</v>
      </c>
      <c r="H3240" s="2" t="s">
        <v>74</v>
      </c>
      <c r="I3240" s="2" t="s">
        <v>9048</v>
      </c>
      <c r="J3240" s="3" t="str">
        <f>HYPERLINK("https://www.boe.es/gazeta/dias/1810/07/29/pdfs/GMD-C-1810-210.pdf#page=2","Abrir facsímil")</f>
        <v>Abrir facsímil</v>
      </c>
      <c r="K3240" s="3" t="s">
        <v>76</v>
      </c>
    </row>
    <row r="3241" spans="1:11" ht="42" customHeight="1">
      <c r="A3241" s="2" t="s">
        <v>9049</v>
      </c>
      <c r="B3241" s="2" t="s">
        <v>9050</v>
      </c>
      <c r="C3241" s="2" t="s">
        <v>26</v>
      </c>
      <c r="D3241" s="2" t="s">
        <v>18</v>
      </c>
      <c r="E3241" s="4">
        <v>-32812</v>
      </c>
      <c r="F3241" s="3" t="s">
        <v>5766</v>
      </c>
      <c r="G3241" s="3" t="s">
        <v>70</v>
      </c>
      <c r="H3241" s="2" t="s">
        <v>74</v>
      </c>
      <c r="I3241" s="2" t="s">
        <v>9051</v>
      </c>
      <c r="J3241" s="3" t="str">
        <f>HYPERLINK("https://www.boe.es/gazeta/dias/1810/02/28/pdfs/GMD-C-1810-59.pdf#page=2","Abrir facsímil")</f>
        <v>Abrir facsímil</v>
      </c>
      <c r="K3241" s="3" t="s">
        <v>76</v>
      </c>
    </row>
    <row r="3242" spans="1:11" ht="42" customHeight="1">
      <c r="A3242" s="2" t="s">
        <v>9052</v>
      </c>
      <c r="B3242" s="2" t="s">
        <v>9053</v>
      </c>
      <c r="C3242" s="2" t="s">
        <v>88</v>
      </c>
      <c r="D3242" s="2" t="s">
        <v>27</v>
      </c>
      <c r="E3242" s="4">
        <v>-32763</v>
      </c>
      <c r="F3242" s="3" t="s">
        <v>1146</v>
      </c>
      <c r="G3242" s="3" t="s">
        <v>20</v>
      </c>
      <c r="H3242" s="2" t="s">
        <v>74</v>
      </c>
      <c r="I3242" s="2" t="s">
        <v>9054</v>
      </c>
      <c r="J3242" s="3" t="str">
        <f>HYPERLINK("https://www.boe.es/gazeta/dias/1810/04/18/pdfs/GMD-1810-108.pdf#page=4","Abrir facsímil")</f>
        <v>Abrir facsímil</v>
      </c>
      <c r="K3242" s="3" t="s">
        <v>76</v>
      </c>
    </row>
    <row r="3243" spans="1:11" ht="42" customHeight="1">
      <c r="A3243" s="2" t="s">
        <v>9052</v>
      </c>
      <c r="B3243" s="2" t="s">
        <v>9053</v>
      </c>
      <c r="C3243" s="2" t="s">
        <v>26</v>
      </c>
      <c r="D3243" s="2" t="s">
        <v>27</v>
      </c>
      <c r="E3243" s="4">
        <v>-32543</v>
      </c>
      <c r="F3243" s="3" t="s">
        <v>69</v>
      </c>
      <c r="G3243" s="3" t="s">
        <v>84</v>
      </c>
      <c r="H3243" s="2" t="s">
        <v>74</v>
      </c>
      <c r="I3243" s="2" t="s">
        <v>9055</v>
      </c>
      <c r="J3243" s="3" t="str">
        <f>HYPERLINK("https://www.boe.es/gazeta/dias/1810/11/24/pdfs/GEI-1810-99.pdf#page=7","Abrir facsímil")</f>
        <v>Abrir facsímil</v>
      </c>
      <c r="K3243" s="3" t="s">
        <v>76</v>
      </c>
    </row>
    <row r="3244" spans="1:11" ht="42" customHeight="1">
      <c r="A3244" s="2" t="s">
        <v>9056</v>
      </c>
      <c r="B3244" s="2" t="s">
        <v>9057</v>
      </c>
      <c r="C3244" s="2" t="s">
        <v>33</v>
      </c>
      <c r="D3244" s="2" t="s">
        <v>27</v>
      </c>
      <c r="E3244" s="4">
        <v>-32781</v>
      </c>
      <c r="F3244" s="3" t="s">
        <v>5673</v>
      </c>
      <c r="G3244" s="3" t="s">
        <v>20</v>
      </c>
      <c r="H3244" s="2" t="s">
        <v>74</v>
      </c>
      <c r="I3244" s="2" t="s">
        <v>9058</v>
      </c>
      <c r="J3244" s="3" t="str">
        <f>HYPERLINK("https://www.boe.es/gazeta/dias/1810/03/31/pdfs/GMD-1810-90.pdf#page=4","Abrir facsímil")</f>
        <v>Abrir facsímil</v>
      </c>
      <c r="K3244" s="3" t="s">
        <v>76</v>
      </c>
    </row>
    <row r="3245" spans="1:11" ht="42" customHeight="1">
      <c r="A3245" s="2" t="s">
        <v>9059</v>
      </c>
      <c r="B3245" s="2" t="s">
        <v>9060</v>
      </c>
      <c r="C3245" s="2" t="s">
        <v>26</v>
      </c>
      <c r="D3245" s="2" t="s">
        <v>27</v>
      </c>
      <c r="E3245" s="4">
        <v>-32711</v>
      </c>
      <c r="F3245" s="3" t="s">
        <v>1888</v>
      </c>
      <c r="G3245" s="3" t="s">
        <v>29</v>
      </c>
      <c r="H3245" s="2" t="s">
        <v>74</v>
      </c>
      <c r="I3245" s="2" t="s">
        <v>9061</v>
      </c>
      <c r="J3245" s="3" t="str">
        <f>HYPERLINK("https://www.boe.es/gazeta/dias/1810/06/09/pdfs/GMD-1810-160.pdf#page=4","Abrir facsímil")</f>
        <v>Abrir facsímil</v>
      </c>
      <c r="K3245" s="3" t="s">
        <v>76</v>
      </c>
    </row>
    <row r="3246" spans="1:11" ht="42" customHeight="1">
      <c r="A3246" s="2" t="s">
        <v>9059</v>
      </c>
      <c r="B3246" s="2" t="s">
        <v>9060</v>
      </c>
      <c r="C3246" s="2" t="s">
        <v>26</v>
      </c>
      <c r="D3246" s="2" t="s">
        <v>27</v>
      </c>
      <c r="E3246" s="4">
        <v>-32543</v>
      </c>
      <c r="F3246" s="3" t="s">
        <v>69</v>
      </c>
      <c r="G3246" s="3" t="s">
        <v>70</v>
      </c>
      <c r="H3246" s="2" t="s">
        <v>74</v>
      </c>
      <c r="I3246" s="2" t="s">
        <v>9062</v>
      </c>
      <c r="J3246" s="3" t="str">
        <f>HYPERLINK("https://www.boe.es/gazeta/dias/1810/11/24/pdfs/GEI-1810-99.pdf#page=8","Abrir facsímil")</f>
        <v>Abrir facsímil</v>
      </c>
      <c r="K3246" s="3" t="s">
        <v>76</v>
      </c>
    </row>
    <row r="3247" spans="1:11" ht="42" customHeight="1">
      <c r="A3247" s="2" t="s">
        <v>9063</v>
      </c>
      <c r="B3247" s="2" t="s">
        <v>9064</v>
      </c>
      <c r="C3247" s="2" t="s">
        <v>225</v>
      </c>
      <c r="D3247" s="2" t="s">
        <v>27</v>
      </c>
      <c r="E3247" s="4">
        <v>-32757</v>
      </c>
      <c r="F3247" s="3" t="s">
        <v>1136</v>
      </c>
      <c r="G3247" s="3" t="s">
        <v>1901</v>
      </c>
      <c r="H3247" s="2" t="s">
        <v>74</v>
      </c>
      <c r="I3247" s="2" t="s">
        <v>9065</v>
      </c>
      <c r="J3247" s="3" t="str">
        <f>HYPERLINK("https://www.boe.es/gazeta/dias/1810/04/24/pdfs/GEI-1810-17.pdf#page=8","Abrir facsímil")</f>
        <v>Abrir facsímil</v>
      </c>
      <c r="K3247" s="3" t="s">
        <v>76</v>
      </c>
    </row>
    <row r="3248" spans="1:11" ht="42" customHeight="1">
      <c r="A3248" s="2" t="s">
        <v>9066</v>
      </c>
      <c r="B3248" s="2" t="s">
        <v>9067</v>
      </c>
      <c r="C3248" s="2" t="s">
        <v>26</v>
      </c>
      <c r="D3248" s="2" t="s">
        <v>27</v>
      </c>
      <c r="E3248" s="4">
        <v>-32771</v>
      </c>
      <c r="F3248" s="3" t="s">
        <v>543</v>
      </c>
      <c r="G3248" s="3" t="s">
        <v>65</v>
      </c>
      <c r="H3248" s="2" t="s">
        <v>74</v>
      </c>
      <c r="I3248" s="2" t="s">
        <v>9068</v>
      </c>
      <c r="J3248" s="3" t="str">
        <f>HYPERLINK("https://www.boe.es/gazeta/dias/1810/04/10/pdfs/GEI-1810-13.pdf#page=7","Abrir facsímil")</f>
        <v>Abrir facsímil</v>
      </c>
      <c r="K3248" s="3" t="s">
        <v>76</v>
      </c>
    </row>
    <row r="3249" spans="1:11" ht="42" customHeight="1">
      <c r="A3249" s="2" t="s">
        <v>9069</v>
      </c>
      <c r="B3249" s="2" t="s">
        <v>9070</v>
      </c>
      <c r="C3249" s="2" t="s">
        <v>26</v>
      </c>
      <c r="D3249" s="2" t="s">
        <v>27</v>
      </c>
      <c r="E3249" s="4">
        <v>-32543</v>
      </c>
      <c r="F3249" s="3" t="s">
        <v>69</v>
      </c>
      <c r="G3249" s="3" t="s">
        <v>70</v>
      </c>
      <c r="H3249" s="2" t="s">
        <v>74</v>
      </c>
      <c r="I3249" s="2" t="s">
        <v>9071</v>
      </c>
      <c r="J3249" s="3" t="str">
        <f>HYPERLINK("https://www.boe.es/gazeta/dias/1810/11/24/pdfs/GEI-1810-99.pdf#page=8","Abrir facsímil")</f>
        <v>Abrir facsímil</v>
      </c>
      <c r="K3249" s="3" t="s">
        <v>76</v>
      </c>
    </row>
    <row r="3250" spans="1:11" ht="42" customHeight="1">
      <c r="A3250" s="2" t="s">
        <v>9072</v>
      </c>
      <c r="B3250" s="2" t="s">
        <v>9073</v>
      </c>
      <c r="C3250" s="2" t="s">
        <v>17</v>
      </c>
      <c r="D3250" s="2" t="s">
        <v>27</v>
      </c>
      <c r="E3250" s="4">
        <v>-32775</v>
      </c>
      <c r="F3250" s="3" t="s">
        <v>308</v>
      </c>
      <c r="G3250" s="3" t="s">
        <v>140</v>
      </c>
      <c r="H3250" s="2" t="s">
        <v>74</v>
      </c>
      <c r="I3250" s="2" t="s">
        <v>9074</v>
      </c>
      <c r="J3250" s="3" t="str">
        <f>HYPERLINK("https://www.boe.es/gazeta/dias/1810/04/06/pdfs/GMD-1810-96.pdf#page=3","Abrir facsímil")</f>
        <v>Abrir facsímil</v>
      </c>
      <c r="K3250" s="3" t="s">
        <v>76</v>
      </c>
    </row>
    <row r="3251" spans="1:11" ht="42" customHeight="1">
      <c r="A3251" s="2" t="s">
        <v>9075</v>
      </c>
      <c r="B3251" s="2" t="s">
        <v>9076</v>
      </c>
      <c r="C3251" s="2" t="s">
        <v>26</v>
      </c>
      <c r="D3251" s="2" t="s">
        <v>27</v>
      </c>
      <c r="E3251" s="4">
        <v>-32526</v>
      </c>
      <c r="F3251" s="3" t="s">
        <v>530</v>
      </c>
      <c r="G3251" s="3" t="s">
        <v>531</v>
      </c>
      <c r="H3251" s="2" t="s">
        <v>74</v>
      </c>
      <c r="I3251" s="2" t="s">
        <v>9077</v>
      </c>
      <c r="J3251" s="3" t="str">
        <f>HYPERLINK("https://www.boe.es/gazeta/dias/1810/12/11/pdfs/GEI-1810-106.pdf#page=2","Abrir facsímil")</f>
        <v>Abrir facsímil</v>
      </c>
      <c r="K3251" s="3" t="s">
        <v>76</v>
      </c>
    </row>
    <row r="3252" spans="1:11" ht="42" customHeight="1">
      <c r="A3252" s="2" t="s">
        <v>9078</v>
      </c>
      <c r="B3252" s="2" t="s">
        <v>9079</v>
      </c>
      <c r="C3252" s="2" t="s">
        <v>26</v>
      </c>
      <c r="D3252" s="2" t="s">
        <v>27</v>
      </c>
      <c r="E3252" s="4">
        <v>-32674</v>
      </c>
      <c r="F3252" s="3" t="s">
        <v>1319</v>
      </c>
      <c r="G3252" s="3" t="s">
        <v>235</v>
      </c>
      <c r="H3252" s="2" t="s">
        <v>74</v>
      </c>
      <c r="I3252" s="2" t="s">
        <v>9080</v>
      </c>
      <c r="J3252" s="3" t="str">
        <f>HYPERLINK("https://www.boe.es/gazeta/dias/1810/07/16/pdfs/GMD-1810-197.pdf#page=4","Abrir facsímil")</f>
        <v>Abrir facsímil</v>
      </c>
      <c r="K3252" s="3" t="s">
        <v>76</v>
      </c>
    </row>
    <row r="3253" spans="1:11" ht="42" customHeight="1">
      <c r="A3253" s="2" t="s">
        <v>9081</v>
      </c>
      <c r="B3253" s="2" t="s">
        <v>9082</v>
      </c>
      <c r="C3253" s="2" t="s">
        <v>88</v>
      </c>
      <c r="D3253" s="2" t="s">
        <v>27</v>
      </c>
      <c r="E3253" s="4">
        <v>-32751</v>
      </c>
      <c r="F3253" s="3" t="s">
        <v>1205</v>
      </c>
      <c r="G3253" s="3" t="s">
        <v>191</v>
      </c>
      <c r="H3253" s="2" t="s">
        <v>74</v>
      </c>
      <c r="I3253" s="2" t="s">
        <v>9083</v>
      </c>
      <c r="J3253" s="3" t="str">
        <f>HYPERLINK("https://www.boe.es/gazeta/dias/1810/04/30/pdfs/GMD-1810-120.pdf#page=3","Abrir facsímil")</f>
        <v>Abrir facsímil</v>
      </c>
      <c r="K3253" s="3" t="s">
        <v>76</v>
      </c>
    </row>
    <row r="3254" spans="1:11" ht="42" customHeight="1">
      <c r="A3254" s="2" t="s">
        <v>9084</v>
      </c>
      <c r="B3254" s="2" t="s">
        <v>9085</v>
      </c>
      <c r="C3254" s="2" t="s">
        <v>195</v>
      </c>
      <c r="D3254" s="2" t="s">
        <v>27</v>
      </c>
      <c r="E3254" s="4">
        <v>-32729</v>
      </c>
      <c r="F3254" s="3" t="s">
        <v>174</v>
      </c>
      <c r="G3254" s="3" t="s">
        <v>151</v>
      </c>
      <c r="H3254" s="2" t="s">
        <v>74</v>
      </c>
      <c r="I3254" s="2" t="s">
        <v>9086</v>
      </c>
      <c r="J3254" s="3" t="str">
        <f>HYPERLINK("https://www.boe.es/gazeta/dias/1810/05/22/pdfs/GEI-1810-28.pdf#page=12","Abrir facsímil")</f>
        <v>Abrir facsímil</v>
      </c>
      <c r="K3254" s="3" t="s">
        <v>76</v>
      </c>
    </row>
    <row r="3255" spans="1:11" ht="42" customHeight="1">
      <c r="A3255" s="2" t="s">
        <v>9087</v>
      </c>
      <c r="B3255" s="2" t="s">
        <v>9088</v>
      </c>
      <c r="C3255" s="2" t="s">
        <v>26</v>
      </c>
      <c r="D3255" s="2" t="s">
        <v>39</v>
      </c>
      <c r="E3255" s="4">
        <v>-32701</v>
      </c>
      <c r="F3255" s="3" t="s">
        <v>40</v>
      </c>
      <c r="G3255" s="3" t="s">
        <v>315</v>
      </c>
      <c r="H3255" s="2" t="s">
        <v>74</v>
      </c>
      <c r="I3255" s="2" t="s">
        <v>9089</v>
      </c>
      <c r="J3255" s="3" t="str">
        <f>HYPERLINK("https://www.boe.es/gazeta/dias/1810/06/19/pdfs/GMD-C-1810-170.pdf#page=2","Abrir facsímil")</f>
        <v>Abrir facsímil</v>
      </c>
      <c r="K3255" s="3" t="s">
        <v>76</v>
      </c>
    </row>
    <row r="3256" spans="1:11" ht="42" customHeight="1">
      <c r="A3256" s="2" t="s">
        <v>9090</v>
      </c>
      <c r="B3256" s="2" t="s">
        <v>9091</v>
      </c>
      <c r="C3256" s="2" t="s">
        <v>26</v>
      </c>
      <c r="D3256" s="2" t="s">
        <v>27</v>
      </c>
      <c r="E3256" s="4">
        <v>-32575</v>
      </c>
      <c r="F3256" s="3" t="s">
        <v>135</v>
      </c>
      <c r="G3256" s="3" t="s">
        <v>136</v>
      </c>
      <c r="H3256" s="2" t="s">
        <v>74</v>
      </c>
      <c r="I3256" s="2" t="s">
        <v>9092</v>
      </c>
      <c r="J3256" s="3" t="str">
        <f>HYPERLINK("https://www.boe.es/gazeta/dias/1810/10/23/pdfs/GEI-1810-85.pdf#page=11","Abrir facsímil")</f>
        <v>Abrir facsímil</v>
      </c>
      <c r="K3256" s="3" t="s">
        <v>76</v>
      </c>
    </row>
    <row r="3257" spans="1:11" ht="42" customHeight="1">
      <c r="A3257" s="2" t="s">
        <v>9093</v>
      </c>
      <c r="B3257" s="2" t="s">
        <v>9094</v>
      </c>
      <c r="C3257" s="2" t="s">
        <v>26</v>
      </c>
      <c r="D3257" s="2" t="s">
        <v>39</v>
      </c>
      <c r="E3257" s="4">
        <v>-32669</v>
      </c>
      <c r="F3257" s="3" t="s">
        <v>1110</v>
      </c>
      <c r="G3257" s="3" t="s">
        <v>1222</v>
      </c>
      <c r="H3257" s="2" t="s">
        <v>74</v>
      </c>
      <c r="I3257" s="2" t="s">
        <v>9095</v>
      </c>
      <c r="J3257" s="3" t="str">
        <f>HYPERLINK("https://www.boe.es/gazeta/dias/1810/07/21/pdfs/GMD-C-1810-202.pdf#page=2","Abrir facsímil")</f>
        <v>Abrir facsímil</v>
      </c>
      <c r="K3257" s="3" t="s">
        <v>76</v>
      </c>
    </row>
    <row r="3258" spans="1:11" ht="42" customHeight="1">
      <c r="A3258" s="2" t="s">
        <v>9096</v>
      </c>
      <c r="B3258" s="2" t="s">
        <v>9097</v>
      </c>
      <c r="C3258" s="2" t="s">
        <v>26</v>
      </c>
      <c r="D3258" s="2" t="s">
        <v>27</v>
      </c>
      <c r="E3258" s="4">
        <v>-32569</v>
      </c>
      <c r="F3258" s="3" t="s">
        <v>421</v>
      </c>
      <c r="G3258" s="3" t="s">
        <v>20</v>
      </c>
      <c r="H3258" s="2" t="s">
        <v>74</v>
      </c>
      <c r="I3258" s="2" t="s">
        <v>9098</v>
      </c>
      <c r="J3258" s="3" t="str">
        <f>HYPERLINK("https://www.boe.es/gazeta/dias/1810/10/29/pdfs/GMD-1810-302.pdf#page=4","Abrir facsímil")</f>
        <v>Abrir facsímil</v>
      </c>
      <c r="K3258" s="3" t="s">
        <v>76</v>
      </c>
    </row>
    <row r="3259" spans="1:11" ht="42" customHeight="1">
      <c r="A3259" s="2" t="s">
        <v>9099</v>
      </c>
      <c r="B3259" s="2" t="s">
        <v>9100</v>
      </c>
      <c r="C3259" s="2" t="s">
        <v>26</v>
      </c>
      <c r="D3259" s="2" t="s">
        <v>27</v>
      </c>
      <c r="E3259" s="4">
        <v>-32595</v>
      </c>
      <c r="F3259" s="3" t="s">
        <v>700</v>
      </c>
      <c r="G3259" s="3" t="s">
        <v>29</v>
      </c>
      <c r="H3259" s="2" t="s">
        <v>74</v>
      </c>
      <c r="I3259" s="2" t="s">
        <v>9101</v>
      </c>
      <c r="J3259" s="3" t="str">
        <f>HYPERLINK("https://www.boe.es/gazeta/dias/1810/10/03/pdfs/GMD-1810-276.pdf#page=4","Abrir facsímil")</f>
        <v>Abrir facsímil</v>
      </c>
      <c r="K3259" s="3" t="s">
        <v>76</v>
      </c>
    </row>
    <row r="3260" spans="1:11" ht="42" customHeight="1">
      <c r="A3260" s="2" t="s">
        <v>9102</v>
      </c>
      <c r="B3260" s="2" t="s">
        <v>9103</v>
      </c>
      <c r="C3260" s="2" t="s">
        <v>26</v>
      </c>
      <c r="D3260" s="2" t="s">
        <v>39</v>
      </c>
      <c r="E3260" s="4">
        <v>-32702</v>
      </c>
      <c r="F3260" s="3" t="s">
        <v>179</v>
      </c>
      <c r="G3260" s="3" t="s">
        <v>213</v>
      </c>
      <c r="H3260" s="2" t="s">
        <v>74</v>
      </c>
      <c r="I3260" s="2" t="s">
        <v>9104</v>
      </c>
      <c r="J3260" s="3" t="str">
        <f>HYPERLINK("https://www.boe.es/gazeta/dias/1810/06/18/pdfs/GMD-C-1810-169.pdf#page=4","Abrir facsímil")</f>
        <v>Abrir facsímil</v>
      </c>
      <c r="K3260" s="3" t="s">
        <v>76</v>
      </c>
    </row>
    <row r="3261" spans="1:11" ht="42" customHeight="1">
      <c r="A3261" s="2" t="s">
        <v>9102</v>
      </c>
      <c r="B3261" s="2" t="s">
        <v>9103</v>
      </c>
      <c r="C3261" s="2" t="s">
        <v>26</v>
      </c>
      <c r="D3261" s="2" t="s">
        <v>27</v>
      </c>
      <c r="E3261" s="4">
        <v>-32585</v>
      </c>
      <c r="F3261" s="3" t="s">
        <v>260</v>
      </c>
      <c r="G3261" s="3" t="s">
        <v>180</v>
      </c>
      <c r="H3261" s="2" t="s">
        <v>74</v>
      </c>
      <c r="I3261" s="2" t="s">
        <v>9105</v>
      </c>
      <c r="J3261" s="3" t="str">
        <f>HYPERLINK("https://www.boe.es/gazeta/dias/1810/10/13/pdfs/GEI-1810-81.pdf#page=7","Abrir facsímil")</f>
        <v>Abrir facsímil</v>
      </c>
      <c r="K3261" s="3" t="s">
        <v>76</v>
      </c>
    </row>
    <row r="3262" spans="1:11" ht="42" customHeight="1">
      <c r="A3262" s="2" t="s">
        <v>9106</v>
      </c>
      <c r="B3262" s="2" t="s">
        <v>9107</v>
      </c>
      <c r="C3262" s="2" t="s">
        <v>26</v>
      </c>
      <c r="D3262" s="2" t="s">
        <v>27</v>
      </c>
      <c r="E3262" s="4">
        <v>-32729</v>
      </c>
      <c r="F3262" s="3" t="s">
        <v>174</v>
      </c>
      <c r="G3262" s="3" t="s">
        <v>886</v>
      </c>
      <c r="H3262" s="2" t="s">
        <v>74</v>
      </c>
      <c r="I3262" s="2" t="s">
        <v>9108</v>
      </c>
      <c r="J3262" s="3" t="str">
        <f>HYPERLINK("https://www.boe.es/gazeta/dias/1810/05/22/pdfs/GEI-1810-28.pdf#page=11","Abrir facsímil")</f>
        <v>Abrir facsímil</v>
      </c>
      <c r="K3262" s="3" t="s">
        <v>76</v>
      </c>
    </row>
    <row r="3263" spans="1:11" ht="42" customHeight="1">
      <c r="A3263" s="2" t="s">
        <v>9106</v>
      </c>
      <c r="B3263" s="2" t="s">
        <v>9107</v>
      </c>
      <c r="C3263" s="2" t="s">
        <v>26</v>
      </c>
      <c r="D3263" s="2" t="s">
        <v>39</v>
      </c>
      <c r="E3263" s="4">
        <v>-32701</v>
      </c>
      <c r="F3263" s="3" t="s">
        <v>40</v>
      </c>
      <c r="G3263" s="3" t="s">
        <v>315</v>
      </c>
      <c r="H3263" s="2" t="s">
        <v>74</v>
      </c>
      <c r="I3263" s="2" t="s">
        <v>9109</v>
      </c>
      <c r="J3263" s="3" t="str">
        <f>HYPERLINK("https://www.boe.es/gazeta/dias/1810/06/19/pdfs/GMD-C-1810-170.pdf#page=2","Abrir facsímil")</f>
        <v>Abrir facsímil</v>
      </c>
      <c r="K3263" s="3" t="s">
        <v>76</v>
      </c>
    </row>
    <row r="3264" spans="1:11" ht="42" customHeight="1">
      <c r="A3264" s="2" t="s">
        <v>9110</v>
      </c>
      <c r="B3264" s="2" t="s">
        <v>9111</v>
      </c>
      <c r="C3264" s="2" t="s">
        <v>26</v>
      </c>
      <c r="D3264" s="2" t="s">
        <v>27</v>
      </c>
      <c r="E3264" s="4">
        <v>-32710</v>
      </c>
      <c r="F3264" s="3" t="s">
        <v>126</v>
      </c>
      <c r="G3264" s="3" t="s">
        <v>184</v>
      </c>
      <c r="H3264" s="2" t="s">
        <v>74</v>
      </c>
      <c r="I3264" s="2" t="s">
        <v>9112</v>
      </c>
      <c r="J3264" s="3" t="str">
        <f>HYPERLINK("https://www.boe.es/gazeta/dias/1810/06/10/pdfs/GMD-1810-161.pdf#page=3","Abrir facsímil")</f>
        <v>Abrir facsímil</v>
      </c>
      <c r="K3264" s="3" t="s">
        <v>76</v>
      </c>
    </row>
    <row r="3265" spans="1:11" ht="42" customHeight="1">
      <c r="A3265" s="2" t="s">
        <v>9113</v>
      </c>
      <c r="B3265" s="2" t="s">
        <v>9113</v>
      </c>
      <c r="C3265" s="2" t="s">
        <v>26</v>
      </c>
      <c r="D3265" s="2" t="s">
        <v>27</v>
      </c>
      <c r="E3265" s="4">
        <v>-32832</v>
      </c>
      <c r="F3265" s="3" t="s">
        <v>5089</v>
      </c>
      <c r="G3265" s="3" t="s">
        <v>227</v>
      </c>
      <c r="H3265" s="2" t="s">
        <v>74</v>
      </c>
      <c r="I3265" s="2" t="s">
        <v>9114</v>
      </c>
      <c r="J3265" s="3" t="str">
        <f>HYPERLINK("https://www.boe.es/gazeta/dias/1810/02/08/pdfs/GMD-1810-39.pdf#page=4","Abrir facsímil")</f>
        <v>Abrir facsímil</v>
      </c>
      <c r="K3265" s="3" t="s">
        <v>76</v>
      </c>
    </row>
    <row r="3266" spans="1:11" ht="42" customHeight="1">
      <c r="A3266" s="2" t="s">
        <v>9113</v>
      </c>
      <c r="B3266" s="2" t="s">
        <v>9113</v>
      </c>
      <c r="C3266" s="2" t="s">
        <v>88</v>
      </c>
      <c r="D3266" s="2" t="s">
        <v>27</v>
      </c>
      <c r="E3266" s="4">
        <v>-32762</v>
      </c>
      <c r="F3266" s="3" t="s">
        <v>231</v>
      </c>
      <c r="G3266" s="3" t="s">
        <v>29</v>
      </c>
      <c r="H3266" s="2" t="s">
        <v>74</v>
      </c>
      <c r="I3266" s="2" t="s">
        <v>9115</v>
      </c>
      <c r="J3266" s="3" t="str">
        <f>HYPERLINK("https://www.boe.es/gazeta/dias/1810/04/19/pdfs/GMD-1810-109.pdf#page=2","Abrir facsímil")</f>
        <v>Abrir facsímil</v>
      </c>
      <c r="K3266" s="3" t="s">
        <v>76</v>
      </c>
    </row>
    <row r="3267" spans="1:11" ht="42" customHeight="1">
      <c r="A3267" s="2" t="s">
        <v>9113</v>
      </c>
      <c r="B3267" s="2" t="s">
        <v>9113</v>
      </c>
      <c r="C3267" s="2" t="s">
        <v>111</v>
      </c>
      <c r="D3267" s="2" t="s">
        <v>27</v>
      </c>
      <c r="E3267" s="4">
        <v>-32751</v>
      </c>
      <c r="F3267" s="3" t="s">
        <v>1205</v>
      </c>
      <c r="G3267" s="3" t="s">
        <v>119</v>
      </c>
      <c r="H3267" s="2" t="s">
        <v>74</v>
      </c>
      <c r="I3267" s="2" t="s">
        <v>9116</v>
      </c>
      <c r="J3267" s="3" t="str">
        <f>HYPERLINK("https://www.boe.es/gazeta/dias/1810/04/30/pdfs/GMD-1810-120.pdf#page=2","Abrir facsímil")</f>
        <v>Abrir facsímil</v>
      </c>
      <c r="K3267" s="3" t="s">
        <v>76</v>
      </c>
    </row>
    <row r="3268" spans="1:11" ht="42" customHeight="1">
      <c r="A3268" s="2" t="s">
        <v>9113</v>
      </c>
      <c r="B3268" s="2" t="s">
        <v>9113</v>
      </c>
      <c r="C3268" s="2" t="s">
        <v>26</v>
      </c>
      <c r="D3268" s="2" t="s">
        <v>27</v>
      </c>
      <c r="E3268" s="4">
        <v>-32751</v>
      </c>
      <c r="F3268" s="3" t="s">
        <v>1205</v>
      </c>
      <c r="G3268" s="3" t="s">
        <v>191</v>
      </c>
      <c r="H3268" s="2" t="s">
        <v>74</v>
      </c>
      <c r="I3268" s="2" t="s">
        <v>9117</v>
      </c>
      <c r="J3268" s="3" t="str">
        <f>HYPERLINK("https://www.boe.es/gazeta/dias/1810/04/30/pdfs/GMD-1810-120.pdf#page=3","Abrir facsímil")</f>
        <v>Abrir facsímil</v>
      </c>
      <c r="K3268" s="3" t="s">
        <v>76</v>
      </c>
    </row>
    <row r="3269" spans="1:11" ht="42" customHeight="1">
      <c r="A3269" s="2" t="s">
        <v>9113</v>
      </c>
      <c r="B3269" s="2" t="s">
        <v>9113</v>
      </c>
      <c r="C3269" s="2" t="s">
        <v>26</v>
      </c>
      <c r="D3269" s="2" t="s">
        <v>27</v>
      </c>
      <c r="E3269" s="4">
        <v>-32740</v>
      </c>
      <c r="F3269" s="3" t="s">
        <v>1207</v>
      </c>
      <c r="G3269" s="3" t="s">
        <v>20</v>
      </c>
      <c r="H3269" s="2" t="s">
        <v>74</v>
      </c>
      <c r="I3269" s="2" t="s">
        <v>9118</v>
      </c>
      <c r="J3269" s="3" t="str">
        <f>HYPERLINK("https://www.boe.es/gazeta/dias/1810/05/11/pdfs/GMD-1810-131.pdf#page=4","Abrir facsímil")</f>
        <v>Abrir facsímil</v>
      </c>
      <c r="K3269" s="3" t="s">
        <v>76</v>
      </c>
    </row>
    <row r="3270" spans="1:11" ht="42" customHeight="1">
      <c r="A3270" s="2" t="s">
        <v>9113</v>
      </c>
      <c r="B3270" s="2" t="s">
        <v>9113</v>
      </c>
      <c r="C3270" s="2" t="s">
        <v>88</v>
      </c>
      <c r="D3270" s="2" t="s">
        <v>117</v>
      </c>
      <c r="E3270" s="4">
        <v>-32736</v>
      </c>
      <c r="F3270" s="3" t="s">
        <v>400</v>
      </c>
      <c r="G3270" s="3" t="s">
        <v>401</v>
      </c>
      <c r="H3270" s="2" t="s">
        <v>74</v>
      </c>
      <c r="I3270" s="2" t="s">
        <v>9119</v>
      </c>
      <c r="J3270" s="3" t="str">
        <f>HYPERLINK("https://www.boe.es/gazeta/dias/1810/05/15/pdfs/GMD-1810-135.pdf#page=4","Abrir facsímil")</f>
        <v>Abrir facsímil</v>
      </c>
      <c r="K3270" s="3" t="s">
        <v>76</v>
      </c>
    </row>
    <row r="3271" spans="1:11" ht="42" customHeight="1">
      <c r="A3271" s="2" t="s">
        <v>9113</v>
      </c>
      <c r="B3271" s="2" t="s">
        <v>9113</v>
      </c>
      <c r="C3271" s="2" t="s">
        <v>33</v>
      </c>
      <c r="D3271" s="2" t="s">
        <v>27</v>
      </c>
      <c r="E3271" s="4">
        <v>-32719</v>
      </c>
      <c r="F3271" s="3" t="s">
        <v>5543</v>
      </c>
      <c r="G3271" s="3" t="s">
        <v>1408</v>
      </c>
      <c r="H3271" s="2" t="s">
        <v>74</v>
      </c>
      <c r="I3271" s="2" t="s">
        <v>9120</v>
      </c>
      <c r="J3271" s="3" t="str">
        <f>HYPERLINK("https://www.boe.es/gazeta/dias/1810/06/01/pdfs/GEI-1810-32.pdf#page=6","Abrir facsímil")</f>
        <v>Abrir facsímil</v>
      </c>
      <c r="K3271" s="3" t="s">
        <v>76</v>
      </c>
    </row>
    <row r="3272" spans="1:11" ht="42" customHeight="1">
      <c r="A3272" s="2" t="s">
        <v>9113</v>
      </c>
      <c r="B3272" s="2" t="s">
        <v>9113</v>
      </c>
      <c r="C3272" s="2" t="s">
        <v>33</v>
      </c>
      <c r="D3272" s="2" t="s">
        <v>27</v>
      </c>
      <c r="E3272" s="4">
        <v>-32719</v>
      </c>
      <c r="F3272" s="3" t="s">
        <v>5543</v>
      </c>
      <c r="G3272" s="3" t="s">
        <v>9121</v>
      </c>
      <c r="H3272" s="2" t="s">
        <v>74</v>
      </c>
      <c r="I3272" s="2" t="s">
        <v>9122</v>
      </c>
      <c r="J3272" s="3" t="str">
        <f>HYPERLINK("https://www.boe.es/gazeta/dias/1810/06/01/pdfs/GEI-1810-32.pdf#page=7","Abrir facsímil")</f>
        <v>Abrir facsímil</v>
      </c>
      <c r="K3272" s="3" t="s">
        <v>76</v>
      </c>
    </row>
    <row r="3273" spans="1:11" ht="42" customHeight="1">
      <c r="A3273" s="2" t="s">
        <v>9113</v>
      </c>
      <c r="B3273" s="2" t="s">
        <v>9113</v>
      </c>
      <c r="C3273" s="2" t="s">
        <v>33</v>
      </c>
      <c r="D3273" s="2" t="s">
        <v>27</v>
      </c>
      <c r="E3273" s="4">
        <v>-32719</v>
      </c>
      <c r="F3273" s="3" t="s">
        <v>5543</v>
      </c>
      <c r="G3273" s="3" t="s">
        <v>1616</v>
      </c>
      <c r="H3273" s="2" t="s">
        <v>74</v>
      </c>
      <c r="I3273" s="2" t="s">
        <v>9123</v>
      </c>
      <c r="J3273" s="3" t="str">
        <f>HYPERLINK("https://www.boe.es/gazeta/dias/1810/06/01/pdfs/GEI-1810-32.pdf#page=8","Abrir facsímil")</f>
        <v>Abrir facsímil</v>
      </c>
      <c r="K3273" s="3" t="s">
        <v>76</v>
      </c>
    </row>
    <row r="3274" spans="1:11" ht="42" customHeight="1">
      <c r="A3274" s="2" t="s">
        <v>9113</v>
      </c>
      <c r="B3274" s="2" t="s">
        <v>9113</v>
      </c>
      <c r="C3274" s="2" t="s">
        <v>33</v>
      </c>
      <c r="D3274" s="2" t="s">
        <v>18</v>
      </c>
      <c r="E3274" s="4">
        <v>-32712</v>
      </c>
      <c r="F3274" s="3" t="s">
        <v>667</v>
      </c>
      <c r="G3274" s="3" t="s">
        <v>695</v>
      </c>
      <c r="H3274" s="2" t="s">
        <v>74</v>
      </c>
      <c r="I3274" s="2" t="s">
        <v>9124</v>
      </c>
      <c r="J3274" s="3" t="str">
        <f>HYPERLINK("https://www.boe.es/gazeta/dias/1810/06/08/pdfs/GEI-1810-34.pdf#page=6","Abrir facsímil")</f>
        <v>Abrir facsímil</v>
      </c>
      <c r="K3274" s="3" t="s">
        <v>76</v>
      </c>
    </row>
    <row r="3275" spans="1:11" ht="42" customHeight="1">
      <c r="A3275" s="2" t="s">
        <v>9113</v>
      </c>
      <c r="B3275" s="2" t="s">
        <v>9113</v>
      </c>
      <c r="C3275" s="2" t="s">
        <v>26</v>
      </c>
      <c r="D3275" s="2" t="s">
        <v>39</v>
      </c>
      <c r="E3275" s="4">
        <v>-32701</v>
      </c>
      <c r="F3275" s="3" t="s">
        <v>40</v>
      </c>
      <c r="G3275" s="3" t="s">
        <v>170</v>
      </c>
      <c r="H3275" s="2" t="s">
        <v>74</v>
      </c>
      <c r="I3275" s="2" t="s">
        <v>9125</v>
      </c>
      <c r="J3275" s="3" t="str">
        <f>HYPERLINK("https://www.boe.es/gazeta/dias/1810/06/19/pdfs/GMD-C-1810-170.pdf#page=1","Abrir facsímil")</f>
        <v>Abrir facsímil</v>
      </c>
      <c r="K3275" s="3" t="s">
        <v>76</v>
      </c>
    </row>
    <row r="3276" spans="1:11" ht="42" customHeight="1">
      <c r="A3276" s="2" t="s">
        <v>9113</v>
      </c>
      <c r="B3276" s="2" t="s">
        <v>9113</v>
      </c>
      <c r="C3276" s="2" t="s">
        <v>88</v>
      </c>
      <c r="D3276" s="2" t="s">
        <v>27</v>
      </c>
      <c r="E3276" s="4">
        <v>-32680</v>
      </c>
      <c r="F3276" s="3" t="s">
        <v>519</v>
      </c>
      <c r="G3276" s="3" t="s">
        <v>104</v>
      </c>
      <c r="H3276" s="2" t="s">
        <v>74</v>
      </c>
      <c r="I3276" s="2" t="s">
        <v>9126</v>
      </c>
      <c r="J3276" s="3" t="str">
        <f>HYPERLINK("https://www.boe.es/gazeta/dias/1810/07/10/pdfs/GEI-1810-43.pdf#page=8","Abrir facsímil")</f>
        <v>Abrir facsímil</v>
      </c>
      <c r="K3276" s="3" t="s">
        <v>76</v>
      </c>
    </row>
    <row r="3277" spans="1:11" ht="42" customHeight="1">
      <c r="A3277" s="2" t="s">
        <v>9113</v>
      </c>
      <c r="B3277" s="2" t="s">
        <v>9113</v>
      </c>
      <c r="C3277" s="2" t="s">
        <v>33</v>
      </c>
      <c r="D3277" s="2" t="s">
        <v>27</v>
      </c>
      <c r="E3277" s="4">
        <v>-32678</v>
      </c>
      <c r="F3277" s="3" t="s">
        <v>3679</v>
      </c>
      <c r="G3277" s="3" t="s">
        <v>29</v>
      </c>
      <c r="H3277" s="2" t="s">
        <v>74</v>
      </c>
      <c r="I3277" s="2" t="s">
        <v>9127</v>
      </c>
      <c r="J3277" s="3" t="str">
        <f>HYPERLINK("https://www.boe.es/gazeta/dias/1810/07/12/pdfs/GMD-1810-193.pdf#page=2","Abrir facsímil")</f>
        <v>Abrir facsímil</v>
      </c>
      <c r="K3277" s="3" t="s">
        <v>76</v>
      </c>
    </row>
    <row r="3278" spans="1:11" ht="42" customHeight="1">
      <c r="A3278" s="2" t="s">
        <v>9113</v>
      </c>
      <c r="B3278" s="2" t="s">
        <v>9113</v>
      </c>
      <c r="C3278" s="2" t="s">
        <v>88</v>
      </c>
      <c r="D3278" s="2" t="s">
        <v>117</v>
      </c>
      <c r="E3278" s="4">
        <v>-32677</v>
      </c>
      <c r="F3278" s="3" t="s">
        <v>1940</v>
      </c>
      <c r="G3278" s="3" t="s">
        <v>8237</v>
      </c>
      <c r="H3278" s="2" t="s">
        <v>74</v>
      </c>
      <c r="I3278" s="2" t="s">
        <v>9128</v>
      </c>
      <c r="J3278" s="3" t="str">
        <f>HYPERLINK("https://www.boe.es/gazeta/dias/1810/07/13/pdfs/GEI-1810-44.pdf#page=8","Abrir facsímil")</f>
        <v>Abrir facsímil</v>
      </c>
      <c r="K3278" s="3" t="s">
        <v>76</v>
      </c>
    </row>
    <row r="3279" spans="1:11" ht="42" customHeight="1">
      <c r="A3279" s="2" t="s">
        <v>9113</v>
      </c>
      <c r="B3279" s="2" t="s">
        <v>9113</v>
      </c>
      <c r="C3279" s="2" t="s">
        <v>225</v>
      </c>
      <c r="D3279" s="2" t="s">
        <v>18</v>
      </c>
      <c r="E3279" s="4">
        <v>-32673</v>
      </c>
      <c r="F3279" s="3" t="s">
        <v>2174</v>
      </c>
      <c r="G3279" s="3" t="s">
        <v>5512</v>
      </c>
      <c r="H3279" s="2" t="s">
        <v>74</v>
      </c>
      <c r="I3279" s="2" t="s">
        <v>9129</v>
      </c>
      <c r="J3279" s="3" t="str">
        <f>HYPERLINK("https://www.boe.es/gazeta/dias/1810/07/17/pdfs/GEI-1810-45.pdf#page=12","Abrir facsímil")</f>
        <v>Abrir facsímil</v>
      </c>
      <c r="K3279" s="3" t="s">
        <v>76</v>
      </c>
    </row>
    <row r="3280" spans="1:11" ht="42" customHeight="1">
      <c r="A3280" s="2" t="s">
        <v>9113</v>
      </c>
      <c r="B3280" s="2" t="s">
        <v>9113</v>
      </c>
      <c r="C3280" s="2" t="s">
        <v>26</v>
      </c>
      <c r="D3280" s="2" t="s">
        <v>27</v>
      </c>
      <c r="E3280" s="4">
        <v>-32670</v>
      </c>
      <c r="F3280" s="3" t="s">
        <v>1942</v>
      </c>
      <c r="G3280" s="3" t="s">
        <v>7131</v>
      </c>
      <c r="H3280" s="2" t="s">
        <v>74</v>
      </c>
      <c r="I3280" s="2" t="s">
        <v>9130</v>
      </c>
      <c r="J3280" s="3" t="str">
        <f>HYPERLINK("https://www.boe.es/gazeta/dias/1810/07/20/pdfs/GEI-1810-46.pdf#page=4","Abrir facsímil")</f>
        <v>Abrir facsímil</v>
      </c>
      <c r="K3280" s="3" t="s">
        <v>76</v>
      </c>
    </row>
    <row r="3281" spans="1:11" ht="42" customHeight="1">
      <c r="A3281" s="2" t="s">
        <v>9113</v>
      </c>
      <c r="B3281" s="2" t="s">
        <v>9113</v>
      </c>
      <c r="C3281" s="2" t="s">
        <v>88</v>
      </c>
      <c r="D3281" s="2" t="s">
        <v>117</v>
      </c>
      <c r="E3281" s="4">
        <v>-32666</v>
      </c>
      <c r="F3281" s="3" t="s">
        <v>1913</v>
      </c>
      <c r="G3281" s="3" t="s">
        <v>1914</v>
      </c>
      <c r="H3281" s="2" t="s">
        <v>74</v>
      </c>
      <c r="I3281" s="2" t="s">
        <v>9131</v>
      </c>
      <c r="J3281" s="3" t="str">
        <f>HYPERLINK("https://www.boe.es/gazeta/dias/1810/07/24/pdfs/GMD-1810-205.pdf#page=4","Abrir facsímil")</f>
        <v>Abrir facsímil</v>
      </c>
      <c r="K3281" s="3" t="s">
        <v>76</v>
      </c>
    </row>
    <row r="3282" spans="1:11" ht="42" customHeight="1">
      <c r="A3282" s="2" t="s">
        <v>9113</v>
      </c>
      <c r="B3282" s="2" t="s">
        <v>9113</v>
      </c>
      <c r="C3282" s="2" t="s">
        <v>33</v>
      </c>
      <c r="D3282" s="2" t="s">
        <v>27</v>
      </c>
      <c r="E3282" s="4">
        <v>-32652</v>
      </c>
      <c r="F3282" s="3" t="s">
        <v>3295</v>
      </c>
      <c r="G3282" s="3" t="s">
        <v>9132</v>
      </c>
      <c r="H3282" s="2" t="s">
        <v>74</v>
      </c>
      <c r="I3282" s="2" t="s">
        <v>9133</v>
      </c>
      <c r="J3282" s="3" t="str">
        <f>HYPERLINK("https://www.boe.es/gazeta/dias/1810/08/07/pdfs/GEI-1810-52.pdf#page=5","Abrir facsímil")</f>
        <v>Abrir facsímil</v>
      </c>
      <c r="K3282" s="3" t="s">
        <v>76</v>
      </c>
    </row>
    <row r="3283" spans="1:11" ht="42" customHeight="1">
      <c r="A3283" s="2" t="s">
        <v>9113</v>
      </c>
      <c r="B3283" s="2" t="s">
        <v>9113</v>
      </c>
      <c r="C3283" s="2" t="s">
        <v>26</v>
      </c>
      <c r="D3283" s="2" t="s">
        <v>18</v>
      </c>
      <c r="E3283" s="4">
        <v>-32652</v>
      </c>
      <c r="F3283" s="3" t="s">
        <v>3295</v>
      </c>
      <c r="G3283" s="3" t="s">
        <v>119</v>
      </c>
      <c r="H3283" s="2" t="s">
        <v>74</v>
      </c>
      <c r="I3283" s="2" t="s">
        <v>9134</v>
      </c>
      <c r="J3283" s="3" t="str">
        <f>HYPERLINK("https://www.boe.es/gazeta/dias/1810/08/07/pdfs/GEI-1810-52.pdf#page=7","Abrir facsímil")</f>
        <v>Abrir facsímil</v>
      </c>
      <c r="K3283" s="3" t="s">
        <v>76</v>
      </c>
    </row>
    <row r="3284" spans="1:11" ht="42" customHeight="1">
      <c r="A3284" s="2" t="s">
        <v>9113</v>
      </c>
      <c r="B3284" s="2" t="s">
        <v>9113</v>
      </c>
      <c r="C3284" s="2" t="s">
        <v>88</v>
      </c>
      <c r="D3284" s="2" t="s">
        <v>117</v>
      </c>
      <c r="E3284" s="4">
        <v>-32652</v>
      </c>
      <c r="F3284" s="3" t="s">
        <v>3295</v>
      </c>
      <c r="G3284" s="3" t="s">
        <v>7424</v>
      </c>
      <c r="H3284" s="2" t="s">
        <v>74</v>
      </c>
      <c r="I3284" s="2" t="s">
        <v>9135</v>
      </c>
      <c r="J3284" s="3" t="str">
        <f>HYPERLINK("https://www.boe.es/gazeta/dias/1810/08/07/pdfs/GEI-1810-52.pdf#page=8","Abrir facsímil")</f>
        <v>Abrir facsímil</v>
      </c>
      <c r="K3284" s="3" t="s">
        <v>76</v>
      </c>
    </row>
    <row r="3285" spans="1:11" ht="42" customHeight="1">
      <c r="A3285" s="2" t="s">
        <v>9113</v>
      </c>
      <c r="B3285" s="2" t="s">
        <v>9113</v>
      </c>
      <c r="C3285" s="2" t="s">
        <v>33</v>
      </c>
      <c r="D3285" s="2" t="s">
        <v>18</v>
      </c>
      <c r="E3285" s="4">
        <v>-32651</v>
      </c>
      <c r="F3285" s="3" t="s">
        <v>59</v>
      </c>
      <c r="G3285" s="3" t="s">
        <v>3296</v>
      </c>
      <c r="H3285" s="2" t="s">
        <v>74</v>
      </c>
      <c r="I3285" s="2" t="s">
        <v>9136</v>
      </c>
      <c r="J3285" s="3" t="str">
        <f>HYPERLINK("https://www.boe.es/gazeta/dias/1810/08/08/pdfs/GEI-1810-53E.pdf#page=2","Abrir facsímil")</f>
        <v>Abrir facsímil</v>
      </c>
      <c r="K3285" s="3" t="s">
        <v>76</v>
      </c>
    </row>
    <row r="3286" spans="1:11" ht="42" customHeight="1">
      <c r="A3286" s="2" t="s">
        <v>9113</v>
      </c>
      <c r="B3286" s="2" t="s">
        <v>9113</v>
      </c>
      <c r="C3286" s="2" t="s">
        <v>88</v>
      </c>
      <c r="D3286" s="2" t="s">
        <v>58</v>
      </c>
      <c r="E3286" s="4">
        <v>-32651</v>
      </c>
      <c r="F3286" s="3" t="s">
        <v>59</v>
      </c>
      <c r="G3286" s="3" t="s">
        <v>9137</v>
      </c>
      <c r="H3286" s="2" t="s">
        <v>74</v>
      </c>
      <c r="I3286" s="2" t="s">
        <v>9138</v>
      </c>
      <c r="J3286" s="3" t="str">
        <f>HYPERLINK("https://www.boe.es/gazeta/dias/1810/08/08/pdfs/GEI-1810-53E.pdf#page=7","Abrir facsímil")</f>
        <v>Abrir facsímil</v>
      </c>
      <c r="K3286" s="3" t="s">
        <v>76</v>
      </c>
    </row>
    <row r="3287" spans="1:11" ht="42" customHeight="1">
      <c r="A3287" s="2" t="s">
        <v>9113</v>
      </c>
      <c r="B3287" s="2" t="s">
        <v>9113</v>
      </c>
      <c r="C3287" s="2" t="s">
        <v>26</v>
      </c>
      <c r="D3287" s="2" t="s">
        <v>58</v>
      </c>
      <c r="E3287" s="4">
        <v>-32651</v>
      </c>
      <c r="F3287" s="3" t="s">
        <v>59</v>
      </c>
      <c r="G3287" s="3" t="s">
        <v>9139</v>
      </c>
      <c r="H3287" s="2" t="s">
        <v>74</v>
      </c>
      <c r="I3287" s="2" t="s">
        <v>9140</v>
      </c>
      <c r="J3287" s="3" t="str">
        <f>HYPERLINK("https://www.boe.es/gazeta/dias/1810/08/08/pdfs/GEI-1810-53E.pdf#page=8","Abrir facsímil")</f>
        <v>Abrir facsímil</v>
      </c>
      <c r="K3287" s="3" t="s">
        <v>76</v>
      </c>
    </row>
    <row r="3288" spans="1:11" ht="42" customHeight="1">
      <c r="A3288" s="2" t="s">
        <v>9113</v>
      </c>
      <c r="B3288" s="2" t="s">
        <v>9113</v>
      </c>
      <c r="C3288" s="2" t="s">
        <v>26</v>
      </c>
      <c r="D3288" s="2" t="s">
        <v>58</v>
      </c>
      <c r="E3288" s="4">
        <v>-32651</v>
      </c>
      <c r="F3288" s="3" t="s">
        <v>59</v>
      </c>
      <c r="G3288" s="3" t="s">
        <v>9141</v>
      </c>
      <c r="H3288" s="2" t="s">
        <v>74</v>
      </c>
      <c r="I3288" s="2" t="s">
        <v>9142</v>
      </c>
      <c r="J3288" s="3" t="str">
        <f>HYPERLINK("https://www.boe.es/gazeta/dias/1810/08/08/pdfs/GEI-1810-53E.pdf#page=12","Abrir facsímil")</f>
        <v>Abrir facsímil</v>
      </c>
      <c r="K3288" s="3" t="s">
        <v>76</v>
      </c>
    </row>
    <row r="3289" spans="1:11" ht="42" customHeight="1">
      <c r="A3289" s="2" t="s">
        <v>9113</v>
      </c>
      <c r="B3289" s="2" t="s">
        <v>9113</v>
      </c>
      <c r="C3289" s="2" t="s">
        <v>88</v>
      </c>
      <c r="D3289" s="2" t="s">
        <v>117</v>
      </c>
      <c r="E3289" s="4">
        <v>-32645</v>
      </c>
      <c r="F3289" s="3" t="s">
        <v>2492</v>
      </c>
      <c r="G3289" s="3" t="s">
        <v>20</v>
      </c>
      <c r="H3289" s="2" t="s">
        <v>74</v>
      </c>
      <c r="I3289" s="2" t="s">
        <v>9143</v>
      </c>
      <c r="J3289" s="3" t="str">
        <f>HYPERLINK("https://www.boe.es/gazeta/dias/1810/08/14/pdfs/GEI-D-1810-56.pdf#page=4","Abrir facsímil")</f>
        <v>Abrir facsímil</v>
      </c>
      <c r="K3289" s="3" t="s">
        <v>76</v>
      </c>
    </row>
    <row r="3290" spans="1:11" ht="42" customHeight="1">
      <c r="A3290" s="2" t="s">
        <v>9113</v>
      </c>
      <c r="B3290" s="2" t="s">
        <v>9113</v>
      </c>
      <c r="C3290" s="2" t="s">
        <v>33</v>
      </c>
      <c r="D3290" s="2" t="s">
        <v>39</v>
      </c>
      <c r="E3290" s="4">
        <v>-32642</v>
      </c>
      <c r="F3290" s="3" t="s">
        <v>2273</v>
      </c>
      <c r="G3290" s="3" t="s">
        <v>140</v>
      </c>
      <c r="H3290" s="2" t="s">
        <v>74</v>
      </c>
      <c r="I3290" s="2" t="s">
        <v>9144</v>
      </c>
      <c r="J3290" s="3" t="str">
        <f>HYPERLINK("https://www.boe.es/gazeta/dias/1810/08/17/pdfs/GEI-D-1810-57.pdf#page=1","Abrir facsímil")</f>
        <v>Abrir facsímil</v>
      </c>
      <c r="K3290" s="3" t="s">
        <v>76</v>
      </c>
    </row>
    <row r="3291" spans="1:11" ht="42" customHeight="1">
      <c r="A3291" s="2" t="s">
        <v>9113</v>
      </c>
      <c r="B3291" s="2" t="s">
        <v>9113</v>
      </c>
      <c r="C3291" s="2" t="s">
        <v>26</v>
      </c>
      <c r="D3291" s="2" t="s">
        <v>58</v>
      </c>
      <c r="E3291" s="4">
        <v>-32628</v>
      </c>
      <c r="F3291" s="3" t="s">
        <v>5735</v>
      </c>
      <c r="G3291" s="3" t="s">
        <v>5736</v>
      </c>
      <c r="H3291" s="2" t="s">
        <v>74</v>
      </c>
      <c r="I3291" s="2" t="s">
        <v>9145</v>
      </c>
      <c r="J3291" s="3" t="str">
        <f>HYPERLINK("https://www.boe.es/gazeta/dias/1810/08/31/pdfs/GEI-1810-63E.pdf#page=2","Abrir facsímil")</f>
        <v>Abrir facsímil</v>
      </c>
      <c r="K3291" s="3" t="s">
        <v>76</v>
      </c>
    </row>
    <row r="3292" spans="1:11" ht="42" customHeight="1">
      <c r="A3292" s="2" t="s">
        <v>9113</v>
      </c>
      <c r="B3292" s="2" t="s">
        <v>9113</v>
      </c>
      <c r="C3292" s="2" t="s">
        <v>26</v>
      </c>
      <c r="D3292" s="2" t="s">
        <v>39</v>
      </c>
      <c r="E3292" s="4">
        <v>-32624</v>
      </c>
      <c r="F3292" s="3" t="s">
        <v>6736</v>
      </c>
      <c r="G3292" s="3" t="s">
        <v>9146</v>
      </c>
      <c r="H3292" s="2" t="s">
        <v>74</v>
      </c>
      <c r="I3292" s="2" t="s">
        <v>9147</v>
      </c>
      <c r="J3292" s="3" t="str">
        <f>HYPERLINK("https://www.boe.es/gazeta/dias/1810/09/04/pdfs/GEI-D-1810-64.pdf#page=6","Abrir facsímil")</f>
        <v>Abrir facsímil</v>
      </c>
      <c r="K3292" s="3" t="s">
        <v>76</v>
      </c>
    </row>
    <row r="3293" spans="1:11" ht="42" customHeight="1">
      <c r="A3293" s="2" t="s">
        <v>9148</v>
      </c>
      <c r="B3293" s="2" t="s">
        <v>9148</v>
      </c>
      <c r="C3293" s="2" t="s">
        <v>33</v>
      </c>
      <c r="D3293" s="2" t="s">
        <v>27</v>
      </c>
      <c r="E3293" s="4">
        <v>-32621</v>
      </c>
      <c r="F3293" s="3" t="s">
        <v>674</v>
      </c>
      <c r="G3293" s="3" t="s">
        <v>131</v>
      </c>
      <c r="H3293" s="2" t="s">
        <v>21</v>
      </c>
      <c r="I3293" s="2" t="s">
        <v>9149</v>
      </c>
      <c r="J3293" s="3" t="str">
        <f>HYPERLINK("https://www.boe.es/gazeta/dias/1810/09/07/pdfs/GEI-1810-65.pdf#page=6","Abrir facsímil")</f>
        <v>Abrir facsímil</v>
      </c>
      <c r="K3293" s="3" t="s">
        <v>23</v>
      </c>
    </row>
    <row r="3294" spans="1:11" ht="42" customHeight="1">
      <c r="A3294" s="2" t="s">
        <v>9113</v>
      </c>
      <c r="B3294" s="2" t="s">
        <v>9113</v>
      </c>
      <c r="C3294" s="2" t="s">
        <v>17</v>
      </c>
      <c r="D3294" s="2" t="s">
        <v>18</v>
      </c>
      <c r="E3294" s="4">
        <v>-32617</v>
      </c>
      <c r="F3294" s="3" t="s">
        <v>1459</v>
      </c>
      <c r="G3294" s="3" t="s">
        <v>1460</v>
      </c>
      <c r="H3294" s="2" t="s">
        <v>74</v>
      </c>
      <c r="I3294" s="2" t="s">
        <v>9150</v>
      </c>
      <c r="J3294" s="3" t="str">
        <f>HYPERLINK("https://www.boe.es/gazeta/dias/1810/09/11/pdfs/GEI-1810-66.pdf#page=5","Abrir facsímil")</f>
        <v>Abrir facsímil</v>
      </c>
      <c r="K3294" s="3" t="s">
        <v>76</v>
      </c>
    </row>
    <row r="3295" spans="1:11" ht="42" customHeight="1">
      <c r="A3295" s="2" t="s">
        <v>9113</v>
      </c>
      <c r="B3295" s="2" t="s">
        <v>9113</v>
      </c>
      <c r="C3295" s="2" t="s">
        <v>33</v>
      </c>
      <c r="D3295" s="2" t="s">
        <v>27</v>
      </c>
      <c r="E3295" s="4">
        <v>-32617</v>
      </c>
      <c r="F3295" s="3" t="s">
        <v>1459</v>
      </c>
      <c r="G3295" s="3" t="s">
        <v>9151</v>
      </c>
      <c r="H3295" s="2" t="s">
        <v>74</v>
      </c>
      <c r="I3295" s="2" t="s">
        <v>9152</v>
      </c>
      <c r="J3295" s="3" t="str">
        <f>HYPERLINK("https://www.boe.es/gazeta/dias/1810/09/11/pdfs/GEI-1810-66.pdf#page=6","Abrir facsímil")</f>
        <v>Abrir facsímil</v>
      </c>
      <c r="K3295" s="3" t="s">
        <v>76</v>
      </c>
    </row>
    <row r="3296" spans="1:11" ht="42" customHeight="1">
      <c r="A3296" s="2" t="s">
        <v>9113</v>
      </c>
      <c r="B3296" s="2" t="s">
        <v>9113</v>
      </c>
      <c r="C3296" s="2" t="s">
        <v>26</v>
      </c>
      <c r="D3296" s="2" t="s">
        <v>27</v>
      </c>
      <c r="E3296" s="4">
        <v>-32617</v>
      </c>
      <c r="F3296" s="3" t="s">
        <v>1459</v>
      </c>
      <c r="G3296" s="3" t="s">
        <v>9153</v>
      </c>
      <c r="H3296" s="2" t="s">
        <v>74</v>
      </c>
      <c r="I3296" s="2" t="s">
        <v>9154</v>
      </c>
      <c r="J3296" s="3" t="str">
        <f>HYPERLINK("https://www.boe.es/gazeta/dias/1810/09/11/pdfs/GEI-1810-66.pdf#page=8","Abrir facsímil")</f>
        <v>Abrir facsímil</v>
      </c>
      <c r="K3296" s="3" t="s">
        <v>76</v>
      </c>
    </row>
    <row r="3297" spans="1:11" ht="42" customHeight="1">
      <c r="A3297" s="2" t="s">
        <v>9113</v>
      </c>
      <c r="B3297" s="2" t="s">
        <v>9113</v>
      </c>
      <c r="C3297" s="2" t="s">
        <v>26</v>
      </c>
      <c r="D3297" s="2" t="s">
        <v>27</v>
      </c>
      <c r="E3297" s="4">
        <v>-32614</v>
      </c>
      <c r="F3297" s="3" t="s">
        <v>403</v>
      </c>
      <c r="G3297" s="3" t="s">
        <v>140</v>
      </c>
      <c r="H3297" s="2" t="s">
        <v>74</v>
      </c>
      <c r="I3297" s="2" t="s">
        <v>9155</v>
      </c>
      <c r="J3297" s="3" t="str">
        <f>HYPERLINK("https://www.boe.es/gazeta/dias/1810/09/14/pdfs/GMD-1810-257.pdf#page=2","Abrir facsímil")</f>
        <v>Abrir facsímil</v>
      </c>
      <c r="K3297" s="3" t="s">
        <v>76</v>
      </c>
    </row>
    <row r="3298" spans="1:11" ht="42" customHeight="1">
      <c r="A3298" s="2" t="s">
        <v>9113</v>
      </c>
      <c r="B3298" s="2" t="s">
        <v>9113</v>
      </c>
      <c r="C3298" s="2" t="s">
        <v>26</v>
      </c>
      <c r="D3298" s="2" t="s">
        <v>27</v>
      </c>
      <c r="E3298" s="4">
        <v>-32614</v>
      </c>
      <c r="F3298" s="3" t="s">
        <v>403</v>
      </c>
      <c r="G3298" s="3" t="s">
        <v>227</v>
      </c>
      <c r="H3298" s="2" t="s">
        <v>74</v>
      </c>
      <c r="I3298" s="2" t="s">
        <v>9156</v>
      </c>
      <c r="J3298" s="3" t="str">
        <f>HYPERLINK("https://www.boe.es/gazeta/dias/1810/09/14/pdfs/GMD-1810-257.pdf#page=3","Abrir facsímil")</f>
        <v>Abrir facsímil</v>
      </c>
      <c r="K3298" s="3" t="s">
        <v>76</v>
      </c>
    </row>
    <row r="3299" spans="1:11" ht="42" customHeight="1">
      <c r="A3299" s="2" t="s">
        <v>9113</v>
      </c>
      <c r="B3299" s="2" t="s">
        <v>9113</v>
      </c>
      <c r="C3299" s="2" t="s">
        <v>17</v>
      </c>
      <c r="D3299" s="2" t="s">
        <v>27</v>
      </c>
      <c r="E3299" s="4">
        <v>-32610</v>
      </c>
      <c r="F3299" s="3" t="s">
        <v>4991</v>
      </c>
      <c r="G3299" s="3" t="s">
        <v>2500</v>
      </c>
      <c r="H3299" s="2" t="s">
        <v>74</v>
      </c>
      <c r="I3299" s="2" t="s">
        <v>9157</v>
      </c>
      <c r="J3299" s="3" t="str">
        <f>HYPERLINK("https://www.boe.es/gazeta/dias/1810/09/18/pdfs/GEI-1810-69.pdf#page=3","Abrir facsímil")</f>
        <v>Abrir facsímil</v>
      </c>
      <c r="K3299" s="3" t="s">
        <v>76</v>
      </c>
    </row>
    <row r="3300" spans="1:11" ht="42" customHeight="1">
      <c r="A3300" s="2" t="s">
        <v>9113</v>
      </c>
      <c r="B3300" s="2" t="s">
        <v>9113</v>
      </c>
      <c r="C3300" s="2" t="s">
        <v>26</v>
      </c>
      <c r="D3300" s="2" t="s">
        <v>27</v>
      </c>
      <c r="E3300" s="4">
        <v>-32610</v>
      </c>
      <c r="F3300" s="3" t="s">
        <v>4991</v>
      </c>
      <c r="G3300" s="3" t="s">
        <v>5738</v>
      </c>
      <c r="H3300" s="2" t="s">
        <v>74</v>
      </c>
      <c r="I3300" s="2" t="s">
        <v>9158</v>
      </c>
      <c r="J3300" s="3" t="str">
        <f>HYPERLINK("https://www.boe.es/gazeta/dias/1810/09/18/pdfs/GEI-1810-69.pdf#page=4","Abrir facsímil")</f>
        <v>Abrir facsímil</v>
      </c>
      <c r="K3300" s="3" t="s">
        <v>76</v>
      </c>
    </row>
    <row r="3301" spans="1:11" ht="42" customHeight="1">
      <c r="A3301" s="2" t="s">
        <v>9113</v>
      </c>
      <c r="B3301" s="2" t="s">
        <v>9113</v>
      </c>
      <c r="C3301" s="2" t="s">
        <v>26</v>
      </c>
      <c r="D3301" s="2" t="s">
        <v>27</v>
      </c>
      <c r="E3301" s="4">
        <v>-32610</v>
      </c>
      <c r="F3301" s="3" t="s">
        <v>4991</v>
      </c>
      <c r="G3301" s="3" t="s">
        <v>180</v>
      </c>
      <c r="H3301" s="2" t="s">
        <v>74</v>
      </c>
      <c r="I3301" s="2" t="s">
        <v>9159</v>
      </c>
      <c r="J3301" s="3" t="str">
        <f>HYPERLINK("https://www.boe.es/gazeta/dias/1810/09/18/pdfs/GEI-1810-69.pdf#page=6","Abrir facsímil")</f>
        <v>Abrir facsímil</v>
      </c>
      <c r="K3301" s="3" t="s">
        <v>76</v>
      </c>
    </row>
    <row r="3302" spans="1:11" ht="42" customHeight="1">
      <c r="A3302" s="2" t="s">
        <v>9148</v>
      </c>
      <c r="B3302" s="2" t="s">
        <v>9148</v>
      </c>
      <c r="C3302" s="2" t="s">
        <v>88</v>
      </c>
      <c r="D3302" s="2" t="s">
        <v>117</v>
      </c>
      <c r="E3302" s="4">
        <v>-32596</v>
      </c>
      <c r="F3302" s="3" t="s">
        <v>248</v>
      </c>
      <c r="G3302" s="3" t="s">
        <v>9160</v>
      </c>
      <c r="H3302" s="2" t="s">
        <v>21</v>
      </c>
      <c r="I3302" s="2" t="s">
        <v>9161</v>
      </c>
      <c r="J3302" s="3" t="str">
        <f>HYPERLINK("https://www.boe.es/gazeta/dias/1810/10/02/pdfs/GEI-1810-76.pdf#page=7","Abrir facsímil")</f>
        <v>Abrir facsímil</v>
      </c>
      <c r="K3302" s="3" t="s">
        <v>23</v>
      </c>
    </row>
    <row r="3303" spans="1:11" ht="42" customHeight="1">
      <c r="A3303" s="2" t="s">
        <v>9113</v>
      </c>
      <c r="B3303" s="2" t="s">
        <v>9113</v>
      </c>
      <c r="C3303" s="2" t="s">
        <v>33</v>
      </c>
      <c r="D3303" s="2" t="s">
        <v>27</v>
      </c>
      <c r="E3303" s="4">
        <v>-32589</v>
      </c>
      <c r="F3303" s="3" t="s">
        <v>3026</v>
      </c>
      <c r="G3303" s="3" t="s">
        <v>3027</v>
      </c>
      <c r="H3303" s="2" t="s">
        <v>74</v>
      </c>
      <c r="I3303" s="2" t="s">
        <v>9162</v>
      </c>
      <c r="J3303" s="3" t="str">
        <f>HYPERLINK("https://www.boe.es/gazeta/dias/1810/10/09/pdfs/GEI-1810-79.pdf#page=4","Abrir facsímil")</f>
        <v>Abrir facsímil</v>
      </c>
      <c r="K3303" s="3" t="s">
        <v>76</v>
      </c>
    </row>
    <row r="3304" spans="1:11" ht="42" customHeight="1">
      <c r="A3304" s="2" t="s">
        <v>9113</v>
      </c>
      <c r="B3304" s="2" t="s">
        <v>9113</v>
      </c>
      <c r="C3304" s="2" t="s">
        <v>33</v>
      </c>
      <c r="D3304" s="2" t="s">
        <v>27</v>
      </c>
      <c r="E3304" s="4">
        <v>-32582</v>
      </c>
      <c r="F3304" s="3" t="s">
        <v>3849</v>
      </c>
      <c r="G3304" s="3" t="s">
        <v>9163</v>
      </c>
      <c r="H3304" s="2" t="s">
        <v>74</v>
      </c>
      <c r="I3304" s="2" t="s">
        <v>9164</v>
      </c>
      <c r="J3304" s="3" t="str">
        <f>HYPERLINK("https://www.boe.es/gazeta/dias/1810/10/16/pdfs/GEI-1810-82.pdf#page=3","Abrir facsímil")</f>
        <v>Abrir facsímil</v>
      </c>
      <c r="K3304" s="3" t="s">
        <v>76</v>
      </c>
    </row>
    <row r="3305" spans="1:11" ht="42" customHeight="1">
      <c r="A3305" s="2" t="s">
        <v>9113</v>
      </c>
      <c r="B3305" s="2" t="s">
        <v>9113</v>
      </c>
      <c r="C3305" s="2" t="s">
        <v>33</v>
      </c>
      <c r="D3305" s="2" t="s">
        <v>27</v>
      </c>
      <c r="E3305" s="4">
        <v>-32568</v>
      </c>
      <c r="F3305" s="3" t="s">
        <v>1233</v>
      </c>
      <c r="G3305" s="3" t="s">
        <v>140</v>
      </c>
      <c r="H3305" s="2" t="s">
        <v>74</v>
      </c>
      <c r="I3305" s="2" t="s">
        <v>9165</v>
      </c>
      <c r="J3305" s="3" t="str">
        <f>HYPERLINK("https://www.boe.es/gazeta/dias/1810/10/30/pdfs/GMD-1810-303.pdf#page=4","Abrir facsímil")</f>
        <v>Abrir facsímil</v>
      </c>
      <c r="K3305" s="3" t="s">
        <v>76</v>
      </c>
    </row>
    <row r="3306" spans="1:11" ht="42" customHeight="1">
      <c r="A3306" s="2" t="s">
        <v>9113</v>
      </c>
      <c r="B3306" s="2" t="s">
        <v>9113</v>
      </c>
      <c r="C3306" s="2" t="s">
        <v>17</v>
      </c>
      <c r="D3306" s="2" t="s">
        <v>27</v>
      </c>
      <c r="E3306" s="4">
        <v>-32564</v>
      </c>
      <c r="F3306" s="3" t="s">
        <v>108</v>
      </c>
      <c r="G3306" s="3" t="s">
        <v>473</v>
      </c>
      <c r="H3306" s="2" t="s">
        <v>74</v>
      </c>
      <c r="I3306" s="2" t="s">
        <v>9166</v>
      </c>
      <c r="J3306" s="3" t="str">
        <f>HYPERLINK("https://www.boe.es/gazeta/dias/1810/11/03/pdfs/GEI-1810-90.pdf#page=5","Abrir facsímil")</f>
        <v>Abrir facsímil</v>
      </c>
      <c r="K3306" s="3" t="s">
        <v>76</v>
      </c>
    </row>
    <row r="3307" spans="1:11" ht="42" customHeight="1">
      <c r="A3307" s="2" t="s">
        <v>9113</v>
      </c>
      <c r="B3307" s="2" t="s">
        <v>9113</v>
      </c>
      <c r="C3307" s="2" t="s">
        <v>26</v>
      </c>
      <c r="D3307" s="2" t="s">
        <v>27</v>
      </c>
      <c r="E3307" s="4">
        <v>-32563</v>
      </c>
      <c r="F3307" s="3" t="s">
        <v>535</v>
      </c>
      <c r="G3307" s="3" t="s">
        <v>210</v>
      </c>
      <c r="H3307" s="2" t="s">
        <v>74</v>
      </c>
      <c r="I3307" s="2" t="s">
        <v>9167</v>
      </c>
      <c r="J3307" s="3" t="str">
        <f>HYPERLINK("https://www.boe.es/gazeta/dias/1810/11/04/pdfs/GMD-1810-308.pdf#page=18","Abrir facsímil")</f>
        <v>Abrir facsímil</v>
      </c>
      <c r="K3307" s="3" t="s">
        <v>76</v>
      </c>
    </row>
    <row r="3308" spans="1:11" ht="42" customHeight="1">
      <c r="A3308" s="2" t="s">
        <v>9113</v>
      </c>
      <c r="B3308" s="2" t="s">
        <v>9113</v>
      </c>
      <c r="C3308" s="2" t="s">
        <v>88</v>
      </c>
      <c r="D3308" s="2" t="s">
        <v>27</v>
      </c>
      <c r="E3308" s="4">
        <v>-32561</v>
      </c>
      <c r="F3308" s="3" t="s">
        <v>273</v>
      </c>
      <c r="G3308" s="3" t="s">
        <v>749</v>
      </c>
      <c r="H3308" s="2" t="s">
        <v>74</v>
      </c>
      <c r="I3308" s="2" t="s">
        <v>9168</v>
      </c>
      <c r="J3308" s="3" t="str">
        <f>HYPERLINK("https://www.boe.es/gazeta/dias/1810/11/06/pdfs/GEI-1810-91.pdf#page=7","Abrir facsímil")</f>
        <v>Abrir facsímil</v>
      </c>
      <c r="K3308" s="3" t="s">
        <v>76</v>
      </c>
    </row>
    <row r="3309" spans="1:11" ht="42" customHeight="1">
      <c r="A3309" s="2" t="s">
        <v>9113</v>
      </c>
      <c r="B3309" s="2" t="s">
        <v>9113</v>
      </c>
      <c r="C3309" s="2" t="s">
        <v>88</v>
      </c>
      <c r="D3309" s="2" t="s">
        <v>220</v>
      </c>
      <c r="E3309" s="4">
        <v>-32557</v>
      </c>
      <c r="F3309" s="3" t="s">
        <v>8182</v>
      </c>
      <c r="G3309" s="3" t="s">
        <v>1616</v>
      </c>
      <c r="H3309" s="2" t="s">
        <v>74</v>
      </c>
      <c r="I3309" s="2" t="s">
        <v>9169</v>
      </c>
      <c r="J3309" s="3" t="str">
        <f>HYPERLINK("https://www.boe.es/gazeta/dias/1810/11/10/pdfs/GMD-1810-314.pdf#page=2","Abrir facsímil")</f>
        <v>Abrir facsímil</v>
      </c>
      <c r="K3309" s="3" t="s">
        <v>76</v>
      </c>
    </row>
    <row r="3310" spans="1:11" ht="42" customHeight="1">
      <c r="A3310" s="2" t="s">
        <v>9113</v>
      </c>
      <c r="B3310" s="2" t="s">
        <v>9113</v>
      </c>
      <c r="C3310" s="2" t="s">
        <v>33</v>
      </c>
      <c r="D3310" s="2" t="s">
        <v>27</v>
      </c>
      <c r="E3310" s="4">
        <v>-32557</v>
      </c>
      <c r="F3310" s="3" t="s">
        <v>837</v>
      </c>
      <c r="G3310" s="3" t="s">
        <v>9170</v>
      </c>
      <c r="H3310" s="2" t="s">
        <v>74</v>
      </c>
      <c r="I3310" s="2" t="s">
        <v>9171</v>
      </c>
      <c r="J3310" s="3" t="str">
        <f>HYPERLINK("https://www.boe.es/gazeta/dias/1810/11/10/pdfs/GEI-1810-93.pdf#page=3","Abrir facsímil")</f>
        <v>Abrir facsímil</v>
      </c>
      <c r="K3310" s="3" t="s">
        <v>76</v>
      </c>
    </row>
    <row r="3311" spans="1:11" ht="42" customHeight="1">
      <c r="A3311" s="2" t="s">
        <v>9113</v>
      </c>
      <c r="B3311" s="2" t="s">
        <v>9113</v>
      </c>
      <c r="C3311" s="2" t="s">
        <v>26</v>
      </c>
      <c r="D3311" s="2" t="s">
        <v>27</v>
      </c>
      <c r="E3311" s="4">
        <v>-32557</v>
      </c>
      <c r="F3311" s="3" t="s">
        <v>837</v>
      </c>
      <c r="G3311" s="3" t="s">
        <v>838</v>
      </c>
      <c r="H3311" s="2" t="s">
        <v>74</v>
      </c>
      <c r="I3311" s="2" t="s">
        <v>9172</v>
      </c>
      <c r="J3311" s="3" t="str">
        <f>HYPERLINK("https://www.boe.es/gazeta/dias/1810/11/10/pdfs/GEI-1810-93.pdf#page=4","Abrir facsímil")</f>
        <v>Abrir facsímil</v>
      </c>
      <c r="K3311" s="3" t="s">
        <v>76</v>
      </c>
    </row>
    <row r="3312" spans="1:11" ht="42" customHeight="1">
      <c r="A3312" s="2" t="s">
        <v>9113</v>
      </c>
      <c r="B3312" s="2" t="s">
        <v>9113</v>
      </c>
      <c r="C3312" s="2" t="s">
        <v>26</v>
      </c>
      <c r="D3312" s="2" t="s">
        <v>27</v>
      </c>
      <c r="E3312" s="4">
        <v>-32556</v>
      </c>
      <c r="F3312" s="3" t="s">
        <v>799</v>
      </c>
      <c r="G3312" s="3" t="s">
        <v>9173</v>
      </c>
      <c r="H3312" s="2" t="s">
        <v>74</v>
      </c>
      <c r="I3312" s="2" t="s">
        <v>9174</v>
      </c>
      <c r="J3312" s="3" t="str">
        <f>HYPERLINK("https://www.boe.es/gazeta/dias/1810/11/11/pdfs/GMD-1810-315.pdf#page=1","Abrir facsímil")</f>
        <v>Abrir facsímil</v>
      </c>
      <c r="K3312" s="3" t="s">
        <v>76</v>
      </c>
    </row>
    <row r="3313" spans="1:11" ht="42" customHeight="1">
      <c r="A3313" s="2" t="s">
        <v>9113</v>
      </c>
      <c r="B3313" s="2" t="s">
        <v>9113</v>
      </c>
      <c r="C3313" s="2" t="s">
        <v>111</v>
      </c>
      <c r="D3313" s="2" t="s">
        <v>27</v>
      </c>
      <c r="E3313" s="4">
        <v>-32552</v>
      </c>
      <c r="F3313" s="3" t="s">
        <v>8165</v>
      </c>
      <c r="G3313" s="3" t="s">
        <v>1408</v>
      </c>
      <c r="H3313" s="2" t="s">
        <v>74</v>
      </c>
      <c r="I3313" s="2" t="s">
        <v>9175</v>
      </c>
      <c r="J3313" s="3" t="str">
        <f>HYPERLINK("https://www.boe.es/gazeta/dias/1810/11/15/pdfs/GEI-1810-95.pdf#page=6","Abrir facsímil")</f>
        <v>Abrir facsímil</v>
      </c>
      <c r="K3313" s="3" t="s">
        <v>76</v>
      </c>
    </row>
    <row r="3314" spans="1:11" ht="42" customHeight="1">
      <c r="A3314" s="2" t="s">
        <v>9113</v>
      </c>
      <c r="B3314" s="2" t="s">
        <v>9113</v>
      </c>
      <c r="C3314" s="2" t="s">
        <v>33</v>
      </c>
      <c r="D3314" s="2" t="s">
        <v>27</v>
      </c>
      <c r="E3314" s="4">
        <v>-32547</v>
      </c>
      <c r="F3314" s="3" t="s">
        <v>407</v>
      </c>
      <c r="G3314" s="3" t="s">
        <v>1347</v>
      </c>
      <c r="H3314" s="2" t="s">
        <v>74</v>
      </c>
      <c r="I3314" s="2" t="s">
        <v>9176</v>
      </c>
      <c r="J3314" s="3" t="str">
        <f>HYPERLINK("https://www.boe.es/gazeta/dias/1810/11/20/pdfs/GEI-1810-97.pdf#page=7","Abrir facsímil")</f>
        <v>Abrir facsímil</v>
      </c>
      <c r="K3314" s="3" t="s">
        <v>76</v>
      </c>
    </row>
    <row r="3315" spans="1:11" ht="42" customHeight="1">
      <c r="A3315" s="2" t="s">
        <v>9148</v>
      </c>
      <c r="B3315" s="2" t="s">
        <v>9148</v>
      </c>
      <c r="C3315" s="2" t="s">
        <v>111</v>
      </c>
      <c r="D3315" s="2" t="s">
        <v>27</v>
      </c>
      <c r="E3315" s="4">
        <v>-32540</v>
      </c>
      <c r="F3315" s="3" t="s">
        <v>3590</v>
      </c>
      <c r="G3315" s="3" t="s">
        <v>35</v>
      </c>
      <c r="H3315" s="2" t="s">
        <v>21</v>
      </c>
      <c r="I3315" s="2" t="s">
        <v>9177</v>
      </c>
      <c r="J3315" s="3" t="str">
        <f>HYPERLINK("https://www.boe.es/gazeta/dias/1810/11/27/pdfs/GEI-1810-100.pdf#page=2","Abrir facsímil")</f>
        <v>Abrir facsímil</v>
      </c>
      <c r="K3315" s="3" t="s">
        <v>23</v>
      </c>
    </row>
    <row r="3316" spans="1:11" ht="42" customHeight="1">
      <c r="A3316" s="2" t="s">
        <v>9113</v>
      </c>
      <c r="B3316" s="2" t="s">
        <v>9113</v>
      </c>
      <c r="C3316" s="2" t="s">
        <v>88</v>
      </c>
      <c r="D3316" s="2" t="s">
        <v>117</v>
      </c>
      <c r="E3316" s="4">
        <v>-32538</v>
      </c>
      <c r="F3316" s="3" t="s">
        <v>1949</v>
      </c>
      <c r="G3316" s="3" t="s">
        <v>1950</v>
      </c>
      <c r="H3316" s="2" t="s">
        <v>74</v>
      </c>
      <c r="I3316" s="2" t="s">
        <v>9178</v>
      </c>
      <c r="J3316" s="3" t="str">
        <f>HYPERLINK("https://www.boe.es/gazeta/dias/1810/11/29/pdfs/GEI-1810-101.pdf#page=5","Abrir facsímil")</f>
        <v>Abrir facsímil</v>
      </c>
      <c r="K3316" s="3" t="s">
        <v>76</v>
      </c>
    </row>
    <row r="3317" spans="1:11" ht="42" customHeight="1">
      <c r="A3317" s="2" t="s">
        <v>9113</v>
      </c>
      <c r="B3317" s="2" t="s">
        <v>9113</v>
      </c>
      <c r="C3317" s="2" t="s">
        <v>111</v>
      </c>
      <c r="D3317" s="2" t="s">
        <v>27</v>
      </c>
      <c r="E3317" s="4">
        <v>-32538</v>
      </c>
      <c r="F3317" s="3" t="s">
        <v>1949</v>
      </c>
      <c r="G3317" s="3" t="s">
        <v>8405</v>
      </c>
      <c r="H3317" s="2" t="s">
        <v>74</v>
      </c>
      <c r="I3317" s="2" t="s">
        <v>9179</v>
      </c>
      <c r="J3317" s="3" t="str">
        <f>HYPERLINK("https://www.boe.es/gazeta/dias/1810/11/29/pdfs/GEI-1810-101.pdf#page=6","Abrir facsímil")</f>
        <v>Abrir facsímil</v>
      </c>
      <c r="K3317" s="3" t="s">
        <v>76</v>
      </c>
    </row>
    <row r="3318" spans="1:11" ht="42" customHeight="1">
      <c r="A3318" s="2" t="s">
        <v>9113</v>
      </c>
      <c r="B3318" s="2" t="s">
        <v>9113</v>
      </c>
      <c r="C3318" s="2" t="s">
        <v>317</v>
      </c>
      <c r="D3318" s="2" t="s">
        <v>220</v>
      </c>
      <c r="E3318" s="4">
        <v>-32531</v>
      </c>
      <c r="F3318" s="3" t="s">
        <v>2023</v>
      </c>
      <c r="G3318" s="3" t="s">
        <v>213</v>
      </c>
      <c r="H3318" s="2" t="s">
        <v>74</v>
      </c>
      <c r="I3318" s="2" t="s">
        <v>9180</v>
      </c>
      <c r="J3318" s="3" t="str">
        <f>HYPERLINK("https://www.boe.es/gazeta/dias/1810/12/06/pdfs/GMD-1810-340.pdf#page=2","Abrir facsímil")</f>
        <v>Abrir facsímil</v>
      </c>
      <c r="K3318" s="3" t="s">
        <v>76</v>
      </c>
    </row>
    <row r="3319" spans="1:11" ht="42" customHeight="1">
      <c r="A3319" s="2" t="s">
        <v>9148</v>
      </c>
      <c r="B3319" s="2" t="s">
        <v>9148</v>
      </c>
      <c r="C3319" s="2" t="s">
        <v>33</v>
      </c>
      <c r="D3319" s="2" t="s">
        <v>27</v>
      </c>
      <c r="E3319" s="4">
        <v>-32517</v>
      </c>
      <c r="F3319" s="3" t="s">
        <v>566</v>
      </c>
      <c r="G3319" s="3" t="s">
        <v>8299</v>
      </c>
      <c r="H3319" s="2" t="s">
        <v>21</v>
      </c>
      <c r="I3319" s="2" t="s">
        <v>9181</v>
      </c>
      <c r="J3319" s="3" t="str">
        <f>HYPERLINK("https://www.boe.es/gazeta/dias/1810/12/20/pdfs/GEI-1810-110.pdf#page=3","Abrir facsímil")</f>
        <v>Abrir facsímil</v>
      </c>
      <c r="K3319" s="3" t="s">
        <v>23</v>
      </c>
    </row>
    <row r="3320" spans="1:11" ht="42" customHeight="1">
      <c r="A3320" s="2" t="s">
        <v>9182</v>
      </c>
      <c r="B3320" s="2" t="s">
        <v>9183</v>
      </c>
      <c r="C3320" s="2" t="s">
        <v>33</v>
      </c>
      <c r="D3320" s="2" t="s">
        <v>27</v>
      </c>
      <c r="E3320" s="4">
        <v>-32617</v>
      </c>
      <c r="F3320" s="3" t="s">
        <v>1459</v>
      </c>
      <c r="G3320" s="3" t="s">
        <v>9151</v>
      </c>
      <c r="H3320" s="2" t="s">
        <v>74</v>
      </c>
      <c r="I3320" s="2" t="s">
        <v>9184</v>
      </c>
      <c r="J3320" s="3" t="str">
        <f>HYPERLINK("https://www.boe.es/gazeta/dias/1810/09/11/pdfs/GEI-1810-66.pdf#page=6","Abrir facsímil")</f>
        <v>Abrir facsímil</v>
      </c>
      <c r="K3320" s="3" t="s">
        <v>76</v>
      </c>
    </row>
    <row r="3321" spans="1:11" ht="42" customHeight="1">
      <c r="A3321" s="2" t="s">
        <v>9185</v>
      </c>
      <c r="B3321" s="2" t="s">
        <v>9186</v>
      </c>
      <c r="C3321" s="2" t="s">
        <v>26</v>
      </c>
      <c r="D3321" s="2" t="s">
        <v>27</v>
      </c>
      <c r="E3321" s="4">
        <v>-32609</v>
      </c>
      <c r="F3321" s="3" t="s">
        <v>5358</v>
      </c>
      <c r="G3321" s="3" t="s">
        <v>180</v>
      </c>
      <c r="H3321" s="2" t="s">
        <v>74</v>
      </c>
      <c r="I3321" s="2" t="s">
        <v>9187</v>
      </c>
      <c r="J3321" s="3" t="str">
        <f>HYPERLINK("https://www.boe.es/gazeta/dias/1810/09/19/pdfs/GMD-1810-262.pdf#page=3","Abrir facsímil")</f>
        <v>Abrir facsímil</v>
      </c>
      <c r="K3321" s="3" t="s">
        <v>76</v>
      </c>
    </row>
    <row r="3322" spans="1:11" ht="42" customHeight="1">
      <c r="A3322" s="2" t="s">
        <v>9188</v>
      </c>
      <c r="B3322" s="2" t="s">
        <v>9189</v>
      </c>
      <c r="C3322" s="2" t="s">
        <v>88</v>
      </c>
      <c r="D3322" s="2" t="s">
        <v>27</v>
      </c>
      <c r="E3322" s="4">
        <v>-32691</v>
      </c>
      <c r="F3322" s="3" t="s">
        <v>3021</v>
      </c>
      <c r="G3322" s="3" t="s">
        <v>136</v>
      </c>
      <c r="H3322" s="2" t="s">
        <v>74</v>
      </c>
      <c r="I3322" s="2" t="s">
        <v>9190</v>
      </c>
      <c r="J3322" s="3" t="str">
        <f>HYPERLINK("https://www.boe.es/gazeta/dias/1810/06/29/pdfs/GEI-1810-40.pdf#page=4","Abrir facsímil")</f>
        <v>Abrir facsímil</v>
      </c>
      <c r="K3322" s="3" t="s">
        <v>76</v>
      </c>
    </row>
    <row r="3323" spans="1:11" ht="42" customHeight="1">
      <c r="A3323" s="2" t="s">
        <v>9191</v>
      </c>
      <c r="B3323" s="2" t="s">
        <v>9192</v>
      </c>
      <c r="C3323" s="2" t="s">
        <v>26</v>
      </c>
      <c r="D3323" s="2" t="s">
        <v>27</v>
      </c>
      <c r="E3323" s="4">
        <v>-32631</v>
      </c>
      <c r="F3323" s="3" t="s">
        <v>497</v>
      </c>
      <c r="G3323" s="3" t="s">
        <v>498</v>
      </c>
      <c r="H3323" s="2" t="s">
        <v>74</v>
      </c>
      <c r="I3323" s="2" t="s">
        <v>9193</v>
      </c>
      <c r="J3323" s="3" t="str">
        <f>HYPERLINK("https://www.boe.es/gazeta/dias/1810/08/28/pdfs/GMD-1810-240.pdf#page=2","Abrir facsímil")</f>
        <v>Abrir facsímil</v>
      </c>
      <c r="K3323" s="3" t="s">
        <v>76</v>
      </c>
    </row>
    <row r="3324" spans="1:11" ht="42" customHeight="1">
      <c r="A3324" s="2" t="s">
        <v>9194</v>
      </c>
      <c r="B3324" s="2" t="s">
        <v>9195</v>
      </c>
      <c r="C3324" s="2" t="s">
        <v>17</v>
      </c>
      <c r="D3324" s="2" t="s">
        <v>27</v>
      </c>
      <c r="E3324" s="4">
        <v>-32741</v>
      </c>
      <c r="F3324" s="3" t="s">
        <v>98</v>
      </c>
      <c r="G3324" s="3" t="s">
        <v>90</v>
      </c>
      <c r="H3324" s="2" t="s">
        <v>74</v>
      </c>
      <c r="I3324" s="2" t="s">
        <v>9196</v>
      </c>
      <c r="J3324" s="3" t="str">
        <f>HYPERLINK("https://www.boe.es/gazeta/dias/1810/05/10/pdfs/GMD-1810-130.pdf#page=4","Abrir facsímil")</f>
        <v>Abrir facsímil</v>
      </c>
      <c r="K3324" s="3" t="s">
        <v>76</v>
      </c>
    </row>
    <row r="3325" spans="1:11" ht="42" customHeight="1">
      <c r="A3325" s="2" t="s">
        <v>9197</v>
      </c>
      <c r="B3325" s="2" t="s">
        <v>9198</v>
      </c>
      <c r="C3325" s="2" t="s">
        <v>26</v>
      </c>
      <c r="D3325" s="2" t="s">
        <v>27</v>
      </c>
      <c r="E3325" s="4">
        <v>-32771</v>
      </c>
      <c r="F3325" s="3" t="s">
        <v>543</v>
      </c>
      <c r="G3325" s="3" t="s">
        <v>65</v>
      </c>
      <c r="H3325" s="2" t="s">
        <v>74</v>
      </c>
      <c r="I3325" s="2" t="s">
        <v>9199</v>
      </c>
      <c r="J3325" s="3" t="str">
        <f>HYPERLINK("https://www.boe.es/gazeta/dias/1810/04/10/pdfs/GEI-1810-13.pdf#page=7","Abrir facsímil")</f>
        <v>Abrir facsímil</v>
      </c>
      <c r="K3325" s="3" t="s">
        <v>76</v>
      </c>
    </row>
    <row r="3326" spans="1:11" ht="42" customHeight="1">
      <c r="A3326" s="2" t="s">
        <v>9200</v>
      </c>
      <c r="B3326" s="2" t="s">
        <v>9201</v>
      </c>
      <c r="C3326" s="2" t="s">
        <v>26</v>
      </c>
      <c r="D3326" s="2" t="s">
        <v>27</v>
      </c>
      <c r="E3326" s="4">
        <v>-32729</v>
      </c>
      <c r="F3326" s="3" t="s">
        <v>174</v>
      </c>
      <c r="G3326" s="3" t="s">
        <v>886</v>
      </c>
      <c r="H3326" s="2" t="s">
        <v>74</v>
      </c>
      <c r="I3326" s="2" t="s">
        <v>9202</v>
      </c>
      <c r="J3326" s="3" t="str">
        <f>HYPERLINK("https://www.boe.es/gazeta/dias/1810/05/22/pdfs/GEI-1810-28.pdf#page=11","Abrir facsímil")</f>
        <v>Abrir facsímil</v>
      </c>
      <c r="K3326" s="3" t="s">
        <v>76</v>
      </c>
    </row>
    <row r="3327" spans="1:11" ht="42" customHeight="1">
      <c r="A3327" s="2" t="s">
        <v>9200</v>
      </c>
      <c r="B3327" s="2" t="s">
        <v>9201</v>
      </c>
      <c r="C3327" s="2" t="s">
        <v>26</v>
      </c>
      <c r="D3327" s="2" t="s">
        <v>39</v>
      </c>
      <c r="E3327" s="4">
        <v>-32677</v>
      </c>
      <c r="F3327" s="3" t="s">
        <v>549</v>
      </c>
      <c r="G3327" s="3" t="s">
        <v>7702</v>
      </c>
      <c r="H3327" s="2" t="s">
        <v>74</v>
      </c>
      <c r="I3327" s="2" t="s">
        <v>9203</v>
      </c>
      <c r="J3327" s="3" t="str">
        <f>HYPERLINK("https://www.boe.es/gazeta/dias/1810/07/13/pdfs/GEI-D-1810-44.pdf#page=7","Abrir facsímil")</f>
        <v>Abrir facsímil</v>
      </c>
      <c r="K3327" s="3" t="s">
        <v>76</v>
      </c>
    </row>
    <row r="3328" spans="1:11" ht="42" customHeight="1">
      <c r="A3328" s="2" t="s">
        <v>9204</v>
      </c>
      <c r="B3328" s="2" t="s">
        <v>9205</v>
      </c>
      <c r="C3328" s="2" t="s">
        <v>225</v>
      </c>
      <c r="D3328" s="2" t="s">
        <v>39</v>
      </c>
      <c r="E3328" s="4">
        <v>-32642</v>
      </c>
      <c r="F3328" s="3" t="s">
        <v>2273</v>
      </c>
      <c r="G3328" s="3" t="s">
        <v>274</v>
      </c>
      <c r="H3328" s="2" t="s">
        <v>74</v>
      </c>
      <c r="I3328" s="2" t="s">
        <v>9206</v>
      </c>
      <c r="J3328" s="3" t="str">
        <f>HYPERLINK("https://www.boe.es/gazeta/dias/1810/08/17/pdfs/GEI-D-1810-57.pdf#page=8","Abrir facsímil")</f>
        <v>Abrir facsímil</v>
      </c>
      <c r="K3328" s="3" t="s">
        <v>76</v>
      </c>
    </row>
    <row r="3329" spans="1:11" ht="42" customHeight="1">
      <c r="A3329" s="2" t="s">
        <v>9207</v>
      </c>
      <c r="B3329" s="2" t="s">
        <v>9208</v>
      </c>
      <c r="C3329" s="2" t="s">
        <v>225</v>
      </c>
      <c r="D3329" s="2" t="s">
        <v>39</v>
      </c>
      <c r="E3329" s="4">
        <v>-32645</v>
      </c>
      <c r="F3329" s="3" t="s">
        <v>2492</v>
      </c>
      <c r="G3329" s="3" t="s">
        <v>20</v>
      </c>
      <c r="H3329" s="2" t="s">
        <v>74</v>
      </c>
      <c r="I3329" s="2" t="s">
        <v>9209</v>
      </c>
      <c r="J3329" s="3" t="str">
        <f>HYPERLINK("https://www.boe.es/gazeta/dias/1810/08/14/pdfs/GEI-D-1810-56.pdf#page=4","Abrir facsímil")</f>
        <v>Abrir facsímil</v>
      </c>
      <c r="K3329" s="3" t="s">
        <v>76</v>
      </c>
    </row>
    <row r="3330" spans="1:11" ht="42" customHeight="1">
      <c r="A3330" s="2" t="s">
        <v>9210</v>
      </c>
      <c r="B3330" s="2" t="s">
        <v>9211</v>
      </c>
      <c r="C3330" s="2" t="s">
        <v>88</v>
      </c>
      <c r="D3330" s="2" t="s">
        <v>27</v>
      </c>
      <c r="E3330" s="4">
        <v>-32710</v>
      </c>
      <c r="F3330" s="3" t="s">
        <v>126</v>
      </c>
      <c r="G3330" s="3" t="s">
        <v>184</v>
      </c>
      <c r="H3330" s="2" t="s">
        <v>74</v>
      </c>
      <c r="I3330" s="2" t="s">
        <v>9212</v>
      </c>
      <c r="J3330" s="3" t="str">
        <f>HYPERLINK("https://www.boe.es/gazeta/dias/1810/06/10/pdfs/GMD-1810-161.pdf#page=3","Abrir facsímil")</f>
        <v>Abrir facsímil</v>
      </c>
      <c r="K3330" s="3" t="s">
        <v>76</v>
      </c>
    </row>
    <row r="3331" spans="1:11" ht="42" customHeight="1">
      <c r="A3331" s="2" t="s">
        <v>9213</v>
      </c>
      <c r="B3331" s="2" t="s">
        <v>9214</v>
      </c>
      <c r="C3331" s="2" t="s">
        <v>88</v>
      </c>
      <c r="D3331" s="2" t="s">
        <v>27</v>
      </c>
      <c r="E3331" s="4">
        <v>-32725</v>
      </c>
      <c r="F3331" s="3" t="s">
        <v>417</v>
      </c>
      <c r="G3331" s="3" t="s">
        <v>140</v>
      </c>
      <c r="H3331" s="2" t="s">
        <v>74</v>
      </c>
      <c r="I3331" s="2" t="s">
        <v>9215</v>
      </c>
      <c r="J3331" s="3" t="str">
        <f>HYPERLINK("https://www.boe.es/gazeta/dias/1810/05/26/pdfs/GMD-1810-146.pdf#page=4","Abrir facsímil")</f>
        <v>Abrir facsímil</v>
      </c>
      <c r="K3331" s="3" t="s">
        <v>76</v>
      </c>
    </row>
    <row r="3332" spans="1:11" ht="42" customHeight="1">
      <c r="A3332" s="2" t="s">
        <v>9216</v>
      </c>
      <c r="B3332" s="2" t="s">
        <v>9216</v>
      </c>
      <c r="C3332" s="2" t="s">
        <v>88</v>
      </c>
      <c r="D3332" s="2" t="s">
        <v>27</v>
      </c>
      <c r="E3332" s="4">
        <v>-32762</v>
      </c>
      <c r="F3332" s="3" t="s">
        <v>231</v>
      </c>
      <c r="G3332" s="3" t="s">
        <v>505</v>
      </c>
      <c r="H3332" s="2" t="s">
        <v>74</v>
      </c>
      <c r="I3332" s="2" t="s">
        <v>9217</v>
      </c>
      <c r="J3332" s="3" t="str">
        <f>HYPERLINK("https://www.boe.es/gazeta/dias/1810/04/19/pdfs/GMD-1810-109.pdf#page=1","Abrir facsímil")</f>
        <v>Abrir facsímil</v>
      </c>
      <c r="K3332" s="3" t="s">
        <v>76</v>
      </c>
    </row>
    <row r="3333" spans="1:11" ht="42" customHeight="1">
      <c r="A3333" s="2" t="s">
        <v>9218</v>
      </c>
      <c r="B3333" s="2" t="s">
        <v>9219</v>
      </c>
      <c r="C3333" s="2" t="s">
        <v>26</v>
      </c>
      <c r="D3333" s="2" t="s">
        <v>39</v>
      </c>
      <c r="E3333" s="4">
        <v>-32701</v>
      </c>
      <c r="F3333" s="3" t="s">
        <v>40</v>
      </c>
      <c r="G3333" s="3" t="s">
        <v>333</v>
      </c>
      <c r="H3333" s="2" t="s">
        <v>74</v>
      </c>
      <c r="I3333" s="2" t="s">
        <v>9220</v>
      </c>
      <c r="J3333" s="3" t="str">
        <f>HYPERLINK("https://www.boe.es/gazeta/dias/1810/06/19/pdfs/GMD-C-1810-170.pdf#page=4","Abrir facsímil")</f>
        <v>Abrir facsímil</v>
      </c>
      <c r="K3333" s="3" t="s">
        <v>76</v>
      </c>
    </row>
    <row r="3334" spans="1:11" ht="42" customHeight="1">
      <c r="A3334" s="2" t="s">
        <v>9221</v>
      </c>
      <c r="B3334" s="2" t="s">
        <v>9221</v>
      </c>
      <c r="C3334" s="2" t="s">
        <v>26</v>
      </c>
      <c r="D3334" s="2" t="s">
        <v>27</v>
      </c>
      <c r="E3334" s="4">
        <v>-32635</v>
      </c>
      <c r="F3334" s="3" t="s">
        <v>8979</v>
      </c>
      <c r="G3334" s="3" t="s">
        <v>90</v>
      </c>
      <c r="H3334" s="2" t="s">
        <v>74</v>
      </c>
      <c r="I3334" s="2" t="s">
        <v>9222</v>
      </c>
      <c r="J3334" s="3" t="str">
        <f>HYPERLINK("https://www.boe.es/gazeta/dias/1810/08/24/pdfs/GMD-1810-236.pdf#page=1","Abrir facsímil")</f>
        <v>Abrir facsímil</v>
      </c>
      <c r="K3334" s="3" t="s">
        <v>76</v>
      </c>
    </row>
    <row r="3335" spans="1:11" ht="42" customHeight="1">
      <c r="A3335" s="2" t="s">
        <v>9221</v>
      </c>
      <c r="B3335" s="2" t="s">
        <v>9221</v>
      </c>
      <c r="C3335" s="2" t="s">
        <v>111</v>
      </c>
      <c r="D3335" s="2" t="s">
        <v>27</v>
      </c>
      <c r="E3335" s="4">
        <v>-32550</v>
      </c>
      <c r="F3335" s="3" t="s">
        <v>4222</v>
      </c>
      <c r="G3335" s="3" t="s">
        <v>735</v>
      </c>
      <c r="H3335" s="2" t="s">
        <v>74</v>
      </c>
      <c r="I3335" s="2" t="s">
        <v>9223</v>
      </c>
      <c r="J3335" s="3" t="str">
        <f>HYPERLINK("https://www.boe.es/gazeta/dias/1810/11/17/pdfs/GMD-1810-321.pdf#page=1","Abrir facsímil")</f>
        <v>Abrir facsímil</v>
      </c>
      <c r="K3335" s="3" t="s">
        <v>76</v>
      </c>
    </row>
    <row r="3336" spans="1:11" ht="42" customHeight="1">
      <c r="A3336" s="2" t="s">
        <v>9224</v>
      </c>
      <c r="B3336" s="2" t="s">
        <v>9225</v>
      </c>
      <c r="C3336" s="2" t="s">
        <v>317</v>
      </c>
      <c r="D3336" s="2" t="s">
        <v>27</v>
      </c>
      <c r="E3336" s="4">
        <v>-32577</v>
      </c>
      <c r="F3336" s="3" t="s">
        <v>2576</v>
      </c>
      <c r="G3336" s="3" t="s">
        <v>2577</v>
      </c>
      <c r="H3336" s="2" t="s">
        <v>74</v>
      </c>
      <c r="I3336" s="2" t="s">
        <v>9226</v>
      </c>
      <c r="J3336" s="3" t="str">
        <f>HYPERLINK("https://www.boe.es/gazeta/dias/1810/10/21/pdfs/GMD-1810-294.pdf#page=1","Abrir facsímil")</f>
        <v>Abrir facsímil</v>
      </c>
      <c r="K3336" s="3" t="s">
        <v>76</v>
      </c>
    </row>
    <row r="3337" spans="1:11" ht="42" customHeight="1">
      <c r="A3337" s="2" t="s">
        <v>9227</v>
      </c>
      <c r="B3337" s="2" t="s">
        <v>9228</v>
      </c>
      <c r="C3337" s="2" t="s">
        <v>26</v>
      </c>
      <c r="D3337" s="2" t="s">
        <v>27</v>
      </c>
      <c r="E3337" s="4">
        <v>-32595</v>
      </c>
      <c r="F3337" s="3" t="s">
        <v>700</v>
      </c>
      <c r="G3337" s="3" t="s">
        <v>29</v>
      </c>
      <c r="H3337" s="2" t="s">
        <v>74</v>
      </c>
      <c r="I3337" s="2" t="s">
        <v>9229</v>
      </c>
      <c r="J3337" s="3" t="str">
        <f>HYPERLINK("https://www.boe.es/gazeta/dias/1810/10/03/pdfs/GMD-1810-276.pdf#page=4","Abrir facsímil")</f>
        <v>Abrir facsímil</v>
      </c>
      <c r="K3337" s="3" t="s">
        <v>76</v>
      </c>
    </row>
    <row r="3338" spans="1:11" ht="42" customHeight="1">
      <c r="A3338" s="2" t="s">
        <v>9230</v>
      </c>
      <c r="B3338" s="2" t="s">
        <v>9230</v>
      </c>
      <c r="C3338" s="2" t="s">
        <v>33</v>
      </c>
      <c r="D3338" s="2" t="s">
        <v>27</v>
      </c>
      <c r="E3338" s="4">
        <v>-32865</v>
      </c>
      <c r="F3338" s="3" t="s">
        <v>4391</v>
      </c>
      <c r="G3338" s="3" t="s">
        <v>2560</v>
      </c>
      <c r="H3338" s="2" t="s">
        <v>74</v>
      </c>
      <c r="I3338" s="2" t="s">
        <v>9231</v>
      </c>
      <c r="J3338" s="3" t="str">
        <f>HYPERLINK("https://www.boe.es/gazeta/dias/1810/01/06/pdfs/GGB-1810-3.pdf#page=3","Abrir facsímil")</f>
        <v>Abrir facsímil</v>
      </c>
      <c r="K3338" s="3" t="s">
        <v>76</v>
      </c>
    </row>
    <row r="3339" spans="1:11" ht="42" customHeight="1">
      <c r="A3339" s="2" t="s">
        <v>9230</v>
      </c>
      <c r="B3339" s="2" t="s">
        <v>9230</v>
      </c>
      <c r="C3339" s="2" t="s">
        <v>26</v>
      </c>
      <c r="D3339" s="2" t="s">
        <v>220</v>
      </c>
      <c r="E3339" s="4">
        <v>-32757</v>
      </c>
      <c r="F3339" s="3" t="s">
        <v>1136</v>
      </c>
      <c r="G3339" s="3" t="s">
        <v>8762</v>
      </c>
      <c r="H3339" s="2" t="s">
        <v>74</v>
      </c>
      <c r="I3339" s="2" t="s">
        <v>9232</v>
      </c>
      <c r="J3339" s="3" t="str">
        <f>HYPERLINK("https://www.boe.es/gazeta/dias/1810/04/24/pdfs/GEI-1810-17.pdf#page=4","Abrir facsímil")</f>
        <v>Abrir facsímil</v>
      </c>
      <c r="K3339" s="3" t="s">
        <v>76</v>
      </c>
    </row>
    <row r="3340" spans="1:11" ht="42" customHeight="1">
      <c r="A3340" s="2" t="s">
        <v>9230</v>
      </c>
      <c r="B3340" s="2" t="s">
        <v>9230</v>
      </c>
      <c r="C3340" s="2" t="s">
        <v>33</v>
      </c>
      <c r="D3340" s="2" t="s">
        <v>27</v>
      </c>
      <c r="E3340" s="4">
        <v>-32603</v>
      </c>
      <c r="F3340" s="3" t="s">
        <v>9233</v>
      </c>
      <c r="G3340" s="3" t="s">
        <v>291</v>
      </c>
      <c r="H3340" s="2" t="s">
        <v>74</v>
      </c>
      <c r="I3340" s="2" t="s">
        <v>9234</v>
      </c>
      <c r="J3340" s="3" t="str">
        <f>HYPERLINK("https://www.boe.es/gazeta/dias/1810/09/25/pdfs/GMD-1810-268.pdf#page=3","Abrir facsímil")</f>
        <v>Abrir facsímil</v>
      </c>
      <c r="K3340" s="3" t="s">
        <v>76</v>
      </c>
    </row>
    <row r="3341" spans="1:11" ht="42" customHeight="1">
      <c r="A3341" s="2" t="s">
        <v>9235</v>
      </c>
      <c r="B3341" s="2" t="s">
        <v>9236</v>
      </c>
      <c r="C3341" s="2" t="s">
        <v>88</v>
      </c>
      <c r="D3341" s="2" t="s">
        <v>27</v>
      </c>
      <c r="E3341" s="4">
        <v>-32710</v>
      </c>
      <c r="F3341" s="3" t="s">
        <v>126</v>
      </c>
      <c r="G3341" s="3" t="s">
        <v>35</v>
      </c>
      <c r="H3341" s="2" t="s">
        <v>74</v>
      </c>
      <c r="I3341" s="2" t="s">
        <v>9237</v>
      </c>
      <c r="J3341" s="3" t="str">
        <f>HYPERLINK("https://www.boe.es/gazeta/dias/1810/06/10/pdfs/GMD-1810-161.pdf#page=2","Abrir facsímil")</f>
        <v>Abrir facsímil</v>
      </c>
      <c r="K3341" s="3" t="s">
        <v>76</v>
      </c>
    </row>
    <row r="3342" spans="1:11" ht="42" customHeight="1">
      <c r="A3342" s="2" t="s">
        <v>9238</v>
      </c>
      <c r="B3342" s="2" t="s">
        <v>9238</v>
      </c>
      <c r="C3342" s="2" t="s">
        <v>111</v>
      </c>
      <c r="D3342" s="2" t="s">
        <v>27</v>
      </c>
      <c r="E3342" s="4">
        <v>-32610</v>
      </c>
      <c r="F3342" s="3" t="s">
        <v>4991</v>
      </c>
      <c r="G3342" s="3" t="s">
        <v>458</v>
      </c>
      <c r="H3342" s="2" t="s">
        <v>74</v>
      </c>
      <c r="I3342" s="2" t="s">
        <v>9239</v>
      </c>
      <c r="J3342" s="3" t="str">
        <f>HYPERLINK("https://www.boe.es/gazeta/dias/1810/09/18/pdfs/GEI-1810-69.pdf#page=7","Abrir facsímil")</f>
        <v>Abrir facsímil</v>
      </c>
      <c r="K3342" s="3" t="s">
        <v>76</v>
      </c>
    </row>
    <row r="3343" spans="1:11" ht="42" customHeight="1">
      <c r="A3343" s="2" t="s">
        <v>9240</v>
      </c>
      <c r="B3343" s="2" t="s">
        <v>9240</v>
      </c>
      <c r="C3343" s="2" t="s">
        <v>88</v>
      </c>
      <c r="D3343" s="2" t="s">
        <v>27</v>
      </c>
      <c r="E3343" s="4">
        <v>-32566</v>
      </c>
      <c r="F3343" s="3" t="s">
        <v>405</v>
      </c>
      <c r="G3343" s="3" t="s">
        <v>469</v>
      </c>
      <c r="H3343" s="2" t="s">
        <v>74</v>
      </c>
      <c r="I3343" s="2" t="s">
        <v>9241</v>
      </c>
      <c r="J3343" s="3" t="str">
        <f>HYPERLINK("https://www.boe.es/gazeta/dias/1810/11/01/pdfs/GMD-1810-305.pdf#page=2","Abrir facsímil")</f>
        <v>Abrir facsímil</v>
      </c>
      <c r="K3343" s="3" t="s">
        <v>76</v>
      </c>
    </row>
    <row r="3344" spans="1:11" ht="42" customHeight="1">
      <c r="A3344" s="2" t="s">
        <v>9242</v>
      </c>
      <c r="B3344" s="2" t="s">
        <v>9242</v>
      </c>
      <c r="C3344" s="2" t="s">
        <v>88</v>
      </c>
      <c r="D3344" s="2" t="s">
        <v>117</v>
      </c>
      <c r="E3344" s="4">
        <v>-32676</v>
      </c>
      <c r="F3344" s="3" t="s">
        <v>2863</v>
      </c>
      <c r="G3344" s="3" t="s">
        <v>592</v>
      </c>
      <c r="H3344" s="2" t="s">
        <v>74</v>
      </c>
      <c r="I3344" s="2" t="s">
        <v>9243</v>
      </c>
      <c r="J3344" s="3" t="str">
        <f>HYPERLINK("https://www.boe.es/gazeta/dias/1810/07/14/pdfs/GMD-1810-195.pdf#page=4","Abrir facsímil")</f>
        <v>Abrir facsímil</v>
      </c>
      <c r="K3344" s="3" t="s">
        <v>76</v>
      </c>
    </row>
    <row r="3345" spans="1:11" ht="42" customHeight="1">
      <c r="A3345" s="2" t="s">
        <v>9244</v>
      </c>
      <c r="B3345" s="2" t="s">
        <v>9245</v>
      </c>
      <c r="C3345" s="2" t="s">
        <v>88</v>
      </c>
      <c r="D3345" s="2" t="s">
        <v>27</v>
      </c>
      <c r="E3345" s="4">
        <v>-32798</v>
      </c>
      <c r="F3345" s="3" t="s">
        <v>2002</v>
      </c>
      <c r="G3345" s="3" t="s">
        <v>90</v>
      </c>
      <c r="H3345" s="2" t="s">
        <v>74</v>
      </c>
      <c r="I3345" s="2" t="s">
        <v>9246</v>
      </c>
      <c r="J3345" s="3" t="str">
        <f>HYPERLINK("https://www.boe.es/gazeta/dias/1810/03/14/pdfs/GMD-1810-73.pdf#page=4","Abrir facsímil")</f>
        <v>Abrir facsímil</v>
      </c>
      <c r="K3345" s="3" t="s">
        <v>76</v>
      </c>
    </row>
    <row r="3346" spans="1:11" ht="42" customHeight="1">
      <c r="A3346" s="2" t="s">
        <v>9247</v>
      </c>
      <c r="B3346" s="2" t="s">
        <v>9248</v>
      </c>
      <c r="C3346" s="2" t="s">
        <v>88</v>
      </c>
      <c r="D3346" s="2" t="s">
        <v>117</v>
      </c>
      <c r="E3346" s="4">
        <v>-32649</v>
      </c>
      <c r="F3346" s="3" t="s">
        <v>190</v>
      </c>
      <c r="G3346" s="3" t="s">
        <v>191</v>
      </c>
      <c r="H3346" s="2" t="s">
        <v>74</v>
      </c>
      <c r="I3346" s="2" t="s">
        <v>9249</v>
      </c>
      <c r="J3346" s="3" t="str">
        <f>HYPERLINK("https://www.boe.es/gazeta/dias/1810/08/10/pdfs/GEI-1810-54.pdf#page=10","Abrir facsímil")</f>
        <v>Abrir facsímil</v>
      </c>
      <c r="K3346" s="3" t="s">
        <v>76</v>
      </c>
    </row>
    <row r="3347" spans="1:11" ht="42" customHeight="1">
      <c r="A3347" s="2" t="s">
        <v>9250</v>
      </c>
      <c r="B3347" s="2" t="s">
        <v>9250</v>
      </c>
      <c r="C3347" s="2" t="s">
        <v>88</v>
      </c>
      <c r="D3347" s="2" t="s">
        <v>117</v>
      </c>
      <c r="E3347" s="4">
        <v>-32522</v>
      </c>
      <c r="F3347" s="3" t="s">
        <v>3137</v>
      </c>
      <c r="G3347" s="3" t="s">
        <v>235</v>
      </c>
      <c r="H3347" s="2" t="s">
        <v>74</v>
      </c>
      <c r="I3347" s="2" t="s">
        <v>9251</v>
      </c>
      <c r="J3347" s="3" t="str">
        <f>HYPERLINK("https://www.boe.es/gazeta/dias/1810/12/15/pdfs/GEI-1810-108.pdf#page=1","Abrir facsímil")</f>
        <v>Abrir facsímil</v>
      </c>
      <c r="K3347" s="3" t="s">
        <v>76</v>
      </c>
    </row>
    <row r="3348" spans="1:11" ht="42" customHeight="1">
      <c r="A3348" s="2" t="s">
        <v>9252</v>
      </c>
      <c r="B3348" s="2" t="s">
        <v>9253</v>
      </c>
      <c r="C3348" s="2" t="s">
        <v>88</v>
      </c>
      <c r="D3348" s="2" t="s">
        <v>27</v>
      </c>
      <c r="E3348" s="4">
        <v>-32531</v>
      </c>
      <c r="F3348" s="3" t="s">
        <v>2023</v>
      </c>
      <c r="G3348" s="3" t="s">
        <v>29</v>
      </c>
      <c r="H3348" s="2" t="s">
        <v>74</v>
      </c>
      <c r="I3348" s="2" t="s">
        <v>9254</v>
      </c>
      <c r="J3348" s="3" t="str">
        <f>HYPERLINK("https://www.boe.es/gazeta/dias/1810/12/06/pdfs/GMD-1810-340.pdf#page=4","Abrir facsímil")</f>
        <v>Abrir facsímil</v>
      </c>
      <c r="K3348" s="3" t="s">
        <v>76</v>
      </c>
    </row>
    <row r="3349" spans="1:11" ht="42" customHeight="1">
      <c r="A3349" s="2" t="s">
        <v>9255</v>
      </c>
      <c r="B3349" s="2" t="s">
        <v>9256</v>
      </c>
      <c r="C3349" s="2" t="s">
        <v>33</v>
      </c>
      <c r="D3349" s="2" t="s">
        <v>27</v>
      </c>
      <c r="E3349" s="4">
        <v>-32710</v>
      </c>
      <c r="F3349" s="3" t="s">
        <v>126</v>
      </c>
      <c r="G3349" s="3" t="s">
        <v>20</v>
      </c>
      <c r="H3349" s="2" t="s">
        <v>74</v>
      </c>
      <c r="I3349" s="2" t="s">
        <v>9257</v>
      </c>
      <c r="J3349" s="3" t="str">
        <f>HYPERLINK("https://www.boe.es/gazeta/dias/1810/06/10/pdfs/GMD-1810-161.pdf#page=4","Abrir facsímil")</f>
        <v>Abrir facsímil</v>
      </c>
      <c r="K3349" s="3" t="s">
        <v>76</v>
      </c>
    </row>
    <row r="3350" spans="1:11" ht="42" customHeight="1">
      <c r="A3350" s="2" t="s">
        <v>9258</v>
      </c>
      <c r="B3350" s="2" t="s">
        <v>9258</v>
      </c>
      <c r="C3350" s="2" t="s">
        <v>33</v>
      </c>
      <c r="D3350" s="2" t="s">
        <v>220</v>
      </c>
      <c r="E3350" s="4">
        <v>-32517</v>
      </c>
      <c r="F3350" s="3" t="s">
        <v>979</v>
      </c>
      <c r="G3350" s="3" t="s">
        <v>29</v>
      </c>
      <c r="H3350" s="2" t="s">
        <v>74</v>
      </c>
      <c r="I3350" s="2" t="s">
        <v>9259</v>
      </c>
      <c r="J3350" s="3" t="str">
        <f>HYPERLINK("https://www.boe.es/gazeta/dias/1810/12/20/pdfs/GMD-1810-354.pdf#page=3","Abrir facsímil")</f>
        <v>Abrir facsímil</v>
      </c>
      <c r="K3350" s="3" t="s">
        <v>76</v>
      </c>
    </row>
    <row r="3351" spans="1:11" ht="42" customHeight="1">
      <c r="A3351" s="2" t="s">
        <v>9260</v>
      </c>
      <c r="B3351" s="2" t="s">
        <v>9260</v>
      </c>
      <c r="C3351" s="2" t="s">
        <v>26</v>
      </c>
      <c r="D3351" s="2" t="s">
        <v>27</v>
      </c>
      <c r="E3351" s="4">
        <v>-32815</v>
      </c>
      <c r="F3351" s="3" t="s">
        <v>1201</v>
      </c>
      <c r="G3351" s="3" t="s">
        <v>70</v>
      </c>
      <c r="H3351" s="2" t="s">
        <v>74</v>
      </c>
      <c r="I3351" s="2" t="s">
        <v>9261</v>
      </c>
      <c r="J3351" s="3" t="str">
        <f>HYPERLINK("https://www.boe.es/gazeta/dias/1810/02/25/pdfs/GMD-1810-56.pdf#page=3","Abrir facsímil")</f>
        <v>Abrir facsímil</v>
      </c>
      <c r="K3351" s="3" t="s">
        <v>76</v>
      </c>
    </row>
    <row r="3352" spans="1:11" ht="42" customHeight="1">
      <c r="A3352" s="2" t="s">
        <v>9262</v>
      </c>
      <c r="B3352" s="2" t="s">
        <v>9263</v>
      </c>
      <c r="C3352" s="2" t="s">
        <v>26</v>
      </c>
      <c r="D3352" s="2" t="s">
        <v>39</v>
      </c>
      <c r="E3352" s="4">
        <v>-32677</v>
      </c>
      <c r="F3352" s="3" t="s">
        <v>549</v>
      </c>
      <c r="G3352" s="3" t="s">
        <v>70</v>
      </c>
      <c r="H3352" s="2" t="s">
        <v>74</v>
      </c>
      <c r="I3352" s="2" t="s">
        <v>9264</v>
      </c>
      <c r="J3352" s="3" t="str">
        <f>HYPERLINK("https://www.boe.es/gazeta/dias/1810/07/13/pdfs/GEI-D-1810-44.pdf#page=8","Abrir facsímil")</f>
        <v>Abrir facsímil</v>
      </c>
      <c r="K3352" s="3" t="s">
        <v>76</v>
      </c>
    </row>
    <row r="3353" spans="1:11" ht="42" customHeight="1">
      <c r="A3353" s="2" t="s">
        <v>9265</v>
      </c>
      <c r="B3353" s="2" t="s">
        <v>9265</v>
      </c>
      <c r="C3353" s="2" t="s">
        <v>26</v>
      </c>
      <c r="D3353" s="2" t="s">
        <v>27</v>
      </c>
      <c r="E3353" s="4">
        <v>-32612</v>
      </c>
      <c r="F3353" s="3" t="s">
        <v>7236</v>
      </c>
      <c r="G3353" s="3" t="s">
        <v>119</v>
      </c>
      <c r="H3353" s="2" t="s">
        <v>74</v>
      </c>
      <c r="I3353" s="2" t="s">
        <v>9266</v>
      </c>
      <c r="J3353" s="3" t="str">
        <f>HYPERLINK("https://www.boe.es/gazeta/dias/1810/09/16/pdfs/GMD-1810-259.pdf#page=2","Abrir facsímil")</f>
        <v>Abrir facsímil</v>
      </c>
      <c r="K3353" s="3" t="s">
        <v>76</v>
      </c>
    </row>
    <row r="3354" spans="1:11" ht="42" customHeight="1">
      <c r="A3354" s="2" t="s">
        <v>9267</v>
      </c>
      <c r="B3354" s="2" t="s">
        <v>9268</v>
      </c>
      <c r="C3354" s="2" t="s">
        <v>17</v>
      </c>
      <c r="D3354" s="2" t="s">
        <v>27</v>
      </c>
      <c r="E3354" s="4">
        <v>-32820</v>
      </c>
      <c r="F3354" s="3" t="s">
        <v>226</v>
      </c>
      <c r="G3354" s="3" t="s">
        <v>356</v>
      </c>
      <c r="H3354" s="2" t="s">
        <v>74</v>
      </c>
      <c r="I3354" s="2" t="s">
        <v>9269</v>
      </c>
      <c r="J3354" s="3" t="str">
        <f>HYPERLINK("https://www.boe.es/gazeta/dias/1810/02/20/pdfs/GMD-1810-51.pdf#page=3","Abrir facsímil")</f>
        <v>Abrir facsímil</v>
      </c>
      <c r="K3354" s="3" t="s">
        <v>76</v>
      </c>
    </row>
    <row r="3355" spans="1:11" ht="42" customHeight="1">
      <c r="A3355" s="2" t="s">
        <v>9270</v>
      </c>
      <c r="B3355" s="2" t="s">
        <v>9270</v>
      </c>
      <c r="C3355" s="2" t="s">
        <v>88</v>
      </c>
      <c r="D3355" s="2" t="s">
        <v>117</v>
      </c>
      <c r="E3355" s="4">
        <v>-32515</v>
      </c>
      <c r="F3355" s="3" t="s">
        <v>351</v>
      </c>
      <c r="G3355" s="3" t="s">
        <v>3473</v>
      </c>
      <c r="H3355" s="2" t="s">
        <v>74</v>
      </c>
      <c r="I3355" s="2" t="s">
        <v>9271</v>
      </c>
      <c r="J3355" s="3" t="str">
        <f>HYPERLINK("https://www.boe.es/gazeta/dias/1810/12/22/pdfs/GEI-1810-111.pdf#page=1","Abrir facsímil")</f>
        <v>Abrir facsímil</v>
      </c>
      <c r="K3355" s="3" t="s">
        <v>76</v>
      </c>
    </row>
    <row r="3356" spans="1:11" ht="42" customHeight="1">
      <c r="A3356" s="2" t="s">
        <v>9272</v>
      </c>
      <c r="B3356" s="2" t="s">
        <v>9272</v>
      </c>
      <c r="C3356" s="2" t="s">
        <v>88</v>
      </c>
      <c r="D3356" s="2" t="s">
        <v>27</v>
      </c>
      <c r="E3356" s="4">
        <v>-32772</v>
      </c>
      <c r="F3356" s="3" t="s">
        <v>398</v>
      </c>
      <c r="G3356" s="3" t="s">
        <v>1638</v>
      </c>
      <c r="H3356" s="2" t="s">
        <v>74</v>
      </c>
      <c r="I3356" s="2" t="s">
        <v>9273</v>
      </c>
      <c r="J3356" s="3" t="str">
        <f>HYPERLINK("https://www.boe.es/gazeta/dias/1810/04/09/pdfs/GMD-1810-99.pdf#page=2","Abrir facsímil")</f>
        <v>Abrir facsímil</v>
      </c>
      <c r="K3356" s="3" t="s">
        <v>76</v>
      </c>
    </row>
    <row r="3357" spans="1:11" ht="42" customHeight="1">
      <c r="A3357" s="2" t="s">
        <v>9274</v>
      </c>
      <c r="B3357" s="2" t="s">
        <v>9275</v>
      </c>
      <c r="C3357" s="2" t="s">
        <v>88</v>
      </c>
      <c r="D3357" s="2" t="s">
        <v>39</v>
      </c>
      <c r="E3357" s="4">
        <v>-32708</v>
      </c>
      <c r="F3357" s="3" t="s">
        <v>1601</v>
      </c>
      <c r="G3357" s="3" t="s">
        <v>3667</v>
      </c>
      <c r="H3357" s="2" t="s">
        <v>74</v>
      </c>
      <c r="I3357" s="2" t="s">
        <v>9276</v>
      </c>
      <c r="J3357" s="3" t="str">
        <f>HYPERLINK("https://www.boe.es/gazeta/dias/1810/06/12/pdfs/GEI-D-1810-35.pdf#page=5","Abrir facsímil")</f>
        <v>Abrir facsímil</v>
      </c>
      <c r="K3357" s="3" t="s">
        <v>76</v>
      </c>
    </row>
    <row r="3358" spans="1:11" ht="42" customHeight="1">
      <c r="A3358" s="2" t="s">
        <v>9277</v>
      </c>
      <c r="B3358" s="2" t="s">
        <v>9277</v>
      </c>
      <c r="C3358" s="2" t="s">
        <v>88</v>
      </c>
      <c r="D3358" s="2" t="s">
        <v>117</v>
      </c>
      <c r="E3358" s="4">
        <v>-32776</v>
      </c>
      <c r="F3358" s="3" t="s">
        <v>752</v>
      </c>
      <c r="G3358" s="3" t="s">
        <v>732</v>
      </c>
      <c r="H3358" s="2" t="s">
        <v>74</v>
      </c>
      <c r="I3358" s="2" t="s">
        <v>9278</v>
      </c>
      <c r="J3358" s="3" t="str">
        <f>HYPERLINK("https://www.boe.es/gazeta/dias/1810/04/05/pdfs/GMD-1810-95.pdf#page=1","Abrir facsímil")</f>
        <v>Abrir facsímil</v>
      </c>
      <c r="K3358" s="3" t="s">
        <v>76</v>
      </c>
    </row>
    <row r="3359" spans="1:11" ht="42" customHeight="1">
      <c r="A3359" s="2" t="s">
        <v>9279</v>
      </c>
      <c r="B3359" s="2" t="s">
        <v>9280</v>
      </c>
      <c r="C3359" s="2" t="s">
        <v>26</v>
      </c>
      <c r="D3359" s="2" t="s">
        <v>27</v>
      </c>
      <c r="E3359" s="4">
        <v>-32771</v>
      </c>
      <c r="F3359" s="3" t="s">
        <v>543</v>
      </c>
      <c r="G3359" s="3" t="s">
        <v>65</v>
      </c>
      <c r="H3359" s="2" t="s">
        <v>74</v>
      </c>
      <c r="I3359" s="2" t="s">
        <v>9281</v>
      </c>
      <c r="J3359" s="3" t="str">
        <f>HYPERLINK("https://www.boe.es/gazeta/dias/1810/04/10/pdfs/GEI-1810-13.pdf#page=7","Abrir facsímil")</f>
        <v>Abrir facsímil</v>
      </c>
      <c r="K3359" s="3" t="s">
        <v>76</v>
      </c>
    </row>
    <row r="3360" spans="1:11" ht="42" customHeight="1">
      <c r="A3360" s="2" t="s">
        <v>9282</v>
      </c>
      <c r="B3360" s="2" t="s">
        <v>9282</v>
      </c>
      <c r="C3360" s="2" t="s">
        <v>88</v>
      </c>
      <c r="D3360" s="2" t="s">
        <v>27</v>
      </c>
      <c r="E3360" s="4">
        <v>-32531</v>
      </c>
      <c r="F3360" s="3" t="s">
        <v>2483</v>
      </c>
      <c r="G3360" s="3" t="s">
        <v>235</v>
      </c>
      <c r="H3360" s="2" t="s">
        <v>74</v>
      </c>
      <c r="I3360" s="2" t="s">
        <v>9283</v>
      </c>
      <c r="J3360" s="3" t="str">
        <f>HYPERLINK("https://www.boe.es/gazeta/dias/1810/12/06/pdfs/GEI-1810-104.pdf#page=4","Abrir facsímil")</f>
        <v>Abrir facsímil</v>
      </c>
      <c r="K3360" s="3" t="s">
        <v>76</v>
      </c>
    </row>
    <row r="3361" spans="1:11" ht="42" customHeight="1">
      <c r="A3361" s="2" t="s">
        <v>9284</v>
      </c>
      <c r="B3361" s="2" t="s">
        <v>9285</v>
      </c>
      <c r="C3361" s="2" t="s">
        <v>26</v>
      </c>
      <c r="D3361" s="2" t="s">
        <v>27</v>
      </c>
      <c r="E3361" s="4">
        <v>-32647</v>
      </c>
      <c r="F3361" s="3" t="s">
        <v>118</v>
      </c>
      <c r="G3361" s="3" t="s">
        <v>119</v>
      </c>
      <c r="H3361" s="2" t="s">
        <v>74</v>
      </c>
      <c r="I3361" s="2" t="s">
        <v>9286</v>
      </c>
      <c r="J3361" s="3" t="str">
        <f>HYPERLINK("https://www.boe.es/gazeta/dias/1810/08/12/pdfs/GMD-1810-224.pdf#page=3","Abrir facsímil")</f>
        <v>Abrir facsímil</v>
      </c>
      <c r="K3361" s="3" t="s">
        <v>76</v>
      </c>
    </row>
    <row r="3362" spans="1:11" ht="42" customHeight="1">
      <c r="A3362" s="2" t="s">
        <v>9287</v>
      </c>
      <c r="B3362" s="2" t="s">
        <v>9287</v>
      </c>
      <c r="C3362" s="2" t="s">
        <v>88</v>
      </c>
      <c r="D3362" s="2" t="s">
        <v>27</v>
      </c>
      <c r="E3362" s="4">
        <v>-32515</v>
      </c>
      <c r="F3362" s="3" t="s">
        <v>351</v>
      </c>
      <c r="G3362" s="3" t="s">
        <v>352</v>
      </c>
      <c r="H3362" s="2" t="s">
        <v>74</v>
      </c>
      <c r="I3362" s="2" t="s">
        <v>9288</v>
      </c>
      <c r="J3362" s="3" t="str">
        <f>HYPERLINK("https://www.boe.es/gazeta/dias/1810/12/22/pdfs/GEI-1810-111.pdf#page=8","Abrir facsímil")</f>
        <v>Abrir facsímil</v>
      </c>
      <c r="K3362" s="3" t="s">
        <v>76</v>
      </c>
    </row>
    <row r="3363" spans="1:11" ht="42" customHeight="1">
      <c r="A3363" s="2" t="s">
        <v>9289</v>
      </c>
      <c r="B3363" s="2" t="s">
        <v>9289</v>
      </c>
      <c r="C3363" s="2" t="s">
        <v>88</v>
      </c>
      <c r="D3363" s="2" t="s">
        <v>27</v>
      </c>
      <c r="E3363" s="4">
        <v>-32531</v>
      </c>
      <c r="F3363" s="3" t="s">
        <v>2483</v>
      </c>
      <c r="G3363" s="3" t="s">
        <v>235</v>
      </c>
      <c r="H3363" s="2" t="s">
        <v>74</v>
      </c>
      <c r="I3363" s="2" t="s">
        <v>9290</v>
      </c>
      <c r="J3363" s="3" t="str">
        <f>HYPERLINK("https://www.boe.es/gazeta/dias/1810/12/06/pdfs/GEI-1810-104.pdf#page=4","Abrir facsímil")</f>
        <v>Abrir facsímil</v>
      </c>
      <c r="K3363" s="3" t="s">
        <v>76</v>
      </c>
    </row>
    <row r="3364" spans="1:11" ht="42" customHeight="1">
      <c r="A3364" s="2" t="s">
        <v>9291</v>
      </c>
      <c r="B3364" s="2" t="s">
        <v>9292</v>
      </c>
      <c r="C3364" s="2" t="s">
        <v>88</v>
      </c>
      <c r="D3364" s="2" t="s">
        <v>27</v>
      </c>
      <c r="E3364" s="4">
        <v>-32710</v>
      </c>
      <c r="F3364" s="3" t="s">
        <v>126</v>
      </c>
      <c r="G3364" s="3" t="s">
        <v>184</v>
      </c>
      <c r="H3364" s="2" t="s">
        <v>74</v>
      </c>
      <c r="I3364" s="2" t="s">
        <v>9293</v>
      </c>
      <c r="J3364" s="3" t="str">
        <f>HYPERLINK("https://www.boe.es/gazeta/dias/1810/06/10/pdfs/GMD-1810-161.pdf#page=3","Abrir facsímil")</f>
        <v>Abrir facsímil</v>
      </c>
      <c r="K3364" s="3" t="s">
        <v>76</v>
      </c>
    </row>
    <row r="3365" spans="1:11" ht="42" customHeight="1">
      <c r="A3365" s="2" t="s">
        <v>9291</v>
      </c>
      <c r="B3365" s="2" t="s">
        <v>9292</v>
      </c>
      <c r="C3365" s="2" t="s">
        <v>26</v>
      </c>
      <c r="D3365" s="2" t="s">
        <v>27</v>
      </c>
      <c r="E3365" s="4">
        <v>-32647</v>
      </c>
      <c r="F3365" s="3" t="s">
        <v>118</v>
      </c>
      <c r="G3365" s="3" t="s">
        <v>119</v>
      </c>
      <c r="H3365" s="2" t="s">
        <v>74</v>
      </c>
      <c r="I3365" s="2" t="s">
        <v>9294</v>
      </c>
      <c r="J3365" s="3" t="str">
        <f>HYPERLINK("https://www.boe.es/gazeta/dias/1810/08/12/pdfs/GMD-1810-224.pdf#page=3","Abrir facsímil")</f>
        <v>Abrir facsímil</v>
      </c>
      <c r="K3365" s="3" t="s">
        <v>76</v>
      </c>
    </row>
    <row r="3366" spans="1:11" ht="42" customHeight="1">
      <c r="A3366" s="2" t="s">
        <v>9295</v>
      </c>
      <c r="B3366" s="2" t="s">
        <v>9295</v>
      </c>
      <c r="C3366" s="2" t="s">
        <v>26</v>
      </c>
      <c r="D3366" s="2" t="s">
        <v>27</v>
      </c>
      <c r="E3366" s="4">
        <v>-32861</v>
      </c>
      <c r="F3366" s="3" t="s">
        <v>796</v>
      </c>
      <c r="G3366" s="3" t="s">
        <v>99</v>
      </c>
      <c r="H3366" s="2" t="s">
        <v>74</v>
      </c>
      <c r="I3366" s="2" t="s">
        <v>9296</v>
      </c>
      <c r="J3366" s="3" t="str">
        <f>HYPERLINK("https://www.boe.es/gazeta/dias/1810/01/10/pdfs/GMD-1810-10.pdf#page=3","Abrir facsímil")</f>
        <v>Abrir facsímil</v>
      </c>
      <c r="K3366" s="3" t="s">
        <v>76</v>
      </c>
    </row>
    <row r="3367" spans="1:11" ht="42" customHeight="1">
      <c r="A3367" s="2" t="s">
        <v>9297</v>
      </c>
      <c r="B3367" s="2" t="s">
        <v>9298</v>
      </c>
      <c r="C3367" s="2" t="s">
        <v>26</v>
      </c>
      <c r="D3367" s="2" t="s">
        <v>27</v>
      </c>
      <c r="E3367" s="4">
        <v>-32710</v>
      </c>
      <c r="F3367" s="3" t="s">
        <v>126</v>
      </c>
      <c r="G3367" s="3" t="s">
        <v>184</v>
      </c>
      <c r="H3367" s="2" t="s">
        <v>74</v>
      </c>
      <c r="I3367" s="2" t="s">
        <v>9299</v>
      </c>
      <c r="J3367" s="3" t="str">
        <f>HYPERLINK("https://www.boe.es/gazeta/dias/1810/06/10/pdfs/GMD-1810-161.pdf#page=3","Abrir facsímil")</f>
        <v>Abrir facsímil</v>
      </c>
      <c r="K3367" s="3" t="s">
        <v>76</v>
      </c>
    </row>
    <row r="3368" spans="1:11" ht="42" customHeight="1">
      <c r="A3368" s="2" t="s">
        <v>9300</v>
      </c>
      <c r="B3368" s="2" t="s">
        <v>9301</v>
      </c>
      <c r="C3368" s="2" t="s">
        <v>26</v>
      </c>
      <c r="D3368" s="2" t="s">
        <v>27</v>
      </c>
      <c r="E3368" s="4">
        <v>-32528</v>
      </c>
      <c r="F3368" s="3" t="s">
        <v>3058</v>
      </c>
      <c r="G3368" s="3" t="s">
        <v>359</v>
      </c>
      <c r="H3368" s="2" t="s">
        <v>74</v>
      </c>
      <c r="I3368" s="2" t="s">
        <v>9302</v>
      </c>
      <c r="J3368" s="3" t="str">
        <f>HYPERLINK("https://www.boe.es/gazeta/dias/1810/12/09/pdfs/GMD-1810-343.pdf#page=3","Abrir facsímil")</f>
        <v>Abrir facsímil</v>
      </c>
      <c r="K3368" s="3" t="s">
        <v>76</v>
      </c>
    </row>
    <row r="3369" spans="1:11" ht="42" customHeight="1">
      <c r="A3369" s="2" t="s">
        <v>9303</v>
      </c>
      <c r="B3369" s="2" t="s">
        <v>9304</v>
      </c>
      <c r="C3369" s="2" t="s">
        <v>26</v>
      </c>
      <c r="D3369" s="2" t="s">
        <v>39</v>
      </c>
      <c r="E3369" s="4">
        <v>-32684</v>
      </c>
      <c r="F3369" s="3" t="s">
        <v>372</v>
      </c>
      <c r="G3369" s="3" t="s">
        <v>373</v>
      </c>
      <c r="H3369" s="2" t="s">
        <v>74</v>
      </c>
      <c r="I3369" s="2" t="s">
        <v>9305</v>
      </c>
      <c r="J3369" s="3" t="str">
        <f>HYPERLINK("https://www.boe.es/gazeta/dias/1810/07/06/pdfs/GEI-D-1810-42.pdf#page=8","Abrir facsímil")</f>
        <v>Abrir facsímil</v>
      </c>
      <c r="K3369" s="3" t="s">
        <v>76</v>
      </c>
    </row>
    <row r="3370" spans="1:11" ht="42" customHeight="1">
      <c r="A3370" s="2" t="s">
        <v>9306</v>
      </c>
      <c r="B3370" s="2" t="s">
        <v>9307</v>
      </c>
      <c r="C3370" s="2" t="s">
        <v>26</v>
      </c>
      <c r="D3370" s="2" t="s">
        <v>27</v>
      </c>
      <c r="E3370" s="4">
        <v>-32545</v>
      </c>
      <c r="F3370" s="3" t="s">
        <v>165</v>
      </c>
      <c r="G3370" s="3" t="s">
        <v>166</v>
      </c>
      <c r="H3370" s="2" t="s">
        <v>74</v>
      </c>
      <c r="I3370" s="2" t="s">
        <v>9308</v>
      </c>
      <c r="J3370" s="3" t="str">
        <f>HYPERLINK("https://www.boe.es/gazeta/dias/1810/11/22/pdfs/GEI-1810-98.pdf#page=8","Abrir facsímil")</f>
        <v>Abrir facsímil</v>
      </c>
      <c r="K3370" s="3" t="s">
        <v>76</v>
      </c>
    </row>
    <row r="3371" spans="1:11" ht="42" customHeight="1">
      <c r="A3371" s="2" t="s">
        <v>9309</v>
      </c>
      <c r="B3371" s="2" t="s">
        <v>9310</v>
      </c>
      <c r="C3371" s="2" t="s">
        <v>88</v>
      </c>
      <c r="D3371" s="2" t="s">
        <v>117</v>
      </c>
      <c r="E3371" s="4">
        <v>-32729</v>
      </c>
      <c r="F3371" s="3" t="s">
        <v>174</v>
      </c>
      <c r="G3371" s="3" t="s">
        <v>175</v>
      </c>
      <c r="H3371" s="2" t="s">
        <v>74</v>
      </c>
      <c r="I3371" s="2" t="s">
        <v>9311</v>
      </c>
      <c r="J3371" s="3" t="str">
        <f>HYPERLINK("https://www.boe.es/gazeta/dias/1810/05/22/pdfs/GEI-1810-28.pdf#page=10","Abrir facsímil")</f>
        <v>Abrir facsímil</v>
      </c>
      <c r="K3371" s="3" t="s">
        <v>76</v>
      </c>
    </row>
    <row r="3372" spans="1:11" ht="42" customHeight="1">
      <c r="A3372" s="2" t="s">
        <v>9312</v>
      </c>
      <c r="B3372" s="2" t="s">
        <v>9312</v>
      </c>
      <c r="C3372" s="2" t="s">
        <v>26</v>
      </c>
      <c r="D3372" s="2" t="s">
        <v>27</v>
      </c>
      <c r="E3372" s="4">
        <v>-32543</v>
      </c>
      <c r="F3372" s="3" t="s">
        <v>4082</v>
      </c>
      <c r="G3372" s="3" t="s">
        <v>90</v>
      </c>
      <c r="H3372" s="2" t="s">
        <v>74</v>
      </c>
      <c r="I3372" s="2" t="s">
        <v>9313</v>
      </c>
      <c r="J3372" s="3" t="str">
        <f>HYPERLINK("https://www.boe.es/gazeta/dias/1810/11/24/pdfs/GMD-1810-328.pdf#page=4","Abrir facsímil")</f>
        <v>Abrir facsímil</v>
      </c>
      <c r="K3372" s="3" t="s">
        <v>76</v>
      </c>
    </row>
    <row r="3373" spans="1:11" ht="42" customHeight="1">
      <c r="A3373" s="2" t="s">
        <v>9314</v>
      </c>
      <c r="B3373" s="2" t="s">
        <v>9315</v>
      </c>
      <c r="C3373" s="2" t="s">
        <v>26</v>
      </c>
      <c r="D3373" s="2" t="s">
        <v>18</v>
      </c>
      <c r="E3373" s="4">
        <v>-32656</v>
      </c>
      <c r="F3373" s="3" t="s">
        <v>1909</v>
      </c>
      <c r="G3373" s="3" t="s">
        <v>2094</v>
      </c>
      <c r="H3373" s="2" t="s">
        <v>74</v>
      </c>
      <c r="I3373" s="2" t="s">
        <v>9316</v>
      </c>
      <c r="J3373" s="3" t="str">
        <f>HYPERLINK("https://www.boe.es/gazeta/dias/1810/08/03/pdfs/GEI-1810-50.pdf#page=6","Abrir facsímil")</f>
        <v>Abrir facsímil</v>
      </c>
      <c r="K3373" s="3" t="s">
        <v>76</v>
      </c>
    </row>
    <row r="3374" spans="1:11" ht="42" customHeight="1">
      <c r="A3374" s="2" t="s">
        <v>9317</v>
      </c>
      <c r="B3374" s="2" t="s">
        <v>9318</v>
      </c>
      <c r="C3374" s="2" t="s">
        <v>88</v>
      </c>
      <c r="D3374" s="2" t="s">
        <v>27</v>
      </c>
      <c r="E3374" s="4">
        <v>-32728</v>
      </c>
      <c r="F3374" s="3" t="s">
        <v>269</v>
      </c>
      <c r="G3374" s="3" t="s">
        <v>119</v>
      </c>
      <c r="H3374" s="2" t="s">
        <v>74</v>
      </c>
      <c r="I3374" s="2" t="s">
        <v>9319</v>
      </c>
      <c r="J3374" s="3" t="str">
        <f>HYPERLINK("https://www.boe.es/gazeta/dias/1810/05/23/pdfs/GMD-1810-143.pdf#page=3","Abrir facsímil")</f>
        <v>Abrir facsímil</v>
      </c>
      <c r="K3374" s="3" t="s">
        <v>76</v>
      </c>
    </row>
    <row r="3375" spans="1:11" ht="42" customHeight="1">
      <c r="A3375" s="2" t="s">
        <v>9320</v>
      </c>
      <c r="B3375" s="2" t="s">
        <v>9321</v>
      </c>
      <c r="C3375" s="2" t="s">
        <v>88</v>
      </c>
      <c r="D3375" s="2" t="s">
        <v>117</v>
      </c>
      <c r="E3375" s="4">
        <v>-32851</v>
      </c>
      <c r="F3375" s="3" t="s">
        <v>4243</v>
      </c>
      <c r="G3375" s="3" t="s">
        <v>20</v>
      </c>
      <c r="H3375" s="2" t="s">
        <v>74</v>
      </c>
      <c r="I3375" s="2" t="s">
        <v>9322</v>
      </c>
      <c r="J3375" s="3" t="str">
        <f>HYPERLINK("https://www.boe.es/gazeta/dias/1810/01/20/pdfs/GMD-1810-20.pdf#page=4","Abrir facsímil")</f>
        <v>Abrir facsímil</v>
      </c>
      <c r="K3375" s="3" t="s">
        <v>76</v>
      </c>
    </row>
    <row r="3376" spans="1:11" ht="42" customHeight="1">
      <c r="A3376" s="2" t="s">
        <v>9323</v>
      </c>
      <c r="B3376" s="2" t="s">
        <v>9324</v>
      </c>
      <c r="C3376" s="2" t="s">
        <v>26</v>
      </c>
      <c r="D3376" s="2" t="s">
        <v>39</v>
      </c>
      <c r="E3376" s="4">
        <v>-32701</v>
      </c>
      <c r="F3376" s="3" t="s">
        <v>40</v>
      </c>
      <c r="G3376" s="3" t="s">
        <v>170</v>
      </c>
      <c r="H3376" s="2" t="s">
        <v>74</v>
      </c>
      <c r="I3376" s="2" t="s">
        <v>9325</v>
      </c>
      <c r="J3376" s="3" t="str">
        <f>HYPERLINK("https://www.boe.es/gazeta/dias/1810/06/19/pdfs/GMD-C-1810-170.pdf#page=1","Abrir facsímil")</f>
        <v>Abrir facsímil</v>
      </c>
      <c r="K3376" s="3" t="s">
        <v>76</v>
      </c>
    </row>
    <row r="3377" spans="1:11" ht="42" customHeight="1">
      <c r="A3377" s="2" t="s">
        <v>9326</v>
      </c>
      <c r="B3377" s="2" t="s">
        <v>9327</v>
      </c>
      <c r="C3377" s="2" t="s">
        <v>26</v>
      </c>
      <c r="D3377" s="2" t="s">
        <v>18</v>
      </c>
      <c r="E3377" s="4">
        <v>-32827</v>
      </c>
      <c r="F3377" s="3" t="s">
        <v>290</v>
      </c>
      <c r="G3377" s="3" t="s">
        <v>291</v>
      </c>
      <c r="H3377" s="2" t="s">
        <v>74</v>
      </c>
      <c r="I3377" s="2" t="s">
        <v>9328</v>
      </c>
      <c r="J3377" s="3" t="str">
        <f>HYPERLINK("https://www.boe.es/gazeta/dias/1810/02/13/pdfs/GMD-1810-44.pdf#page=4","Abrir facsímil")</f>
        <v>Abrir facsímil</v>
      </c>
      <c r="K3377" s="3" t="s">
        <v>76</v>
      </c>
    </row>
    <row r="3378" spans="1:11" ht="42" customHeight="1">
      <c r="A3378" s="2" t="s">
        <v>9329</v>
      </c>
      <c r="B3378" s="2" t="s">
        <v>9330</v>
      </c>
      <c r="C3378" s="2" t="s">
        <v>88</v>
      </c>
      <c r="D3378" s="2" t="s">
        <v>117</v>
      </c>
      <c r="E3378" s="4">
        <v>-32783</v>
      </c>
      <c r="F3378" s="3" t="s">
        <v>896</v>
      </c>
      <c r="G3378" s="3" t="s">
        <v>20</v>
      </c>
      <c r="H3378" s="2" t="s">
        <v>74</v>
      </c>
      <c r="I3378" s="2" t="s">
        <v>9331</v>
      </c>
      <c r="J3378" s="3" t="str">
        <f>HYPERLINK("https://www.boe.es/gazeta/dias/1810/03/29/pdfs/GMD-1810-88.pdf#page=4","Abrir facsímil")</f>
        <v>Abrir facsímil</v>
      </c>
      <c r="K3378" s="3" t="s">
        <v>76</v>
      </c>
    </row>
    <row r="3379" spans="1:11" ht="42" customHeight="1">
      <c r="A3379" s="2" t="s">
        <v>9332</v>
      </c>
      <c r="B3379" s="2" t="s">
        <v>9333</v>
      </c>
      <c r="C3379" s="2" t="s">
        <v>26</v>
      </c>
      <c r="D3379" s="2" t="s">
        <v>39</v>
      </c>
      <c r="E3379" s="4">
        <v>-32702</v>
      </c>
      <c r="F3379" s="3" t="s">
        <v>179</v>
      </c>
      <c r="G3379" s="3" t="s">
        <v>119</v>
      </c>
      <c r="H3379" s="2" t="s">
        <v>74</v>
      </c>
      <c r="I3379" s="2" t="s">
        <v>9334</v>
      </c>
      <c r="J3379" s="3" t="str">
        <f>HYPERLINK("https://www.boe.es/gazeta/dias/1810/06/18/pdfs/GMD-C-1810-169.pdf#page=1","Abrir facsímil")</f>
        <v>Abrir facsímil</v>
      </c>
      <c r="K3379" s="3" t="s">
        <v>76</v>
      </c>
    </row>
    <row r="3380" spans="1:11" ht="42" customHeight="1">
      <c r="A3380" s="2" t="s">
        <v>9335</v>
      </c>
      <c r="B3380" s="2" t="s">
        <v>9335</v>
      </c>
      <c r="C3380" s="2" t="s">
        <v>88</v>
      </c>
      <c r="D3380" s="2" t="s">
        <v>220</v>
      </c>
      <c r="E3380" s="4">
        <v>-32524</v>
      </c>
      <c r="F3380" s="3" t="s">
        <v>9336</v>
      </c>
      <c r="G3380" s="3" t="s">
        <v>140</v>
      </c>
      <c r="H3380" s="2" t="s">
        <v>74</v>
      </c>
      <c r="I3380" s="2" t="s">
        <v>9337</v>
      </c>
      <c r="J3380" s="3" t="str">
        <f>HYPERLINK("https://www.boe.es/gazeta/dias/1810/12/13/pdfs/GMD-1810-347.pdf#page=4","Abrir facsímil")</f>
        <v>Abrir facsímil</v>
      </c>
      <c r="K3380" s="3" t="s">
        <v>76</v>
      </c>
    </row>
    <row r="3381" spans="1:11" ht="42" customHeight="1">
      <c r="A3381" s="2" t="s">
        <v>9338</v>
      </c>
      <c r="B3381" s="2" t="s">
        <v>9338</v>
      </c>
      <c r="C3381" s="2" t="s">
        <v>26</v>
      </c>
      <c r="D3381" s="2" t="s">
        <v>18</v>
      </c>
      <c r="E3381" s="4">
        <v>-32809</v>
      </c>
      <c r="F3381" s="3" t="s">
        <v>1873</v>
      </c>
      <c r="G3381" s="3" t="s">
        <v>735</v>
      </c>
      <c r="H3381" s="2" t="s">
        <v>74</v>
      </c>
      <c r="I3381" s="2" t="s">
        <v>9339</v>
      </c>
      <c r="J3381" s="3" t="str">
        <f>HYPERLINK("https://www.boe.es/gazeta/dias/1810/03/03/pdfs/GMD-1810-62.pdf#page=4","Abrir facsímil")</f>
        <v>Abrir facsímil</v>
      </c>
      <c r="K3381" s="3" t="s">
        <v>76</v>
      </c>
    </row>
    <row r="3382" spans="1:11" ht="42" customHeight="1">
      <c r="A3382" s="2" t="s">
        <v>9340</v>
      </c>
      <c r="B3382" s="2" t="s">
        <v>9341</v>
      </c>
      <c r="C3382" s="2" t="s">
        <v>26</v>
      </c>
      <c r="D3382" s="2" t="s">
        <v>27</v>
      </c>
      <c r="E3382" s="4">
        <v>-32608</v>
      </c>
      <c r="F3382" s="3" t="s">
        <v>781</v>
      </c>
      <c r="G3382" s="3" t="s">
        <v>782</v>
      </c>
      <c r="H3382" s="2" t="s">
        <v>74</v>
      </c>
      <c r="I3382" s="2" t="s">
        <v>9342</v>
      </c>
      <c r="J3382" s="3" t="str">
        <f>HYPERLINK("https://www.boe.es/gazeta/dias/1810/09/20/pdfs/GEI-1810-70.pdf#page=5","Abrir facsímil")</f>
        <v>Abrir facsímil</v>
      </c>
      <c r="K3382" s="3" t="s">
        <v>76</v>
      </c>
    </row>
    <row r="3383" spans="1:11" ht="42" customHeight="1">
      <c r="A3383" s="2" t="s">
        <v>9343</v>
      </c>
      <c r="B3383" s="2" t="s">
        <v>9344</v>
      </c>
      <c r="C3383" s="2" t="s">
        <v>26</v>
      </c>
      <c r="D3383" s="2" t="s">
        <v>27</v>
      </c>
      <c r="E3383" s="4">
        <v>-32842</v>
      </c>
      <c r="F3383" s="3" t="s">
        <v>1291</v>
      </c>
      <c r="G3383" s="3" t="s">
        <v>70</v>
      </c>
      <c r="H3383" s="2" t="s">
        <v>74</v>
      </c>
      <c r="I3383" s="2" t="s">
        <v>9345</v>
      </c>
      <c r="J3383" s="3" t="str">
        <f>HYPERLINK("https://www.boe.es/gazeta/dias/1810/01/29/pdfs/GMD-1810-29.pdf#page=4","Abrir facsímil")</f>
        <v>Abrir facsímil</v>
      </c>
      <c r="K3383" s="3" t="s">
        <v>76</v>
      </c>
    </row>
    <row r="3384" spans="1:11" ht="42" customHeight="1">
      <c r="A3384" s="2" t="s">
        <v>9346</v>
      </c>
      <c r="B3384" s="2" t="s">
        <v>9346</v>
      </c>
      <c r="C3384" s="2" t="s">
        <v>88</v>
      </c>
      <c r="D3384" s="2" t="s">
        <v>27</v>
      </c>
      <c r="E3384" s="4">
        <v>-32529</v>
      </c>
      <c r="F3384" s="3" t="s">
        <v>112</v>
      </c>
      <c r="G3384" s="3" t="s">
        <v>1222</v>
      </c>
      <c r="H3384" s="2" t="s">
        <v>74</v>
      </c>
      <c r="I3384" s="2" t="s">
        <v>9347</v>
      </c>
      <c r="J3384" s="3" t="str">
        <f>HYPERLINK("https://www.boe.es/gazeta/dias/1810/12/08/pdfs/GEI-1810-105.pdf#page=6","Abrir facsímil")</f>
        <v>Abrir facsímil</v>
      </c>
      <c r="K3384" s="3" t="s">
        <v>76</v>
      </c>
    </row>
    <row r="3385" spans="1:11" ht="42" customHeight="1">
      <c r="A3385" s="2" t="s">
        <v>9348</v>
      </c>
      <c r="B3385" s="2" t="s">
        <v>9349</v>
      </c>
      <c r="C3385" s="2" t="s">
        <v>88</v>
      </c>
      <c r="D3385" s="2" t="s">
        <v>117</v>
      </c>
      <c r="E3385" s="4">
        <v>-32575</v>
      </c>
      <c r="F3385" s="3" t="s">
        <v>135</v>
      </c>
      <c r="G3385" s="3" t="s">
        <v>2560</v>
      </c>
      <c r="H3385" s="2" t="s">
        <v>74</v>
      </c>
      <c r="I3385" s="2" t="s">
        <v>9350</v>
      </c>
      <c r="J3385" s="3" t="str">
        <f>HYPERLINK("https://www.boe.es/gazeta/dias/1810/10/23/pdfs/GEI-1810-85.pdf#page=5","Abrir facsímil")</f>
        <v>Abrir facsímil</v>
      </c>
      <c r="K3385" s="3" t="s">
        <v>76</v>
      </c>
    </row>
    <row r="3386" spans="1:11" ht="42" customHeight="1">
      <c r="A3386" s="2" t="s">
        <v>9351</v>
      </c>
      <c r="B3386" s="2" t="s">
        <v>9352</v>
      </c>
      <c r="C3386" s="2" t="s">
        <v>88</v>
      </c>
      <c r="D3386" s="2" t="s">
        <v>117</v>
      </c>
      <c r="E3386" s="4">
        <v>-32510</v>
      </c>
      <c r="F3386" s="3" t="s">
        <v>1955</v>
      </c>
      <c r="G3386" s="3" t="s">
        <v>8296</v>
      </c>
      <c r="H3386" s="2" t="s">
        <v>74</v>
      </c>
      <c r="I3386" s="2" t="s">
        <v>9353</v>
      </c>
      <c r="J3386" s="3" t="str">
        <f>HYPERLINK("https://www.boe.es/gazeta/dias/1810/12/27/pdfs/GEI-1810-113.pdf#page=1","Abrir facsímil")</f>
        <v>Abrir facsímil</v>
      </c>
      <c r="K3386" s="3" t="s">
        <v>76</v>
      </c>
    </row>
    <row r="3387" spans="1:11" ht="42" customHeight="1">
      <c r="A3387" s="2" t="s">
        <v>9354</v>
      </c>
      <c r="B3387" s="2" t="s">
        <v>9355</v>
      </c>
      <c r="C3387" s="2" t="s">
        <v>111</v>
      </c>
      <c r="D3387" s="2" t="s">
        <v>220</v>
      </c>
      <c r="E3387" s="4">
        <v>-32578</v>
      </c>
      <c r="F3387" s="3" t="s">
        <v>2333</v>
      </c>
      <c r="G3387" s="3" t="s">
        <v>9356</v>
      </c>
      <c r="H3387" s="2" t="s">
        <v>74</v>
      </c>
      <c r="I3387" s="2" t="s">
        <v>9357</v>
      </c>
      <c r="J3387" s="3" t="str">
        <f>HYPERLINK("https://www.boe.es/gazeta/dias/1810/10/20/pdfs/GEI-1810-84.pdf#page=1","Abrir facsímil")</f>
        <v>Abrir facsímil</v>
      </c>
      <c r="K3387" s="3" t="s">
        <v>76</v>
      </c>
    </row>
    <row r="3388" spans="1:11" ht="42" customHeight="1">
      <c r="A3388" s="2" t="s">
        <v>9354</v>
      </c>
      <c r="B3388" s="2" t="s">
        <v>9355</v>
      </c>
      <c r="C3388" s="2" t="s">
        <v>88</v>
      </c>
      <c r="D3388" s="2" t="s">
        <v>27</v>
      </c>
      <c r="E3388" s="4">
        <v>-32578</v>
      </c>
      <c r="F3388" s="3" t="s">
        <v>2333</v>
      </c>
      <c r="G3388" s="3" t="s">
        <v>3133</v>
      </c>
      <c r="H3388" s="2" t="s">
        <v>74</v>
      </c>
      <c r="I3388" s="2" t="s">
        <v>9358</v>
      </c>
      <c r="J3388" s="3" t="str">
        <f>HYPERLINK("https://www.boe.es/gazeta/dias/1810/10/20/pdfs/GEI-1810-84.pdf#page=6","Abrir facsímil")</f>
        <v>Abrir facsímil</v>
      </c>
      <c r="K3388" s="3" t="s">
        <v>76</v>
      </c>
    </row>
    <row r="3389" spans="1:11" ht="42" customHeight="1">
      <c r="A3389" s="2" t="s">
        <v>9354</v>
      </c>
      <c r="B3389" s="2" t="s">
        <v>9355</v>
      </c>
      <c r="C3389" s="2" t="s">
        <v>88</v>
      </c>
      <c r="D3389" s="2" t="s">
        <v>117</v>
      </c>
      <c r="E3389" s="4">
        <v>-32575</v>
      </c>
      <c r="F3389" s="3" t="s">
        <v>135</v>
      </c>
      <c r="G3389" s="3" t="s">
        <v>9359</v>
      </c>
      <c r="H3389" s="2" t="s">
        <v>74</v>
      </c>
      <c r="I3389" s="2" t="s">
        <v>9360</v>
      </c>
      <c r="J3389" s="3" t="str">
        <f>HYPERLINK("https://www.boe.es/gazeta/dias/1810/10/23/pdfs/GEI-1810-85.pdf#page=1","Abrir facsímil")</f>
        <v>Abrir facsímil</v>
      </c>
      <c r="K3389" s="3" t="s">
        <v>76</v>
      </c>
    </row>
    <row r="3390" spans="1:11" ht="42" customHeight="1">
      <c r="A3390" s="2" t="s">
        <v>9354</v>
      </c>
      <c r="B3390" s="2" t="s">
        <v>9355</v>
      </c>
      <c r="C3390" s="2" t="s">
        <v>88</v>
      </c>
      <c r="D3390" s="2" t="s">
        <v>117</v>
      </c>
      <c r="E3390" s="4">
        <v>-32571</v>
      </c>
      <c r="F3390" s="3" t="s">
        <v>737</v>
      </c>
      <c r="G3390" s="3" t="s">
        <v>9361</v>
      </c>
      <c r="H3390" s="2" t="s">
        <v>74</v>
      </c>
      <c r="I3390" s="2" t="s">
        <v>9362</v>
      </c>
      <c r="J3390" s="3" t="str">
        <f>HYPERLINK("https://www.boe.es/gazeta/dias/1810/10/27/pdfs/GEI-1810-87.pdf#page=1","Abrir facsímil")</f>
        <v>Abrir facsímil</v>
      </c>
      <c r="K3390" s="3" t="s">
        <v>76</v>
      </c>
    </row>
    <row r="3391" spans="1:11" ht="42" customHeight="1">
      <c r="A3391" s="2" t="s">
        <v>9354</v>
      </c>
      <c r="B3391" s="2" t="s">
        <v>9355</v>
      </c>
      <c r="C3391" s="2" t="s">
        <v>88</v>
      </c>
      <c r="D3391" s="2" t="s">
        <v>220</v>
      </c>
      <c r="E3391" s="4">
        <v>-32538</v>
      </c>
      <c r="F3391" s="3" t="s">
        <v>1949</v>
      </c>
      <c r="G3391" s="3" t="s">
        <v>9363</v>
      </c>
      <c r="H3391" s="2" t="s">
        <v>74</v>
      </c>
      <c r="I3391" s="2" t="s">
        <v>9364</v>
      </c>
      <c r="J3391" s="3" t="str">
        <f>HYPERLINK("https://www.boe.es/gazeta/dias/1810/11/29/pdfs/GEI-1810-101.pdf#page=1","Abrir facsímil")</f>
        <v>Abrir facsímil</v>
      </c>
      <c r="K3391" s="3" t="s">
        <v>76</v>
      </c>
    </row>
    <row r="3392" spans="1:11" ht="42" customHeight="1">
      <c r="A3392" s="2" t="s">
        <v>9365</v>
      </c>
      <c r="B3392" s="2" t="s">
        <v>9366</v>
      </c>
      <c r="C3392" s="2" t="s">
        <v>88</v>
      </c>
      <c r="D3392" s="2" t="s">
        <v>117</v>
      </c>
      <c r="E3392" s="4">
        <v>-32515</v>
      </c>
      <c r="F3392" s="3" t="s">
        <v>351</v>
      </c>
      <c r="G3392" s="3" t="s">
        <v>9367</v>
      </c>
      <c r="H3392" s="2" t="s">
        <v>74</v>
      </c>
      <c r="I3392" s="2" t="s">
        <v>9368</v>
      </c>
      <c r="J3392" s="3" t="str">
        <f>HYPERLINK("https://www.boe.es/gazeta/dias/1810/12/22/pdfs/GEI-1810-111.pdf#page=5","Abrir facsímil")</f>
        <v>Abrir facsímil</v>
      </c>
      <c r="K3392" s="3" t="s">
        <v>76</v>
      </c>
    </row>
    <row r="3393" spans="1:11" ht="42" customHeight="1">
      <c r="A3393" s="2" t="s">
        <v>9369</v>
      </c>
      <c r="B3393" s="2" t="s">
        <v>9370</v>
      </c>
      <c r="C3393" s="2" t="s">
        <v>26</v>
      </c>
      <c r="D3393" s="2" t="s">
        <v>27</v>
      </c>
      <c r="E3393" s="4">
        <v>-32527</v>
      </c>
      <c r="F3393" s="3" t="s">
        <v>8069</v>
      </c>
      <c r="G3393" s="3" t="s">
        <v>90</v>
      </c>
      <c r="H3393" s="2" t="s">
        <v>74</v>
      </c>
      <c r="I3393" s="2" t="s">
        <v>9371</v>
      </c>
      <c r="J3393" s="3" t="str">
        <f>HYPERLINK("https://www.boe.es/gazeta/dias/1810/12/10/pdfs/GMD-1810-344.pdf#page=4","Abrir facsímil")</f>
        <v>Abrir facsímil</v>
      </c>
      <c r="K3393" s="3" t="s">
        <v>76</v>
      </c>
    </row>
    <row r="3394" spans="1:11" ht="42" customHeight="1">
      <c r="A3394" s="2" t="s">
        <v>9372</v>
      </c>
      <c r="B3394" s="2" t="s">
        <v>9373</v>
      </c>
      <c r="C3394" s="2" t="s">
        <v>26</v>
      </c>
      <c r="D3394" s="2" t="s">
        <v>39</v>
      </c>
      <c r="E3394" s="4">
        <v>-32702</v>
      </c>
      <c r="F3394" s="3" t="s">
        <v>179</v>
      </c>
      <c r="G3394" s="3" t="s">
        <v>213</v>
      </c>
      <c r="H3394" s="2" t="s">
        <v>74</v>
      </c>
      <c r="I3394" s="2" t="s">
        <v>9374</v>
      </c>
      <c r="J3394" s="3" t="str">
        <f>HYPERLINK("https://www.boe.es/gazeta/dias/1810/06/18/pdfs/GMD-C-1810-169.pdf#page=4","Abrir facsímil")</f>
        <v>Abrir facsímil</v>
      </c>
      <c r="K3394" s="3" t="s">
        <v>76</v>
      </c>
    </row>
    <row r="3395" spans="1:11" ht="42" customHeight="1">
      <c r="A3395" s="2" t="s">
        <v>9375</v>
      </c>
      <c r="B3395" s="2" t="s">
        <v>9376</v>
      </c>
      <c r="C3395" s="2" t="s">
        <v>26</v>
      </c>
      <c r="D3395" s="2" t="s">
        <v>39</v>
      </c>
      <c r="E3395" s="4">
        <v>-32702</v>
      </c>
      <c r="F3395" s="3" t="s">
        <v>179</v>
      </c>
      <c r="G3395" s="3" t="s">
        <v>180</v>
      </c>
      <c r="H3395" s="2" t="s">
        <v>74</v>
      </c>
      <c r="I3395" s="2" t="s">
        <v>9377</v>
      </c>
      <c r="J3395" s="3" t="str">
        <f>HYPERLINK("https://www.boe.es/gazeta/dias/1810/06/18/pdfs/GMD-C-1810-169.pdf#page=2","Abrir facsímil")</f>
        <v>Abrir facsímil</v>
      </c>
      <c r="K3395" s="3" t="s">
        <v>76</v>
      </c>
    </row>
    <row r="3396" spans="1:11" ht="42" customHeight="1">
      <c r="A3396" s="2" t="s">
        <v>9378</v>
      </c>
      <c r="B3396" s="2" t="s">
        <v>9379</v>
      </c>
      <c r="C3396" s="2" t="s">
        <v>26</v>
      </c>
      <c r="D3396" s="2" t="s">
        <v>27</v>
      </c>
      <c r="E3396" s="4">
        <v>-32710</v>
      </c>
      <c r="F3396" s="3" t="s">
        <v>126</v>
      </c>
      <c r="G3396" s="3" t="s">
        <v>35</v>
      </c>
      <c r="H3396" s="2" t="s">
        <v>74</v>
      </c>
      <c r="I3396" s="2" t="s">
        <v>9380</v>
      </c>
      <c r="J3396" s="3" t="str">
        <f>HYPERLINK("https://www.boe.es/gazeta/dias/1810/06/10/pdfs/GMD-1810-161.pdf#page=2","Abrir facsímil")</f>
        <v>Abrir facsímil</v>
      </c>
      <c r="K3396" s="3" t="s">
        <v>76</v>
      </c>
    </row>
    <row r="3397" spans="1:11" ht="42" customHeight="1">
      <c r="A3397" s="2" t="s">
        <v>9381</v>
      </c>
      <c r="B3397" s="2" t="s">
        <v>9382</v>
      </c>
      <c r="C3397" s="2" t="s">
        <v>26</v>
      </c>
      <c r="D3397" s="2" t="s">
        <v>18</v>
      </c>
      <c r="E3397" s="4">
        <v>-32687</v>
      </c>
      <c r="F3397" s="3" t="s">
        <v>221</v>
      </c>
      <c r="G3397" s="3" t="s">
        <v>20</v>
      </c>
      <c r="H3397" s="2" t="s">
        <v>74</v>
      </c>
      <c r="I3397" s="2" t="s">
        <v>9383</v>
      </c>
      <c r="J3397" s="3" t="str">
        <f>HYPERLINK("https://www.boe.es/gazeta/dias/1810/07/03/pdfs/GMD-1810-184.pdf#page=4","Abrir facsímil")</f>
        <v>Abrir facsímil</v>
      </c>
      <c r="K3397" s="3" t="s">
        <v>76</v>
      </c>
    </row>
    <row r="3398" spans="1:11" ht="42" customHeight="1">
      <c r="A3398" s="2" t="s">
        <v>9384</v>
      </c>
      <c r="B3398" s="2" t="s">
        <v>9384</v>
      </c>
      <c r="C3398" s="2" t="s">
        <v>33</v>
      </c>
      <c r="D3398" s="2" t="s">
        <v>27</v>
      </c>
      <c r="E3398" s="4">
        <v>-32628</v>
      </c>
      <c r="F3398" s="3" t="s">
        <v>3118</v>
      </c>
      <c r="G3398" s="3" t="s">
        <v>9385</v>
      </c>
      <c r="H3398" s="2" t="s">
        <v>74</v>
      </c>
      <c r="I3398" s="2" t="s">
        <v>9386</v>
      </c>
      <c r="J3398" s="3" t="str">
        <f>HYPERLINK("https://www.boe.es/gazeta/dias/1810/08/31/pdfs/GEI-1810-62.pdf#page=1","Abrir facsímil")</f>
        <v>Abrir facsímil</v>
      </c>
      <c r="K3398" s="3" t="s">
        <v>76</v>
      </c>
    </row>
    <row r="3399" spans="1:11" ht="42" customHeight="1">
      <c r="A3399" s="2" t="s">
        <v>9387</v>
      </c>
      <c r="B3399" s="2" t="s">
        <v>9388</v>
      </c>
      <c r="C3399" s="2" t="s">
        <v>26</v>
      </c>
      <c r="D3399" s="2" t="s">
        <v>27</v>
      </c>
      <c r="E3399" s="4">
        <v>-32687</v>
      </c>
      <c r="F3399" s="3" t="s">
        <v>221</v>
      </c>
      <c r="G3399" s="3" t="s">
        <v>20</v>
      </c>
      <c r="H3399" s="2" t="s">
        <v>74</v>
      </c>
      <c r="I3399" s="2" t="s">
        <v>9389</v>
      </c>
      <c r="J3399" s="3" t="str">
        <f>HYPERLINK("https://www.boe.es/gazeta/dias/1810/07/03/pdfs/GMD-1810-184.pdf#page=4","Abrir facsímil")</f>
        <v>Abrir facsímil</v>
      </c>
      <c r="K3399" s="3" t="s">
        <v>76</v>
      </c>
    </row>
    <row r="3400" spans="1:11" ht="42" customHeight="1">
      <c r="A3400" s="2" t="s">
        <v>9390</v>
      </c>
      <c r="B3400" s="2" t="s">
        <v>9391</v>
      </c>
      <c r="C3400" s="2" t="s">
        <v>17</v>
      </c>
      <c r="D3400" s="2" t="s">
        <v>18</v>
      </c>
      <c r="E3400" s="4">
        <v>-32628</v>
      </c>
      <c r="F3400" s="3" t="s">
        <v>9392</v>
      </c>
      <c r="G3400" s="3" t="s">
        <v>9393</v>
      </c>
      <c r="H3400" s="2" t="s">
        <v>74</v>
      </c>
      <c r="I3400" s="2" t="s">
        <v>9394</v>
      </c>
      <c r="J3400" s="3" t="str">
        <f>HYPERLINK("https://www.boe.es/gazeta/dias/1810/08/31/pdfs/GMD-1810-243.pdf#page=4","Abrir facsímil")</f>
        <v>Abrir facsímil</v>
      </c>
      <c r="K3400" s="3" t="s">
        <v>76</v>
      </c>
    </row>
    <row r="3401" spans="1:11" ht="42" customHeight="1">
      <c r="A3401" s="2" t="s">
        <v>9395</v>
      </c>
      <c r="B3401" s="2" t="s">
        <v>9395</v>
      </c>
      <c r="C3401" s="2" t="s">
        <v>88</v>
      </c>
      <c r="D3401" s="2" t="s">
        <v>27</v>
      </c>
      <c r="E3401" s="4">
        <v>-32642</v>
      </c>
      <c r="F3401" s="3" t="s">
        <v>2607</v>
      </c>
      <c r="G3401" s="3" t="s">
        <v>99</v>
      </c>
      <c r="H3401" s="2" t="s">
        <v>74</v>
      </c>
      <c r="I3401" s="2" t="s">
        <v>9396</v>
      </c>
      <c r="J3401" s="3" t="str">
        <f>HYPERLINK("https://www.boe.es/gazeta/dias/1810/08/17/pdfs/GMD-1810-229.pdf#page=3","Abrir facsímil")</f>
        <v>Abrir facsímil</v>
      </c>
      <c r="K3401" s="3" t="s">
        <v>76</v>
      </c>
    </row>
    <row r="3402" spans="1:11" ht="42" customHeight="1">
      <c r="A3402" s="2" t="s">
        <v>9395</v>
      </c>
      <c r="B3402" s="2" t="s">
        <v>9395</v>
      </c>
      <c r="C3402" s="2" t="s">
        <v>111</v>
      </c>
      <c r="D3402" s="2" t="s">
        <v>27</v>
      </c>
      <c r="E3402" s="4">
        <v>-32642</v>
      </c>
      <c r="F3402" s="3" t="s">
        <v>2607</v>
      </c>
      <c r="G3402" s="3" t="s">
        <v>227</v>
      </c>
      <c r="H3402" s="2" t="s">
        <v>74</v>
      </c>
      <c r="I3402" s="2" t="s">
        <v>9397</v>
      </c>
      <c r="J3402" s="3" t="str">
        <f>HYPERLINK("https://www.boe.es/gazeta/dias/1810/08/17/pdfs/GMD-1810-229.pdf#page=4","Abrir facsímil")</f>
        <v>Abrir facsímil</v>
      </c>
      <c r="K3402" s="3" t="s">
        <v>76</v>
      </c>
    </row>
    <row r="3403" spans="1:11" ht="42" customHeight="1">
      <c r="A3403" s="2" t="s">
        <v>9398</v>
      </c>
      <c r="B3403" s="2" t="s">
        <v>9399</v>
      </c>
      <c r="C3403" s="2" t="s">
        <v>88</v>
      </c>
      <c r="D3403" s="2" t="s">
        <v>117</v>
      </c>
      <c r="E3403" s="4">
        <v>-32617</v>
      </c>
      <c r="F3403" s="3" t="s">
        <v>3861</v>
      </c>
      <c r="G3403" s="3" t="s">
        <v>20</v>
      </c>
      <c r="H3403" s="2" t="s">
        <v>74</v>
      </c>
      <c r="I3403" s="2" t="s">
        <v>9400</v>
      </c>
      <c r="J3403" s="3" t="str">
        <f>HYPERLINK("https://www.boe.es/gazeta/dias/1810/09/11/pdfs/GMD-1810-254.pdf#page=4","Abrir facsímil")</f>
        <v>Abrir facsímil</v>
      </c>
      <c r="K3403" s="3" t="s">
        <v>76</v>
      </c>
    </row>
    <row r="3404" spans="1:11" ht="42" customHeight="1">
      <c r="A3404" s="2" t="s">
        <v>9401</v>
      </c>
      <c r="B3404" s="2" t="s">
        <v>9401</v>
      </c>
      <c r="C3404" s="2" t="s">
        <v>26</v>
      </c>
      <c r="D3404" s="2" t="s">
        <v>27</v>
      </c>
      <c r="E3404" s="4">
        <v>-32506</v>
      </c>
      <c r="F3404" s="3" t="s">
        <v>7076</v>
      </c>
      <c r="G3404" s="3" t="s">
        <v>227</v>
      </c>
      <c r="H3404" s="2" t="s">
        <v>74</v>
      </c>
      <c r="I3404" s="2" t="s">
        <v>9402</v>
      </c>
      <c r="J3404" s="3" t="str">
        <f>HYPERLINK("https://www.boe.es/gazeta/dias/1810/12/31/pdfs/GMD-1810-365.pdf#page=2","Abrir facsímil")</f>
        <v>Abrir facsímil</v>
      </c>
      <c r="K3404" s="3" t="s">
        <v>76</v>
      </c>
    </row>
    <row r="3405" spans="1:11" ht="42" customHeight="1">
      <c r="A3405" s="2" t="s">
        <v>9403</v>
      </c>
      <c r="B3405" s="2" t="s">
        <v>9403</v>
      </c>
      <c r="C3405" s="2" t="s">
        <v>88</v>
      </c>
      <c r="D3405" s="2" t="s">
        <v>27</v>
      </c>
      <c r="E3405" s="4">
        <v>-32525</v>
      </c>
      <c r="F3405" s="3" t="s">
        <v>9404</v>
      </c>
      <c r="G3405" s="3" t="s">
        <v>99</v>
      </c>
      <c r="H3405" s="2" t="s">
        <v>74</v>
      </c>
      <c r="I3405" s="2" t="s">
        <v>9405</v>
      </c>
      <c r="J3405" s="3" t="str">
        <f>HYPERLINK("https://www.boe.es/gazeta/dias/1810/12/12/pdfs/GMD-1810-346.pdf#page=3","Abrir facsímil")</f>
        <v>Abrir facsímil</v>
      </c>
      <c r="K3405" s="3" t="s">
        <v>76</v>
      </c>
    </row>
    <row r="3406" spans="1:11" ht="42" customHeight="1">
      <c r="A3406" s="2" t="s">
        <v>9406</v>
      </c>
      <c r="B3406" s="2" t="s">
        <v>9406</v>
      </c>
      <c r="C3406" s="2" t="s">
        <v>26</v>
      </c>
      <c r="D3406" s="2" t="s">
        <v>27</v>
      </c>
      <c r="E3406" s="4">
        <v>-32603</v>
      </c>
      <c r="F3406" s="3" t="s">
        <v>2163</v>
      </c>
      <c r="G3406" s="3" t="s">
        <v>29</v>
      </c>
      <c r="H3406" s="2" t="s">
        <v>74</v>
      </c>
      <c r="I3406" s="2" t="s">
        <v>9407</v>
      </c>
      <c r="J3406" s="3" t="str">
        <f>HYPERLINK("https://www.boe.es/gazeta/dias/1810/09/25/pdfs/GEI-1810-72.pdf#page=8","Abrir facsímil")</f>
        <v>Abrir facsímil</v>
      </c>
      <c r="K3406" s="3" t="s">
        <v>76</v>
      </c>
    </row>
    <row r="3407" spans="1:11" ht="42" customHeight="1">
      <c r="A3407" s="2" t="s">
        <v>9408</v>
      </c>
      <c r="B3407" s="2" t="s">
        <v>9409</v>
      </c>
      <c r="C3407" s="2" t="s">
        <v>26</v>
      </c>
      <c r="D3407" s="2" t="s">
        <v>27</v>
      </c>
      <c r="E3407" s="4">
        <v>-32733</v>
      </c>
      <c r="F3407" s="3" t="s">
        <v>644</v>
      </c>
      <c r="G3407" s="3" t="s">
        <v>35</v>
      </c>
      <c r="H3407" s="2" t="s">
        <v>74</v>
      </c>
      <c r="I3407" s="2" t="s">
        <v>9410</v>
      </c>
      <c r="J3407" s="3" t="str">
        <f>HYPERLINK("https://www.boe.es/gazeta/dias/1810/05/18/pdfs/GMD-1810-138.pdf#page=2","Abrir facsímil")</f>
        <v>Abrir facsímil</v>
      </c>
      <c r="K3407" s="3" t="s">
        <v>76</v>
      </c>
    </row>
    <row r="3408" spans="1:11" ht="42" customHeight="1">
      <c r="A3408" s="2" t="s">
        <v>9411</v>
      </c>
      <c r="B3408" s="2" t="s">
        <v>9411</v>
      </c>
      <c r="C3408" s="2" t="s">
        <v>88</v>
      </c>
      <c r="D3408" s="2" t="s">
        <v>27</v>
      </c>
      <c r="E3408" s="4">
        <v>-32700</v>
      </c>
      <c r="F3408" s="3" t="s">
        <v>89</v>
      </c>
      <c r="G3408" s="3" t="s">
        <v>70</v>
      </c>
      <c r="H3408" s="2" t="s">
        <v>74</v>
      </c>
      <c r="I3408" s="2" t="s">
        <v>9412</v>
      </c>
      <c r="J3408" s="3" t="str">
        <f>HYPERLINK("https://www.boe.es/gazeta/dias/1810/06/20/pdfs/GMD-1810-171.pdf#page=4","Abrir facsímil")</f>
        <v>Abrir facsímil</v>
      </c>
      <c r="K3408" s="3" t="s">
        <v>76</v>
      </c>
    </row>
    <row r="3409" spans="1:11" ht="42" customHeight="1">
      <c r="A3409" s="2" t="s">
        <v>9413</v>
      </c>
      <c r="B3409" s="2" t="s">
        <v>9414</v>
      </c>
      <c r="C3409" s="2" t="s">
        <v>88</v>
      </c>
      <c r="D3409" s="2" t="s">
        <v>27</v>
      </c>
      <c r="E3409" s="4">
        <v>-32789</v>
      </c>
      <c r="F3409" s="3" t="s">
        <v>1468</v>
      </c>
      <c r="G3409" s="3" t="s">
        <v>140</v>
      </c>
      <c r="H3409" s="2" t="s">
        <v>74</v>
      </c>
      <c r="I3409" s="2" t="s">
        <v>9415</v>
      </c>
      <c r="J3409" s="3" t="str">
        <f>HYPERLINK("https://www.boe.es/gazeta/dias/1810/03/23/pdfs/GEI-1810-5.pdf#page=8","Abrir facsímil")</f>
        <v>Abrir facsímil</v>
      </c>
      <c r="K3409" s="3" t="s">
        <v>76</v>
      </c>
    </row>
    <row r="3410" spans="1:11" ht="42" customHeight="1">
      <c r="A3410" s="2" t="s">
        <v>9416</v>
      </c>
      <c r="B3410" s="2" t="s">
        <v>9416</v>
      </c>
      <c r="C3410" s="2" t="s">
        <v>111</v>
      </c>
      <c r="D3410" s="2" t="s">
        <v>27</v>
      </c>
      <c r="E3410" s="4">
        <v>-32839</v>
      </c>
      <c r="F3410" s="3" t="s">
        <v>28</v>
      </c>
      <c r="G3410" s="3" t="s">
        <v>140</v>
      </c>
      <c r="H3410" s="2" t="s">
        <v>74</v>
      </c>
      <c r="I3410" s="2" t="s">
        <v>9417</v>
      </c>
      <c r="J3410" s="3" t="str">
        <f>HYPERLINK("https://www.boe.es/gazeta/dias/1810/02/01/pdfs/GMD-1810-32.pdf#page=4","Abrir facsímil")</f>
        <v>Abrir facsímil</v>
      </c>
      <c r="K3410" s="3" t="s">
        <v>76</v>
      </c>
    </row>
    <row r="3411" spans="1:11" ht="42" customHeight="1">
      <c r="A3411" s="2" t="s">
        <v>9416</v>
      </c>
      <c r="B3411" s="2" t="s">
        <v>9416</v>
      </c>
      <c r="C3411" s="2" t="s">
        <v>111</v>
      </c>
      <c r="D3411" s="2" t="s">
        <v>18</v>
      </c>
      <c r="E3411" s="4">
        <v>-32826</v>
      </c>
      <c r="F3411" s="3" t="s">
        <v>1252</v>
      </c>
      <c r="G3411" s="3" t="s">
        <v>227</v>
      </c>
      <c r="H3411" s="2" t="s">
        <v>74</v>
      </c>
      <c r="I3411" s="2" t="s">
        <v>9418</v>
      </c>
      <c r="J3411" s="3" t="str">
        <f>HYPERLINK("https://www.boe.es/gazeta/dias/1810/02/14/pdfs/GMD-1810-45.pdf#page=4","Abrir facsímil")</f>
        <v>Abrir facsímil</v>
      </c>
      <c r="K3411" s="3" t="s">
        <v>76</v>
      </c>
    </row>
    <row r="3412" spans="1:11" ht="42" customHeight="1">
      <c r="A3412" s="2" t="s">
        <v>9416</v>
      </c>
      <c r="B3412" s="2" t="s">
        <v>9416</v>
      </c>
      <c r="C3412" s="2" t="s">
        <v>26</v>
      </c>
      <c r="D3412" s="2" t="s">
        <v>27</v>
      </c>
      <c r="E3412" s="4">
        <v>-32799</v>
      </c>
      <c r="F3412" s="3" t="s">
        <v>2252</v>
      </c>
      <c r="G3412" s="3" t="s">
        <v>2253</v>
      </c>
      <c r="H3412" s="2" t="s">
        <v>74</v>
      </c>
      <c r="I3412" s="2" t="s">
        <v>9419</v>
      </c>
      <c r="J3412" s="3" t="str">
        <f>HYPERLINK("https://www.boe.es/gazeta/dias/1810/03/13/pdfs/GMD-1810-72.pdf#page=4","Abrir facsímil")</f>
        <v>Abrir facsímil</v>
      </c>
      <c r="K3412" s="3" t="s">
        <v>76</v>
      </c>
    </row>
    <row r="3413" spans="1:11" ht="42" customHeight="1">
      <c r="A3413" s="2" t="s">
        <v>9416</v>
      </c>
      <c r="B3413" s="2" t="s">
        <v>9416</v>
      </c>
      <c r="C3413" s="2" t="s">
        <v>88</v>
      </c>
      <c r="D3413" s="2" t="s">
        <v>58</v>
      </c>
      <c r="E3413" s="4">
        <v>-32789</v>
      </c>
      <c r="F3413" s="3" t="s">
        <v>2531</v>
      </c>
      <c r="G3413" s="3" t="s">
        <v>35</v>
      </c>
      <c r="H3413" s="2" t="s">
        <v>74</v>
      </c>
      <c r="I3413" s="2" t="s">
        <v>9420</v>
      </c>
      <c r="J3413" s="3" t="str">
        <f>HYPERLINK("https://www.boe.es/gazeta/dias/1810/03/23/pdfs/GEI-1810-6E.pdf#page=2","Abrir facsímil")</f>
        <v>Abrir facsímil</v>
      </c>
      <c r="K3413" s="3" t="s">
        <v>76</v>
      </c>
    </row>
    <row r="3414" spans="1:11" ht="42" customHeight="1">
      <c r="A3414" s="2" t="s">
        <v>9416</v>
      </c>
      <c r="B3414" s="2" t="s">
        <v>9416</v>
      </c>
      <c r="C3414" s="2" t="s">
        <v>26</v>
      </c>
      <c r="D3414" s="2" t="s">
        <v>27</v>
      </c>
      <c r="E3414" s="4">
        <v>-32786</v>
      </c>
      <c r="F3414" s="3" t="s">
        <v>8042</v>
      </c>
      <c r="G3414" s="3" t="s">
        <v>90</v>
      </c>
      <c r="H3414" s="2" t="s">
        <v>74</v>
      </c>
      <c r="I3414" s="2" t="s">
        <v>9421</v>
      </c>
      <c r="J3414" s="3" t="str">
        <f>HYPERLINK("https://www.boe.es/gazeta/dias/1810/03/26/pdfs/GMD-1810-85.pdf#page=4","Abrir facsímil")</f>
        <v>Abrir facsímil</v>
      </c>
      <c r="K3414" s="3" t="s">
        <v>76</v>
      </c>
    </row>
    <row r="3415" spans="1:11" ht="42" customHeight="1">
      <c r="A3415" s="2" t="s">
        <v>9416</v>
      </c>
      <c r="B3415" s="2" t="s">
        <v>9416</v>
      </c>
      <c r="C3415" s="2" t="s">
        <v>225</v>
      </c>
      <c r="D3415" s="2" t="s">
        <v>27</v>
      </c>
      <c r="E3415" s="4">
        <v>-32784</v>
      </c>
      <c r="F3415" s="3" t="s">
        <v>429</v>
      </c>
      <c r="G3415" s="3" t="s">
        <v>131</v>
      </c>
      <c r="H3415" s="2" t="s">
        <v>74</v>
      </c>
      <c r="I3415" s="2" t="s">
        <v>9422</v>
      </c>
      <c r="J3415" s="3" t="str">
        <f>HYPERLINK("https://www.boe.es/gazeta/dias/1810/03/28/pdfs/GMD-1810-87.pdf#page=3","Abrir facsímil")</f>
        <v>Abrir facsímil</v>
      </c>
      <c r="K3415" s="3" t="s">
        <v>76</v>
      </c>
    </row>
    <row r="3416" spans="1:11" ht="42" customHeight="1">
      <c r="A3416" s="2" t="s">
        <v>9416</v>
      </c>
      <c r="B3416" s="2" t="s">
        <v>9416</v>
      </c>
      <c r="C3416" s="2" t="s">
        <v>88</v>
      </c>
      <c r="D3416" s="2" t="s">
        <v>27</v>
      </c>
      <c r="E3416" s="4">
        <v>-32756</v>
      </c>
      <c r="F3416" s="3" t="s">
        <v>203</v>
      </c>
      <c r="G3416" s="3" t="s">
        <v>465</v>
      </c>
      <c r="H3416" s="2" t="s">
        <v>74</v>
      </c>
      <c r="I3416" s="2" t="s">
        <v>9423</v>
      </c>
      <c r="J3416" s="3" t="str">
        <f>HYPERLINK("https://www.boe.es/gazeta/dias/1810/04/25/pdfs/GMD-1810-115.pdf#page=1","Abrir facsímil")</f>
        <v>Abrir facsímil</v>
      </c>
      <c r="K3416" s="3" t="s">
        <v>76</v>
      </c>
    </row>
    <row r="3417" spans="1:11" ht="42" customHeight="1">
      <c r="A3417" s="2" t="s">
        <v>9416</v>
      </c>
      <c r="B3417" s="2" t="s">
        <v>9416</v>
      </c>
      <c r="C3417" s="2" t="s">
        <v>88</v>
      </c>
      <c r="D3417" s="2" t="s">
        <v>117</v>
      </c>
      <c r="E3417" s="4">
        <v>-32743</v>
      </c>
      <c r="F3417" s="3" t="s">
        <v>5683</v>
      </c>
      <c r="G3417" s="3" t="s">
        <v>213</v>
      </c>
      <c r="H3417" s="2" t="s">
        <v>74</v>
      </c>
      <c r="I3417" s="2" t="s">
        <v>9424</v>
      </c>
      <c r="J3417" s="3" t="str">
        <f>HYPERLINK("https://www.boe.es/gazeta/dias/1810/05/08/pdfs/GMD-1810-128.pdf#page=1","Abrir facsímil")</f>
        <v>Abrir facsímil</v>
      </c>
      <c r="K3417" s="3" t="s">
        <v>76</v>
      </c>
    </row>
    <row r="3418" spans="1:11" ht="42" customHeight="1">
      <c r="A3418" s="2" t="s">
        <v>9416</v>
      </c>
      <c r="B3418" s="2" t="s">
        <v>9416</v>
      </c>
      <c r="C3418" s="2" t="s">
        <v>88</v>
      </c>
      <c r="D3418" s="2" t="s">
        <v>27</v>
      </c>
      <c r="E3418" s="4">
        <v>-32743</v>
      </c>
      <c r="F3418" s="3" t="s">
        <v>2265</v>
      </c>
      <c r="G3418" s="3" t="s">
        <v>9425</v>
      </c>
      <c r="H3418" s="2" t="s">
        <v>74</v>
      </c>
      <c r="I3418" s="2" t="s">
        <v>9426</v>
      </c>
      <c r="J3418" s="3" t="str">
        <f>HYPERLINK("https://www.boe.es/gazeta/dias/1810/05/08/pdfs/GEI-1810-22.pdf#page=2","Abrir facsímil")</f>
        <v>Abrir facsímil</v>
      </c>
      <c r="K3418" s="3" t="s">
        <v>76</v>
      </c>
    </row>
    <row r="3419" spans="1:11" ht="42" customHeight="1">
      <c r="A3419" s="2" t="s">
        <v>9416</v>
      </c>
      <c r="B3419" s="2" t="s">
        <v>9416</v>
      </c>
      <c r="C3419" s="2" t="s">
        <v>225</v>
      </c>
      <c r="D3419" s="2" t="s">
        <v>27</v>
      </c>
      <c r="E3419" s="4">
        <v>-32743</v>
      </c>
      <c r="F3419" s="3" t="s">
        <v>2265</v>
      </c>
      <c r="G3419" s="3" t="s">
        <v>458</v>
      </c>
      <c r="H3419" s="2" t="s">
        <v>74</v>
      </c>
      <c r="I3419" s="2" t="s">
        <v>9427</v>
      </c>
      <c r="J3419" s="3" t="str">
        <f>HYPERLINK("https://www.boe.es/gazeta/dias/1810/05/08/pdfs/GEI-1810-22.pdf#page=7","Abrir facsímil")</f>
        <v>Abrir facsímil</v>
      </c>
      <c r="K3419" s="3" t="s">
        <v>76</v>
      </c>
    </row>
    <row r="3420" spans="1:11" ht="42" customHeight="1">
      <c r="A3420" s="2" t="s">
        <v>9416</v>
      </c>
      <c r="B3420" s="2" t="s">
        <v>9416</v>
      </c>
      <c r="C3420" s="2" t="s">
        <v>111</v>
      </c>
      <c r="D3420" s="2" t="s">
        <v>27</v>
      </c>
      <c r="E3420" s="4">
        <v>-32734</v>
      </c>
      <c r="F3420" s="3" t="s">
        <v>19</v>
      </c>
      <c r="G3420" s="3" t="s">
        <v>20</v>
      </c>
      <c r="H3420" s="2" t="s">
        <v>74</v>
      </c>
      <c r="I3420" s="2" t="s">
        <v>9428</v>
      </c>
      <c r="J3420" s="3" t="str">
        <f>HYPERLINK("https://www.boe.es/gazeta/dias/1810/05/17/pdfs/GMD-1810-137.pdf#page=4","Abrir facsímil")</f>
        <v>Abrir facsímil</v>
      </c>
      <c r="K3420" s="3" t="s">
        <v>76</v>
      </c>
    </row>
    <row r="3421" spans="1:11" ht="42" customHeight="1">
      <c r="A3421" s="2" t="s">
        <v>9416</v>
      </c>
      <c r="B3421" s="2" t="s">
        <v>9416</v>
      </c>
      <c r="C3421" s="2" t="s">
        <v>26</v>
      </c>
      <c r="D3421" s="2" t="s">
        <v>27</v>
      </c>
      <c r="E3421" s="4">
        <v>-32728</v>
      </c>
      <c r="F3421" s="3" t="s">
        <v>269</v>
      </c>
      <c r="G3421" s="3" t="s">
        <v>70</v>
      </c>
      <c r="H3421" s="2" t="s">
        <v>74</v>
      </c>
      <c r="I3421" s="2" t="s">
        <v>9429</v>
      </c>
      <c r="J3421" s="3" t="str">
        <f>HYPERLINK("https://www.boe.es/gazeta/dias/1810/05/23/pdfs/GMD-1810-143.pdf#page=4","Abrir facsímil")</f>
        <v>Abrir facsímil</v>
      </c>
      <c r="K3421" s="3" t="s">
        <v>76</v>
      </c>
    </row>
    <row r="3422" spans="1:11" ht="42" customHeight="1">
      <c r="A3422" s="2" t="s">
        <v>9416</v>
      </c>
      <c r="B3422" s="2" t="s">
        <v>9416</v>
      </c>
      <c r="C3422" s="2" t="s">
        <v>26</v>
      </c>
      <c r="D3422" s="2" t="s">
        <v>27</v>
      </c>
      <c r="E3422" s="4">
        <v>-32722</v>
      </c>
      <c r="F3422" s="3" t="s">
        <v>856</v>
      </c>
      <c r="G3422" s="3" t="s">
        <v>668</v>
      </c>
      <c r="H3422" s="2" t="s">
        <v>74</v>
      </c>
      <c r="I3422" s="2" t="s">
        <v>9430</v>
      </c>
      <c r="J3422" s="3" t="str">
        <f>HYPERLINK("https://www.boe.es/gazeta/dias/1810/05/29/pdfs/GEI-1810-31.pdf#page=12","Abrir facsímil")</f>
        <v>Abrir facsímil</v>
      </c>
      <c r="K3422" s="3" t="s">
        <v>76</v>
      </c>
    </row>
    <row r="3423" spans="1:11" ht="42" customHeight="1">
      <c r="A3423" s="2" t="s">
        <v>9416</v>
      </c>
      <c r="B3423" s="2" t="s">
        <v>9416</v>
      </c>
      <c r="C3423" s="2" t="s">
        <v>26</v>
      </c>
      <c r="D3423" s="2" t="s">
        <v>27</v>
      </c>
      <c r="E3423" s="4">
        <v>-32716</v>
      </c>
      <c r="F3423" s="3" t="s">
        <v>624</v>
      </c>
      <c r="G3423" s="3" t="s">
        <v>140</v>
      </c>
      <c r="H3423" s="2" t="s">
        <v>74</v>
      </c>
      <c r="I3423" s="2" t="s">
        <v>9431</v>
      </c>
      <c r="J3423" s="3" t="str">
        <f>HYPERLINK("https://www.boe.es/gazeta/dias/1810/06/04/pdfs/GMD-1810-155.pdf#page=4","Abrir facsímil")</f>
        <v>Abrir facsímil</v>
      </c>
      <c r="K3423" s="3" t="s">
        <v>76</v>
      </c>
    </row>
    <row r="3424" spans="1:11" ht="42" customHeight="1">
      <c r="A3424" s="2" t="s">
        <v>9416</v>
      </c>
      <c r="B3424" s="2" t="s">
        <v>9416</v>
      </c>
      <c r="C3424" s="2" t="s">
        <v>33</v>
      </c>
      <c r="D3424" s="2" t="s">
        <v>58</v>
      </c>
      <c r="E3424" s="4">
        <v>-32651</v>
      </c>
      <c r="F3424" s="3" t="s">
        <v>59</v>
      </c>
      <c r="G3424" s="3" t="s">
        <v>60</v>
      </c>
      <c r="H3424" s="2" t="s">
        <v>74</v>
      </c>
      <c r="I3424" s="2" t="s">
        <v>9432</v>
      </c>
      <c r="J3424" s="3" t="str">
        <f>HYPERLINK("https://www.boe.es/gazeta/dias/1810/08/08/pdfs/GEI-1810-53E.pdf#page=3","Abrir facsímil")</f>
        <v>Abrir facsímil</v>
      </c>
      <c r="K3424" s="3" t="s">
        <v>76</v>
      </c>
    </row>
    <row r="3425" spans="1:11" ht="42" customHeight="1">
      <c r="A3425" s="2" t="s">
        <v>9416</v>
      </c>
      <c r="B3425" s="2" t="s">
        <v>9416</v>
      </c>
      <c r="C3425" s="2" t="s">
        <v>26</v>
      </c>
      <c r="D3425" s="2" t="s">
        <v>27</v>
      </c>
      <c r="E3425" s="4">
        <v>-32649</v>
      </c>
      <c r="F3425" s="3" t="s">
        <v>1988</v>
      </c>
      <c r="G3425" s="3" t="s">
        <v>227</v>
      </c>
      <c r="H3425" s="2" t="s">
        <v>74</v>
      </c>
      <c r="I3425" s="2" t="s">
        <v>9433</v>
      </c>
      <c r="J3425" s="3" t="str">
        <f>HYPERLINK("https://www.boe.es/gazeta/dias/1810/08/10/pdfs/GMD-1810-222.pdf#page=4","Abrir facsímil")</f>
        <v>Abrir facsímil</v>
      </c>
      <c r="K3425" s="3" t="s">
        <v>76</v>
      </c>
    </row>
    <row r="3426" spans="1:11" ht="42" customHeight="1">
      <c r="A3426" s="2" t="s">
        <v>9416</v>
      </c>
      <c r="B3426" s="2" t="s">
        <v>9416</v>
      </c>
      <c r="C3426" s="2" t="s">
        <v>26</v>
      </c>
      <c r="D3426" s="2" t="s">
        <v>39</v>
      </c>
      <c r="E3426" s="4">
        <v>-32645</v>
      </c>
      <c r="F3426" s="3" t="s">
        <v>2492</v>
      </c>
      <c r="G3426" s="3" t="s">
        <v>119</v>
      </c>
      <c r="H3426" s="2" t="s">
        <v>74</v>
      </c>
      <c r="I3426" s="2" t="s">
        <v>9434</v>
      </c>
      <c r="J3426" s="3" t="str">
        <f>HYPERLINK("https://www.boe.es/gazeta/dias/1810/08/14/pdfs/GEI-D-1810-56.pdf#page=3","Abrir facsímil")</f>
        <v>Abrir facsímil</v>
      </c>
      <c r="K3426" s="3" t="s">
        <v>76</v>
      </c>
    </row>
    <row r="3427" spans="1:11" ht="42" customHeight="1">
      <c r="A3427" s="2" t="s">
        <v>9416</v>
      </c>
      <c r="B3427" s="2" t="s">
        <v>9416</v>
      </c>
      <c r="C3427" s="2" t="s">
        <v>88</v>
      </c>
      <c r="D3427" s="2" t="s">
        <v>27</v>
      </c>
      <c r="E3427" s="4">
        <v>-32603</v>
      </c>
      <c r="F3427" s="3" t="s">
        <v>2163</v>
      </c>
      <c r="G3427" s="3" t="s">
        <v>451</v>
      </c>
      <c r="H3427" s="2" t="s">
        <v>74</v>
      </c>
      <c r="I3427" s="2" t="s">
        <v>9435</v>
      </c>
      <c r="J3427" s="3" t="str">
        <f>HYPERLINK("https://www.boe.es/gazeta/dias/1810/09/25/pdfs/GEI-1810-72.pdf#page=5","Abrir facsímil")</f>
        <v>Abrir facsímil</v>
      </c>
      <c r="K3427" s="3" t="s">
        <v>76</v>
      </c>
    </row>
    <row r="3428" spans="1:11" ht="42" customHeight="1">
      <c r="A3428" s="2" t="s">
        <v>9416</v>
      </c>
      <c r="B3428" s="2" t="s">
        <v>9416</v>
      </c>
      <c r="C3428" s="2" t="s">
        <v>26</v>
      </c>
      <c r="D3428" s="2" t="s">
        <v>58</v>
      </c>
      <c r="E3428" s="4">
        <v>-32601</v>
      </c>
      <c r="F3428" s="3" t="s">
        <v>392</v>
      </c>
      <c r="G3428" s="3" t="s">
        <v>1430</v>
      </c>
      <c r="H3428" s="2" t="s">
        <v>74</v>
      </c>
      <c r="I3428" s="2" t="s">
        <v>9436</v>
      </c>
      <c r="J3428" s="3" t="str">
        <f>HYPERLINK("https://www.boe.es/gazeta/dias/1810/09/27/pdfs/GEI-1810-74E.pdf#page=3","Abrir facsímil")</f>
        <v>Abrir facsímil</v>
      </c>
      <c r="K3428" s="3" t="s">
        <v>76</v>
      </c>
    </row>
    <row r="3429" spans="1:11" ht="42" customHeight="1">
      <c r="A3429" s="2" t="s">
        <v>9416</v>
      </c>
      <c r="B3429" s="2" t="s">
        <v>9416</v>
      </c>
      <c r="C3429" s="2" t="s">
        <v>26</v>
      </c>
      <c r="D3429" s="2" t="s">
        <v>27</v>
      </c>
      <c r="E3429" s="4">
        <v>-32587</v>
      </c>
      <c r="F3429" s="3" t="s">
        <v>103</v>
      </c>
      <c r="G3429" s="3" t="s">
        <v>106</v>
      </c>
      <c r="H3429" s="2" t="s">
        <v>74</v>
      </c>
      <c r="I3429" s="2" t="s">
        <v>9437</v>
      </c>
      <c r="J3429" s="3" t="str">
        <f>HYPERLINK("https://www.boe.es/gazeta/dias/1810/10/11/pdfs/GEI-1810-80.pdf#page=5","Abrir facsímil")</f>
        <v>Abrir facsímil</v>
      </c>
      <c r="K3429" s="3" t="s">
        <v>76</v>
      </c>
    </row>
    <row r="3430" spans="1:11" ht="42" customHeight="1">
      <c r="A3430" s="2" t="s">
        <v>9416</v>
      </c>
      <c r="B3430" s="2" t="s">
        <v>9416</v>
      </c>
      <c r="C3430" s="2" t="s">
        <v>317</v>
      </c>
      <c r="D3430" s="2" t="s">
        <v>117</v>
      </c>
      <c r="E3430" s="4">
        <v>-32584</v>
      </c>
      <c r="F3430" s="3" t="s">
        <v>1560</v>
      </c>
      <c r="G3430" s="3" t="s">
        <v>971</v>
      </c>
      <c r="H3430" s="2" t="s">
        <v>74</v>
      </c>
      <c r="I3430" s="2" t="s">
        <v>9438</v>
      </c>
      <c r="J3430" s="3" t="str">
        <f>HYPERLINK("https://www.boe.es/gazeta/dias/1810/10/14/pdfs/GMD-1810-287.pdf#page=3","Abrir facsímil")</f>
        <v>Abrir facsímil</v>
      </c>
      <c r="K3430" s="3" t="s">
        <v>76</v>
      </c>
    </row>
    <row r="3431" spans="1:11" ht="42" customHeight="1">
      <c r="A3431" s="2" t="s">
        <v>9416</v>
      </c>
      <c r="B3431" s="2" t="s">
        <v>9416</v>
      </c>
      <c r="C3431" s="2" t="s">
        <v>26</v>
      </c>
      <c r="D3431" s="2" t="s">
        <v>27</v>
      </c>
      <c r="E3431" s="4">
        <v>-32575</v>
      </c>
      <c r="F3431" s="3" t="s">
        <v>135</v>
      </c>
      <c r="G3431" s="3" t="s">
        <v>136</v>
      </c>
      <c r="H3431" s="2" t="s">
        <v>74</v>
      </c>
      <c r="I3431" s="2" t="s">
        <v>9439</v>
      </c>
      <c r="J3431" s="3" t="str">
        <f>HYPERLINK("https://www.boe.es/gazeta/dias/1810/10/23/pdfs/GEI-1810-85.pdf#page=11","Abrir facsímil")</f>
        <v>Abrir facsímil</v>
      </c>
      <c r="K3431" s="3" t="s">
        <v>76</v>
      </c>
    </row>
    <row r="3432" spans="1:11" ht="42" customHeight="1">
      <c r="A3432" s="2" t="s">
        <v>9416</v>
      </c>
      <c r="B3432" s="2" t="s">
        <v>9416</v>
      </c>
      <c r="C3432" s="2" t="s">
        <v>26</v>
      </c>
      <c r="D3432" s="2" t="s">
        <v>27</v>
      </c>
      <c r="E3432" s="4">
        <v>-32568</v>
      </c>
      <c r="F3432" s="3" t="s">
        <v>1233</v>
      </c>
      <c r="G3432" s="3" t="s">
        <v>140</v>
      </c>
      <c r="H3432" s="2" t="s">
        <v>74</v>
      </c>
      <c r="I3432" s="2" t="s">
        <v>9440</v>
      </c>
      <c r="J3432" s="3" t="str">
        <f>HYPERLINK("https://www.boe.es/gazeta/dias/1810/10/30/pdfs/GMD-1810-303.pdf#page=4","Abrir facsímil")</f>
        <v>Abrir facsímil</v>
      </c>
      <c r="K3432" s="3" t="s">
        <v>76</v>
      </c>
    </row>
    <row r="3433" spans="1:11" ht="42" customHeight="1">
      <c r="A3433" s="2" t="s">
        <v>9416</v>
      </c>
      <c r="B3433" s="2" t="s">
        <v>9416</v>
      </c>
      <c r="C3433" s="2" t="s">
        <v>26</v>
      </c>
      <c r="D3433" s="2" t="s">
        <v>27</v>
      </c>
      <c r="E3433" s="4">
        <v>-32563</v>
      </c>
      <c r="F3433" s="3" t="s">
        <v>535</v>
      </c>
      <c r="G3433" s="3" t="s">
        <v>210</v>
      </c>
      <c r="H3433" s="2" t="s">
        <v>74</v>
      </c>
      <c r="I3433" s="2" t="s">
        <v>9441</v>
      </c>
      <c r="J3433" s="3" t="str">
        <f>HYPERLINK("https://www.boe.es/gazeta/dias/1810/11/04/pdfs/GMD-1810-308.pdf#page=18","Abrir facsímil")</f>
        <v>Abrir facsímil</v>
      </c>
      <c r="K3433" s="3" t="s">
        <v>76</v>
      </c>
    </row>
    <row r="3434" spans="1:11" ht="42" customHeight="1">
      <c r="A3434" s="2" t="s">
        <v>9416</v>
      </c>
      <c r="B3434" s="2" t="s">
        <v>9416</v>
      </c>
      <c r="C3434" s="2" t="s">
        <v>26</v>
      </c>
      <c r="D3434" s="2" t="s">
        <v>18</v>
      </c>
      <c r="E3434" s="4">
        <v>-32563</v>
      </c>
      <c r="F3434" s="3" t="s">
        <v>535</v>
      </c>
      <c r="G3434" s="3" t="s">
        <v>9442</v>
      </c>
      <c r="H3434" s="2" t="s">
        <v>74</v>
      </c>
      <c r="I3434" s="2" t="s">
        <v>9443</v>
      </c>
      <c r="J3434" s="3" t="str">
        <f>HYPERLINK("https://www.boe.es/gazeta/dias/1810/11/04/pdfs/GMD-1810-308.pdf#page=26","Abrir facsímil")</f>
        <v>Abrir facsímil</v>
      </c>
      <c r="K3434" s="3" t="s">
        <v>76</v>
      </c>
    </row>
    <row r="3435" spans="1:11" ht="42" customHeight="1">
      <c r="A3435" s="2" t="s">
        <v>9416</v>
      </c>
      <c r="B3435" s="2" t="s">
        <v>9416</v>
      </c>
      <c r="C3435" s="2" t="s">
        <v>33</v>
      </c>
      <c r="D3435" s="2" t="s">
        <v>27</v>
      </c>
      <c r="E3435" s="4">
        <v>-32557</v>
      </c>
      <c r="F3435" s="3" t="s">
        <v>837</v>
      </c>
      <c r="G3435" s="3" t="s">
        <v>838</v>
      </c>
      <c r="H3435" s="2" t="s">
        <v>74</v>
      </c>
      <c r="I3435" s="2" t="s">
        <v>9444</v>
      </c>
      <c r="J3435" s="3" t="str">
        <f>HYPERLINK("https://www.boe.es/gazeta/dias/1810/11/10/pdfs/GEI-1810-93.pdf#page=4","Abrir facsímil")</f>
        <v>Abrir facsímil</v>
      </c>
      <c r="K3435" s="3" t="s">
        <v>76</v>
      </c>
    </row>
    <row r="3436" spans="1:11" ht="42" customHeight="1">
      <c r="A3436" s="2" t="s">
        <v>9416</v>
      </c>
      <c r="B3436" s="2" t="s">
        <v>9416</v>
      </c>
      <c r="C3436" s="2" t="s">
        <v>88</v>
      </c>
      <c r="D3436" s="2" t="s">
        <v>27</v>
      </c>
      <c r="E3436" s="4">
        <v>-32550</v>
      </c>
      <c r="F3436" s="3" t="s">
        <v>1472</v>
      </c>
      <c r="G3436" s="3" t="s">
        <v>1473</v>
      </c>
      <c r="H3436" s="2" t="s">
        <v>74</v>
      </c>
      <c r="I3436" s="2" t="s">
        <v>9445</v>
      </c>
      <c r="J3436" s="3" t="str">
        <f>HYPERLINK("https://www.boe.es/gazeta/dias/1810/11/17/pdfs/GEI-1810-96.pdf#page=8","Abrir facsímil")</f>
        <v>Abrir facsímil</v>
      </c>
      <c r="K3436" s="3" t="s">
        <v>76</v>
      </c>
    </row>
    <row r="3437" spans="1:11" ht="42" customHeight="1">
      <c r="A3437" s="2" t="s">
        <v>9416</v>
      </c>
      <c r="B3437" s="2" t="s">
        <v>9416</v>
      </c>
      <c r="C3437" s="2" t="s">
        <v>195</v>
      </c>
      <c r="D3437" s="2" t="s">
        <v>27</v>
      </c>
      <c r="E3437" s="4">
        <v>-32549</v>
      </c>
      <c r="F3437" s="3" t="s">
        <v>1237</v>
      </c>
      <c r="G3437" s="3" t="s">
        <v>227</v>
      </c>
      <c r="H3437" s="2" t="s">
        <v>74</v>
      </c>
      <c r="I3437" s="2" t="s">
        <v>9446</v>
      </c>
      <c r="J3437" s="3" t="str">
        <f>HYPERLINK("https://www.boe.es/gazeta/dias/1810/11/18/pdfs/GMD-1810-322.pdf#page=3","Abrir facsímil")</f>
        <v>Abrir facsímil</v>
      </c>
      <c r="K3437" s="3" t="s">
        <v>76</v>
      </c>
    </row>
    <row r="3438" spans="1:11" ht="42" customHeight="1">
      <c r="A3438" s="2" t="s">
        <v>9416</v>
      </c>
      <c r="B3438" s="2" t="s">
        <v>9416</v>
      </c>
      <c r="C3438" s="2" t="s">
        <v>195</v>
      </c>
      <c r="D3438" s="2" t="s">
        <v>27</v>
      </c>
      <c r="E3438" s="4">
        <v>-32545</v>
      </c>
      <c r="F3438" s="3" t="s">
        <v>165</v>
      </c>
      <c r="G3438" s="3" t="s">
        <v>166</v>
      </c>
      <c r="H3438" s="2" t="s">
        <v>74</v>
      </c>
      <c r="I3438" s="2" t="s">
        <v>9447</v>
      </c>
      <c r="J3438" s="3" t="str">
        <f>HYPERLINK("https://www.boe.es/gazeta/dias/1810/11/22/pdfs/GEI-1810-98.pdf#page=8","Abrir facsímil")</f>
        <v>Abrir facsímil</v>
      </c>
      <c r="K3438" s="3" t="s">
        <v>76</v>
      </c>
    </row>
    <row r="3439" spans="1:11" ht="42" customHeight="1">
      <c r="A3439" s="2" t="s">
        <v>9416</v>
      </c>
      <c r="B3439" s="2" t="s">
        <v>9416</v>
      </c>
      <c r="C3439" s="2" t="s">
        <v>225</v>
      </c>
      <c r="D3439" s="2" t="s">
        <v>27</v>
      </c>
      <c r="E3439" s="4">
        <v>-32531</v>
      </c>
      <c r="F3439" s="3" t="s">
        <v>2023</v>
      </c>
      <c r="G3439" s="3" t="s">
        <v>29</v>
      </c>
      <c r="H3439" s="2" t="s">
        <v>74</v>
      </c>
      <c r="I3439" s="2" t="s">
        <v>9448</v>
      </c>
      <c r="J3439" s="3" t="str">
        <f>HYPERLINK("https://www.boe.es/gazeta/dias/1810/12/06/pdfs/GMD-1810-340.pdf#page=4","Abrir facsímil")</f>
        <v>Abrir facsímil</v>
      </c>
      <c r="K3439" s="3" t="s">
        <v>76</v>
      </c>
    </row>
    <row r="3440" spans="1:11" ht="42" customHeight="1">
      <c r="A3440" s="2" t="s">
        <v>9416</v>
      </c>
      <c r="B3440" s="2" t="s">
        <v>9416</v>
      </c>
      <c r="C3440" s="2" t="s">
        <v>26</v>
      </c>
      <c r="D3440" s="2" t="s">
        <v>27</v>
      </c>
      <c r="E3440" s="4">
        <v>-32515</v>
      </c>
      <c r="F3440" s="3" t="s">
        <v>351</v>
      </c>
      <c r="G3440" s="3" t="s">
        <v>352</v>
      </c>
      <c r="H3440" s="2" t="s">
        <v>74</v>
      </c>
      <c r="I3440" s="2" t="s">
        <v>9449</v>
      </c>
      <c r="J3440" s="3" t="str">
        <f>HYPERLINK("https://www.boe.es/gazeta/dias/1810/12/22/pdfs/GEI-1810-111.pdf#page=8","Abrir facsímil")</f>
        <v>Abrir facsímil</v>
      </c>
      <c r="K3440" s="3" t="s">
        <v>76</v>
      </c>
    </row>
    <row r="3441" spans="1:11" ht="42" customHeight="1">
      <c r="A3441" s="2" t="s">
        <v>9450</v>
      </c>
      <c r="B3441" s="2" t="s">
        <v>9451</v>
      </c>
      <c r="C3441" s="2" t="s">
        <v>88</v>
      </c>
      <c r="D3441" s="2" t="s">
        <v>27</v>
      </c>
      <c r="E3441" s="4">
        <v>-32803</v>
      </c>
      <c r="F3441" s="3" t="s">
        <v>4052</v>
      </c>
      <c r="G3441" s="3" t="s">
        <v>695</v>
      </c>
      <c r="H3441" s="2" t="s">
        <v>74</v>
      </c>
      <c r="I3441" s="2" t="s">
        <v>9452</v>
      </c>
      <c r="J3441" s="3" t="str">
        <f>HYPERLINK("https://www.boe.es/gazeta/dias/1810/03/09/pdfs/GMD-1810-68.pdf#page=4","Abrir facsímil")</f>
        <v>Abrir facsímil</v>
      </c>
      <c r="K3441" s="3" t="s">
        <v>76</v>
      </c>
    </row>
    <row r="3442" spans="1:11" ht="42" customHeight="1">
      <c r="A3442" s="2" t="s">
        <v>9453</v>
      </c>
      <c r="B3442" s="2" t="s">
        <v>9454</v>
      </c>
      <c r="C3442" s="2" t="s">
        <v>17</v>
      </c>
      <c r="D3442" s="2" t="s">
        <v>39</v>
      </c>
      <c r="E3442" s="4">
        <v>-32677</v>
      </c>
      <c r="F3442" s="3" t="s">
        <v>549</v>
      </c>
      <c r="G3442" s="3" t="s">
        <v>7702</v>
      </c>
      <c r="H3442" s="2" t="s">
        <v>74</v>
      </c>
      <c r="I3442" s="2" t="s">
        <v>9455</v>
      </c>
      <c r="J3442" s="3" t="str">
        <f>HYPERLINK("https://www.boe.es/gazeta/dias/1810/07/13/pdfs/GEI-D-1810-44.pdf#page=7","Abrir facsímil")</f>
        <v>Abrir facsímil</v>
      </c>
      <c r="K3442" s="3" t="s">
        <v>76</v>
      </c>
    </row>
    <row r="3443" spans="1:11" ht="42" customHeight="1">
      <c r="A3443" s="2" t="s">
        <v>9456</v>
      </c>
      <c r="B3443" s="2" t="s">
        <v>9457</v>
      </c>
      <c r="C3443" s="2" t="s">
        <v>26</v>
      </c>
      <c r="D3443" s="2" t="s">
        <v>27</v>
      </c>
      <c r="E3443" s="4">
        <v>-32596</v>
      </c>
      <c r="F3443" s="3" t="s">
        <v>1311</v>
      </c>
      <c r="G3443" s="3" t="s">
        <v>29</v>
      </c>
      <c r="H3443" s="2" t="s">
        <v>74</v>
      </c>
      <c r="I3443" s="2" t="s">
        <v>9458</v>
      </c>
      <c r="J3443" s="3" t="str">
        <f>HYPERLINK("https://www.boe.es/gazeta/dias/1810/10/02/pdfs/GMD-1810-275.pdf#page=4","Abrir facsímil")</f>
        <v>Abrir facsímil</v>
      </c>
      <c r="K3443" s="3" t="s">
        <v>76</v>
      </c>
    </row>
    <row r="3444" spans="1:11" ht="42" customHeight="1">
      <c r="A3444" s="2" t="s">
        <v>9459</v>
      </c>
      <c r="B3444" s="2" t="s">
        <v>9459</v>
      </c>
      <c r="C3444" s="2" t="s">
        <v>88</v>
      </c>
      <c r="D3444" s="2" t="s">
        <v>27</v>
      </c>
      <c r="E3444" s="4">
        <v>-32756</v>
      </c>
      <c r="F3444" s="3" t="s">
        <v>203</v>
      </c>
      <c r="G3444" s="3" t="s">
        <v>180</v>
      </c>
      <c r="H3444" s="2" t="s">
        <v>74</v>
      </c>
      <c r="I3444" s="2" t="s">
        <v>9460</v>
      </c>
      <c r="J3444" s="3" t="str">
        <f>HYPERLINK("https://www.boe.es/gazeta/dias/1810/04/25/pdfs/GMD-1810-115.pdf#page=4","Abrir facsímil")</f>
        <v>Abrir facsímil</v>
      </c>
      <c r="K3444" s="3" t="s">
        <v>76</v>
      </c>
    </row>
    <row r="3445" spans="1:11" ht="42" customHeight="1">
      <c r="A3445" s="2" t="s">
        <v>9461</v>
      </c>
      <c r="B3445" s="2" t="s">
        <v>9461</v>
      </c>
      <c r="C3445" s="2" t="s">
        <v>88</v>
      </c>
      <c r="D3445" s="2" t="s">
        <v>117</v>
      </c>
      <c r="E3445" s="4">
        <v>-32716</v>
      </c>
      <c r="F3445" s="3" t="s">
        <v>624</v>
      </c>
      <c r="G3445" s="3" t="s">
        <v>140</v>
      </c>
      <c r="H3445" s="2" t="s">
        <v>74</v>
      </c>
      <c r="I3445" s="2" t="s">
        <v>9462</v>
      </c>
      <c r="J3445" s="3" t="str">
        <f>HYPERLINK("https://www.boe.es/gazeta/dias/1810/06/04/pdfs/GMD-1810-155.pdf#page=4","Abrir facsímil")</f>
        <v>Abrir facsímil</v>
      </c>
      <c r="K3445" s="3" t="s">
        <v>76</v>
      </c>
    </row>
    <row r="3446" spans="1:11" ht="42" customHeight="1">
      <c r="A3446" s="2" t="s">
        <v>9461</v>
      </c>
      <c r="B3446" s="2" t="s">
        <v>9461</v>
      </c>
      <c r="C3446" s="2" t="s">
        <v>26</v>
      </c>
      <c r="D3446" s="2" t="s">
        <v>58</v>
      </c>
      <c r="E3446" s="4">
        <v>-32651</v>
      </c>
      <c r="F3446" s="3" t="s">
        <v>59</v>
      </c>
      <c r="G3446" s="3" t="s">
        <v>2327</v>
      </c>
      <c r="H3446" s="2" t="s">
        <v>74</v>
      </c>
      <c r="I3446" s="2" t="s">
        <v>9463</v>
      </c>
      <c r="J3446" s="3" t="str">
        <f>HYPERLINK("https://www.boe.es/gazeta/dias/1810/08/08/pdfs/GEI-1810-53E.pdf#page=11","Abrir facsímil")</f>
        <v>Abrir facsímil</v>
      </c>
      <c r="K3446" s="3" t="s">
        <v>76</v>
      </c>
    </row>
    <row r="3447" spans="1:11" ht="42" customHeight="1">
      <c r="A3447" s="2" t="s">
        <v>9464</v>
      </c>
      <c r="B3447" s="2" t="s">
        <v>9465</v>
      </c>
      <c r="C3447" s="2" t="s">
        <v>26</v>
      </c>
      <c r="D3447" s="2" t="s">
        <v>27</v>
      </c>
      <c r="E3447" s="4">
        <v>-32778</v>
      </c>
      <c r="F3447" s="3" t="s">
        <v>4255</v>
      </c>
      <c r="G3447" s="3" t="s">
        <v>35</v>
      </c>
      <c r="H3447" s="2" t="s">
        <v>21</v>
      </c>
      <c r="I3447" s="2" t="s">
        <v>9466</v>
      </c>
      <c r="J3447" s="3" t="str">
        <f>HYPERLINK("https://www.boe.es/gazeta/dias/1810/04/03/pdfs/GMD-1810-93.pdf#page=2","Abrir facsímil")</f>
        <v>Abrir facsímil</v>
      </c>
      <c r="K3447" s="3" t="s">
        <v>23</v>
      </c>
    </row>
    <row r="3448" spans="1:11" ht="42" customHeight="1">
      <c r="A3448" s="2" t="s">
        <v>9467</v>
      </c>
      <c r="B3448" s="2" t="s">
        <v>9468</v>
      </c>
      <c r="C3448" s="2" t="s">
        <v>33</v>
      </c>
      <c r="D3448" s="2" t="s">
        <v>27</v>
      </c>
      <c r="E3448" s="4">
        <v>-32805</v>
      </c>
      <c r="F3448" s="3" t="s">
        <v>2068</v>
      </c>
      <c r="G3448" s="3" t="s">
        <v>9469</v>
      </c>
      <c r="H3448" s="2" t="s">
        <v>21</v>
      </c>
      <c r="I3448" s="2" t="s">
        <v>9470</v>
      </c>
      <c r="J3448" s="3" t="str">
        <f>HYPERLINK("https://www.boe.es/gazeta/dias/1810/03/07/pdfs/GMD-1810-66.pdf#page=1","Abrir facsímil")</f>
        <v>Abrir facsímil</v>
      </c>
      <c r="K3448" s="3" t="s">
        <v>23</v>
      </c>
    </row>
    <row r="3449" spans="1:11" ht="42" customHeight="1">
      <c r="A3449" s="2" t="s">
        <v>9467</v>
      </c>
      <c r="B3449" s="2" t="s">
        <v>9468</v>
      </c>
      <c r="C3449" s="2" t="s">
        <v>33</v>
      </c>
      <c r="D3449" s="2" t="s">
        <v>27</v>
      </c>
      <c r="E3449" s="4">
        <v>-32712</v>
      </c>
      <c r="F3449" s="3" t="s">
        <v>6411</v>
      </c>
      <c r="G3449" s="3" t="s">
        <v>8219</v>
      </c>
      <c r="H3449" s="2" t="s">
        <v>21</v>
      </c>
      <c r="I3449" s="2" t="s">
        <v>9471</v>
      </c>
      <c r="J3449" s="3" t="str">
        <f>HYPERLINK("https://www.boe.es/gazeta/dias/1810/06/08/pdfs/GMD-1810-159.pdf#page=2","Abrir facsímil")</f>
        <v>Abrir facsímil</v>
      </c>
      <c r="K3449" s="3" t="s">
        <v>23</v>
      </c>
    </row>
    <row r="3450" spans="1:11" ht="42" customHeight="1">
      <c r="A3450" s="2" t="s">
        <v>9467</v>
      </c>
      <c r="B3450" s="2" t="s">
        <v>9468</v>
      </c>
      <c r="C3450" s="2" t="s">
        <v>33</v>
      </c>
      <c r="D3450" s="2" t="s">
        <v>27</v>
      </c>
      <c r="E3450" s="4">
        <v>-32515</v>
      </c>
      <c r="F3450" s="3" t="s">
        <v>745</v>
      </c>
      <c r="G3450" s="3" t="s">
        <v>981</v>
      </c>
      <c r="H3450" s="2" t="s">
        <v>21</v>
      </c>
      <c r="I3450" s="2" t="s">
        <v>9472</v>
      </c>
      <c r="J3450" s="3" t="str">
        <f>HYPERLINK("https://www.boe.es/gazeta/dias/1810/12/22/pdfs/GMD-1810-356.pdf#page=3","Abrir facsímil")</f>
        <v>Abrir facsímil</v>
      </c>
      <c r="K3450" s="3" t="s">
        <v>23</v>
      </c>
    </row>
    <row r="3451" spans="1:11" ht="42" customHeight="1">
      <c r="A3451" s="2" t="s">
        <v>9473</v>
      </c>
      <c r="B3451" s="2" t="s">
        <v>9474</v>
      </c>
      <c r="C3451" s="2" t="s">
        <v>26</v>
      </c>
      <c r="D3451" s="2" t="s">
        <v>220</v>
      </c>
      <c r="E3451" s="4">
        <v>-32703</v>
      </c>
      <c r="F3451" s="3" t="s">
        <v>1213</v>
      </c>
      <c r="G3451" s="3" t="s">
        <v>1214</v>
      </c>
      <c r="H3451" s="2" t="s">
        <v>21</v>
      </c>
      <c r="I3451" s="2" t="s">
        <v>9475</v>
      </c>
      <c r="J3451" s="3" t="str">
        <f>HYPERLINK("https://www.boe.es/gazeta/dias/1810/06/17/pdfs/GMD-1810-168.pdf#page=4","Abrir facsímil")</f>
        <v>Abrir facsímil</v>
      </c>
      <c r="K3451" s="3" t="s">
        <v>23</v>
      </c>
    </row>
    <row r="3452" spans="1:11" ht="42" customHeight="1">
      <c r="A3452" s="2" t="s">
        <v>9476</v>
      </c>
      <c r="B3452" s="2" t="s">
        <v>9476</v>
      </c>
      <c r="C3452" s="2" t="s">
        <v>88</v>
      </c>
      <c r="D3452" s="2" t="s">
        <v>18</v>
      </c>
      <c r="E3452" s="4">
        <v>-32677</v>
      </c>
      <c r="F3452" s="3" t="s">
        <v>549</v>
      </c>
      <c r="G3452" s="3" t="s">
        <v>9477</v>
      </c>
      <c r="H3452" s="2" t="s">
        <v>74</v>
      </c>
      <c r="I3452" s="2" t="s">
        <v>9478</v>
      </c>
      <c r="J3452" s="3" t="str">
        <f>HYPERLINK("https://www.boe.es/gazeta/dias/1810/07/13/pdfs/GEI-D-1810-44.pdf#page=2","Abrir facsímil")</f>
        <v>Abrir facsímil</v>
      </c>
      <c r="K3452" s="3" t="s">
        <v>76</v>
      </c>
    </row>
    <row r="3453" spans="1:11" ht="42" customHeight="1">
      <c r="A3453" s="2" t="s">
        <v>9479</v>
      </c>
      <c r="B3453" s="2" t="s">
        <v>9479</v>
      </c>
      <c r="C3453" s="2" t="s">
        <v>317</v>
      </c>
      <c r="D3453" s="2" t="s">
        <v>27</v>
      </c>
      <c r="E3453" s="4">
        <v>-32800</v>
      </c>
      <c r="F3453" s="3" t="s">
        <v>388</v>
      </c>
      <c r="G3453" s="3" t="s">
        <v>465</v>
      </c>
      <c r="H3453" s="2" t="s">
        <v>74</v>
      </c>
      <c r="I3453" s="2" t="s">
        <v>9480</v>
      </c>
      <c r="J3453" s="3" t="str">
        <f>HYPERLINK("https://www.boe.es/gazeta/dias/1810/03/12/pdfs/GMD-1810-71.pdf#page=1","Abrir facsímil")</f>
        <v>Abrir facsímil</v>
      </c>
      <c r="K3453" s="3" t="s">
        <v>76</v>
      </c>
    </row>
    <row r="3454" spans="1:11" ht="42" customHeight="1">
      <c r="A3454" s="2" t="s">
        <v>9481</v>
      </c>
      <c r="B3454" s="2" t="s">
        <v>9481</v>
      </c>
      <c r="C3454" s="2" t="s">
        <v>88</v>
      </c>
      <c r="D3454" s="2" t="s">
        <v>18</v>
      </c>
      <c r="E3454" s="4">
        <v>-32764</v>
      </c>
      <c r="F3454" s="3" t="s">
        <v>640</v>
      </c>
      <c r="G3454" s="3" t="s">
        <v>641</v>
      </c>
      <c r="H3454" s="2" t="s">
        <v>74</v>
      </c>
      <c r="I3454" s="2" t="s">
        <v>9482</v>
      </c>
      <c r="J3454" s="3" t="str">
        <f>HYPERLINK("https://www.boe.es/gazeta/dias/1810/04/17/pdfs/GEI-1810-15.pdf#page=8","Abrir facsímil")</f>
        <v>Abrir facsímil</v>
      </c>
      <c r="K3454" s="3" t="s">
        <v>76</v>
      </c>
    </row>
    <row r="3455" spans="1:11" ht="42" customHeight="1">
      <c r="A3455" s="2" t="s">
        <v>9481</v>
      </c>
      <c r="B3455" s="2" t="s">
        <v>9481</v>
      </c>
      <c r="C3455" s="2" t="s">
        <v>88</v>
      </c>
      <c r="D3455" s="2" t="s">
        <v>27</v>
      </c>
      <c r="E3455" s="4">
        <v>-32743</v>
      </c>
      <c r="F3455" s="3" t="s">
        <v>2265</v>
      </c>
      <c r="G3455" s="3" t="s">
        <v>2266</v>
      </c>
      <c r="H3455" s="2" t="s">
        <v>74</v>
      </c>
      <c r="I3455" s="2" t="s">
        <v>9483</v>
      </c>
      <c r="J3455" s="3" t="str">
        <f>HYPERLINK("https://www.boe.es/gazeta/dias/1810/05/08/pdfs/GEI-1810-22.pdf#page=8","Abrir facsímil")</f>
        <v>Abrir facsímil</v>
      </c>
      <c r="K3455" s="3" t="s">
        <v>76</v>
      </c>
    </row>
    <row r="3456" spans="1:11" ht="42" customHeight="1">
      <c r="A3456" s="2" t="s">
        <v>9481</v>
      </c>
      <c r="B3456" s="2" t="s">
        <v>9481</v>
      </c>
      <c r="C3456" s="2" t="s">
        <v>317</v>
      </c>
      <c r="D3456" s="2" t="s">
        <v>39</v>
      </c>
      <c r="E3456" s="4">
        <v>-32687</v>
      </c>
      <c r="F3456" s="3" t="s">
        <v>304</v>
      </c>
      <c r="G3456" s="3" t="s">
        <v>140</v>
      </c>
      <c r="H3456" s="2" t="s">
        <v>74</v>
      </c>
      <c r="I3456" s="2" t="s">
        <v>9484</v>
      </c>
      <c r="J3456" s="3" t="str">
        <f>HYPERLINK("https://www.boe.es/gazeta/dias/1810/07/03/pdfs/GMD-C-1810-184.pdf#page=2","Abrir facsímil")</f>
        <v>Abrir facsímil</v>
      </c>
      <c r="K3456" s="3" t="s">
        <v>76</v>
      </c>
    </row>
    <row r="3457" spans="1:11" ht="42" customHeight="1">
      <c r="A3457" s="2" t="s">
        <v>9485</v>
      </c>
      <c r="B3457" s="2" t="s">
        <v>9485</v>
      </c>
      <c r="C3457" s="2" t="s">
        <v>26</v>
      </c>
      <c r="D3457" s="2" t="s">
        <v>27</v>
      </c>
      <c r="E3457" s="4">
        <v>-32654</v>
      </c>
      <c r="F3457" s="3" t="s">
        <v>1226</v>
      </c>
      <c r="G3457" s="3" t="s">
        <v>180</v>
      </c>
      <c r="H3457" s="2" t="s">
        <v>74</v>
      </c>
      <c r="I3457" s="2" t="s">
        <v>9486</v>
      </c>
      <c r="J3457" s="3" t="str">
        <f>HYPERLINK("https://www.boe.es/gazeta/dias/1810/08/05/pdfs/GMD-1810-217.pdf#page=4","Abrir facsímil")</f>
        <v>Abrir facsímil</v>
      </c>
      <c r="K3457" s="3" t="s">
        <v>76</v>
      </c>
    </row>
    <row r="3458" spans="1:11" ht="42" customHeight="1">
      <c r="A3458" s="2" t="s">
        <v>9481</v>
      </c>
      <c r="B3458" s="2" t="s">
        <v>9481</v>
      </c>
      <c r="C3458" s="2" t="s">
        <v>17</v>
      </c>
      <c r="D3458" s="2" t="s">
        <v>27</v>
      </c>
      <c r="E3458" s="4">
        <v>-32638</v>
      </c>
      <c r="F3458" s="3" t="s">
        <v>489</v>
      </c>
      <c r="G3458" s="3" t="s">
        <v>8802</v>
      </c>
      <c r="H3458" s="2" t="s">
        <v>74</v>
      </c>
      <c r="I3458" s="2" t="s">
        <v>9487</v>
      </c>
      <c r="J3458" s="3" t="str">
        <f>HYPERLINK("https://www.boe.es/gazeta/dias/1810/08/21/pdfs/GMD-1810-233.pdf#page=3","Abrir facsímil")</f>
        <v>Abrir facsímil</v>
      </c>
      <c r="K3458" s="3" t="s">
        <v>76</v>
      </c>
    </row>
    <row r="3459" spans="1:11" ht="42" customHeight="1">
      <c r="A3459" s="2" t="s">
        <v>9481</v>
      </c>
      <c r="B3459" s="2" t="s">
        <v>9481</v>
      </c>
      <c r="C3459" s="2" t="s">
        <v>111</v>
      </c>
      <c r="D3459" s="2" t="s">
        <v>27</v>
      </c>
      <c r="E3459" s="4">
        <v>-32617</v>
      </c>
      <c r="F3459" s="3" t="s">
        <v>1459</v>
      </c>
      <c r="G3459" s="3" t="s">
        <v>2771</v>
      </c>
      <c r="H3459" s="2" t="s">
        <v>74</v>
      </c>
      <c r="I3459" s="2" t="s">
        <v>9488</v>
      </c>
      <c r="J3459" s="3" t="str">
        <f>HYPERLINK("https://www.boe.es/gazeta/dias/1810/09/11/pdfs/GEI-1810-66.pdf#page=3","Abrir facsímil")</f>
        <v>Abrir facsímil</v>
      </c>
      <c r="K3459" s="3" t="s">
        <v>76</v>
      </c>
    </row>
    <row r="3460" spans="1:11" ht="42" customHeight="1">
      <c r="A3460" s="2" t="s">
        <v>9481</v>
      </c>
      <c r="B3460" s="2" t="s">
        <v>9481</v>
      </c>
      <c r="C3460" s="2" t="s">
        <v>26</v>
      </c>
      <c r="D3460" s="2" t="s">
        <v>58</v>
      </c>
      <c r="E3460" s="4">
        <v>-32601</v>
      </c>
      <c r="F3460" s="3" t="s">
        <v>392</v>
      </c>
      <c r="G3460" s="3" t="s">
        <v>35</v>
      </c>
      <c r="H3460" s="2" t="s">
        <v>74</v>
      </c>
      <c r="I3460" s="2" t="s">
        <v>9489</v>
      </c>
      <c r="J3460" s="3" t="str">
        <f>HYPERLINK("https://www.boe.es/gazeta/dias/1810/09/27/pdfs/GEI-1810-74E.pdf#page=2","Abrir facsímil")</f>
        <v>Abrir facsímil</v>
      </c>
      <c r="K3460" s="3" t="s">
        <v>76</v>
      </c>
    </row>
    <row r="3461" spans="1:11" ht="42" customHeight="1">
      <c r="A3461" s="2" t="s">
        <v>9481</v>
      </c>
      <c r="B3461" s="2" t="s">
        <v>9481</v>
      </c>
      <c r="C3461" s="2" t="s">
        <v>26</v>
      </c>
      <c r="D3461" s="2" t="s">
        <v>39</v>
      </c>
      <c r="E3461" s="4">
        <v>-32599</v>
      </c>
      <c r="F3461" s="3" t="s">
        <v>662</v>
      </c>
      <c r="G3461" s="3" t="s">
        <v>3097</v>
      </c>
      <c r="H3461" s="2" t="s">
        <v>74</v>
      </c>
      <c r="I3461" s="2" t="s">
        <v>9490</v>
      </c>
      <c r="J3461" s="3" t="str">
        <f>HYPERLINK("https://www.boe.es/gazeta/dias/1810/09/29/pdfs/GMD-C-1810-272.pdf#page=8","Abrir facsímil")</f>
        <v>Abrir facsímil</v>
      </c>
      <c r="K3461" s="3" t="s">
        <v>76</v>
      </c>
    </row>
    <row r="3462" spans="1:11" ht="42" customHeight="1">
      <c r="A3462" s="2" t="s">
        <v>9481</v>
      </c>
      <c r="B3462" s="2" t="s">
        <v>9481</v>
      </c>
      <c r="C3462" s="2" t="s">
        <v>26</v>
      </c>
      <c r="D3462" s="2" t="s">
        <v>27</v>
      </c>
      <c r="E3462" s="4">
        <v>-32557</v>
      </c>
      <c r="F3462" s="3" t="s">
        <v>837</v>
      </c>
      <c r="G3462" s="3" t="s">
        <v>8451</v>
      </c>
      <c r="H3462" s="2" t="s">
        <v>74</v>
      </c>
      <c r="I3462" s="2" t="s">
        <v>9491</v>
      </c>
      <c r="J3462" s="3" t="str">
        <f>HYPERLINK("https://www.boe.es/gazeta/dias/1810/11/10/pdfs/GEI-1810-93.pdf#page=8","Abrir facsímil")</f>
        <v>Abrir facsímil</v>
      </c>
      <c r="K3462" s="3" t="s">
        <v>76</v>
      </c>
    </row>
    <row r="3463" spans="1:11" ht="42" customHeight="1">
      <c r="A3463" s="2" t="s">
        <v>9481</v>
      </c>
      <c r="B3463" s="2" t="s">
        <v>9481</v>
      </c>
      <c r="C3463" s="2" t="s">
        <v>26</v>
      </c>
      <c r="D3463" s="2" t="s">
        <v>27</v>
      </c>
      <c r="E3463" s="4">
        <v>-32545</v>
      </c>
      <c r="F3463" s="3" t="s">
        <v>165</v>
      </c>
      <c r="G3463" s="3" t="s">
        <v>166</v>
      </c>
      <c r="H3463" s="2" t="s">
        <v>74</v>
      </c>
      <c r="I3463" s="2" t="s">
        <v>9492</v>
      </c>
      <c r="J3463" s="3" t="str">
        <f>HYPERLINK("https://www.boe.es/gazeta/dias/1810/11/22/pdfs/GEI-1810-98.pdf#page=8","Abrir facsímil")</f>
        <v>Abrir facsímil</v>
      </c>
      <c r="K3463" s="3" t="s">
        <v>76</v>
      </c>
    </row>
    <row r="3464" spans="1:11" ht="42" customHeight="1">
      <c r="A3464" s="2" t="s">
        <v>9481</v>
      </c>
      <c r="B3464" s="2" t="s">
        <v>9481</v>
      </c>
      <c r="C3464" s="2" t="s">
        <v>26</v>
      </c>
      <c r="D3464" s="2" t="s">
        <v>27</v>
      </c>
      <c r="E3464" s="4">
        <v>-32526</v>
      </c>
      <c r="F3464" s="3" t="s">
        <v>530</v>
      </c>
      <c r="G3464" s="3" t="s">
        <v>531</v>
      </c>
      <c r="H3464" s="2" t="s">
        <v>74</v>
      </c>
      <c r="I3464" s="2" t="s">
        <v>9493</v>
      </c>
      <c r="J3464" s="3" t="str">
        <f>HYPERLINK("https://www.boe.es/gazeta/dias/1810/12/11/pdfs/GEI-1810-106.pdf#page=2","Abrir facsímil")</f>
        <v>Abrir facsímil</v>
      </c>
      <c r="K3464" s="3" t="s">
        <v>76</v>
      </c>
    </row>
    <row r="3465" spans="1:11" ht="42" customHeight="1">
      <c r="A3465" s="2" t="s">
        <v>9494</v>
      </c>
      <c r="B3465" s="2" t="s">
        <v>9494</v>
      </c>
      <c r="C3465" s="2" t="s">
        <v>88</v>
      </c>
      <c r="D3465" s="2" t="s">
        <v>117</v>
      </c>
      <c r="E3465" s="4">
        <v>-32725</v>
      </c>
      <c r="F3465" s="3" t="s">
        <v>417</v>
      </c>
      <c r="G3465" s="3" t="s">
        <v>140</v>
      </c>
      <c r="H3465" s="2" t="s">
        <v>74</v>
      </c>
      <c r="I3465" s="2" t="s">
        <v>9495</v>
      </c>
      <c r="J3465" s="3" t="str">
        <f>HYPERLINK("https://www.boe.es/gazeta/dias/1810/05/26/pdfs/GMD-1810-146.pdf#page=4","Abrir facsímil")</f>
        <v>Abrir facsímil</v>
      </c>
      <c r="K3465" s="3" t="s">
        <v>76</v>
      </c>
    </row>
    <row r="3466" spans="1:11" ht="42" customHeight="1">
      <c r="A3466" s="2" t="s">
        <v>9496</v>
      </c>
      <c r="B3466" s="2" t="s">
        <v>9497</v>
      </c>
      <c r="C3466" s="2" t="s">
        <v>26</v>
      </c>
      <c r="D3466" s="2" t="s">
        <v>39</v>
      </c>
      <c r="E3466" s="4">
        <v>-32702</v>
      </c>
      <c r="F3466" s="3" t="s">
        <v>179</v>
      </c>
      <c r="G3466" s="3" t="s">
        <v>119</v>
      </c>
      <c r="H3466" s="2" t="s">
        <v>74</v>
      </c>
      <c r="I3466" s="2" t="s">
        <v>9498</v>
      </c>
      <c r="J3466" s="3" t="str">
        <f>HYPERLINK("https://www.boe.es/gazeta/dias/1810/06/18/pdfs/GMD-C-1810-169.pdf#page=1","Abrir facsímil")</f>
        <v>Abrir facsímil</v>
      </c>
      <c r="K3466" s="3" t="s">
        <v>76</v>
      </c>
    </row>
    <row r="3467" spans="1:11" ht="42" customHeight="1">
      <c r="A3467" s="2" t="s">
        <v>9499</v>
      </c>
      <c r="B3467" s="2" t="s">
        <v>9499</v>
      </c>
      <c r="C3467" s="2" t="s">
        <v>26</v>
      </c>
      <c r="D3467" s="2" t="s">
        <v>27</v>
      </c>
      <c r="E3467" s="4">
        <v>-32862</v>
      </c>
      <c r="F3467" s="3" t="s">
        <v>694</v>
      </c>
      <c r="G3467" s="3" t="s">
        <v>4798</v>
      </c>
      <c r="H3467" s="2" t="s">
        <v>74</v>
      </c>
      <c r="I3467" s="2" t="s">
        <v>9500</v>
      </c>
      <c r="J3467" s="3" t="str">
        <f>HYPERLINK("https://www.boe.es/gazeta/dias/1810/01/09/pdfs/GGB-1810-4.pdf#page=7","Abrir facsímil")</f>
        <v>Abrir facsímil</v>
      </c>
      <c r="K3467" s="3" t="s">
        <v>76</v>
      </c>
    </row>
    <row r="3468" spans="1:11" ht="42" customHeight="1">
      <c r="A3468" s="2" t="s">
        <v>9499</v>
      </c>
      <c r="B3468" s="2" t="s">
        <v>9499</v>
      </c>
      <c r="C3468" s="2" t="s">
        <v>88</v>
      </c>
      <c r="D3468" s="2" t="s">
        <v>117</v>
      </c>
      <c r="E3468" s="4">
        <v>-32861</v>
      </c>
      <c r="F3468" s="3" t="s">
        <v>796</v>
      </c>
      <c r="G3468" s="3" t="s">
        <v>29</v>
      </c>
      <c r="H3468" s="2" t="s">
        <v>74</v>
      </c>
      <c r="I3468" s="2" t="s">
        <v>9501</v>
      </c>
      <c r="J3468" s="3" t="str">
        <f>HYPERLINK("https://www.boe.es/gazeta/dias/1810/01/10/pdfs/GMD-1810-10.pdf#page=2","Abrir facsímil")</f>
        <v>Abrir facsímil</v>
      </c>
      <c r="K3468" s="3" t="s">
        <v>76</v>
      </c>
    </row>
    <row r="3469" spans="1:11" ht="42" customHeight="1">
      <c r="A3469" s="2" t="s">
        <v>9499</v>
      </c>
      <c r="B3469" s="2" t="s">
        <v>9499</v>
      </c>
      <c r="C3469" s="2" t="s">
        <v>88</v>
      </c>
      <c r="D3469" s="2" t="s">
        <v>117</v>
      </c>
      <c r="E3469" s="4">
        <v>-32861</v>
      </c>
      <c r="F3469" s="3" t="s">
        <v>796</v>
      </c>
      <c r="G3469" s="3" t="s">
        <v>99</v>
      </c>
      <c r="H3469" s="2" t="s">
        <v>74</v>
      </c>
      <c r="I3469" s="2" t="s">
        <v>9502</v>
      </c>
      <c r="J3469" s="3" t="str">
        <f>HYPERLINK("https://www.boe.es/gazeta/dias/1810/01/10/pdfs/GMD-1810-10.pdf#page=3","Abrir facsímil")</f>
        <v>Abrir facsímil</v>
      </c>
      <c r="K3469" s="3" t="s">
        <v>76</v>
      </c>
    </row>
    <row r="3470" spans="1:11" ht="42" customHeight="1">
      <c r="A3470" s="2" t="s">
        <v>9499</v>
      </c>
      <c r="B3470" s="2" t="s">
        <v>9499</v>
      </c>
      <c r="C3470" s="2" t="s">
        <v>33</v>
      </c>
      <c r="D3470" s="2" t="s">
        <v>220</v>
      </c>
      <c r="E3470" s="4">
        <v>-32861</v>
      </c>
      <c r="F3470" s="3" t="s">
        <v>796</v>
      </c>
      <c r="G3470" s="3" t="s">
        <v>227</v>
      </c>
      <c r="H3470" s="2" t="s">
        <v>74</v>
      </c>
      <c r="I3470" s="2" t="s">
        <v>9503</v>
      </c>
      <c r="J3470" s="3" t="str">
        <f>HYPERLINK("https://www.boe.es/gazeta/dias/1810/01/10/pdfs/GMD-1810-10.pdf#page=4","Abrir facsímil")</f>
        <v>Abrir facsímil</v>
      </c>
      <c r="K3470" s="3" t="s">
        <v>76</v>
      </c>
    </row>
    <row r="3471" spans="1:11" ht="42" customHeight="1">
      <c r="A3471" s="2" t="s">
        <v>9499</v>
      </c>
      <c r="B3471" s="2" t="s">
        <v>9499</v>
      </c>
      <c r="C3471" s="2" t="s">
        <v>88</v>
      </c>
      <c r="D3471" s="2" t="s">
        <v>117</v>
      </c>
      <c r="E3471" s="4">
        <v>-32859</v>
      </c>
      <c r="F3471" s="3" t="s">
        <v>914</v>
      </c>
      <c r="G3471" s="3" t="s">
        <v>29</v>
      </c>
      <c r="H3471" s="2" t="s">
        <v>74</v>
      </c>
      <c r="I3471" s="2" t="s">
        <v>9504</v>
      </c>
      <c r="J3471" s="3" t="str">
        <f>HYPERLINK("https://www.boe.es/gazeta/dias/1810/01/12/pdfs/GMD-1810-12.pdf#page=3","Abrir facsímil")</f>
        <v>Abrir facsímil</v>
      </c>
      <c r="K3471" s="3" t="s">
        <v>76</v>
      </c>
    </row>
    <row r="3472" spans="1:11" ht="42" customHeight="1">
      <c r="A3472" s="2" t="s">
        <v>9499</v>
      </c>
      <c r="B3472" s="2" t="s">
        <v>9499</v>
      </c>
      <c r="C3472" s="2" t="s">
        <v>33</v>
      </c>
      <c r="D3472" s="2" t="s">
        <v>27</v>
      </c>
      <c r="E3472" s="4">
        <v>-32855</v>
      </c>
      <c r="F3472" s="3" t="s">
        <v>3911</v>
      </c>
      <c r="G3472" s="3" t="s">
        <v>252</v>
      </c>
      <c r="H3472" s="2" t="s">
        <v>74</v>
      </c>
      <c r="I3472" s="2" t="s">
        <v>9505</v>
      </c>
      <c r="J3472" s="3" t="str">
        <f>HYPERLINK("https://www.boe.es/gazeta/dias/1810/01/16/pdfs/GGB-1810-7.pdf#page=3","Abrir facsímil")</f>
        <v>Abrir facsímil</v>
      </c>
      <c r="K3472" s="3" t="s">
        <v>76</v>
      </c>
    </row>
    <row r="3473" spans="1:11" ht="42" customHeight="1">
      <c r="A3473" s="2" t="s">
        <v>9499</v>
      </c>
      <c r="B3473" s="2" t="s">
        <v>9499</v>
      </c>
      <c r="C3473" s="2" t="s">
        <v>33</v>
      </c>
      <c r="D3473" s="2" t="s">
        <v>220</v>
      </c>
      <c r="E3473" s="4">
        <v>-32824</v>
      </c>
      <c r="F3473" s="3" t="s">
        <v>2193</v>
      </c>
      <c r="G3473" s="3" t="s">
        <v>70</v>
      </c>
      <c r="H3473" s="2" t="s">
        <v>74</v>
      </c>
      <c r="I3473" s="2" t="s">
        <v>9506</v>
      </c>
      <c r="J3473" s="3" t="str">
        <f>HYPERLINK("https://www.boe.es/gazeta/dias/1810/02/16/pdfs/GMD-1810-47.pdf#page=1","Abrir facsímil")</f>
        <v>Abrir facsímil</v>
      </c>
      <c r="K3473" s="3" t="s">
        <v>76</v>
      </c>
    </row>
    <row r="3474" spans="1:11" ht="42" customHeight="1">
      <c r="A3474" s="2" t="s">
        <v>9499</v>
      </c>
      <c r="B3474" s="2" t="s">
        <v>9499</v>
      </c>
      <c r="C3474" s="2" t="s">
        <v>26</v>
      </c>
      <c r="D3474" s="2" t="s">
        <v>18</v>
      </c>
      <c r="E3474" s="4">
        <v>-32820</v>
      </c>
      <c r="F3474" s="3" t="s">
        <v>226</v>
      </c>
      <c r="G3474" s="3" t="s">
        <v>227</v>
      </c>
      <c r="H3474" s="2" t="s">
        <v>74</v>
      </c>
      <c r="I3474" s="2" t="s">
        <v>9507</v>
      </c>
      <c r="J3474" s="3" t="str">
        <f>HYPERLINK("https://www.boe.es/gazeta/dias/1810/02/20/pdfs/GMD-1810-51.pdf#page=4","Abrir facsímil")</f>
        <v>Abrir facsímil</v>
      </c>
      <c r="K3474" s="3" t="s">
        <v>76</v>
      </c>
    </row>
    <row r="3475" spans="1:11" ht="42" customHeight="1">
      <c r="A3475" s="2" t="s">
        <v>9499</v>
      </c>
      <c r="B3475" s="2" t="s">
        <v>9499</v>
      </c>
      <c r="C3475" s="2" t="s">
        <v>26</v>
      </c>
      <c r="D3475" s="2" t="s">
        <v>27</v>
      </c>
      <c r="E3475" s="4">
        <v>-32804</v>
      </c>
      <c r="F3475" s="3" t="s">
        <v>583</v>
      </c>
      <c r="G3475" s="3" t="s">
        <v>99</v>
      </c>
      <c r="H3475" s="2" t="s">
        <v>74</v>
      </c>
      <c r="I3475" s="2" t="s">
        <v>9508</v>
      </c>
      <c r="J3475" s="3" t="str">
        <f>HYPERLINK("https://www.boe.es/gazeta/dias/1810/03/08/pdfs/GMD-1810-67.pdf#page=3","Abrir facsímil")</f>
        <v>Abrir facsímil</v>
      </c>
      <c r="K3475" s="3" t="s">
        <v>76</v>
      </c>
    </row>
    <row r="3476" spans="1:11" ht="42" customHeight="1">
      <c r="A3476" s="2" t="s">
        <v>9499</v>
      </c>
      <c r="B3476" s="2" t="s">
        <v>9499</v>
      </c>
      <c r="C3476" s="2" t="s">
        <v>26</v>
      </c>
      <c r="D3476" s="2" t="s">
        <v>27</v>
      </c>
      <c r="E3476" s="4">
        <v>-32799</v>
      </c>
      <c r="F3476" s="3" t="s">
        <v>2252</v>
      </c>
      <c r="G3476" s="3" t="s">
        <v>2253</v>
      </c>
      <c r="H3476" s="2" t="s">
        <v>74</v>
      </c>
      <c r="I3476" s="2" t="s">
        <v>9509</v>
      </c>
      <c r="J3476" s="3" t="str">
        <f>HYPERLINK("https://www.boe.es/gazeta/dias/1810/03/13/pdfs/GMD-1810-72.pdf#page=4","Abrir facsímil")</f>
        <v>Abrir facsímil</v>
      </c>
      <c r="K3476" s="3" t="s">
        <v>76</v>
      </c>
    </row>
    <row r="3477" spans="1:11" ht="42" customHeight="1">
      <c r="A3477" s="2" t="s">
        <v>9499</v>
      </c>
      <c r="B3477" s="2" t="s">
        <v>9499</v>
      </c>
      <c r="C3477" s="2" t="s">
        <v>26</v>
      </c>
      <c r="D3477" s="2" t="s">
        <v>18</v>
      </c>
      <c r="E3477" s="4">
        <v>-32776</v>
      </c>
      <c r="F3477" s="3" t="s">
        <v>752</v>
      </c>
      <c r="G3477" s="3" t="s">
        <v>213</v>
      </c>
      <c r="H3477" s="2" t="s">
        <v>74</v>
      </c>
      <c r="I3477" s="2" t="s">
        <v>9510</v>
      </c>
      <c r="J3477" s="3" t="str">
        <f>HYPERLINK("https://www.boe.es/gazeta/dias/1810/04/05/pdfs/GMD-1810-95.pdf#page=3","Abrir facsímil")</f>
        <v>Abrir facsímil</v>
      </c>
      <c r="K3477" s="3" t="s">
        <v>76</v>
      </c>
    </row>
    <row r="3478" spans="1:11" ht="42" customHeight="1">
      <c r="A3478" s="2" t="s">
        <v>9499</v>
      </c>
      <c r="B3478" s="2" t="s">
        <v>9499</v>
      </c>
      <c r="C3478" s="2" t="s">
        <v>88</v>
      </c>
      <c r="D3478" s="2" t="s">
        <v>27</v>
      </c>
      <c r="E3478" s="4">
        <v>-32771</v>
      </c>
      <c r="F3478" s="3" t="s">
        <v>543</v>
      </c>
      <c r="G3478" s="3" t="s">
        <v>65</v>
      </c>
      <c r="H3478" s="2" t="s">
        <v>74</v>
      </c>
      <c r="I3478" s="2" t="s">
        <v>9511</v>
      </c>
      <c r="J3478" s="3" t="str">
        <f>HYPERLINK("https://www.boe.es/gazeta/dias/1810/04/10/pdfs/GEI-1810-13.pdf#page=7","Abrir facsímil")</f>
        <v>Abrir facsímil</v>
      </c>
      <c r="K3478" s="3" t="s">
        <v>76</v>
      </c>
    </row>
    <row r="3479" spans="1:11" ht="42" customHeight="1">
      <c r="A3479" s="2" t="s">
        <v>9499</v>
      </c>
      <c r="B3479" s="2" t="s">
        <v>9499</v>
      </c>
      <c r="C3479" s="2" t="s">
        <v>33</v>
      </c>
      <c r="D3479" s="2" t="s">
        <v>27</v>
      </c>
      <c r="E3479" s="4">
        <v>-32769</v>
      </c>
      <c r="F3479" s="3" t="s">
        <v>1543</v>
      </c>
      <c r="G3479" s="3" t="s">
        <v>2861</v>
      </c>
      <c r="H3479" s="2" t="s">
        <v>74</v>
      </c>
      <c r="I3479" s="2" t="s">
        <v>9512</v>
      </c>
      <c r="J3479" s="3" t="str">
        <f>HYPERLINK("https://www.boe.es/gazeta/dias/1810/04/12/pdfs/GMD-1810-102.pdf#page=3","Abrir facsímil")</f>
        <v>Abrir facsímil</v>
      </c>
      <c r="K3479" s="3" t="s">
        <v>76</v>
      </c>
    </row>
    <row r="3480" spans="1:11" ht="42" customHeight="1">
      <c r="A3480" s="2" t="s">
        <v>9499</v>
      </c>
      <c r="B3480" s="2" t="s">
        <v>9499</v>
      </c>
      <c r="C3480" s="2" t="s">
        <v>88</v>
      </c>
      <c r="D3480" s="2" t="s">
        <v>27</v>
      </c>
      <c r="E3480" s="4">
        <v>-32763</v>
      </c>
      <c r="F3480" s="3" t="s">
        <v>1146</v>
      </c>
      <c r="G3480" s="3" t="s">
        <v>20</v>
      </c>
      <c r="H3480" s="2" t="s">
        <v>74</v>
      </c>
      <c r="I3480" s="2" t="s">
        <v>9513</v>
      </c>
      <c r="J3480" s="3" t="str">
        <f>HYPERLINK("https://www.boe.es/gazeta/dias/1810/04/18/pdfs/GMD-1810-108.pdf#page=4","Abrir facsímil")</f>
        <v>Abrir facsímil</v>
      </c>
      <c r="K3480" s="3" t="s">
        <v>76</v>
      </c>
    </row>
    <row r="3481" spans="1:11" ht="42" customHeight="1">
      <c r="A3481" s="2" t="s">
        <v>9499</v>
      </c>
      <c r="B3481" s="2" t="s">
        <v>9499</v>
      </c>
      <c r="C3481" s="2" t="s">
        <v>26</v>
      </c>
      <c r="D3481" s="2" t="s">
        <v>27</v>
      </c>
      <c r="E3481" s="4">
        <v>-32762</v>
      </c>
      <c r="F3481" s="3" t="s">
        <v>231</v>
      </c>
      <c r="G3481" s="3" t="s">
        <v>29</v>
      </c>
      <c r="H3481" s="2" t="s">
        <v>74</v>
      </c>
      <c r="I3481" s="2" t="s">
        <v>9514</v>
      </c>
      <c r="J3481" s="3" t="str">
        <f>HYPERLINK("https://www.boe.es/gazeta/dias/1810/04/19/pdfs/GMD-1810-109.pdf#page=2","Abrir facsímil")</f>
        <v>Abrir facsímil</v>
      </c>
      <c r="K3481" s="3" t="s">
        <v>76</v>
      </c>
    </row>
    <row r="3482" spans="1:11" ht="42" customHeight="1">
      <c r="A3482" s="2" t="s">
        <v>9499</v>
      </c>
      <c r="B3482" s="2" t="s">
        <v>9499</v>
      </c>
      <c r="C3482" s="2" t="s">
        <v>88</v>
      </c>
      <c r="D3482" s="2" t="s">
        <v>117</v>
      </c>
      <c r="E3482" s="4">
        <v>-32762</v>
      </c>
      <c r="F3482" s="3" t="s">
        <v>231</v>
      </c>
      <c r="G3482" s="3" t="s">
        <v>140</v>
      </c>
      <c r="H3482" s="2" t="s">
        <v>74</v>
      </c>
      <c r="I3482" s="2" t="s">
        <v>9515</v>
      </c>
      <c r="J3482" s="3" t="str">
        <f>HYPERLINK("https://www.boe.es/gazeta/dias/1810/04/19/pdfs/GMD-1810-109.pdf#page=3","Abrir facsímil")</f>
        <v>Abrir facsímil</v>
      </c>
      <c r="K3482" s="3" t="s">
        <v>76</v>
      </c>
    </row>
    <row r="3483" spans="1:11" ht="42" customHeight="1">
      <c r="A3483" s="2" t="s">
        <v>9499</v>
      </c>
      <c r="B3483" s="2" t="s">
        <v>9499</v>
      </c>
      <c r="C3483" s="2" t="s">
        <v>88</v>
      </c>
      <c r="D3483" s="2" t="s">
        <v>27</v>
      </c>
      <c r="E3483" s="4">
        <v>-32751</v>
      </c>
      <c r="F3483" s="3" t="s">
        <v>1205</v>
      </c>
      <c r="G3483" s="3" t="s">
        <v>191</v>
      </c>
      <c r="H3483" s="2" t="s">
        <v>74</v>
      </c>
      <c r="I3483" s="2" t="s">
        <v>9516</v>
      </c>
      <c r="J3483" s="3" t="str">
        <f>HYPERLINK("https://www.boe.es/gazeta/dias/1810/04/30/pdfs/GMD-1810-120.pdf#page=3","Abrir facsímil")</f>
        <v>Abrir facsímil</v>
      </c>
      <c r="K3483" s="3" t="s">
        <v>76</v>
      </c>
    </row>
    <row r="3484" spans="1:11" ht="42" customHeight="1">
      <c r="A3484" s="2" t="s">
        <v>9499</v>
      </c>
      <c r="B3484" s="2" t="s">
        <v>9499</v>
      </c>
      <c r="C3484" s="2" t="s">
        <v>33</v>
      </c>
      <c r="D3484" s="2" t="s">
        <v>220</v>
      </c>
      <c r="E3484" s="4">
        <v>-32740</v>
      </c>
      <c r="F3484" s="3" t="s">
        <v>721</v>
      </c>
      <c r="G3484" s="3" t="s">
        <v>722</v>
      </c>
      <c r="H3484" s="2" t="s">
        <v>74</v>
      </c>
      <c r="I3484" s="2" t="s">
        <v>9517</v>
      </c>
      <c r="J3484" s="3" t="str">
        <f>HYPERLINK("https://www.boe.es/gazeta/dias/1810/05/11/pdfs/GEI-1810-24.pdf#page=3","Abrir facsímil")</f>
        <v>Abrir facsímil</v>
      </c>
      <c r="K3484" s="3" t="s">
        <v>76</v>
      </c>
    </row>
    <row r="3485" spans="1:11" ht="42" customHeight="1">
      <c r="A3485" s="2" t="s">
        <v>9499</v>
      </c>
      <c r="B3485" s="2" t="s">
        <v>9499</v>
      </c>
      <c r="C3485" s="2" t="s">
        <v>33</v>
      </c>
      <c r="D3485" s="2" t="s">
        <v>220</v>
      </c>
      <c r="E3485" s="4">
        <v>-32740</v>
      </c>
      <c r="F3485" s="3" t="s">
        <v>721</v>
      </c>
      <c r="G3485" s="3" t="s">
        <v>1633</v>
      </c>
      <c r="H3485" s="2" t="s">
        <v>74</v>
      </c>
      <c r="I3485" s="2" t="s">
        <v>9518</v>
      </c>
      <c r="J3485" s="3" t="str">
        <f>HYPERLINK("https://www.boe.es/gazeta/dias/1810/05/11/pdfs/GEI-1810-24.pdf#page=4","Abrir facsímil")</f>
        <v>Abrir facsímil</v>
      </c>
      <c r="K3485" s="3" t="s">
        <v>76</v>
      </c>
    </row>
    <row r="3486" spans="1:11" ht="42" customHeight="1">
      <c r="A3486" s="2" t="s">
        <v>9499</v>
      </c>
      <c r="B3486" s="2" t="s">
        <v>9499</v>
      </c>
      <c r="C3486" s="2" t="s">
        <v>26</v>
      </c>
      <c r="D3486" s="2" t="s">
        <v>27</v>
      </c>
      <c r="E3486" s="4">
        <v>-32736</v>
      </c>
      <c r="F3486" s="3" t="s">
        <v>400</v>
      </c>
      <c r="G3486" s="3" t="s">
        <v>401</v>
      </c>
      <c r="H3486" s="2" t="s">
        <v>74</v>
      </c>
      <c r="I3486" s="2" t="s">
        <v>9519</v>
      </c>
      <c r="J3486" s="3" t="str">
        <f>HYPERLINK("https://www.boe.es/gazeta/dias/1810/05/15/pdfs/GMD-1810-135.pdf#page=4","Abrir facsímil")</f>
        <v>Abrir facsímil</v>
      </c>
      <c r="K3486" s="3" t="s">
        <v>76</v>
      </c>
    </row>
    <row r="3487" spans="1:11" ht="42" customHeight="1">
      <c r="A3487" s="2" t="s">
        <v>9499</v>
      </c>
      <c r="B3487" s="2" t="s">
        <v>9499</v>
      </c>
      <c r="C3487" s="2" t="s">
        <v>26</v>
      </c>
      <c r="D3487" s="2" t="s">
        <v>18</v>
      </c>
      <c r="E3487" s="4">
        <v>-32735</v>
      </c>
      <c r="F3487" s="3" t="s">
        <v>612</v>
      </c>
      <c r="G3487" s="3" t="s">
        <v>701</v>
      </c>
      <c r="H3487" s="2" t="s">
        <v>74</v>
      </c>
      <c r="I3487" s="2" t="s">
        <v>9520</v>
      </c>
      <c r="J3487" s="3" t="str">
        <f>HYPERLINK("https://www.boe.es/gazeta/dias/1810/05/16/pdfs/GMD-1810-136.pdf#page=4","Abrir facsímil")</f>
        <v>Abrir facsímil</v>
      </c>
      <c r="K3487" s="3" t="s">
        <v>76</v>
      </c>
    </row>
    <row r="3488" spans="1:11" ht="42" customHeight="1">
      <c r="A3488" s="2" t="s">
        <v>9499</v>
      </c>
      <c r="B3488" s="2" t="s">
        <v>9499</v>
      </c>
      <c r="C3488" s="2" t="s">
        <v>33</v>
      </c>
      <c r="D3488" s="2" t="s">
        <v>220</v>
      </c>
      <c r="E3488" s="4">
        <v>-32726</v>
      </c>
      <c r="F3488" s="3" t="s">
        <v>1850</v>
      </c>
      <c r="G3488" s="3" t="s">
        <v>1851</v>
      </c>
      <c r="H3488" s="2" t="s">
        <v>74</v>
      </c>
      <c r="I3488" s="2" t="s">
        <v>9521</v>
      </c>
      <c r="J3488" s="3" t="str">
        <f>HYPERLINK("https://www.boe.es/gazeta/dias/1810/05/25/pdfs/GEI-1810-30.pdf#page=1","Abrir facsímil")</f>
        <v>Abrir facsímil</v>
      </c>
      <c r="K3488" s="3" t="s">
        <v>76</v>
      </c>
    </row>
    <row r="3489" spans="1:11" ht="42" customHeight="1">
      <c r="A3489" s="2" t="s">
        <v>9499</v>
      </c>
      <c r="B3489" s="2" t="s">
        <v>9499</v>
      </c>
      <c r="C3489" s="2" t="s">
        <v>88</v>
      </c>
      <c r="D3489" s="2" t="s">
        <v>117</v>
      </c>
      <c r="E3489" s="4">
        <v>-32715</v>
      </c>
      <c r="F3489" s="3" t="s">
        <v>1029</v>
      </c>
      <c r="G3489" s="3" t="s">
        <v>1030</v>
      </c>
      <c r="H3489" s="2" t="s">
        <v>74</v>
      </c>
      <c r="I3489" s="2" t="s">
        <v>9522</v>
      </c>
      <c r="J3489" s="3" t="str">
        <f>HYPERLINK("https://www.boe.es/gazeta/dias/1810/06/05/pdfs/GEI-1810-33.pdf#page=2","Abrir facsímil")</f>
        <v>Abrir facsímil</v>
      </c>
      <c r="K3489" s="3" t="s">
        <v>76</v>
      </c>
    </row>
    <row r="3490" spans="1:11" ht="42" customHeight="1">
      <c r="A3490" s="2" t="s">
        <v>9499</v>
      </c>
      <c r="B3490" s="2" t="s">
        <v>9499</v>
      </c>
      <c r="C3490" s="2" t="s">
        <v>88</v>
      </c>
      <c r="D3490" s="2" t="s">
        <v>27</v>
      </c>
      <c r="E3490" s="4">
        <v>-32703</v>
      </c>
      <c r="F3490" s="3" t="s">
        <v>1213</v>
      </c>
      <c r="G3490" s="3" t="s">
        <v>1214</v>
      </c>
      <c r="H3490" s="2" t="s">
        <v>74</v>
      </c>
      <c r="I3490" s="2" t="s">
        <v>9523</v>
      </c>
      <c r="J3490" s="3" t="str">
        <f>HYPERLINK("https://www.boe.es/gazeta/dias/1810/06/17/pdfs/GMD-1810-168.pdf#page=4","Abrir facsímil")</f>
        <v>Abrir facsímil</v>
      </c>
      <c r="K3490" s="3" t="s">
        <v>76</v>
      </c>
    </row>
    <row r="3491" spans="1:11" ht="42" customHeight="1">
      <c r="A3491" s="2" t="s">
        <v>9499</v>
      </c>
      <c r="B3491" s="2" t="s">
        <v>9499</v>
      </c>
      <c r="C3491" s="2" t="s">
        <v>26</v>
      </c>
      <c r="D3491" s="2" t="s">
        <v>39</v>
      </c>
      <c r="E3491" s="4">
        <v>-32702</v>
      </c>
      <c r="F3491" s="3" t="s">
        <v>179</v>
      </c>
      <c r="G3491" s="3" t="s">
        <v>180</v>
      </c>
      <c r="H3491" s="2" t="s">
        <v>74</v>
      </c>
      <c r="I3491" s="2" t="s">
        <v>9524</v>
      </c>
      <c r="J3491" s="3" t="str">
        <f>HYPERLINK("https://www.boe.es/gazeta/dias/1810/06/18/pdfs/GMD-C-1810-169.pdf#page=2","Abrir facsímil")</f>
        <v>Abrir facsímil</v>
      </c>
      <c r="K3491" s="3" t="s">
        <v>76</v>
      </c>
    </row>
    <row r="3492" spans="1:11" ht="42" customHeight="1">
      <c r="A3492" s="2" t="s">
        <v>9499</v>
      </c>
      <c r="B3492" s="2" t="s">
        <v>9499</v>
      </c>
      <c r="C3492" s="2" t="s">
        <v>26</v>
      </c>
      <c r="D3492" s="2" t="s">
        <v>39</v>
      </c>
      <c r="E3492" s="4">
        <v>-32701</v>
      </c>
      <c r="F3492" s="3" t="s">
        <v>40</v>
      </c>
      <c r="G3492" s="3" t="s">
        <v>41</v>
      </c>
      <c r="H3492" s="2" t="s">
        <v>74</v>
      </c>
      <c r="I3492" s="2" t="s">
        <v>9525</v>
      </c>
      <c r="J3492" s="3" t="str">
        <f>HYPERLINK("https://www.boe.es/gazeta/dias/1810/06/19/pdfs/GMD-C-1810-170.pdf#page=3","Abrir facsímil")</f>
        <v>Abrir facsímil</v>
      </c>
      <c r="K3492" s="3" t="s">
        <v>76</v>
      </c>
    </row>
    <row r="3493" spans="1:11" ht="42" customHeight="1">
      <c r="A3493" s="2" t="s">
        <v>9499</v>
      </c>
      <c r="B3493" s="2" t="s">
        <v>9499</v>
      </c>
      <c r="C3493" s="2" t="s">
        <v>88</v>
      </c>
      <c r="D3493" s="2" t="s">
        <v>117</v>
      </c>
      <c r="E3493" s="4">
        <v>-32699</v>
      </c>
      <c r="F3493" s="3" t="s">
        <v>1216</v>
      </c>
      <c r="G3493" s="3" t="s">
        <v>1219</v>
      </c>
      <c r="H3493" s="2" t="s">
        <v>74</v>
      </c>
      <c r="I3493" s="2" t="s">
        <v>9526</v>
      </c>
      <c r="J3493" s="3" t="str">
        <f>HYPERLINK("https://www.boe.es/gazeta/dias/1810/06/21/pdfs/GMD-1810-172.pdf#page=4","Abrir facsímil")</f>
        <v>Abrir facsímil</v>
      </c>
      <c r="K3493" s="3" t="s">
        <v>76</v>
      </c>
    </row>
    <row r="3494" spans="1:11" ht="42" customHeight="1">
      <c r="A3494" s="2" t="s">
        <v>9499</v>
      </c>
      <c r="B3494" s="2" t="s">
        <v>9499</v>
      </c>
      <c r="C3494" s="2" t="s">
        <v>88</v>
      </c>
      <c r="D3494" s="2" t="s">
        <v>27</v>
      </c>
      <c r="E3494" s="4">
        <v>-32697</v>
      </c>
      <c r="F3494" s="3" t="s">
        <v>1859</v>
      </c>
      <c r="G3494" s="3" t="s">
        <v>70</v>
      </c>
      <c r="H3494" s="2" t="s">
        <v>74</v>
      </c>
      <c r="I3494" s="2" t="s">
        <v>9527</v>
      </c>
      <c r="J3494" s="3" t="str">
        <f>HYPERLINK("https://www.boe.es/gazeta/dias/1810/06/23/pdfs/GMD-1810-174.pdf#page=4","Abrir facsímil")</f>
        <v>Abrir facsímil</v>
      </c>
      <c r="K3494" s="3" t="s">
        <v>76</v>
      </c>
    </row>
    <row r="3495" spans="1:11" ht="42" customHeight="1">
      <c r="A3495" s="2" t="s">
        <v>9499</v>
      </c>
      <c r="B3495" s="2" t="s">
        <v>9499</v>
      </c>
      <c r="C3495" s="2" t="s">
        <v>26</v>
      </c>
      <c r="D3495" s="2" t="s">
        <v>27</v>
      </c>
      <c r="E3495" s="4">
        <v>-32692</v>
      </c>
      <c r="F3495" s="3" t="s">
        <v>3698</v>
      </c>
      <c r="G3495" s="3" t="s">
        <v>140</v>
      </c>
      <c r="H3495" s="2" t="s">
        <v>74</v>
      </c>
      <c r="I3495" s="2" t="s">
        <v>9528</v>
      </c>
      <c r="J3495" s="3" t="str">
        <f>HYPERLINK("https://www.boe.es/gazeta/dias/1810/06/28/pdfs/GMD-1810-179.pdf#page=4","Abrir facsímil")</f>
        <v>Abrir facsímil</v>
      </c>
      <c r="K3495" s="3" t="s">
        <v>76</v>
      </c>
    </row>
    <row r="3496" spans="1:11" ht="42" customHeight="1">
      <c r="A3496" s="2" t="s">
        <v>9499</v>
      </c>
      <c r="B3496" s="2" t="s">
        <v>9499</v>
      </c>
      <c r="C3496" s="2" t="s">
        <v>26</v>
      </c>
      <c r="D3496" s="2" t="s">
        <v>27</v>
      </c>
      <c r="E3496" s="4">
        <v>-32691</v>
      </c>
      <c r="F3496" s="3" t="s">
        <v>727</v>
      </c>
      <c r="G3496" s="3" t="s">
        <v>807</v>
      </c>
      <c r="H3496" s="2" t="s">
        <v>74</v>
      </c>
      <c r="I3496" s="2" t="s">
        <v>9529</v>
      </c>
      <c r="J3496" s="3" t="str">
        <f>HYPERLINK("https://www.boe.es/gazeta/dias/1810/06/29/pdfs/GMD-1810-180.pdf#page=3","Abrir facsímil")</f>
        <v>Abrir facsímil</v>
      </c>
      <c r="K3496" s="3" t="s">
        <v>76</v>
      </c>
    </row>
    <row r="3497" spans="1:11" ht="42" customHeight="1">
      <c r="A3497" s="2" t="s">
        <v>9499</v>
      </c>
      <c r="B3497" s="2" t="s">
        <v>9499</v>
      </c>
      <c r="C3497" s="2" t="s">
        <v>26</v>
      </c>
      <c r="D3497" s="2" t="s">
        <v>18</v>
      </c>
      <c r="E3497" s="4">
        <v>-32689</v>
      </c>
      <c r="F3497" s="3" t="s">
        <v>571</v>
      </c>
      <c r="G3497" s="3" t="s">
        <v>140</v>
      </c>
      <c r="H3497" s="2" t="s">
        <v>74</v>
      </c>
      <c r="I3497" s="2" t="s">
        <v>9530</v>
      </c>
      <c r="J3497" s="3" t="str">
        <f>HYPERLINK("https://www.boe.es/gazeta/dias/1810/07/01/pdfs/GMD-1810-182.pdf#page=4","Abrir facsímil")</f>
        <v>Abrir facsímil</v>
      </c>
      <c r="K3497" s="3" t="s">
        <v>76</v>
      </c>
    </row>
    <row r="3498" spans="1:11" ht="42" customHeight="1">
      <c r="A3498" s="2" t="s">
        <v>9499</v>
      </c>
      <c r="B3498" s="2" t="s">
        <v>9499</v>
      </c>
      <c r="C3498" s="2" t="s">
        <v>26</v>
      </c>
      <c r="D3498" s="2" t="s">
        <v>39</v>
      </c>
      <c r="E3498" s="4">
        <v>-32687</v>
      </c>
      <c r="F3498" s="3" t="s">
        <v>304</v>
      </c>
      <c r="G3498" s="3" t="s">
        <v>140</v>
      </c>
      <c r="H3498" s="2" t="s">
        <v>74</v>
      </c>
      <c r="I3498" s="2" t="s">
        <v>9531</v>
      </c>
      <c r="J3498" s="3" t="str">
        <f>HYPERLINK("https://www.boe.es/gazeta/dias/1810/07/03/pdfs/GMD-C-1810-184.pdf#page=2","Abrir facsímil")</f>
        <v>Abrir facsímil</v>
      </c>
      <c r="K3498" s="3" t="s">
        <v>76</v>
      </c>
    </row>
    <row r="3499" spans="1:11" ht="42" customHeight="1">
      <c r="A3499" s="2" t="s">
        <v>9499</v>
      </c>
      <c r="B3499" s="2" t="s">
        <v>9499</v>
      </c>
      <c r="C3499" s="2" t="s">
        <v>88</v>
      </c>
      <c r="D3499" s="2" t="s">
        <v>27</v>
      </c>
      <c r="E3499" s="4">
        <v>-32680</v>
      </c>
      <c r="F3499" s="3" t="s">
        <v>509</v>
      </c>
      <c r="G3499" s="3" t="s">
        <v>213</v>
      </c>
      <c r="H3499" s="2" t="s">
        <v>74</v>
      </c>
      <c r="I3499" s="2" t="s">
        <v>9532</v>
      </c>
      <c r="J3499" s="3" t="str">
        <f>HYPERLINK("https://www.boe.es/gazeta/dias/1810/07/10/pdfs/GMD-1810-191.pdf#page=4","Abrir facsímil")</f>
        <v>Abrir facsímil</v>
      </c>
      <c r="K3499" s="3" t="s">
        <v>76</v>
      </c>
    </row>
    <row r="3500" spans="1:11" ht="42" customHeight="1">
      <c r="A3500" s="2" t="s">
        <v>9499</v>
      </c>
      <c r="B3500" s="2" t="s">
        <v>9499</v>
      </c>
      <c r="C3500" s="2" t="s">
        <v>225</v>
      </c>
      <c r="D3500" s="2" t="s">
        <v>27</v>
      </c>
      <c r="E3500" s="4">
        <v>-32673</v>
      </c>
      <c r="F3500" s="3" t="s">
        <v>2174</v>
      </c>
      <c r="G3500" s="3" t="s">
        <v>5512</v>
      </c>
      <c r="H3500" s="2" t="s">
        <v>74</v>
      </c>
      <c r="I3500" s="2" t="s">
        <v>9533</v>
      </c>
      <c r="J3500" s="3" t="str">
        <f>HYPERLINK("https://www.boe.es/gazeta/dias/1810/07/17/pdfs/GEI-1810-45.pdf#page=12","Abrir facsímil")</f>
        <v>Abrir facsímil</v>
      </c>
      <c r="K3500" s="3" t="s">
        <v>76</v>
      </c>
    </row>
    <row r="3501" spans="1:11" ht="42" customHeight="1">
      <c r="A3501" s="2" t="s">
        <v>9499</v>
      </c>
      <c r="B3501" s="2" t="s">
        <v>9499</v>
      </c>
      <c r="C3501" s="2" t="s">
        <v>26</v>
      </c>
      <c r="D3501" s="2" t="s">
        <v>39</v>
      </c>
      <c r="E3501" s="4">
        <v>-32670</v>
      </c>
      <c r="F3501" s="3" t="s">
        <v>2457</v>
      </c>
      <c r="G3501" s="3" t="s">
        <v>473</v>
      </c>
      <c r="H3501" s="2" t="s">
        <v>74</v>
      </c>
      <c r="I3501" s="2" t="s">
        <v>9534</v>
      </c>
      <c r="J3501" s="3" t="str">
        <f>HYPERLINK("https://www.boe.es/gazeta/dias/1810/07/20/pdfs/GMD-C-1810-201.pdf#page=4","Abrir facsímil")</f>
        <v>Abrir facsímil</v>
      </c>
      <c r="K3501" s="3" t="s">
        <v>76</v>
      </c>
    </row>
    <row r="3502" spans="1:11" ht="42" customHeight="1">
      <c r="A3502" s="2" t="s">
        <v>9499</v>
      </c>
      <c r="B3502" s="2" t="s">
        <v>9499</v>
      </c>
      <c r="C3502" s="2" t="s">
        <v>33</v>
      </c>
      <c r="D3502" s="2" t="s">
        <v>27</v>
      </c>
      <c r="E3502" s="4">
        <v>-32650</v>
      </c>
      <c r="F3502" s="3" t="s">
        <v>9008</v>
      </c>
      <c r="G3502" s="3" t="s">
        <v>35</v>
      </c>
      <c r="H3502" s="2" t="s">
        <v>74</v>
      </c>
      <c r="I3502" s="2" t="s">
        <v>9535</v>
      </c>
      <c r="J3502" s="3" t="str">
        <f>HYPERLINK("https://www.boe.es/gazeta/dias/1810/08/09/pdfs/GMD-1810-221.pdf#page=2","Abrir facsímil")</f>
        <v>Abrir facsímil</v>
      </c>
      <c r="K3502" s="3" t="s">
        <v>76</v>
      </c>
    </row>
    <row r="3503" spans="1:11" ht="42" customHeight="1">
      <c r="A3503" s="2" t="s">
        <v>9536</v>
      </c>
      <c r="B3503" s="2" t="s">
        <v>9536</v>
      </c>
      <c r="C3503" s="2" t="s">
        <v>26</v>
      </c>
      <c r="D3503" s="2" t="s">
        <v>39</v>
      </c>
      <c r="E3503" s="4">
        <v>-32645</v>
      </c>
      <c r="F3503" s="3" t="s">
        <v>2492</v>
      </c>
      <c r="G3503" s="3" t="s">
        <v>119</v>
      </c>
      <c r="H3503" s="2" t="s">
        <v>74</v>
      </c>
      <c r="I3503" s="2" t="s">
        <v>9537</v>
      </c>
      <c r="J3503" s="3" t="str">
        <f>HYPERLINK("https://www.boe.es/gazeta/dias/1810/08/14/pdfs/GEI-D-1810-56.pdf#page=3","Abrir facsímil")</f>
        <v>Abrir facsímil</v>
      </c>
      <c r="K3503" s="3" t="s">
        <v>76</v>
      </c>
    </row>
    <row r="3504" spans="1:11" ht="42" customHeight="1">
      <c r="A3504" s="2" t="s">
        <v>9499</v>
      </c>
      <c r="B3504" s="2" t="s">
        <v>9499</v>
      </c>
      <c r="C3504" s="2" t="s">
        <v>88</v>
      </c>
      <c r="D3504" s="2" t="s">
        <v>39</v>
      </c>
      <c r="E3504" s="4">
        <v>-32645</v>
      </c>
      <c r="F3504" s="3" t="s">
        <v>2492</v>
      </c>
      <c r="G3504" s="3" t="s">
        <v>20</v>
      </c>
      <c r="H3504" s="2" t="s">
        <v>74</v>
      </c>
      <c r="I3504" s="2" t="s">
        <v>9538</v>
      </c>
      <c r="J3504" s="3" t="str">
        <f>HYPERLINK("https://www.boe.es/gazeta/dias/1810/08/14/pdfs/GEI-D-1810-56.pdf#page=4","Abrir facsímil")</f>
        <v>Abrir facsímil</v>
      </c>
      <c r="K3504" s="3" t="s">
        <v>76</v>
      </c>
    </row>
    <row r="3505" spans="1:11" ht="42" customHeight="1">
      <c r="A3505" s="2" t="s">
        <v>9499</v>
      </c>
      <c r="B3505" s="2" t="s">
        <v>9499</v>
      </c>
      <c r="C3505" s="2" t="s">
        <v>88</v>
      </c>
      <c r="D3505" s="2" t="s">
        <v>27</v>
      </c>
      <c r="E3505" s="4">
        <v>-32584</v>
      </c>
      <c r="F3505" s="3" t="s">
        <v>1560</v>
      </c>
      <c r="G3505" s="3" t="s">
        <v>971</v>
      </c>
      <c r="H3505" s="2" t="s">
        <v>74</v>
      </c>
      <c r="I3505" s="2" t="s">
        <v>9539</v>
      </c>
      <c r="J3505" s="3" t="str">
        <f>HYPERLINK("https://www.boe.es/gazeta/dias/1810/10/14/pdfs/GMD-1810-287.pdf#page=3","Abrir facsímil")</f>
        <v>Abrir facsímil</v>
      </c>
      <c r="K3505" s="3" t="s">
        <v>76</v>
      </c>
    </row>
    <row r="3506" spans="1:11" ht="42" customHeight="1">
      <c r="A3506" s="2" t="s">
        <v>9499</v>
      </c>
      <c r="B3506" s="2" t="s">
        <v>9499</v>
      </c>
      <c r="C3506" s="2" t="s">
        <v>26</v>
      </c>
      <c r="D3506" s="2" t="s">
        <v>27</v>
      </c>
      <c r="E3506" s="4">
        <v>-32574</v>
      </c>
      <c r="F3506" s="3" t="s">
        <v>9540</v>
      </c>
      <c r="G3506" s="3" t="s">
        <v>227</v>
      </c>
      <c r="H3506" s="2" t="s">
        <v>74</v>
      </c>
      <c r="I3506" s="2" t="s">
        <v>9541</v>
      </c>
      <c r="J3506" s="3" t="str">
        <f>HYPERLINK("https://www.boe.es/gazeta/dias/1810/10/24/pdfs/GMD-1810-297.pdf#page=4","Abrir facsímil")</f>
        <v>Abrir facsímil</v>
      </c>
      <c r="K3506" s="3" t="s">
        <v>76</v>
      </c>
    </row>
    <row r="3507" spans="1:11" ht="42" customHeight="1">
      <c r="A3507" s="2" t="s">
        <v>9499</v>
      </c>
      <c r="B3507" s="2" t="s">
        <v>9499</v>
      </c>
      <c r="C3507" s="2" t="s">
        <v>26</v>
      </c>
      <c r="D3507" s="2" t="s">
        <v>18</v>
      </c>
      <c r="E3507" s="4">
        <v>-32566</v>
      </c>
      <c r="F3507" s="3" t="s">
        <v>405</v>
      </c>
      <c r="G3507" s="3" t="s">
        <v>4261</v>
      </c>
      <c r="H3507" s="2" t="s">
        <v>74</v>
      </c>
      <c r="I3507" s="2" t="s">
        <v>9542</v>
      </c>
      <c r="J3507" s="3" t="str">
        <f>HYPERLINK("https://www.boe.es/gazeta/dias/1810/11/01/pdfs/GMD-1810-305.pdf#page=1","Abrir facsímil")</f>
        <v>Abrir facsímil</v>
      </c>
      <c r="K3507" s="3" t="s">
        <v>76</v>
      </c>
    </row>
    <row r="3508" spans="1:11" ht="42" customHeight="1">
      <c r="A3508" s="2" t="s">
        <v>9499</v>
      </c>
      <c r="B3508" s="2" t="s">
        <v>9499</v>
      </c>
      <c r="C3508" s="2" t="s">
        <v>88</v>
      </c>
      <c r="D3508" s="2" t="s">
        <v>27</v>
      </c>
      <c r="E3508" s="4">
        <v>-32566</v>
      </c>
      <c r="F3508" s="3" t="s">
        <v>405</v>
      </c>
      <c r="G3508" s="3" t="s">
        <v>469</v>
      </c>
      <c r="H3508" s="2" t="s">
        <v>74</v>
      </c>
      <c r="I3508" s="2" t="s">
        <v>9543</v>
      </c>
      <c r="J3508" s="3" t="str">
        <f>HYPERLINK("https://www.boe.es/gazeta/dias/1810/11/01/pdfs/GMD-1810-305.pdf#page=2","Abrir facsímil")</f>
        <v>Abrir facsímil</v>
      </c>
      <c r="K3508" s="3" t="s">
        <v>76</v>
      </c>
    </row>
    <row r="3509" spans="1:11" ht="42" customHeight="1">
      <c r="A3509" s="2" t="s">
        <v>9499</v>
      </c>
      <c r="B3509" s="2" t="s">
        <v>9499</v>
      </c>
      <c r="C3509" s="2" t="s">
        <v>26</v>
      </c>
      <c r="D3509" s="2" t="s">
        <v>27</v>
      </c>
      <c r="E3509" s="4">
        <v>-32566</v>
      </c>
      <c r="F3509" s="3" t="s">
        <v>405</v>
      </c>
      <c r="G3509" s="3" t="s">
        <v>99</v>
      </c>
      <c r="H3509" s="2" t="s">
        <v>74</v>
      </c>
      <c r="I3509" s="2" t="s">
        <v>9544</v>
      </c>
      <c r="J3509" s="3" t="str">
        <f>HYPERLINK("https://www.boe.es/gazeta/dias/1810/11/01/pdfs/GMD-1810-305.pdf#page=3","Abrir facsímil")</f>
        <v>Abrir facsímil</v>
      </c>
      <c r="K3509" s="3" t="s">
        <v>76</v>
      </c>
    </row>
    <row r="3510" spans="1:11" ht="42" customHeight="1">
      <c r="A3510" s="2" t="s">
        <v>9499</v>
      </c>
      <c r="B3510" s="2" t="s">
        <v>9499</v>
      </c>
      <c r="C3510" s="2" t="s">
        <v>88</v>
      </c>
      <c r="D3510" s="2" t="s">
        <v>27</v>
      </c>
      <c r="E3510" s="4">
        <v>-32565</v>
      </c>
      <c r="F3510" s="3" t="s">
        <v>743</v>
      </c>
      <c r="G3510" s="3" t="s">
        <v>458</v>
      </c>
      <c r="H3510" s="2" t="s">
        <v>74</v>
      </c>
      <c r="I3510" s="2" t="s">
        <v>9545</v>
      </c>
      <c r="J3510" s="3" t="str">
        <f>HYPERLINK("https://www.boe.es/gazeta/dias/1810/11/02/pdfs/GMD-1810-306.pdf#page=2","Abrir facsímil")</f>
        <v>Abrir facsímil</v>
      </c>
      <c r="K3510" s="3" t="s">
        <v>76</v>
      </c>
    </row>
    <row r="3511" spans="1:11" ht="42" customHeight="1">
      <c r="A3511" s="2" t="s">
        <v>9499</v>
      </c>
      <c r="B3511" s="2" t="s">
        <v>9499</v>
      </c>
      <c r="C3511" s="2" t="s">
        <v>88</v>
      </c>
      <c r="D3511" s="2" t="s">
        <v>117</v>
      </c>
      <c r="E3511" s="4">
        <v>-32564</v>
      </c>
      <c r="F3511" s="3" t="s">
        <v>1604</v>
      </c>
      <c r="G3511" s="3" t="s">
        <v>1605</v>
      </c>
      <c r="H3511" s="2" t="s">
        <v>74</v>
      </c>
      <c r="I3511" s="2" t="s">
        <v>9546</v>
      </c>
      <c r="J3511" s="3" t="str">
        <f>HYPERLINK("https://www.boe.es/gazeta/dias/1810/11/03/pdfs/GMD-1810-307.pdf#page=2","Abrir facsímil")</f>
        <v>Abrir facsímil</v>
      </c>
      <c r="K3511" s="3" t="s">
        <v>76</v>
      </c>
    </row>
    <row r="3512" spans="1:11" ht="42" customHeight="1">
      <c r="A3512" s="2" t="s">
        <v>9499</v>
      </c>
      <c r="B3512" s="2" t="s">
        <v>9499</v>
      </c>
      <c r="C3512" s="2" t="s">
        <v>26</v>
      </c>
      <c r="D3512" s="2" t="s">
        <v>27</v>
      </c>
      <c r="E3512" s="4">
        <v>-32563</v>
      </c>
      <c r="F3512" s="3" t="s">
        <v>535</v>
      </c>
      <c r="G3512" s="3" t="s">
        <v>210</v>
      </c>
      <c r="H3512" s="2" t="s">
        <v>74</v>
      </c>
      <c r="I3512" s="2" t="s">
        <v>9547</v>
      </c>
      <c r="J3512" s="3" t="str">
        <f>HYPERLINK("https://www.boe.es/gazeta/dias/1810/11/04/pdfs/GMD-1810-308.pdf#page=18","Abrir facsímil")</f>
        <v>Abrir facsímil</v>
      </c>
      <c r="K3512" s="3" t="s">
        <v>76</v>
      </c>
    </row>
    <row r="3513" spans="1:11" ht="42" customHeight="1">
      <c r="A3513" s="2" t="s">
        <v>9548</v>
      </c>
      <c r="B3513" s="2" t="s">
        <v>9549</v>
      </c>
      <c r="C3513" s="2" t="s">
        <v>26</v>
      </c>
      <c r="D3513" s="2" t="s">
        <v>27</v>
      </c>
      <c r="E3513" s="4">
        <v>-32566</v>
      </c>
      <c r="F3513" s="3" t="s">
        <v>405</v>
      </c>
      <c r="G3513" s="3" t="s">
        <v>99</v>
      </c>
      <c r="H3513" s="2" t="s">
        <v>74</v>
      </c>
      <c r="I3513" s="2" t="s">
        <v>9550</v>
      </c>
      <c r="J3513" s="3" t="str">
        <f>HYPERLINK("https://www.boe.es/gazeta/dias/1810/11/01/pdfs/GMD-1810-305.pdf#page=3","Abrir facsímil")</f>
        <v>Abrir facsímil</v>
      </c>
      <c r="K3513" s="3" t="s">
        <v>76</v>
      </c>
    </row>
    <row r="3514" spans="1:11" ht="42" customHeight="1">
      <c r="A3514" s="2" t="s">
        <v>9551</v>
      </c>
      <c r="B3514" s="2" t="s">
        <v>9552</v>
      </c>
      <c r="C3514" s="2" t="s">
        <v>26</v>
      </c>
      <c r="D3514" s="2" t="s">
        <v>39</v>
      </c>
      <c r="E3514" s="4">
        <v>-32702</v>
      </c>
      <c r="F3514" s="3" t="s">
        <v>179</v>
      </c>
      <c r="G3514" s="3" t="s">
        <v>180</v>
      </c>
      <c r="H3514" s="2" t="s">
        <v>74</v>
      </c>
      <c r="I3514" s="2" t="s">
        <v>9553</v>
      </c>
      <c r="J3514" s="3" t="str">
        <f>HYPERLINK("https://www.boe.es/gazeta/dias/1810/06/18/pdfs/GMD-C-1810-169.pdf#page=2","Abrir facsímil")</f>
        <v>Abrir facsímil</v>
      </c>
      <c r="K3514" s="3" t="s">
        <v>76</v>
      </c>
    </row>
    <row r="3515" spans="1:11" ht="42" customHeight="1">
      <c r="A3515" s="2" t="s">
        <v>9554</v>
      </c>
      <c r="B3515" s="2" t="s">
        <v>9555</v>
      </c>
      <c r="C3515" s="2" t="s">
        <v>225</v>
      </c>
      <c r="D3515" s="2" t="s">
        <v>18</v>
      </c>
      <c r="E3515" s="4">
        <v>-32536</v>
      </c>
      <c r="F3515" s="3" t="s">
        <v>9556</v>
      </c>
      <c r="G3515" s="3" t="s">
        <v>9557</v>
      </c>
      <c r="H3515" s="2" t="s">
        <v>74</v>
      </c>
      <c r="I3515" s="2" t="s">
        <v>9558</v>
      </c>
      <c r="J3515" s="3" t="str">
        <f>HYPERLINK("https://www.boe.es/gazeta/dias/1810/12/01/pdfs/GEI-1810-102.pdf#page=5","Abrir facsímil")</f>
        <v>Abrir facsímil</v>
      </c>
      <c r="K3515" s="3" t="s">
        <v>76</v>
      </c>
    </row>
    <row r="3516" spans="1:11" ht="42" customHeight="1">
      <c r="A3516" s="2" t="s">
        <v>9559</v>
      </c>
      <c r="B3516" s="2" t="s">
        <v>9560</v>
      </c>
      <c r="C3516" s="2" t="s">
        <v>26</v>
      </c>
      <c r="D3516" s="2" t="s">
        <v>39</v>
      </c>
      <c r="E3516" s="4">
        <v>-32661</v>
      </c>
      <c r="F3516" s="3" t="s">
        <v>157</v>
      </c>
      <c r="G3516" s="3" t="s">
        <v>158</v>
      </c>
      <c r="H3516" s="2" t="s">
        <v>74</v>
      </c>
      <c r="I3516" s="2" t="s">
        <v>9561</v>
      </c>
      <c r="J3516" s="3" t="str">
        <f>HYPERLINK("https://www.boe.es/gazeta/dias/1810/07/29/pdfs/GMD-C-1810-210.pdf#page=1","Abrir facsímil")</f>
        <v>Abrir facsímil</v>
      </c>
      <c r="K3516" s="3" t="s">
        <v>76</v>
      </c>
    </row>
    <row r="3517" spans="1:11" ht="42" customHeight="1">
      <c r="A3517" s="2" t="s">
        <v>9562</v>
      </c>
      <c r="B3517" s="2" t="s">
        <v>9563</v>
      </c>
      <c r="C3517" s="2" t="s">
        <v>26</v>
      </c>
      <c r="D3517" s="2" t="s">
        <v>27</v>
      </c>
      <c r="E3517" s="4">
        <v>-32543</v>
      </c>
      <c r="F3517" s="3" t="s">
        <v>69</v>
      </c>
      <c r="G3517" s="3" t="s">
        <v>70</v>
      </c>
      <c r="H3517" s="2" t="s">
        <v>74</v>
      </c>
      <c r="I3517" s="2" t="s">
        <v>9564</v>
      </c>
      <c r="J3517" s="3" t="str">
        <f>HYPERLINK("https://www.boe.es/gazeta/dias/1810/11/24/pdfs/GEI-1810-99.pdf#page=8","Abrir facsímil")</f>
        <v>Abrir facsímil</v>
      </c>
      <c r="K3517" s="3" t="s">
        <v>76</v>
      </c>
    </row>
    <row r="3518" spans="1:11" ht="42" customHeight="1">
      <c r="A3518" s="2" t="s">
        <v>9565</v>
      </c>
      <c r="B3518" s="2" t="s">
        <v>9565</v>
      </c>
      <c r="C3518" s="2" t="s">
        <v>88</v>
      </c>
      <c r="D3518" s="2" t="s">
        <v>27</v>
      </c>
      <c r="E3518" s="4">
        <v>-32776</v>
      </c>
      <c r="F3518" s="3" t="s">
        <v>752</v>
      </c>
      <c r="G3518" s="3" t="s">
        <v>213</v>
      </c>
      <c r="H3518" s="2" t="s">
        <v>74</v>
      </c>
      <c r="I3518" s="2" t="s">
        <v>9566</v>
      </c>
      <c r="J3518" s="3" t="str">
        <f>HYPERLINK("https://www.boe.es/gazeta/dias/1810/04/05/pdfs/GMD-1810-95.pdf#page=3","Abrir facsímil")</f>
        <v>Abrir facsímil</v>
      </c>
      <c r="K3518" s="3" t="s">
        <v>76</v>
      </c>
    </row>
    <row r="3519" spans="1:11" ht="42" customHeight="1">
      <c r="A3519" s="2" t="s">
        <v>9567</v>
      </c>
      <c r="B3519" s="2" t="s">
        <v>9568</v>
      </c>
      <c r="C3519" s="2" t="s">
        <v>26</v>
      </c>
      <c r="D3519" s="2" t="s">
        <v>39</v>
      </c>
      <c r="E3519" s="4">
        <v>-32702</v>
      </c>
      <c r="F3519" s="3" t="s">
        <v>179</v>
      </c>
      <c r="G3519" s="3" t="s">
        <v>213</v>
      </c>
      <c r="H3519" s="2" t="s">
        <v>74</v>
      </c>
      <c r="I3519" s="2" t="s">
        <v>9569</v>
      </c>
      <c r="J3519" s="3" t="str">
        <f>HYPERLINK("https://www.boe.es/gazeta/dias/1810/06/18/pdfs/GMD-C-1810-169.pdf#page=4","Abrir facsímil")</f>
        <v>Abrir facsímil</v>
      </c>
      <c r="K3519" s="3" t="s">
        <v>76</v>
      </c>
    </row>
    <row r="3520" spans="1:11" ht="42" customHeight="1">
      <c r="A3520" s="2" t="s">
        <v>9570</v>
      </c>
      <c r="B3520" s="2" t="s">
        <v>9570</v>
      </c>
      <c r="C3520" s="2" t="s">
        <v>26</v>
      </c>
      <c r="D3520" s="2" t="s">
        <v>27</v>
      </c>
      <c r="E3520" s="4">
        <v>-32666</v>
      </c>
      <c r="F3520" s="3" t="s">
        <v>1913</v>
      </c>
      <c r="G3520" s="3" t="s">
        <v>1914</v>
      </c>
      <c r="H3520" s="2" t="s">
        <v>74</v>
      </c>
      <c r="I3520" s="2" t="s">
        <v>9571</v>
      </c>
      <c r="J3520" s="3" t="str">
        <f>HYPERLINK("https://www.boe.es/gazeta/dias/1810/07/24/pdfs/GMD-1810-205.pdf#page=4","Abrir facsímil")</f>
        <v>Abrir facsímil</v>
      </c>
      <c r="K3520" s="3" t="s">
        <v>76</v>
      </c>
    </row>
    <row r="3521" spans="1:11" ht="42" customHeight="1">
      <c r="A3521" s="2" t="s">
        <v>9572</v>
      </c>
      <c r="B3521" s="2" t="s">
        <v>9572</v>
      </c>
      <c r="C3521" s="2" t="s">
        <v>88</v>
      </c>
      <c r="D3521" s="2" t="s">
        <v>27</v>
      </c>
      <c r="E3521" s="4">
        <v>-32561</v>
      </c>
      <c r="F3521" s="3" t="s">
        <v>3469</v>
      </c>
      <c r="G3521" s="3" t="s">
        <v>70</v>
      </c>
      <c r="H3521" s="2" t="s">
        <v>74</v>
      </c>
      <c r="I3521" s="2" t="s">
        <v>9573</v>
      </c>
      <c r="J3521" s="3" t="str">
        <f>HYPERLINK("https://www.boe.es/gazeta/dias/1810/11/06/pdfs/GMD-1810-310.pdf#page=2","Abrir facsímil")</f>
        <v>Abrir facsímil</v>
      </c>
      <c r="K3521" s="3" t="s">
        <v>76</v>
      </c>
    </row>
    <row r="3522" spans="1:11" ht="42" customHeight="1">
      <c r="A3522" s="2" t="s">
        <v>9572</v>
      </c>
      <c r="B3522" s="2" t="s">
        <v>9572</v>
      </c>
      <c r="C3522" s="2" t="s">
        <v>88</v>
      </c>
      <c r="D3522" s="2" t="s">
        <v>117</v>
      </c>
      <c r="E3522" s="4">
        <v>-32559</v>
      </c>
      <c r="F3522" s="3" t="s">
        <v>3062</v>
      </c>
      <c r="G3522" s="3" t="s">
        <v>3471</v>
      </c>
      <c r="H3522" s="2" t="s">
        <v>74</v>
      </c>
      <c r="I3522" s="2" t="s">
        <v>9574</v>
      </c>
      <c r="J3522" s="3" t="str">
        <f>HYPERLINK("https://www.boe.es/gazeta/dias/1810/11/08/pdfs/GEI-1810-92.pdf#page=1","Abrir facsímil")</f>
        <v>Abrir facsímil</v>
      </c>
      <c r="K3522" s="3" t="s">
        <v>76</v>
      </c>
    </row>
    <row r="3523" spans="1:11" ht="42" customHeight="1">
      <c r="A3523" s="2" t="s">
        <v>9575</v>
      </c>
      <c r="B3523" s="2" t="s">
        <v>9576</v>
      </c>
      <c r="C3523" s="2" t="s">
        <v>88</v>
      </c>
      <c r="D3523" s="2" t="s">
        <v>27</v>
      </c>
      <c r="E3523" s="4">
        <v>-32701</v>
      </c>
      <c r="F3523" s="3" t="s">
        <v>671</v>
      </c>
      <c r="G3523" s="3" t="s">
        <v>9577</v>
      </c>
      <c r="H3523" s="2" t="s">
        <v>21</v>
      </c>
      <c r="I3523" s="2" t="s">
        <v>9578</v>
      </c>
      <c r="J3523" s="3" t="str">
        <f>HYPERLINK("https://www.boe.es/gazeta/dias/1810/06/19/pdfs/GEI-1810-37.pdf#page=4","Abrir facsímil")</f>
        <v>Abrir facsímil</v>
      </c>
      <c r="K3523" s="3" t="s">
        <v>23</v>
      </c>
    </row>
    <row r="3524" spans="1:11" ht="42" customHeight="1">
      <c r="A3524" s="2" t="s">
        <v>9579</v>
      </c>
      <c r="B3524" s="2" t="s">
        <v>9580</v>
      </c>
      <c r="C3524" s="2" t="s">
        <v>88</v>
      </c>
      <c r="D3524" s="2" t="s">
        <v>27</v>
      </c>
      <c r="E3524" s="4">
        <v>-32708</v>
      </c>
      <c r="F3524" s="3" t="s">
        <v>654</v>
      </c>
      <c r="G3524" s="3" t="s">
        <v>90</v>
      </c>
      <c r="H3524" s="2" t="s">
        <v>74</v>
      </c>
      <c r="I3524" s="2" t="s">
        <v>9581</v>
      </c>
      <c r="J3524" s="3" t="str">
        <f>HYPERLINK("https://www.boe.es/gazeta/dias/1810/06/12/pdfs/GEI-1810-35.pdf#page=8","Abrir facsímil")</f>
        <v>Abrir facsímil</v>
      </c>
      <c r="K3524" s="3" t="s">
        <v>76</v>
      </c>
    </row>
    <row r="3525" spans="1:11" ht="42" customHeight="1">
      <c r="A3525" s="2" t="s">
        <v>9582</v>
      </c>
      <c r="B3525" s="2" t="s">
        <v>9582</v>
      </c>
      <c r="C3525" s="2" t="s">
        <v>88</v>
      </c>
      <c r="D3525" s="2" t="s">
        <v>27</v>
      </c>
      <c r="E3525" s="4">
        <v>-32644</v>
      </c>
      <c r="F3525" s="3" t="s">
        <v>457</v>
      </c>
      <c r="G3525" s="3" t="s">
        <v>213</v>
      </c>
      <c r="H3525" s="2" t="s">
        <v>74</v>
      </c>
      <c r="I3525" s="2" t="s">
        <v>9583</v>
      </c>
      <c r="J3525" s="3" t="str">
        <f>HYPERLINK("https://www.boe.es/gazeta/dias/1810/08/15/pdfs/GMD-1810-227.pdf#page=4","Abrir facsímil")</f>
        <v>Abrir facsímil</v>
      </c>
      <c r="K3525" s="3" t="s">
        <v>76</v>
      </c>
    </row>
    <row r="3526" spans="1:11" ht="42" customHeight="1">
      <c r="A3526" s="2" t="s">
        <v>9584</v>
      </c>
      <c r="B3526" s="2" t="s">
        <v>9584</v>
      </c>
      <c r="C3526" s="2" t="s">
        <v>26</v>
      </c>
      <c r="D3526" s="2" t="s">
        <v>27</v>
      </c>
      <c r="E3526" s="4">
        <v>-32543</v>
      </c>
      <c r="F3526" s="3" t="s">
        <v>69</v>
      </c>
      <c r="G3526" s="3" t="s">
        <v>84</v>
      </c>
      <c r="H3526" s="2" t="s">
        <v>74</v>
      </c>
      <c r="I3526" s="2" t="s">
        <v>9585</v>
      </c>
      <c r="J3526" s="3" t="str">
        <f>HYPERLINK("https://www.boe.es/gazeta/dias/1810/11/24/pdfs/GEI-1810-99.pdf#page=7","Abrir facsímil")</f>
        <v>Abrir facsímil</v>
      </c>
      <c r="K3526" s="3" t="s">
        <v>76</v>
      </c>
    </row>
    <row r="3527" spans="1:11" ht="42" customHeight="1">
      <c r="A3527" s="2" t="s">
        <v>9586</v>
      </c>
      <c r="B3527" s="2" t="s">
        <v>9587</v>
      </c>
      <c r="C3527" s="2" t="s">
        <v>88</v>
      </c>
      <c r="D3527" s="2" t="s">
        <v>27</v>
      </c>
      <c r="E3527" s="4">
        <v>-32739</v>
      </c>
      <c r="F3527" s="3" t="s">
        <v>724</v>
      </c>
      <c r="G3527" s="3" t="s">
        <v>140</v>
      </c>
      <c r="H3527" s="2" t="s">
        <v>74</v>
      </c>
      <c r="I3527" s="2" t="s">
        <v>9588</v>
      </c>
      <c r="J3527" s="3" t="str">
        <f>HYPERLINK("https://www.boe.es/gazeta/dias/1810/05/12/pdfs/GMD-1810-132.pdf#page=3","Abrir facsímil")</f>
        <v>Abrir facsímil</v>
      </c>
      <c r="K3527" s="3" t="s">
        <v>76</v>
      </c>
    </row>
    <row r="3528" spans="1:11" ht="42" customHeight="1">
      <c r="A3528" s="2" t="s">
        <v>9589</v>
      </c>
      <c r="B3528" s="2" t="s">
        <v>9589</v>
      </c>
      <c r="C3528" s="2" t="s">
        <v>88</v>
      </c>
      <c r="D3528" s="2" t="s">
        <v>27</v>
      </c>
      <c r="E3528" s="4">
        <v>-32599</v>
      </c>
      <c r="F3528" s="3" t="s">
        <v>1586</v>
      </c>
      <c r="G3528" s="3" t="s">
        <v>1638</v>
      </c>
      <c r="H3528" s="2" t="s">
        <v>74</v>
      </c>
      <c r="I3528" s="2" t="s">
        <v>9590</v>
      </c>
      <c r="J3528" s="3" t="str">
        <f>HYPERLINK("https://www.boe.es/gazeta/dias/1810/09/29/pdfs/GMD-1810-272.pdf#page=2","Abrir facsímil")</f>
        <v>Abrir facsímil</v>
      </c>
      <c r="K3528" s="3" t="s">
        <v>76</v>
      </c>
    </row>
    <row r="3529" spans="1:11" ht="42" customHeight="1">
      <c r="A3529" s="2" t="s">
        <v>9591</v>
      </c>
      <c r="B3529" s="2" t="s">
        <v>9591</v>
      </c>
      <c r="C3529" s="2" t="s">
        <v>88</v>
      </c>
      <c r="D3529" s="2" t="s">
        <v>117</v>
      </c>
      <c r="E3529" s="4">
        <v>-32705</v>
      </c>
      <c r="F3529" s="3" t="s">
        <v>1158</v>
      </c>
      <c r="G3529" s="3" t="s">
        <v>119</v>
      </c>
      <c r="H3529" s="2" t="s">
        <v>74</v>
      </c>
      <c r="I3529" s="2" t="s">
        <v>9592</v>
      </c>
      <c r="J3529" s="3" t="str">
        <f>HYPERLINK("https://www.boe.es/gazeta/dias/1810/06/15/pdfs/GMD-1810-166.pdf#page=3","Abrir facsímil")</f>
        <v>Abrir facsímil</v>
      </c>
      <c r="K3529" s="3" t="s">
        <v>76</v>
      </c>
    </row>
    <row r="3530" spans="1:11" ht="42" customHeight="1">
      <c r="A3530" s="2" t="s">
        <v>9591</v>
      </c>
      <c r="B3530" s="2" t="s">
        <v>9591</v>
      </c>
      <c r="C3530" s="2" t="s">
        <v>88</v>
      </c>
      <c r="D3530" s="2" t="s">
        <v>117</v>
      </c>
      <c r="E3530" s="4">
        <v>-32580</v>
      </c>
      <c r="F3530" s="3" t="s">
        <v>2508</v>
      </c>
      <c r="G3530" s="3" t="s">
        <v>227</v>
      </c>
      <c r="H3530" s="2" t="s">
        <v>74</v>
      </c>
      <c r="I3530" s="2" t="s">
        <v>9593</v>
      </c>
      <c r="J3530" s="3" t="str">
        <f>HYPERLINK("https://www.boe.es/gazeta/dias/1810/10/18/pdfs/GEI-1810-83.pdf#page=5","Abrir facsímil")</f>
        <v>Abrir facsímil</v>
      </c>
      <c r="K3530" s="3" t="s">
        <v>76</v>
      </c>
    </row>
    <row r="3531" spans="1:11" ht="42" customHeight="1">
      <c r="A3531" s="2" t="s">
        <v>9591</v>
      </c>
      <c r="B3531" s="2" t="s">
        <v>9591</v>
      </c>
      <c r="C3531" s="2" t="s">
        <v>33</v>
      </c>
      <c r="D3531" s="2" t="s">
        <v>18</v>
      </c>
      <c r="E3531" s="4">
        <v>-32540</v>
      </c>
      <c r="F3531" s="3" t="s">
        <v>255</v>
      </c>
      <c r="G3531" s="3" t="s">
        <v>35</v>
      </c>
      <c r="H3531" s="2" t="s">
        <v>74</v>
      </c>
      <c r="I3531" s="2" t="s">
        <v>9594</v>
      </c>
      <c r="J3531" s="3" t="str">
        <f>HYPERLINK("https://www.boe.es/gazeta/dias/1810/11/27/pdfs/GMD-1810-331.pdf#page=2","Abrir facsímil")</f>
        <v>Abrir facsímil</v>
      </c>
      <c r="K3531" s="3" t="s">
        <v>76</v>
      </c>
    </row>
    <row r="3532" spans="1:11" ht="42" customHeight="1">
      <c r="A3532" s="2" t="s">
        <v>9595</v>
      </c>
      <c r="B3532" s="2" t="s">
        <v>9595</v>
      </c>
      <c r="C3532" s="2" t="s">
        <v>88</v>
      </c>
      <c r="D3532" s="2" t="s">
        <v>117</v>
      </c>
      <c r="E3532" s="4">
        <v>-32631</v>
      </c>
      <c r="F3532" s="3" t="s">
        <v>2830</v>
      </c>
      <c r="G3532" s="3" t="s">
        <v>3308</v>
      </c>
      <c r="H3532" s="2" t="s">
        <v>74</v>
      </c>
      <c r="I3532" s="2" t="s">
        <v>9596</v>
      </c>
      <c r="J3532" s="3" t="str">
        <f>HYPERLINK("https://www.boe.es/gazeta/dias/1810/08/28/pdfs/GEI-D-1810-60.pdf#page=2","Abrir facsímil")</f>
        <v>Abrir facsímil</v>
      </c>
      <c r="K3532" s="3" t="s">
        <v>76</v>
      </c>
    </row>
    <row r="3533" spans="1:11" ht="42" customHeight="1">
      <c r="A3533" s="2" t="s">
        <v>9595</v>
      </c>
      <c r="B3533" s="2" t="s">
        <v>9595</v>
      </c>
      <c r="C3533" s="2" t="s">
        <v>88</v>
      </c>
      <c r="D3533" s="2" t="s">
        <v>27</v>
      </c>
      <c r="E3533" s="4">
        <v>-32594</v>
      </c>
      <c r="F3533" s="3" t="s">
        <v>885</v>
      </c>
      <c r="G3533" s="3" t="s">
        <v>7532</v>
      </c>
      <c r="H3533" s="2" t="s">
        <v>74</v>
      </c>
      <c r="I3533" s="2" t="s">
        <v>9597</v>
      </c>
      <c r="J3533" s="3" t="str">
        <f>HYPERLINK("https://www.boe.es/gazeta/dias/1810/10/04/pdfs/GEI-1810-77.pdf#page=7","Abrir facsímil")</f>
        <v>Abrir facsímil</v>
      </c>
      <c r="K3533" s="3" t="s">
        <v>76</v>
      </c>
    </row>
    <row r="3534" spans="1:11" ht="42" customHeight="1">
      <c r="A3534" s="2" t="s">
        <v>9598</v>
      </c>
      <c r="B3534" s="2" t="s">
        <v>9598</v>
      </c>
      <c r="C3534" s="2" t="s">
        <v>33</v>
      </c>
      <c r="D3534" s="2" t="s">
        <v>27</v>
      </c>
      <c r="E3534" s="4">
        <v>-32687</v>
      </c>
      <c r="F3534" s="3" t="s">
        <v>263</v>
      </c>
      <c r="G3534" s="3" t="s">
        <v>227</v>
      </c>
      <c r="H3534" s="2" t="s">
        <v>74</v>
      </c>
      <c r="I3534" s="2" t="s">
        <v>9599</v>
      </c>
      <c r="J3534" s="3" t="str">
        <f>HYPERLINK("https://www.boe.es/gazeta/dias/1810/07/03/pdfs/GEI-1810-41.pdf#page=7","Abrir facsímil")</f>
        <v>Abrir facsímil</v>
      </c>
      <c r="K3534" s="3" t="s">
        <v>76</v>
      </c>
    </row>
    <row r="3535" spans="1:11" ht="42" customHeight="1">
      <c r="A3535" s="2" t="s">
        <v>9600</v>
      </c>
      <c r="B3535" s="2" t="s">
        <v>9600</v>
      </c>
      <c r="C3535" s="2" t="s">
        <v>88</v>
      </c>
      <c r="D3535" s="2" t="s">
        <v>220</v>
      </c>
      <c r="E3535" s="4">
        <v>-32624</v>
      </c>
      <c r="F3535" s="3" t="s">
        <v>2838</v>
      </c>
      <c r="G3535" s="3" t="s">
        <v>9601</v>
      </c>
      <c r="H3535" s="2" t="s">
        <v>74</v>
      </c>
      <c r="I3535" s="2" t="s">
        <v>9602</v>
      </c>
      <c r="J3535" s="3" t="str">
        <f>HYPERLINK("https://www.boe.es/gazeta/dias/1810/09/04/pdfs/GMD-1810-247.pdf#page=1","Abrir facsímil")</f>
        <v>Abrir facsímil</v>
      </c>
      <c r="K3535" s="3" t="s">
        <v>76</v>
      </c>
    </row>
    <row r="3536" spans="1:11" ht="42" customHeight="1">
      <c r="A3536" s="2" t="s">
        <v>9603</v>
      </c>
      <c r="B3536" s="2" t="s">
        <v>9603</v>
      </c>
      <c r="C3536" s="2" t="s">
        <v>88</v>
      </c>
      <c r="D3536" s="2" t="s">
        <v>27</v>
      </c>
      <c r="E3536" s="4">
        <v>-32796</v>
      </c>
      <c r="F3536" s="3" t="s">
        <v>1129</v>
      </c>
      <c r="G3536" s="3" t="s">
        <v>119</v>
      </c>
      <c r="H3536" s="2" t="s">
        <v>74</v>
      </c>
      <c r="I3536" s="2" t="s">
        <v>9604</v>
      </c>
      <c r="J3536" s="3" t="str">
        <f>HYPERLINK("https://www.boe.es/gazeta/dias/1810/03/16/pdfs/GMD-1810-75.pdf#page=1","Abrir facsímil")</f>
        <v>Abrir facsímil</v>
      </c>
      <c r="K3536" s="3" t="s">
        <v>76</v>
      </c>
    </row>
    <row r="3537" spans="1:11" ht="42" customHeight="1">
      <c r="A3537" s="2" t="s">
        <v>9603</v>
      </c>
      <c r="B3537" s="2" t="s">
        <v>9603</v>
      </c>
      <c r="C3537" s="2" t="s">
        <v>88</v>
      </c>
      <c r="D3537" s="2" t="s">
        <v>117</v>
      </c>
      <c r="E3537" s="4">
        <v>-32694</v>
      </c>
      <c r="F3537" s="3" t="s">
        <v>2166</v>
      </c>
      <c r="G3537" s="3" t="s">
        <v>70</v>
      </c>
      <c r="H3537" s="2" t="s">
        <v>74</v>
      </c>
      <c r="I3537" s="2" t="s">
        <v>9605</v>
      </c>
      <c r="J3537" s="3" t="str">
        <f>HYPERLINK("https://www.boe.es/gazeta/dias/1810/06/26/pdfs/GMD-1810-177.pdf#page=2","Abrir facsímil")</f>
        <v>Abrir facsímil</v>
      </c>
      <c r="K3537" s="3" t="s">
        <v>76</v>
      </c>
    </row>
    <row r="3538" spans="1:11" ht="42" customHeight="1">
      <c r="A3538" s="2" t="s">
        <v>9603</v>
      </c>
      <c r="B3538" s="2" t="s">
        <v>9603</v>
      </c>
      <c r="C3538" s="2" t="s">
        <v>88</v>
      </c>
      <c r="D3538" s="2" t="s">
        <v>220</v>
      </c>
      <c r="E3538" s="4">
        <v>-32579</v>
      </c>
      <c r="F3538" s="3" t="s">
        <v>6949</v>
      </c>
      <c r="G3538" s="3" t="s">
        <v>131</v>
      </c>
      <c r="H3538" s="2" t="s">
        <v>74</v>
      </c>
      <c r="I3538" s="2" t="s">
        <v>9606</v>
      </c>
      <c r="J3538" s="3" t="str">
        <f>HYPERLINK("https://www.boe.es/gazeta/dias/1810/10/19/pdfs/GMD-1810-292.pdf#page=3","Abrir facsímil")</f>
        <v>Abrir facsímil</v>
      </c>
      <c r="K3538" s="3" t="s">
        <v>76</v>
      </c>
    </row>
    <row r="3539" spans="1:11" ht="42" customHeight="1">
      <c r="A3539" s="2" t="s">
        <v>9603</v>
      </c>
      <c r="B3539" s="2" t="s">
        <v>9603</v>
      </c>
      <c r="C3539" s="2" t="s">
        <v>88</v>
      </c>
      <c r="D3539" s="2" t="s">
        <v>117</v>
      </c>
      <c r="E3539" s="4">
        <v>-32541</v>
      </c>
      <c r="F3539" s="3" t="s">
        <v>748</v>
      </c>
      <c r="G3539" s="3" t="s">
        <v>35</v>
      </c>
      <c r="H3539" s="2" t="s">
        <v>74</v>
      </c>
      <c r="I3539" s="2" t="s">
        <v>9607</v>
      </c>
      <c r="J3539" s="3" t="str">
        <f>HYPERLINK("https://www.boe.es/gazeta/dias/1810/11/26/pdfs/GMD-1810-330.pdf#page=2","Abrir facsímil")</f>
        <v>Abrir facsímil</v>
      </c>
      <c r="K3539" s="3" t="s">
        <v>76</v>
      </c>
    </row>
    <row r="3540" spans="1:11" ht="42" customHeight="1">
      <c r="A3540" s="2" t="s">
        <v>9603</v>
      </c>
      <c r="B3540" s="2" t="s">
        <v>9603</v>
      </c>
      <c r="C3540" s="2" t="s">
        <v>88</v>
      </c>
      <c r="D3540" s="2" t="s">
        <v>27</v>
      </c>
      <c r="E3540" s="4">
        <v>-32534</v>
      </c>
      <c r="F3540" s="3" t="s">
        <v>2242</v>
      </c>
      <c r="G3540" s="3" t="s">
        <v>35</v>
      </c>
      <c r="H3540" s="2" t="s">
        <v>74</v>
      </c>
      <c r="I3540" s="2" t="s">
        <v>9608</v>
      </c>
      <c r="J3540" s="3" t="str">
        <f>HYPERLINK("https://www.boe.es/gazeta/dias/1810/12/03/pdfs/GMD-1810-337.pdf#page=2","Abrir facsímil")</f>
        <v>Abrir facsímil</v>
      </c>
      <c r="K3540" s="3" t="s">
        <v>76</v>
      </c>
    </row>
    <row r="3541" spans="1:11" ht="42" customHeight="1">
      <c r="A3541" s="2" t="s">
        <v>9609</v>
      </c>
      <c r="B3541" s="2" t="s">
        <v>9609</v>
      </c>
      <c r="C3541" s="2" t="s">
        <v>88</v>
      </c>
      <c r="D3541" s="2" t="s">
        <v>220</v>
      </c>
      <c r="E3541" s="4">
        <v>-32804</v>
      </c>
      <c r="F3541" s="3" t="s">
        <v>583</v>
      </c>
      <c r="G3541" s="3" t="s">
        <v>584</v>
      </c>
      <c r="H3541" s="2" t="s">
        <v>74</v>
      </c>
      <c r="I3541" s="2" t="s">
        <v>9610</v>
      </c>
      <c r="J3541" s="3" t="str">
        <f>HYPERLINK("https://www.boe.es/gazeta/dias/1810/03/08/pdfs/GMD-1810-67.pdf#page=1","Abrir facsímil")</f>
        <v>Abrir facsímil</v>
      </c>
      <c r="K3541" s="3" t="s">
        <v>76</v>
      </c>
    </row>
    <row r="3542" spans="1:11" ht="42" customHeight="1">
      <c r="A3542" s="2" t="s">
        <v>9611</v>
      </c>
      <c r="B3542" s="2" t="s">
        <v>9611</v>
      </c>
      <c r="C3542" s="2" t="s">
        <v>88</v>
      </c>
      <c r="D3542" s="2" t="s">
        <v>27</v>
      </c>
      <c r="E3542" s="4">
        <v>-32865</v>
      </c>
      <c r="F3542" s="3" t="s">
        <v>4391</v>
      </c>
      <c r="G3542" s="3" t="s">
        <v>35</v>
      </c>
      <c r="H3542" s="2" t="s">
        <v>74</v>
      </c>
      <c r="I3542" s="2" t="s">
        <v>9612</v>
      </c>
      <c r="J3542" s="3" t="str">
        <f>HYPERLINK("https://www.boe.es/gazeta/dias/1810/01/06/pdfs/GGB-1810-3.pdf#page=2","Abrir facsímil")</f>
        <v>Abrir facsímil</v>
      </c>
      <c r="K3542" s="3" t="s">
        <v>76</v>
      </c>
    </row>
    <row r="3543" spans="1:11" ht="42" customHeight="1">
      <c r="A3543" s="2" t="s">
        <v>9613</v>
      </c>
      <c r="B3543" s="2" t="s">
        <v>9613</v>
      </c>
      <c r="C3543" s="2" t="s">
        <v>26</v>
      </c>
      <c r="D3543" s="2" t="s">
        <v>18</v>
      </c>
      <c r="E3543" s="4">
        <v>-32715</v>
      </c>
      <c r="F3543" s="3" t="s">
        <v>1029</v>
      </c>
      <c r="G3543" s="3" t="s">
        <v>6209</v>
      </c>
      <c r="H3543" s="2" t="s">
        <v>74</v>
      </c>
      <c r="I3543" s="2" t="s">
        <v>9614</v>
      </c>
      <c r="J3543" s="3" t="str">
        <f>HYPERLINK("https://www.boe.es/gazeta/dias/1810/06/05/pdfs/GEI-1810-33.pdf#page=6","Abrir facsímil")</f>
        <v>Abrir facsímil</v>
      </c>
      <c r="K3543" s="3" t="s">
        <v>76</v>
      </c>
    </row>
    <row r="3544" spans="1:11" ht="42" customHeight="1">
      <c r="A3544" s="2" t="s">
        <v>9615</v>
      </c>
      <c r="B3544" s="2" t="s">
        <v>9615</v>
      </c>
      <c r="C3544" s="2" t="s">
        <v>26</v>
      </c>
      <c r="D3544" s="2" t="s">
        <v>27</v>
      </c>
      <c r="E3544" s="4">
        <v>-32853</v>
      </c>
      <c r="F3544" s="3" t="s">
        <v>516</v>
      </c>
      <c r="G3544" s="3" t="s">
        <v>2035</v>
      </c>
      <c r="H3544" s="2" t="s">
        <v>74</v>
      </c>
      <c r="I3544" s="2" t="s">
        <v>9616</v>
      </c>
      <c r="J3544" s="3" t="str">
        <f>HYPERLINK("https://www.boe.es/gazeta/dias/1810/01/18/pdfs/GGB-1810-8.pdf#page=3","Abrir facsímil")</f>
        <v>Abrir facsímil</v>
      </c>
      <c r="K3544" s="3" t="s">
        <v>76</v>
      </c>
    </row>
    <row r="3545" spans="1:11" ht="42" customHeight="1">
      <c r="A3545" s="2" t="s">
        <v>9617</v>
      </c>
      <c r="B3545" s="2" t="s">
        <v>9618</v>
      </c>
      <c r="C3545" s="2" t="s">
        <v>88</v>
      </c>
      <c r="D3545" s="2" t="s">
        <v>27</v>
      </c>
      <c r="E3545" s="4">
        <v>-32710</v>
      </c>
      <c r="F3545" s="3" t="s">
        <v>126</v>
      </c>
      <c r="G3545" s="3" t="s">
        <v>35</v>
      </c>
      <c r="H3545" s="2" t="s">
        <v>74</v>
      </c>
      <c r="I3545" s="2" t="s">
        <v>9619</v>
      </c>
      <c r="J3545" s="3" t="str">
        <f>HYPERLINK("https://www.boe.es/gazeta/dias/1810/06/10/pdfs/GMD-1810-161.pdf#page=2","Abrir facsímil")</f>
        <v>Abrir facsímil</v>
      </c>
      <c r="K3545" s="3" t="s">
        <v>76</v>
      </c>
    </row>
    <row r="3546" spans="1:11" ht="42" customHeight="1">
      <c r="A3546" s="2" t="s">
        <v>9620</v>
      </c>
      <c r="B3546" s="2" t="s">
        <v>9621</v>
      </c>
      <c r="C3546" s="2" t="s">
        <v>26</v>
      </c>
      <c r="D3546" s="2" t="s">
        <v>27</v>
      </c>
      <c r="E3546" s="4">
        <v>-32513</v>
      </c>
      <c r="F3546" s="3" t="s">
        <v>3702</v>
      </c>
      <c r="G3546" s="3" t="s">
        <v>668</v>
      </c>
      <c r="H3546" s="2" t="s">
        <v>74</v>
      </c>
      <c r="I3546" s="2" t="s">
        <v>9622</v>
      </c>
      <c r="J3546" s="3" t="str">
        <f>HYPERLINK("https://www.boe.es/gazeta/dias/1810/12/24/pdfs/GMD-1810-358.pdf#page=3","Abrir facsímil")</f>
        <v>Abrir facsímil</v>
      </c>
      <c r="K3546" s="3" t="s">
        <v>76</v>
      </c>
    </row>
    <row r="3547" spans="1:11" ht="42" customHeight="1">
      <c r="A3547" s="2" t="s">
        <v>9623</v>
      </c>
      <c r="B3547" s="2" t="s">
        <v>9624</v>
      </c>
      <c r="C3547" s="2" t="s">
        <v>225</v>
      </c>
      <c r="D3547" s="2" t="s">
        <v>27</v>
      </c>
      <c r="E3547" s="4">
        <v>-32766</v>
      </c>
      <c r="F3547" s="3" t="s">
        <v>492</v>
      </c>
      <c r="G3547" s="3" t="s">
        <v>493</v>
      </c>
      <c r="H3547" s="2" t="s">
        <v>74</v>
      </c>
      <c r="I3547" s="2" t="s">
        <v>9625</v>
      </c>
      <c r="J3547" s="3" t="str">
        <f>HYPERLINK("https://www.boe.es/gazeta/dias/1810/04/15/pdfs/GMD-1810-105.pdf#page=4","Abrir facsímil")</f>
        <v>Abrir facsímil</v>
      </c>
      <c r="K3547" s="3" t="s">
        <v>76</v>
      </c>
    </row>
    <row r="3548" spans="1:11" ht="42" customHeight="1">
      <c r="A3548" s="2" t="s">
        <v>9626</v>
      </c>
      <c r="B3548" s="2" t="s">
        <v>9627</v>
      </c>
      <c r="C3548" s="2" t="s">
        <v>225</v>
      </c>
      <c r="D3548" s="2" t="s">
        <v>27</v>
      </c>
      <c r="E3548" s="4">
        <v>-32562</v>
      </c>
      <c r="F3548" s="3" t="s">
        <v>1186</v>
      </c>
      <c r="G3548" s="3" t="s">
        <v>29</v>
      </c>
      <c r="H3548" s="2" t="s">
        <v>74</v>
      </c>
      <c r="I3548" s="2" t="s">
        <v>9628</v>
      </c>
      <c r="J3548" s="3" t="str">
        <f>HYPERLINK("https://www.boe.es/gazeta/dias/1810/11/05/pdfs/GMD-1810-309.pdf#page=2","Abrir facsímil")</f>
        <v>Abrir facsímil</v>
      </c>
      <c r="K3548" s="3" t="s">
        <v>76</v>
      </c>
    </row>
    <row r="3549" spans="1:11" ht="42" customHeight="1">
      <c r="A3549" s="2" t="s">
        <v>9629</v>
      </c>
      <c r="B3549" s="2" t="s">
        <v>9630</v>
      </c>
      <c r="C3549" s="2" t="s">
        <v>88</v>
      </c>
      <c r="D3549" s="2" t="s">
        <v>27</v>
      </c>
      <c r="E3549" s="4">
        <v>-32710</v>
      </c>
      <c r="F3549" s="3" t="s">
        <v>126</v>
      </c>
      <c r="G3549" s="3" t="s">
        <v>35</v>
      </c>
      <c r="H3549" s="2" t="s">
        <v>74</v>
      </c>
      <c r="I3549" s="2" t="s">
        <v>9631</v>
      </c>
      <c r="J3549" s="3" t="str">
        <f>HYPERLINK("https://www.boe.es/gazeta/dias/1810/06/10/pdfs/GMD-1810-161.pdf#page=2","Abrir facsímil")</f>
        <v>Abrir facsímil</v>
      </c>
      <c r="K3549" s="3" t="s">
        <v>76</v>
      </c>
    </row>
    <row r="3550" spans="1:11" ht="42" customHeight="1">
      <c r="A3550" s="2" t="s">
        <v>9632</v>
      </c>
      <c r="B3550" s="2" t="s">
        <v>9633</v>
      </c>
      <c r="C3550" s="2" t="s">
        <v>26</v>
      </c>
      <c r="D3550" s="2" t="s">
        <v>27</v>
      </c>
      <c r="E3550" s="4">
        <v>-32575</v>
      </c>
      <c r="F3550" s="3" t="s">
        <v>135</v>
      </c>
      <c r="G3550" s="3" t="s">
        <v>140</v>
      </c>
      <c r="H3550" s="2" t="s">
        <v>74</v>
      </c>
      <c r="I3550" s="2" t="s">
        <v>9634</v>
      </c>
      <c r="J3550" s="3" t="str">
        <f>HYPERLINK("https://www.boe.es/gazeta/dias/1810/10/23/pdfs/GEI-1810-85.pdf#page=10","Abrir facsímil")</f>
        <v>Abrir facsímil</v>
      </c>
      <c r="K3550" s="3" t="s">
        <v>76</v>
      </c>
    </row>
    <row r="3551" spans="1:11" ht="42" customHeight="1">
      <c r="A3551" s="2" t="s">
        <v>9635</v>
      </c>
      <c r="B3551" s="2" t="s">
        <v>9635</v>
      </c>
      <c r="C3551" s="2" t="s">
        <v>88</v>
      </c>
      <c r="D3551" s="2" t="s">
        <v>18</v>
      </c>
      <c r="E3551" s="4">
        <v>-32566</v>
      </c>
      <c r="F3551" s="3" t="s">
        <v>405</v>
      </c>
      <c r="G3551" s="3" t="s">
        <v>99</v>
      </c>
      <c r="H3551" s="2" t="s">
        <v>74</v>
      </c>
      <c r="I3551" s="2" t="s">
        <v>9636</v>
      </c>
      <c r="J3551" s="3" t="str">
        <f>HYPERLINK("https://www.boe.es/gazeta/dias/1810/11/01/pdfs/GMD-1810-305.pdf#page=3","Abrir facsímil")</f>
        <v>Abrir facsímil</v>
      </c>
      <c r="K3551" s="3" t="s">
        <v>76</v>
      </c>
    </row>
    <row r="3552" spans="1:11" ht="42" customHeight="1">
      <c r="A3552" s="2" t="s">
        <v>9637</v>
      </c>
      <c r="B3552" s="2" t="s">
        <v>9637</v>
      </c>
      <c r="C3552" s="2" t="s">
        <v>33</v>
      </c>
      <c r="D3552" s="2" t="s">
        <v>27</v>
      </c>
      <c r="E3552" s="4">
        <v>-32557</v>
      </c>
      <c r="F3552" s="3" t="s">
        <v>8182</v>
      </c>
      <c r="G3552" s="3" t="s">
        <v>180</v>
      </c>
      <c r="H3552" s="2" t="s">
        <v>74</v>
      </c>
      <c r="I3552" s="2" t="s">
        <v>9638</v>
      </c>
      <c r="J3552" s="3" t="str">
        <f>HYPERLINK("https://www.boe.es/gazeta/dias/1810/11/10/pdfs/GMD-1810-314.pdf#page=3","Abrir facsímil")</f>
        <v>Abrir facsímil</v>
      </c>
      <c r="K3552" s="3" t="s">
        <v>76</v>
      </c>
    </row>
    <row r="3553" spans="1:11" ht="42" customHeight="1">
      <c r="A3553" s="2" t="s">
        <v>9639</v>
      </c>
      <c r="B3553" s="2" t="s">
        <v>9639</v>
      </c>
      <c r="C3553" s="2" t="s">
        <v>88</v>
      </c>
      <c r="D3553" s="2" t="s">
        <v>18</v>
      </c>
      <c r="E3553" s="4">
        <v>-32568</v>
      </c>
      <c r="F3553" s="3" t="s">
        <v>1233</v>
      </c>
      <c r="G3553" s="3" t="s">
        <v>180</v>
      </c>
      <c r="H3553" s="2" t="s">
        <v>74</v>
      </c>
      <c r="I3553" s="2" t="s">
        <v>9640</v>
      </c>
      <c r="J3553" s="3" t="str">
        <f>HYPERLINK("https://www.boe.es/gazeta/dias/1810/10/30/pdfs/GMD-1810-303.pdf#page=3","Abrir facsímil")</f>
        <v>Abrir facsímil</v>
      </c>
      <c r="K3553" s="3" t="s">
        <v>76</v>
      </c>
    </row>
    <row r="3554" spans="1:11" ht="42" customHeight="1">
      <c r="A3554" s="2" t="s">
        <v>9641</v>
      </c>
      <c r="B3554" s="2" t="s">
        <v>9641</v>
      </c>
      <c r="C3554" s="2" t="s">
        <v>88</v>
      </c>
      <c r="D3554" s="2" t="s">
        <v>27</v>
      </c>
      <c r="E3554" s="4">
        <v>-32553</v>
      </c>
      <c r="F3554" s="3" t="s">
        <v>2276</v>
      </c>
      <c r="G3554" s="3" t="s">
        <v>140</v>
      </c>
      <c r="H3554" s="2" t="s">
        <v>74</v>
      </c>
      <c r="I3554" s="2" t="s">
        <v>9642</v>
      </c>
      <c r="J3554" s="3" t="str">
        <f>HYPERLINK("https://www.boe.es/gazeta/dias/1810/11/14/pdfs/GMD-1810-318.pdf#page=2","Abrir facsímil")</f>
        <v>Abrir facsímil</v>
      </c>
      <c r="K3554" s="3" t="s">
        <v>76</v>
      </c>
    </row>
    <row r="3555" spans="1:11" ht="42" customHeight="1">
      <c r="A3555" s="2" t="s">
        <v>9643</v>
      </c>
      <c r="B3555" s="2" t="s">
        <v>9644</v>
      </c>
      <c r="C3555" s="2" t="s">
        <v>26</v>
      </c>
      <c r="D3555" s="2" t="s">
        <v>27</v>
      </c>
      <c r="E3555" s="4">
        <v>-32710</v>
      </c>
      <c r="F3555" s="3" t="s">
        <v>126</v>
      </c>
      <c r="G3555" s="3" t="s">
        <v>35</v>
      </c>
      <c r="H3555" s="2" t="s">
        <v>21</v>
      </c>
      <c r="I3555" s="2" t="s">
        <v>9645</v>
      </c>
      <c r="J3555" s="3" t="str">
        <f>HYPERLINK("https://www.boe.es/gazeta/dias/1810/06/10/pdfs/GMD-1810-161.pdf#page=2","Abrir facsímil")</f>
        <v>Abrir facsímil</v>
      </c>
      <c r="K3555" s="3" t="s">
        <v>23</v>
      </c>
    </row>
    <row r="3556" spans="1:11" ht="42" customHeight="1">
      <c r="A3556" s="2" t="s">
        <v>9646</v>
      </c>
      <c r="B3556" s="2" t="s">
        <v>9647</v>
      </c>
      <c r="C3556" s="2" t="s">
        <v>26</v>
      </c>
      <c r="D3556" s="2" t="s">
        <v>27</v>
      </c>
      <c r="E3556" s="4">
        <v>-32848</v>
      </c>
      <c r="F3556" s="3" t="s">
        <v>558</v>
      </c>
      <c r="G3556" s="3" t="s">
        <v>559</v>
      </c>
      <c r="H3556" s="2" t="s">
        <v>21</v>
      </c>
      <c r="I3556" s="2" t="s">
        <v>9648</v>
      </c>
      <c r="J3556" s="3" t="str">
        <f>HYPERLINK("https://www.boe.es/gazeta/dias/1810/01/23/pdfs/GGB-1810-10.pdf#page=7","Abrir facsímil")</f>
        <v>Abrir facsímil</v>
      </c>
      <c r="K3556" s="3" t="s">
        <v>23</v>
      </c>
    </row>
    <row r="3557" spans="1:11" ht="42" customHeight="1">
      <c r="A3557" s="2" t="s">
        <v>9649</v>
      </c>
      <c r="B3557" s="2" t="s">
        <v>9650</v>
      </c>
      <c r="C3557" s="2" t="s">
        <v>88</v>
      </c>
      <c r="D3557" s="2" t="s">
        <v>27</v>
      </c>
      <c r="E3557" s="4">
        <v>-32700</v>
      </c>
      <c r="F3557" s="3" t="s">
        <v>89</v>
      </c>
      <c r="G3557" s="3" t="s">
        <v>29</v>
      </c>
      <c r="H3557" s="2" t="s">
        <v>21</v>
      </c>
      <c r="I3557" s="2" t="s">
        <v>9651</v>
      </c>
      <c r="J3557" s="3" t="str">
        <f>HYPERLINK("https://www.boe.es/gazeta/dias/1810/06/20/pdfs/GMD-1810-171.pdf#page=3","Abrir facsímil")</f>
        <v>Abrir facsímil</v>
      </c>
      <c r="K3557" s="3" t="s">
        <v>23</v>
      </c>
    </row>
    <row r="3558" spans="1:11" ht="42" customHeight="1">
      <c r="A3558" s="2" t="s">
        <v>9652</v>
      </c>
      <c r="B3558" s="2" t="s">
        <v>9653</v>
      </c>
      <c r="C3558" s="2" t="s">
        <v>26</v>
      </c>
      <c r="D3558" s="2" t="s">
        <v>27</v>
      </c>
      <c r="E3558" s="4">
        <v>-32842</v>
      </c>
      <c r="F3558" s="3" t="s">
        <v>1291</v>
      </c>
      <c r="G3558" s="3" t="s">
        <v>70</v>
      </c>
      <c r="H3558" s="2" t="s">
        <v>21</v>
      </c>
      <c r="I3558" s="2" t="s">
        <v>9654</v>
      </c>
      <c r="J3558" s="3" t="str">
        <f>HYPERLINK("https://www.boe.es/gazeta/dias/1810/01/29/pdfs/GMD-1810-29.pdf#page=4","Abrir facsímil")</f>
        <v>Abrir facsímil</v>
      </c>
      <c r="K3558" s="3" t="s">
        <v>23</v>
      </c>
    </row>
    <row r="3559" spans="1:11" ht="42" customHeight="1">
      <c r="A3559" s="2" t="s">
        <v>9655</v>
      </c>
      <c r="B3559" s="2" t="s">
        <v>9656</v>
      </c>
      <c r="C3559" s="2" t="s">
        <v>225</v>
      </c>
      <c r="D3559" s="2" t="s">
        <v>27</v>
      </c>
      <c r="E3559" s="4">
        <v>-32520</v>
      </c>
      <c r="F3559" s="3" t="s">
        <v>2109</v>
      </c>
      <c r="G3559" s="3" t="s">
        <v>2110</v>
      </c>
      <c r="H3559" s="2" t="s">
        <v>21</v>
      </c>
      <c r="I3559" s="2" t="s">
        <v>9657</v>
      </c>
      <c r="J3559" s="3" t="str">
        <f>HYPERLINK("https://www.boe.es/gazeta/dias/1810/12/17/pdfs/GMD-1810-351.pdf#page=2","Abrir facsímil")</f>
        <v>Abrir facsímil</v>
      </c>
      <c r="K3559" s="3" t="s">
        <v>23</v>
      </c>
    </row>
    <row r="3560" spans="1:11" ht="42" customHeight="1">
      <c r="A3560" s="2" t="s">
        <v>9658</v>
      </c>
      <c r="B3560" s="2" t="s">
        <v>9659</v>
      </c>
      <c r="C3560" s="2" t="s">
        <v>88</v>
      </c>
      <c r="D3560" s="2" t="s">
        <v>27</v>
      </c>
      <c r="E3560" s="4">
        <v>-32697</v>
      </c>
      <c r="F3560" s="3" t="s">
        <v>1859</v>
      </c>
      <c r="G3560" s="3" t="s">
        <v>70</v>
      </c>
      <c r="H3560" s="2" t="s">
        <v>21</v>
      </c>
      <c r="I3560" s="2" t="s">
        <v>9660</v>
      </c>
      <c r="J3560" s="3" t="str">
        <f>HYPERLINK("https://www.boe.es/gazeta/dias/1810/06/23/pdfs/GMD-1810-174.pdf#page=4","Abrir facsímil")</f>
        <v>Abrir facsímil</v>
      </c>
      <c r="K3560" s="3" t="s">
        <v>23</v>
      </c>
    </row>
    <row r="3561" spans="1:11" ht="42" customHeight="1">
      <c r="A3561" s="2" t="s">
        <v>9661</v>
      </c>
      <c r="B3561" s="2" t="s">
        <v>9662</v>
      </c>
      <c r="C3561" s="2" t="s">
        <v>26</v>
      </c>
      <c r="D3561" s="2" t="s">
        <v>27</v>
      </c>
      <c r="E3561" s="4">
        <v>-32756</v>
      </c>
      <c r="F3561" s="3" t="s">
        <v>203</v>
      </c>
      <c r="G3561" s="3" t="s">
        <v>180</v>
      </c>
      <c r="H3561" s="2" t="s">
        <v>21</v>
      </c>
      <c r="I3561" s="2" t="s">
        <v>9663</v>
      </c>
      <c r="J3561" s="3" t="str">
        <f>HYPERLINK("https://www.boe.es/gazeta/dias/1810/04/25/pdfs/GMD-1810-115.pdf#page=4","Abrir facsímil")</f>
        <v>Abrir facsímil</v>
      </c>
      <c r="K3561" s="3" t="s">
        <v>23</v>
      </c>
    </row>
    <row r="3562" spans="1:11" ht="42" customHeight="1">
      <c r="A3562" s="2" t="s">
        <v>9664</v>
      </c>
      <c r="B3562" s="2" t="s">
        <v>9665</v>
      </c>
      <c r="C3562" s="2" t="s">
        <v>26</v>
      </c>
      <c r="D3562" s="2" t="s">
        <v>27</v>
      </c>
      <c r="E3562" s="4">
        <v>-32562</v>
      </c>
      <c r="F3562" s="3" t="s">
        <v>1186</v>
      </c>
      <c r="G3562" s="3" t="s">
        <v>29</v>
      </c>
      <c r="H3562" s="2" t="s">
        <v>21</v>
      </c>
      <c r="I3562" s="2" t="s">
        <v>9666</v>
      </c>
      <c r="J3562" s="3" t="str">
        <f>HYPERLINK("https://www.boe.es/gazeta/dias/1810/11/05/pdfs/GMD-1810-309.pdf#page=2","Abrir facsímil")</f>
        <v>Abrir facsímil</v>
      </c>
      <c r="K3562" s="3" t="s">
        <v>23</v>
      </c>
    </row>
    <row r="3563" spans="1:11" ht="42" customHeight="1">
      <c r="A3563" s="2" t="s">
        <v>9667</v>
      </c>
      <c r="B3563" s="2" t="s">
        <v>9668</v>
      </c>
      <c r="C3563" s="2" t="s">
        <v>88</v>
      </c>
      <c r="D3563" s="2" t="s">
        <v>27</v>
      </c>
      <c r="E3563" s="4">
        <v>-32842</v>
      </c>
      <c r="F3563" s="3" t="s">
        <v>1291</v>
      </c>
      <c r="G3563" s="3" t="s">
        <v>1292</v>
      </c>
      <c r="H3563" s="2" t="s">
        <v>21</v>
      </c>
      <c r="I3563" s="2" t="s">
        <v>9669</v>
      </c>
      <c r="J3563" s="3" t="str">
        <f>HYPERLINK("https://www.boe.es/gazeta/dias/1810/01/29/pdfs/GMD-1810-29.pdf#page=3","Abrir facsímil")</f>
        <v>Abrir facsímil</v>
      </c>
      <c r="K3563" s="3" t="s">
        <v>23</v>
      </c>
    </row>
    <row r="3564" spans="1:11" ht="42" customHeight="1">
      <c r="A3564" s="2" t="s">
        <v>9670</v>
      </c>
      <c r="B3564" s="2" t="s">
        <v>9670</v>
      </c>
      <c r="C3564" s="2" t="s">
        <v>88</v>
      </c>
      <c r="D3564" s="2" t="s">
        <v>117</v>
      </c>
      <c r="E3564" s="4">
        <v>-32712</v>
      </c>
      <c r="F3564" s="3" t="s">
        <v>6411</v>
      </c>
      <c r="G3564" s="3" t="s">
        <v>8219</v>
      </c>
      <c r="H3564" s="2" t="s">
        <v>74</v>
      </c>
      <c r="I3564" s="2" t="s">
        <v>9671</v>
      </c>
      <c r="J3564" s="3" t="str">
        <f>HYPERLINK("https://www.boe.es/gazeta/dias/1810/06/08/pdfs/GMD-1810-159.pdf#page=2","Abrir facsímil")</f>
        <v>Abrir facsímil</v>
      </c>
      <c r="K3564" s="3" t="s">
        <v>76</v>
      </c>
    </row>
    <row r="3565" spans="1:11" ht="42" customHeight="1">
      <c r="A3565" s="2" t="s">
        <v>9672</v>
      </c>
      <c r="B3565" s="2" t="s">
        <v>9673</v>
      </c>
      <c r="C3565" s="2" t="s">
        <v>88</v>
      </c>
      <c r="D3565" s="2" t="s">
        <v>220</v>
      </c>
      <c r="E3565" s="4">
        <v>-32763</v>
      </c>
      <c r="F3565" s="3" t="s">
        <v>1146</v>
      </c>
      <c r="G3565" s="3" t="s">
        <v>140</v>
      </c>
      <c r="H3565" s="2" t="s">
        <v>74</v>
      </c>
      <c r="I3565" s="2" t="s">
        <v>9674</v>
      </c>
      <c r="J3565" s="3" t="str">
        <f>HYPERLINK("https://www.boe.es/gazeta/dias/1810/04/18/pdfs/GMD-1810-108.pdf#page=3","Abrir facsímil")</f>
        <v>Abrir facsímil</v>
      </c>
      <c r="K3565" s="3" t="s">
        <v>76</v>
      </c>
    </row>
    <row r="3566" spans="1:11" ht="42" customHeight="1">
      <c r="A3566" s="2" t="s">
        <v>9675</v>
      </c>
      <c r="B3566" s="2" t="s">
        <v>9675</v>
      </c>
      <c r="C3566" s="2" t="s">
        <v>26</v>
      </c>
      <c r="D3566" s="2" t="s">
        <v>18</v>
      </c>
      <c r="E3566" s="4">
        <v>-32701</v>
      </c>
      <c r="F3566" s="3" t="s">
        <v>671</v>
      </c>
      <c r="G3566" s="3" t="s">
        <v>2008</v>
      </c>
      <c r="H3566" s="2" t="s">
        <v>74</v>
      </c>
      <c r="I3566" s="2" t="s">
        <v>9676</v>
      </c>
      <c r="J3566" s="3" t="str">
        <f>HYPERLINK("https://www.boe.es/gazeta/dias/1810/06/19/pdfs/GEI-1810-37.pdf#page=6","Abrir facsímil")</f>
        <v>Abrir facsímil</v>
      </c>
      <c r="K3566" s="3" t="s">
        <v>76</v>
      </c>
    </row>
    <row r="3567" spans="1:11" ht="42" customHeight="1">
      <c r="A3567" s="2" t="s">
        <v>9677</v>
      </c>
      <c r="B3567" s="2" t="s">
        <v>9678</v>
      </c>
      <c r="C3567" s="2" t="s">
        <v>88</v>
      </c>
      <c r="D3567" s="2" t="s">
        <v>18</v>
      </c>
      <c r="E3567" s="4">
        <v>-32728</v>
      </c>
      <c r="F3567" s="3" t="s">
        <v>269</v>
      </c>
      <c r="G3567" s="3" t="s">
        <v>119</v>
      </c>
      <c r="H3567" s="2" t="s">
        <v>74</v>
      </c>
      <c r="I3567" s="2" t="s">
        <v>9679</v>
      </c>
      <c r="J3567" s="3" t="str">
        <f>HYPERLINK("https://www.boe.es/gazeta/dias/1810/05/23/pdfs/GMD-1810-143.pdf#page=3","Abrir facsímil")</f>
        <v>Abrir facsímil</v>
      </c>
      <c r="K3567" s="3" t="s">
        <v>76</v>
      </c>
    </row>
    <row r="3568" spans="1:11" ht="42" customHeight="1">
      <c r="A3568" s="2" t="s">
        <v>9680</v>
      </c>
      <c r="B3568" s="2" t="s">
        <v>9680</v>
      </c>
      <c r="C3568" s="2" t="s">
        <v>17</v>
      </c>
      <c r="D3568" s="2" t="s">
        <v>27</v>
      </c>
      <c r="E3568" s="4">
        <v>-32618</v>
      </c>
      <c r="F3568" s="3" t="s">
        <v>1501</v>
      </c>
      <c r="G3568" s="3" t="s">
        <v>20</v>
      </c>
      <c r="H3568" s="2" t="s">
        <v>74</v>
      </c>
      <c r="I3568" s="2" t="s">
        <v>9681</v>
      </c>
      <c r="J3568" s="3" t="str">
        <f>HYPERLINK("https://www.boe.es/gazeta/dias/1810/09/10/pdfs/GMD-1810-253.pdf#page=4","Abrir facsímil")</f>
        <v>Abrir facsímil</v>
      </c>
      <c r="K3568" s="3" t="s">
        <v>76</v>
      </c>
    </row>
    <row r="3569" spans="1:11" ht="42" customHeight="1">
      <c r="A3569" s="2" t="s">
        <v>9680</v>
      </c>
      <c r="B3569" s="2" t="s">
        <v>9680</v>
      </c>
      <c r="C3569" s="2" t="s">
        <v>88</v>
      </c>
      <c r="D3569" s="2" t="s">
        <v>27</v>
      </c>
      <c r="E3569" s="4">
        <v>-32566</v>
      </c>
      <c r="F3569" s="3" t="s">
        <v>405</v>
      </c>
      <c r="G3569" s="3" t="s">
        <v>469</v>
      </c>
      <c r="H3569" s="2" t="s">
        <v>74</v>
      </c>
      <c r="I3569" s="2" t="s">
        <v>9682</v>
      </c>
      <c r="J3569" s="3" t="str">
        <f>HYPERLINK("https://www.boe.es/gazeta/dias/1810/11/01/pdfs/GMD-1810-305.pdf#page=2","Abrir facsímil")</f>
        <v>Abrir facsímil</v>
      </c>
      <c r="K3569" s="3" t="s">
        <v>76</v>
      </c>
    </row>
    <row r="3570" spans="1:11" ht="42" customHeight="1">
      <c r="A3570" s="2" t="s">
        <v>9683</v>
      </c>
      <c r="B3570" s="2" t="s">
        <v>9683</v>
      </c>
      <c r="C3570" s="2" t="s">
        <v>225</v>
      </c>
      <c r="D3570" s="2" t="s">
        <v>27</v>
      </c>
      <c r="E3570" s="4">
        <v>-32581</v>
      </c>
      <c r="F3570" s="3" t="s">
        <v>6102</v>
      </c>
      <c r="G3570" s="3" t="s">
        <v>6103</v>
      </c>
      <c r="H3570" s="2" t="s">
        <v>74</v>
      </c>
      <c r="I3570" s="2" t="s">
        <v>9684</v>
      </c>
      <c r="J3570" s="3" t="str">
        <f>HYPERLINK("https://www.boe.es/gazeta/dias/1810/10/17/pdfs/GMD-1810-290.pdf#page=3","Abrir facsímil")</f>
        <v>Abrir facsímil</v>
      </c>
      <c r="K3570" s="3" t="s">
        <v>76</v>
      </c>
    </row>
    <row r="3571" spans="1:11" ht="42" customHeight="1">
      <c r="A3571" s="2" t="s">
        <v>9685</v>
      </c>
      <c r="B3571" s="2" t="s">
        <v>9686</v>
      </c>
      <c r="C3571" s="2" t="s">
        <v>26</v>
      </c>
      <c r="D3571" s="2" t="s">
        <v>39</v>
      </c>
      <c r="E3571" s="4">
        <v>-32702</v>
      </c>
      <c r="F3571" s="3" t="s">
        <v>179</v>
      </c>
      <c r="G3571" s="3" t="s">
        <v>180</v>
      </c>
      <c r="H3571" s="2" t="s">
        <v>74</v>
      </c>
      <c r="I3571" s="2" t="s">
        <v>9687</v>
      </c>
      <c r="J3571" s="3" t="str">
        <f>HYPERLINK("https://www.boe.es/gazeta/dias/1810/06/18/pdfs/GMD-C-1810-169.pdf#page=2","Abrir facsímil")</f>
        <v>Abrir facsímil</v>
      </c>
      <c r="K3571" s="3" t="s">
        <v>76</v>
      </c>
    </row>
    <row r="3572" spans="1:11" ht="42" customHeight="1">
      <c r="A3572" s="2" t="s">
        <v>9688</v>
      </c>
      <c r="B3572" s="2" t="s">
        <v>9689</v>
      </c>
      <c r="C3572" s="2" t="s">
        <v>26</v>
      </c>
      <c r="D3572" s="2" t="s">
        <v>27</v>
      </c>
      <c r="E3572" s="4">
        <v>-32591</v>
      </c>
      <c r="F3572" s="3" t="s">
        <v>377</v>
      </c>
      <c r="G3572" s="3" t="s">
        <v>136</v>
      </c>
      <c r="H3572" s="2" t="s">
        <v>74</v>
      </c>
      <c r="I3572" s="2" t="s">
        <v>9690</v>
      </c>
      <c r="J3572" s="3" t="str">
        <f>HYPERLINK("https://www.boe.es/gazeta/dias/1810/10/07/pdfs/GMD-1810-280.pdf#page=3","Abrir facsímil")</f>
        <v>Abrir facsímil</v>
      </c>
      <c r="K3572" s="3" t="s">
        <v>76</v>
      </c>
    </row>
    <row r="3573" spans="1:11" ht="42" customHeight="1">
      <c r="A3573" s="2" t="s">
        <v>9691</v>
      </c>
      <c r="B3573" s="2" t="s">
        <v>9691</v>
      </c>
      <c r="C3573" s="2" t="s">
        <v>26</v>
      </c>
      <c r="D3573" s="2" t="s">
        <v>220</v>
      </c>
      <c r="E3573" s="4">
        <v>-32572</v>
      </c>
      <c r="F3573" s="3" t="s">
        <v>2967</v>
      </c>
      <c r="G3573" s="3" t="s">
        <v>9692</v>
      </c>
      <c r="H3573" s="2" t="s">
        <v>74</v>
      </c>
      <c r="I3573" s="2" t="s">
        <v>9693</v>
      </c>
      <c r="J3573" s="3" t="str">
        <f>HYPERLINK("https://www.boe.es/gazeta/dias/1810/10/26/pdfs/GMD-1810-299.pdf#page=1","Abrir facsímil")</f>
        <v>Abrir facsímil</v>
      </c>
      <c r="K3573" s="3" t="s">
        <v>76</v>
      </c>
    </row>
    <row r="3574" spans="1:11" ht="42" customHeight="1">
      <c r="A3574" s="2" t="s">
        <v>9694</v>
      </c>
      <c r="B3574" s="2" t="s">
        <v>9695</v>
      </c>
      <c r="C3574" s="2" t="s">
        <v>26</v>
      </c>
      <c r="D3574" s="2" t="s">
        <v>27</v>
      </c>
      <c r="E3574" s="4">
        <v>-32543</v>
      </c>
      <c r="F3574" s="3" t="s">
        <v>69</v>
      </c>
      <c r="G3574" s="3" t="s">
        <v>84</v>
      </c>
      <c r="H3574" s="2" t="s">
        <v>74</v>
      </c>
      <c r="I3574" s="2" t="s">
        <v>9696</v>
      </c>
      <c r="J3574" s="3" t="str">
        <f>HYPERLINK("https://www.boe.es/gazeta/dias/1810/11/24/pdfs/GEI-1810-99.pdf#page=7","Abrir facsímil")</f>
        <v>Abrir facsímil</v>
      </c>
      <c r="K3574" s="3" t="s">
        <v>76</v>
      </c>
    </row>
    <row r="3575" spans="1:11" ht="42" customHeight="1">
      <c r="A3575" s="2" t="s">
        <v>9697</v>
      </c>
      <c r="B3575" s="2" t="s">
        <v>9697</v>
      </c>
      <c r="C3575" s="2" t="s">
        <v>111</v>
      </c>
      <c r="D3575" s="2" t="s">
        <v>27</v>
      </c>
      <c r="E3575" s="4">
        <v>-32673</v>
      </c>
      <c r="F3575" s="3" t="s">
        <v>472</v>
      </c>
      <c r="G3575" s="3" t="s">
        <v>20</v>
      </c>
      <c r="H3575" s="2" t="s">
        <v>74</v>
      </c>
      <c r="I3575" s="2" t="s">
        <v>9698</v>
      </c>
      <c r="J3575" s="3" t="str">
        <f>HYPERLINK("https://www.boe.es/gazeta/dias/1810/07/17/pdfs/GMD-1810-198.pdf#page=4","Abrir facsímil")</f>
        <v>Abrir facsímil</v>
      </c>
      <c r="K3575" s="3" t="s">
        <v>76</v>
      </c>
    </row>
    <row r="3576" spans="1:11" ht="42" customHeight="1">
      <c r="A3576" s="2" t="s">
        <v>9697</v>
      </c>
      <c r="B3576" s="2" t="s">
        <v>9697</v>
      </c>
      <c r="C3576" s="2" t="s">
        <v>111</v>
      </c>
      <c r="D3576" s="2" t="s">
        <v>27</v>
      </c>
      <c r="E3576" s="4">
        <v>-32546</v>
      </c>
      <c r="F3576" s="3" t="s">
        <v>2222</v>
      </c>
      <c r="G3576" s="3" t="s">
        <v>99</v>
      </c>
      <c r="H3576" s="2" t="s">
        <v>74</v>
      </c>
      <c r="I3576" s="2" t="s">
        <v>9699</v>
      </c>
      <c r="J3576" s="3" t="str">
        <f>HYPERLINK("https://www.boe.es/gazeta/dias/1810/11/21/pdfs/GMD-1810-325.pdf#page=3","Abrir facsímil")</f>
        <v>Abrir facsímil</v>
      </c>
      <c r="K3576" s="3" t="s">
        <v>76</v>
      </c>
    </row>
    <row r="3577" spans="1:11" ht="42" customHeight="1">
      <c r="A3577" s="2" t="s">
        <v>9700</v>
      </c>
      <c r="B3577" s="2" t="s">
        <v>9701</v>
      </c>
      <c r="C3577" s="2" t="s">
        <v>88</v>
      </c>
      <c r="D3577" s="2" t="s">
        <v>117</v>
      </c>
      <c r="E3577" s="4">
        <v>-32713</v>
      </c>
      <c r="F3577" s="3" t="s">
        <v>959</v>
      </c>
      <c r="G3577" s="3" t="s">
        <v>960</v>
      </c>
      <c r="H3577" s="2" t="s">
        <v>74</v>
      </c>
      <c r="I3577" s="2" t="s">
        <v>9702</v>
      </c>
      <c r="J3577" s="3" t="str">
        <f>HYPERLINK("https://www.boe.es/gazeta/dias/1810/06/07/pdfs/GMD-1810-158.pdf#page=4","Abrir facsímil")</f>
        <v>Abrir facsímil</v>
      </c>
      <c r="K3577" s="3" t="s">
        <v>76</v>
      </c>
    </row>
    <row r="3578" spans="1:11" ht="42" customHeight="1">
      <c r="A3578" s="2" t="s">
        <v>9703</v>
      </c>
      <c r="B3578" s="2" t="s">
        <v>9704</v>
      </c>
      <c r="C3578" s="2" t="s">
        <v>111</v>
      </c>
      <c r="D3578" s="2" t="s">
        <v>27</v>
      </c>
      <c r="E3578" s="4">
        <v>-32546</v>
      </c>
      <c r="F3578" s="3" t="s">
        <v>2222</v>
      </c>
      <c r="G3578" s="3" t="s">
        <v>99</v>
      </c>
      <c r="H3578" s="2" t="s">
        <v>74</v>
      </c>
      <c r="I3578" s="2" t="s">
        <v>9705</v>
      </c>
      <c r="J3578" s="3" t="str">
        <f>HYPERLINK("https://www.boe.es/gazeta/dias/1810/11/21/pdfs/GMD-1810-325.pdf#page=3","Abrir facsímil")</f>
        <v>Abrir facsímil</v>
      </c>
      <c r="K3578" s="3" t="s">
        <v>76</v>
      </c>
    </row>
    <row r="3579" spans="1:11" ht="42" customHeight="1">
      <c r="A3579" s="2" t="s">
        <v>9706</v>
      </c>
      <c r="B3579" s="2" t="s">
        <v>9707</v>
      </c>
      <c r="C3579" s="2" t="s">
        <v>225</v>
      </c>
      <c r="D3579" s="2" t="s">
        <v>117</v>
      </c>
      <c r="E3579" s="4">
        <v>-32858</v>
      </c>
      <c r="F3579" s="3" t="s">
        <v>4182</v>
      </c>
      <c r="G3579" s="3" t="s">
        <v>2077</v>
      </c>
      <c r="H3579" s="2" t="s">
        <v>74</v>
      </c>
      <c r="I3579" s="2" t="s">
        <v>9708</v>
      </c>
      <c r="J3579" s="3" t="str">
        <f>HYPERLINK("https://www.boe.es/gazeta/dias/1810/01/13/pdfs/GGB-1810-6.pdf#page=10","Abrir facsímil")</f>
        <v>Abrir facsímil</v>
      </c>
      <c r="K3579" s="3" t="s">
        <v>76</v>
      </c>
    </row>
    <row r="3580" spans="1:11" ht="42" customHeight="1">
      <c r="A3580" s="2" t="s">
        <v>9709</v>
      </c>
      <c r="B3580" s="2" t="s">
        <v>9710</v>
      </c>
      <c r="C3580" s="2" t="s">
        <v>26</v>
      </c>
      <c r="D3580" s="2" t="s">
        <v>39</v>
      </c>
      <c r="E3580" s="4">
        <v>-32701</v>
      </c>
      <c r="F3580" s="3" t="s">
        <v>40</v>
      </c>
      <c r="G3580" s="3" t="s">
        <v>170</v>
      </c>
      <c r="H3580" s="2" t="s">
        <v>74</v>
      </c>
      <c r="I3580" s="2" t="s">
        <v>9711</v>
      </c>
      <c r="J3580" s="3" t="str">
        <f>HYPERLINK("https://www.boe.es/gazeta/dias/1810/06/19/pdfs/GMD-C-1810-170.pdf#page=1","Abrir facsímil")</f>
        <v>Abrir facsímil</v>
      </c>
      <c r="K3580" s="3" t="s">
        <v>76</v>
      </c>
    </row>
    <row r="3581" spans="1:11" ht="42" customHeight="1">
      <c r="A3581" s="2" t="s">
        <v>9712</v>
      </c>
      <c r="B3581" s="2" t="s">
        <v>9713</v>
      </c>
      <c r="C3581" s="2" t="s">
        <v>317</v>
      </c>
      <c r="D3581" s="2" t="s">
        <v>117</v>
      </c>
      <c r="E3581" s="4">
        <v>-32732</v>
      </c>
      <c r="F3581" s="3" t="s">
        <v>545</v>
      </c>
      <c r="G3581" s="3" t="s">
        <v>140</v>
      </c>
      <c r="H3581" s="2" t="s">
        <v>74</v>
      </c>
      <c r="I3581" s="2" t="s">
        <v>9714</v>
      </c>
      <c r="J3581" s="3" t="str">
        <f>HYPERLINK("https://www.boe.es/gazeta/dias/1810/05/19/pdfs/GMD-1810-139.pdf#page=3","Abrir facsímil")</f>
        <v>Abrir facsímil</v>
      </c>
      <c r="K3581" s="3" t="s">
        <v>76</v>
      </c>
    </row>
    <row r="3582" spans="1:11" ht="42" customHeight="1">
      <c r="A3582" s="2" t="s">
        <v>9715</v>
      </c>
      <c r="B3582" s="2" t="s">
        <v>9716</v>
      </c>
      <c r="C3582" s="2" t="s">
        <v>26</v>
      </c>
      <c r="D3582" s="2" t="s">
        <v>27</v>
      </c>
      <c r="E3582" s="4">
        <v>-32761</v>
      </c>
      <c r="F3582" s="3" t="s">
        <v>2093</v>
      </c>
      <c r="G3582" s="3" t="s">
        <v>2094</v>
      </c>
      <c r="H3582" s="2" t="s">
        <v>74</v>
      </c>
      <c r="I3582" s="2" t="s">
        <v>9717</v>
      </c>
      <c r="J3582" s="3" t="str">
        <f>HYPERLINK("https://www.boe.es/gazeta/dias/1810/04/20/pdfs/GMD-1810-110.pdf#page=2","Abrir facsímil")</f>
        <v>Abrir facsímil</v>
      </c>
      <c r="K3582" s="3" t="s">
        <v>76</v>
      </c>
    </row>
    <row r="3583" spans="1:11" ht="42" customHeight="1">
      <c r="A3583" s="2" t="s">
        <v>9718</v>
      </c>
      <c r="B3583" s="2" t="s">
        <v>9719</v>
      </c>
      <c r="C3583" s="2" t="s">
        <v>26</v>
      </c>
      <c r="D3583" s="2" t="s">
        <v>27</v>
      </c>
      <c r="E3583" s="4">
        <v>-32756</v>
      </c>
      <c r="F3583" s="3" t="s">
        <v>203</v>
      </c>
      <c r="G3583" s="3" t="s">
        <v>180</v>
      </c>
      <c r="H3583" s="2" t="s">
        <v>74</v>
      </c>
      <c r="I3583" s="2" t="s">
        <v>9720</v>
      </c>
      <c r="J3583" s="3" t="str">
        <f>HYPERLINK("https://www.boe.es/gazeta/dias/1810/04/25/pdfs/GMD-1810-115.pdf#page=4","Abrir facsímil")</f>
        <v>Abrir facsímil</v>
      </c>
      <c r="K3583" s="3" t="s">
        <v>76</v>
      </c>
    </row>
    <row r="3584" spans="1:11" ht="42" customHeight="1">
      <c r="A3584" s="2" t="s">
        <v>9721</v>
      </c>
      <c r="B3584" s="2" t="s">
        <v>9722</v>
      </c>
      <c r="C3584" s="2" t="s">
        <v>26</v>
      </c>
      <c r="D3584" s="2" t="s">
        <v>27</v>
      </c>
      <c r="E3584" s="4">
        <v>-32647</v>
      </c>
      <c r="F3584" s="3" t="s">
        <v>118</v>
      </c>
      <c r="G3584" s="3" t="s">
        <v>20</v>
      </c>
      <c r="H3584" s="2" t="s">
        <v>74</v>
      </c>
      <c r="I3584" s="2" t="s">
        <v>9723</v>
      </c>
      <c r="J3584" s="3" t="str">
        <f>HYPERLINK("https://www.boe.es/gazeta/dias/1810/08/12/pdfs/GMD-1810-224.pdf#page=4","Abrir facsímil")</f>
        <v>Abrir facsímil</v>
      </c>
      <c r="K3584" s="3" t="s">
        <v>76</v>
      </c>
    </row>
    <row r="3585" spans="1:11" ht="42" customHeight="1">
      <c r="A3585" s="2" t="s">
        <v>9724</v>
      </c>
      <c r="B3585" s="2" t="s">
        <v>9725</v>
      </c>
      <c r="C3585" s="2" t="s">
        <v>26</v>
      </c>
      <c r="D3585" s="2" t="s">
        <v>27</v>
      </c>
      <c r="E3585" s="4">
        <v>-32647</v>
      </c>
      <c r="F3585" s="3" t="s">
        <v>118</v>
      </c>
      <c r="G3585" s="3" t="s">
        <v>140</v>
      </c>
      <c r="H3585" s="2" t="s">
        <v>74</v>
      </c>
      <c r="I3585" s="2" t="s">
        <v>9726</v>
      </c>
      <c r="J3585" s="3" t="str">
        <f>HYPERLINK("https://www.boe.es/gazeta/dias/1810/08/12/pdfs/GMD-1810-224.pdf#page=2","Abrir facsímil")</f>
        <v>Abrir facsímil</v>
      </c>
      <c r="K3585" s="3" t="s">
        <v>76</v>
      </c>
    </row>
    <row r="3586" spans="1:11" ht="42" customHeight="1">
      <c r="A3586" s="2" t="s">
        <v>9727</v>
      </c>
      <c r="B3586" s="2" t="s">
        <v>9728</v>
      </c>
      <c r="C3586" s="2" t="s">
        <v>26</v>
      </c>
      <c r="D3586" s="2" t="s">
        <v>39</v>
      </c>
      <c r="E3586" s="4">
        <v>-32702</v>
      </c>
      <c r="F3586" s="3" t="s">
        <v>179</v>
      </c>
      <c r="G3586" s="3" t="s">
        <v>119</v>
      </c>
      <c r="H3586" s="2" t="s">
        <v>74</v>
      </c>
      <c r="I3586" s="2" t="s">
        <v>9729</v>
      </c>
      <c r="J3586" s="3" t="str">
        <f>HYPERLINK("https://www.boe.es/gazeta/dias/1810/06/18/pdfs/GMD-C-1810-169.pdf#page=1","Abrir facsímil")</f>
        <v>Abrir facsímil</v>
      </c>
      <c r="K3586" s="3" t="s">
        <v>76</v>
      </c>
    </row>
    <row r="3587" spans="1:11" ht="42" customHeight="1">
      <c r="A3587" s="2" t="s">
        <v>9730</v>
      </c>
      <c r="B3587" s="2" t="s">
        <v>9731</v>
      </c>
      <c r="C3587" s="2" t="s">
        <v>88</v>
      </c>
      <c r="D3587" s="2" t="s">
        <v>27</v>
      </c>
      <c r="E3587" s="4">
        <v>-32729</v>
      </c>
      <c r="F3587" s="3" t="s">
        <v>174</v>
      </c>
      <c r="G3587" s="3" t="s">
        <v>90</v>
      </c>
      <c r="H3587" s="2" t="s">
        <v>74</v>
      </c>
      <c r="I3587" s="2" t="s">
        <v>9732</v>
      </c>
      <c r="J3587" s="3" t="str">
        <f>HYPERLINK("https://www.boe.es/gazeta/dias/1810/05/22/pdfs/GEI-1810-28.pdf#page=5","Abrir facsímil")</f>
        <v>Abrir facsímil</v>
      </c>
      <c r="K3587" s="3" t="s">
        <v>76</v>
      </c>
    </row>
    <row r="3588" spans="1:11" ht="42" customHeight="1">
      <c r="A3588" s="2" t="s">
        <v>9733</v>
      </c>
      <c r="B3588" s="2" t="s">
        <v>9734</v>
      </c>
      <c r="C3588" s="2" t="s">
        <v>26</v>
      </c>
      <c r="D3588" s="2" t="s">
        <v>27</v>
      </c>
      <c r="E3588" s="4">
        <v>-32761</v>
      </c>
      <c r="F3588" s="3" t="s">
        <v>811</v>
      </c>
      <c r="G3588" s="3" t="s">
        <v>140</v>
      </c>
      <c r="H3588" s="2" t="s">
        <v>74</v>
      </c>
      <c r="I3588" s="2" t="s">
        <v>9735</v>
      </c>
      <c r="J3588" s="3" t="str">
        <f>HYPERLINK("https://www.boe.es/gazeta/dias/1810/04/20/pdfs/GEI-1810-16.pdf#page=8","Abrir facsímil")</f>
        <v>Abrir facsímil</v>
      </c>
      <c r="K3588" s="3" t="s">
        <v>76</v>
      </c>
    </row>
    <row r="3589" spans="1:11" ht="42" customHeight="1">
      <c r="A3589" s="2" t="s">
        <v>9736</v>
      </c>
      <c r="B3589" s="2" t="s">
        <v>9737</v>
      </c>
      <c r="C3589" s="2" t="s">
        <v>88</v>
      </c>
      <c r="D3589" s="2" t="s">
        <v>117</v>
      </c>
      <c r="E3589" s="4">
        <v>-32704</v>
      </c>
      <c r="F3589" s="3" t="s">
        <v>94</v>
      </c>
      <c r="G3589" s="3" t="s">
        <v>20</v>
      </c>
      <c r="H3589" s="2" t="s">
        <v>74</v>
      </c>
      <c r="I3589" s="2" t="s">
        <v>9738</v>
      </c>
      <c r="J3589" s="3" t="str">
        <f>HYPERLINK("https://www.boe.es/gazeta/dias/1810/06/16/pdfs/GMD-1810-167.pdf#page=4","Abrir facsímil")</f>
        <v>Abrir facsímil</v>
      </c>
      <c r="K3589" s="3" t="s">
        <v>76</v>
      </c>
    </row>
    <row r="3590" spans="1:11" ht="42" customHeight="1">
      <c r="A3590" s="2" t="s">
        <v>9739</v>
      </c>
      <c r="B3590" s="2" t="s">
        <v>9740</v>
      </c>
      <c r="C3590" s="2" t="s">
        <v>26</v>
      </c>
      <c r="D3590" s="2" t="s">
        <v>27</v>
      </c>
      <c r="E3590" s="4">
        <v>-32575</v>
      </c>
      <c r="F3590" s="3" t="s">
        <v>135</v>
      </c>
      <c r="G3590" s="3" t="s">
        <v>140</v>
      </c>
      <c r="H3590" s="2" t="s">
        <v>74</v>
      </c>
      <c r="I3590" s="2" t="s">
        <v>9741</v>
      </c>
      <c r="J3590" s="3" t="str">
        <f>HYPERLINK("https://www.boe.es/gazeta/dias/1810/10/23/pdfs/GEI-1810-85.pdf#page=10","Abrir facsímil")</f>
        <v>Abrir facsímil</v>
      </c>
      <c r="K3590" s="3" t="s">
        <v>76</v>
      </c>
    </row>
    <row r="3591" spans="1:11" ht="42" customHeight="1">
      <c r="A3591" s="2" t="s">
        <v>9742</v>
      </c>
      <c r="B3591" s="2" t="s">
        <v>9743</v>
      </c>
      <c r="C3591" s="2" t="s">
        <v>111</v>
      </c>
      <c r="D3591" s="2" t="s">
        <v>220</v>
      </c>
      <c r="E3591" s="4">
        <v>-32805</v>
      </c>
      <c r="F3591" s="3" t="s">
        <v>2068</v>
      </c>
      <c r="G3591" s="3" t="s">
        <v>29</v>
      </c>
      <c r="H3591" s="2" t="s">
        <v>74</v>
      </c>
      <c r="I3591" s="2" t="s">
        <v>9744</v>
      </c>
      <c r="J3591" s="3" t="str">
        <f>HYPERLINK("https://www.boe.es/gazeta/dias/1810/03/07/pdfs/GMD-1810-66.pdf#page=4","Abrir facsímil")</f>
        <v>Abrir facsímil</v>
      </c>
      <c r="K3591" s="3" t="s">
        <v>76</v>
      </c>
    </row>
    <row r="3592" spans="1:11" ht="42" customHeight="1">
      <c r="A3592" s="2" t="s">
        <v>9742</v>
      </c>
      <c r="B3592" s="2" t="s">
        <v>9743</v>
      </c>
      <c r="C3592" s="2" t="s">
        <v>26</v>
      </c>
      <c r="D3592" s="2" t="s">
        <v>27</v>
      </c>
      <c r="E3592" s="4">
        <v>-32800</v>
      </c>
      <c r="F3592" s="3" t="s">
        <v>388</v>
      </c>
      <c r="G3592" s="3" t="s">
        <v>90</v>
      </c>
      <c r="H3592" s="2" t="s">
        <v>74</v>
      </c>
      <c r="I3592" s="2" t="s">
        <v>9745</v>
      </c>
      <c r="J3592" s="3" t="str">
        <f>HYPERLINK("https://www.boe.es/gazeta/dias/1810/03/12/pdfs/GMD-1810-71.pdf#page=4","Abrir facsímil")</f>
        <v>Abrir facsímil</v>
      </c>
      <c r="K3592" s="3" t="s">
        <v>76</v>
      </c>
    </row>
    <row r="3593" spans="1:11" ht="42" customHeight="1">
      <c r="A3593" s="2" t="s">
        <v>9742</v>
      </c>
      <c r="B3593" s="2" t="s">
        <v>9743</v>
      </c>
      <c r="C3593" s="2" t="s">
        <v>26</v>
      </c>
      <c r="D3593" s="2" t="s">
        <v>27</v>
      </c>
      <c r="E3593" s="4">
        <v>-32798</v>
      </c>
      <c r="F3593" s="3" t="s">
        <v>2002</v>
      </c>
      <c r="G3593" s="3" t="s">
        <v>90</v>
      </c>
      <c r="H3593" s="2" t="s">
        <v>74</v>
      </c>
      <c r="I3593" s="2" t="s">
        <v>9746</v>
      </c>
      <c r="J3593" s="3" t="str">
        <f>HYPERLINK("https://www.boe.es/gazeta/dias/1810/03/14/pdfs/GMD-1810-73.pdf#page=4","Abrir facsímil")</f>
        <v>Abrir facsímil</v>
      </c>
      <c r="K3593" s="3" t="s">
        <v>76</v>
      </c>
    </row>
    <row r="3594" spans="1:11" ht="42" customHeight="1">
      <c r="A3594" s="2" t="s">
        <v>9742</v>
      </c>
      <c r="B3594" s="2" t="s">
        <v>9743</v>
      </c>
      <c r="C3594" s="2" t="s">
        <v>17</v>
      </c>
      <c r="D3594" s="2" t="s">
        <v>27</v>
      </c>
      <c r="E3594" s="4">
        <v>-32638</v>
      </c>
      <c r="F3594" s="3" t="s">
        <v>489</v>
      </c>
      <c r="G3594" s="3" t="s">
        <v>8802</v>
      </c>
      <c r="H3594" s="2" t="s">
        <v>74</v>
      </c>
      <c r="I3594" s="2" t="s">
        <v>9747</v>
      </c>
      <c r="J3594" s="3" t="str">
        <f>HYPERLINK("https://www.boe.es/gazeta/dias/1810/08/21/pdfs/GMD-1810-233.pdf#page=3","Abrir facsímil")</f>
        <v>Abrir facsímil</v>
      </c>
      <c r="K3594" s="3" t="s">
        <v>76</v>
      </c>
    </row>
    <row r="3595" spans="1:11" ht="42" customHeight="1">
      <c r="A3595" s="2" t="s">
        <v>9748</v>
      </c>
      <c r="B3595" s="2" t="s">
        <v>9749</v>
      </c>
      <c r="C3595" s="2" t="s">
        <v>195</v>
      </c>
      <c r="D3595" s="2" t="s">
        <v>220</v>
      </c>
      <c r="E3595" s="4">
        <v>-32531</v>
      </c>
      <c r="F3595" s="3" t="s">
        <v>2483</v>
      </c>
      <c r="G3595" s="3" t="s">
        <v>2686</v>
      </c>
      <c r="H3595" s="2" t="s">
        <v>74</v>
      </c>
      <c r="I3595" s="2" t="s">
        <v>9750</v>
      </c>
      <c r="J3595" s="3" t="str">
        <f>HYPERLINK("https://www.boe.es/gazeta/dias/1810/12/06/pdfs/GEI-1810-104.pdf#page=8","Abrir facsímil")</f>
        <v>Abrir facsímil</v>
      </c>
      <c r="K3595" s="3" t="s">
        <v>76</v>
      </c>
    </row>
    <row r="3596" spans="1:11" ht="42" customHeight="1">
      <c r="A3596" s="2" t="s">
        <v>9748</v>
      </c>
      <c r="B3596" s="2" t="s">
        <v>9749</v>
      </c>
      <c r="C3596" s="2" t="s">
        <v>317</v>
      </c>
      <c r="D3596" s="2" t="s">
        <v>27</v>
      </c>
      <c r="E3596" s="4">
        <v>-32519</v>
      </c>
      <c r="F3596" s="3" t="s">
        <v>2299</v>
      </c>
      <c r="G3596" s="3" t="s">
        <v>1044</v>
      </c>
      <c r="H3596" s="2" t="s">
        <v>74</v>
      </c>
      <c r="I3596" s="2" t="s">
        <v>9751</v>
      </c>
      <c r="J3596" s="3" t="str">
        <f>HYPERLINK("https://www.boe.es/gazeta/dias/1810/12/18/pdfs/GEI-1810-109.pdf#page=7","Abrir facsímil")</f>
        <v>Abrir facsímil</v>
      </c>
      <c r="K3596" s="3" t="s">
        <v>76</v>
      </c>
    </row>
    <row r="3597" spans="1:11" ht="42" customHeight="1">
      <c r="A3597" s="2" t="s">
        <v>9752</v>
      </c>
      <c r="B3597" s="2" t="s">
        <v>9753</v>
      </c>
      <c r="C3597" s="2" t="s">
        <v>26</v>
      </c>
      <c r="D3597" s="2" t="s">
        <v>18</v>
      </c>
      <c r="E3597" s="4">
        <v>-32562</v>
      </c>
      <c r="F3597" s="3" t="s">
        <v>1186</v>
      </c>
      <c r="G3597" s="3" t="s">
        <v>29</v>
      </c>
      <c r="H3597" s="2" t="s">
        <v>74</v>
      </c>
      <c r="I3597" s="2" t="s">
        <v>9754</v>
      </c>
      <c r="J3597" s="3" t="str">
        <f>HYPERLINK("https://www.boe.es/gazeta/dias/1810/11/05/pdfs/GMD-1810-309.pdf#page=2","Abrir facsímil")</f>
        <v>Abrir facsímil</v>
      </c>
      <c r="K3597" s="3" t="s">
        <v>76</v>
      </c>
    </row>
    <row r="3598" spans="1:11" ht="42" customHeight="1">
      <c r="A3598" s="2" t="s">
        <v>9755</v>
      </c>
      <c r="B3598" s="2" t="s">
        <v>9755</v>
      </c>
      <c r="C3598" s="2" t="s">
        <v>111</v>
      </c>
      <c r="D3598" s="2" t="s">
        <v>27</v>
      </c>
      <c r="E3598" s="4">
        <v>-32663</v>
      </c>
      <c r="F3598" s="3" t="s">
        <v>1615</v>
      </c>
      <c r="G3598" s="3" t="s">
        <v>465</v>
      </c>
      <c r="H3598" s="2" t="s">
        <v>74</v>
      </c>
      <c r="I3598" s="2" t="s">
        <v>9756</v>
      </c>
      <c r="J3598" s="3" t="str">
        <f>HYPERLINK("https://www.boe.es/gazeta/dias/1810/07/27/pdfs/GMD-1810-208.pdf#page=4","Abrir facsímil")</f>
        <v>Abrir facsímil</v>
      </c>
      <c r="K3598" s="3" t="s">
        <v>76</v>
      </c>
    </row>
    <row r="3599" spans="1:11" ht="42" customHeight="1">
      <c r="A3599" s="2" t="s">
        <v>9757</v>
      </c>
      <c r="B3599" s="2" t="s">
        <v>9758</v>
      </c>
      <c r="C3599" s="2" t="s">
        <v>17</v>
      </c>
      <c r="D3599" s="2" t="s">
        <v>18</v>
      </c>
      <c r="E3599" s="4">
        <v>-32701</v>
      </c>
      <c r="F3599" s="3" t="s">
        <v>40</v>
      </c>
      <c r="G3599" s="3" t="s">
        <v>170</v>
      </c>
      <c r="H3599" s="2" t="s">
        <v>74</v>
      </c>
      <c r="I3599" s="2" t="s">
        <v>9759</v>
      </c>
      <c r="J3599" s="3" t="str">
        <f>HYPERLINK("https://www.boe.es/gazeta/dias/1810/06/19/pdfs/GMD-C-1810-170.pdf#page=1","Abrir facsímil")</f>
        <v>Abrir facsímil</v>
      </c>
      <c r="K3599" s="3" t="s">
        <v>76</v>
      </c>
    </row>
    <row r="3600" spans="1:11" ht="42" customHeight="1">
      <c r="A3600" s="2" t="s">
        <v>9760</v>
      </c>
      <c r="B3600" s="2" t="s">
        <v>9761</v>
      </c>
      <c r="C3600" s="2" t="s">
        <v>26</v>
      </c>
      <c r="D3600" s="2" t="s">
        <v>27</v>
      </c>
      <c r="E3600" s="4">
        <v>-32595</v>
      </c>
      <c r="F3600" s="3" t="s">
        <v>700</v>
      </c>
      <c r="G3600" s="3" t="s">
        <v>29</v>
      </c>
      <c r="H3600" s="2" t="s">
        <v>74</v>
      </c>
      <c r="I3600" s="2" t="s">
        <v>9762</v>
      </c>
      <c r="J3600" s="3" t="str">
        <f>HYPERLINK("https://www.boe.es/gazeta/dias/1810/10/03/pdfs/GMD-1810-276.pdf#page=4","Abrir facsímil")</f>
        <v>Abrir facsímil</v>
      </c>
      <c r="K3600" s="3" t="s">
        <v>76</v>
      </c>
    </row>
    <row r="3601" spans="1:11" ht="42" customHeight="1">
      <c r="A3601" s="2" t="s">
        <v>9763</v>
      </c>
      <c r="B3601" s="2" t="s">
        <v>9764</v>
      </c>
      <c r="C3601" s="2" t="s">
        <v>26</v>
      </c>
      <c r="D3601" s="2" t="s">
        <v>27</v>
      </c>
      <c r="E3601" s="4">
        <v>-32710</v>
      </c>
      <c r="F3601" s="3" t="s">
        <v>126</v>
      </c>
      <c r="G3601" s="3" t="s">
        <v>20</v>
      </c>
      <c r="H3601" s="2" t="s">
        <v>74</v>
      </c>
      <c r="I3601" s="2" t="s">
        <v>9765</v>
      </c>
      <c r="J3601" s="3" t="str">
        <f>HYPERLINK("https://www.boe.es/gazeta/dias/1810/06/10/pdfs/GMD-1810-161.pdf#page=4","Abrir facsímil")</f>
        <v>Abrir facsímil</v>
      </c>
      <c r="K3601" s="3" t="s">
        <v>76</v>
      </c>
    </row>
    <row r="3602" spans="1:11" ht="42" customHeight="1">
      <c r="A3602" s="2" t="s">
        <v>9766</v>
      </c>
      <c r="B3602" s="2" t="s">
        <v>9767</v>
      </c>
      <c r="C3602" s="2" t="s">
        <v>26</v>
      </c>
      <c r="D3602" s="2" t="s">
        <v>27</v>
      </c>
      <c r="E3602" s="4">
        <v>-32647</v>
      </c>
      <c r="F3602" s="3" t="s">
        <v>118</v>
      </c>
      <c r="G3602" s="3" t="s">
        <v>20</v>
      </c>
      <c r="H3602" s="2" t="s">
        <v>74</v>
      </c>
      <c r="I3602" s="2" t="s">
        <v>9768</v>
      </c>
      <c r="J3602" s="3" t="str">
        <f>HYPERLINK("https://www.boe.es/gazeta/dias/1810/08/12/pdfs/GMD-1810-224.pdf#page=4","Abrir facsímil")</f>
        <v>Abrir facsímil</v>
      </c>
      <c r="K3602" s="3" t="s">
        <v>76</v>
      </c>
    </row>
    <row r="3603" spans="1:11" ht="42" customHeight="1">
      <c r="A3603" s="2" t="s">
        <v>9769</v>
      </c>
      <c r="B3603" s="2" t="s">
        <v>9770</v>
      </c>
      <c r="C3603" s="2" t="s">
        <v>88</v>
      </c>
      <c r="D3603" s="2" t="s">
        <v>27</v>
      </c>
      <c r="E3603" s="4">
        <v>-32743</v>
      </c>
      <c r="F3603" s="3" t="s">
        <v>2265</v>
      </c>
      <c r="G3603" s="3" t="s">
        <v>2266</v>
      </c>
      <c r="H3603" s="2" t="s">
        <v>74</v>
      </c>
      <c r="I3603" s="2" t="s">
        <v>9771</v>
      </c>
      <c r="J3603" s="3" t="str">
        <f>HYPERLINK("https://www.boe.es/gazeta/dias/1810/05/08/pdfs/GEI-1810-22.pdf#page=8","Abrir facsímil")</f>
        <v>Abrir facsímil</v>
      </c>
      <c r="K3603" s="3" t="s">
        <v>76</v>
      </c>
    </row>
    <row r="3604" spans="1:11" ht="42" customHeight="1">
      <c r="A3604" s="2" t="s">
        <v>9772</v>
      </c>
      <c r="B3604" s="2" t="s">
        <v>9773</v>
      </c>
      <c r="C3604" s="2" t="s">
        <v>317</v>
      </c>
      <c r="D3604" s="2" t="s">
        <v>27</v>
      </c>
      <c r="E3604" s="4">
        <v>-32732</v>
      </c>
      <c r="F3604" s="3" t="s">
        <v>545</v>
      </c>
      <c r="G3604" s="3" t="s">
        <v>90</v>
      </c>
      <c r="H3604" s="2" t="s">
        <v>74</v>
      </c>
      <c r="I3604" s="2" t="s">
        <v>9774</v>
      </c>
      <c r="J3604" s="3" t="str">
        <f>HYPERLINK("https://www.boe.es/gazeta/dias/1810/05/19/pdfs/GMD-1810-139.pdf#page=4","Abrir facsímil")</f>
        <v>Abrir facsímil</v>
      </c>
      <c r="K3604" s="3" t="s">
        <v>76</v>
      </c>
    </row>
    <row r="3605" spans="1:11" ht="42" customHeight="1">
      <c r="A3605" s="2" t="s">
        <v>9775</v>
      </c>
      <c r="B3605" s="2" t="s">
        <v>9776</v>
      </c>
      <c r="C3605" s="2" t="s">
        <v>17</v>
      </c>
      <c r="D3605" s="2" t="s">
        <v>27</v>
      </c>
      <c r="E3605" s="4">
        <v>-32582</v>
      </c>
      <c r="F3605" s="3" t="s">
        <v>3849</v>
      </c>
      <c r="G3605" s="3" t="s">
        <v>3850</v>
      </c>
      <c r="H3605" s="2" t="s">
        <v>74</v>
      </c>
      <c r="I3605" s="2" t="s">
        <v>9777</v>
      </c>
      <c r="J3605" s="3" t="str">
        <f>HYPERLINK("https://www.boe.es/gazeta/dias/1810/10/16/pdfs/GEI-1810-82.pdf#page=4","Abrir facsímil")</f>
        <v>Abrir facsímil</v>
      </c>
      <c r="K3605" s="3" t="s">
        <v>76</v>
      </c>
    </row>
    <row r="3606" spans="1:11" ht="42" customHeight="1">
      <c r="A3606" s="2" t="s">
        <v>9775</v>
      </c>
      <c r="B3606" s="2" t="s">
        <v>9776</v>
      </c>
      <c r="C3606" s="2" t="s">
        <v>26</v>
      </c>
      <c r="D3606" s="2" t="s">
        <v>18</v>
      </c>
      <c r="E3606" s="4">
        <v>-32538</v>
      </c>
      <c r="F3606" s="3" t="s">
        <v>1949</v>
      </c>
      <c r="G3606" s="3" t="s">
        <v>213</v>
      </c>
      <c r="H3606" s="2" t="s">
        <v>74</v>
      </c>
      <c r="I3606" s="2" t="s">
        <v>9778</v>
      </c>
      <c r="J3606" s="3" t="str">
        <f>HYPERLINK("https://www.boe.es/gazeta/dias/1810/11/29/pdfs/GEI-1810-101.pdf#page=8","Abrir facsímil")</f>
        <v>Abrir facsímil</v>
      </c>
      <c r="K3606" s="3" t="s">
        <v>76</v>
      </c>
    </row>
    <row r="3607" spans="1:11" ht="42" customHeight="1">
      <c r="A3607" s="2" t="s">
        <v>9779</v>
      </c>
      <c r="B3607" s="2" t="s">
        <v>9780</v>
      </c>
      <c r="C3607" s="2" t="s">
        <v>26</v>
      </c>
      <c r="D3607" s="2" t="s">
        <v>18</v>
      </c>
      <c r="E3607" s="4">
        <v>-32601</v>
      </c>
      <c r="F3607" s="3" t="s">
        <v>392</v>
      </c>
      <c r="G3607" s="3" t="s">
        <v>1430</v>
      </c>
      <c r="H3607" s="2" t="s">
        <v>74</v>
      </c>
      <c r="I3607" s="2" t="s">
        <v>9781</v>
      </c>
      <c r="J3607" s="3" t="str">
        <f>HYPERLINK("https://www.boe.es/gazeta/dias/1810/09/27/pdfs/GEI-1810-74E.pdf#page=3","Abrir facsímil")</f>
        <v>Abrir facsímil</v>
      </c>
      <c r="K3607" s="3" t="s">
        <v>76</v>
      </c>
    </row>
    <row r="3608" spans="1:11" ht="42" customHeight="1">
      <c r="A3608" s="2" t="s">
        <v>9782</v>
      </c>
      <c r="B3608" s="2" t="s">
        <v>9783</v>
      </c>
      <c r="C3608" s="2" t="s">
        <v>317</v>
      </c>
      <c r="D3608" s="2" t="s">
        <v>39</v>
      </c>
      <c r="E3608" s="4">
        <v>-32684</v>
      </c>
      <c r="F3608" s="3" t="s">
        <v>295</v>
      </c>
      <c r="G3608" s="3" t="s">
        <v>4095</v>
      </c>
      <c r="H3608" s="2" t="s">
        <v>74</v>
      </c>
      <c r="I3608" s="2" t="s">
        <v>9784</v>
      </c>
      <c r="J3608" s="3" t="str">
        <f>HYPERLINK("https://www.boe.es/gazeta/dias/1810/07/06/pdfs/GMD-C-1810-187.pdf#page=3","Abrir facsímil")</f>
        <v>Abrir facsímil</v>
      </c>
      <c r="K3608" s="3" t="s">
        <v>76</v>
      </c>
    </row>
    <row r="3609" spans="1:11" ht="42" customHeight="1">
      <c r="A3609" s="2" t="s">
        <v>9785</v>
      </c>
      <c r="B3609" s="2" t="s">
        <v>9786</v>
      </c>
      <c r="C3609" s="2" t="s">
        <v>26</v>
      </c>
      <c r="D3609" s="2" t="s">
        <v>27</v>
      </c>
      <c r="E3609" s="4">
        <v>-32545</v>
      </c>
      <c r="F3609" s="3" t="s">
        <v>165</v>
      </c>
      <c r="G3609" s="3" t="s">
        <v>65</v>
      </c>
      <c r="H3609" s="2" t="s">
        <v>74</v>
      </c>
      <c r="I3609" s="2" t="s">
        <v>9787</v>
      </c>
      <c r="J3609" s="3" t="str">
        <f>HYPERLINK("https://www.boe.es/gazeta/dias/1810/11/22/pdfs/GEI-1810-98.pdf#page=5","Abrir facsímil")</f>
        <v>Abrir facsímil</v>
      </c>
      <c r="K3609" s="3" t="s">
        <v>76</v>
      </c>
    </row>
    <row r="3610" spans="1:11" ht="42" customHeight="1">
      <c r="A3610" s="2" t="s">
        <v>9788</v>
      </c>
      <c r="B3610" s="2" t="s">
        <v>9789</v>
      </c>
      <c r="C3610" s="2" t="s">
        <v>26</v>
      </c>
      <c r="D3610" s="2" t="s">
        <v>27</v>
      </c>
      <c r="E3610" s="4">
        <v>-32647</v>
      </c>
      <c r="F3610" s="3" t="s">
        <v>118</v>
      </c>
      <c r="G3610" s="3" t="s">
        <v>119</v>
      </c>
      <c r="H3610" s="2" t="s">
        <v>74</v>
      </c>
      <c r="I3610" s="2" t="s">
        <v>9790</v>
      </c>
      <c r="J3610" s="3" t="str">
        <f>HYPERLINK("https://www.boe.es/gazeta/dias/1810/08/12/pdfs/GMD-1810-224.pdf#page=3","Abrir facsímil")</f>
        <v>Abrir facsímil</v>
      </c>
      <c r="K3610" s="3" t="s">
        <v>76</v>
      </c>
    </row>
    <row r="3611" spans="1:11" ht="42" customHeight="1">
      <c r="A3611" s="2" t="s">
        <v>9791</v>
      </c>
      <c r="B3611" s="2" t="s">
        <v>9792</v>
      </c>
      <c r="C3611" s="2" t="s">
        <v>26</v>
      </c>
      <c r="D3611" s="2" t="s">
        <v>27</v>
      </c>
      <c r="E3611" s="4">
        <v>-32741</v>
      </c>
      <c r="F3611" s="3" t="s">
        <v>98</v>
      </c>
      <c r="G3611" s="3" t="s">
        <v>90</v>
      </c>
      <c r="H3611" s="2" t="s">
        <v>74</v>
      </c>
      <c r="I3611" s="2" t="s">
        <v>9793</v>
      </c>
      <c r="J3611" s="3" t="str">
        <f>HYPERLINK("https://www.boe.es/gazeta/dias/1810/05/10/pdfs/GMD-1810-130.pdf#page=4","Abrir facsímil")</f>
        <v>Abrir facsímil</v>
      </c>
      <c r="K3611" s="3" t="s">
        <v>76</v>
      </c>
    </row>
    <row r="3612" spans="1:11" ht="42" customHeight="1">
      <c r="A3612" s="2" t="s">
        <v>9794</v>
      </c>
      <c r="B3612" s="2" t="s">
        <v>9794</v>
      </c>
      <c r="C3612" s="2" t="s">
        <v>26</v>
      </c>
      <c r="D3612" s="2" t="s">
        <v>27</v>
      </c>
      <c r="E3612" s="4">
        <v>-32767</v>
      </c>
      <c r="F3612" s="3" t="s">
        <v>1265</v>
      </c>
      <c r="G3612" s="3" t="s">
        <v>9795</v>
      </c>
      <c r="H3612" s="2" t="s">
        <v>74</v>
      </c>
      <c r="I3612" s="2" t="s">
        <v>9796</v>
      </c>
      <c r="J3612" s="3" t="str">
        <f>HYPERLINK("https://www.boe.es/gazeta/dias/1810/04/14/pdfs/GMD-1810-104.pdf#page=1","Abrir facsímil")</f>
        <v>Abrir facsímil</v>
      </c>
      <c r="K3612" s="3" t="s">
        <v>76</v>
      </c>
    </row>
    <row r="3613" spans="1:11" ht="42" customHeight="1">
      <c r="A3613" s="2" t="s">
        <v>9797</v>
      </c>
      <c r="B3613" s="2" t="s">
        <v>9797</v>
      </c>
      <c r="C3613" s="2" t="s">
        <v>26</v>
      </c>
      <c r="D3613" s="2" t="s">
        <v>220</v>
      </c>
      <c r="E3613" s="4">
        <v>-32572</v>
      </c>
      <c r="F3613" s="3" t="s">
        <v>2967</v>
      </c>
      <c r="G3613" s="3" t="s">
        <v>9798</v>
      </c>
      <c r="H3613" s="2" t="s">
        <v>74</v>
      </c>
      <c r="I3613" s="2" t="s">
        <v>9799</v>
      </c>
      <c r="J3613" s="3" t="str">
        <f>HYPERLINK("https://www.boe.es/gazeta/dias/1810/10/26/pdfs/GMD-1810-299.pdf#page=2","Abrir facsímil")</f>
        <v>Abrir facsímil</v>
      </c>
      <c r="K3613" s="3" t="s">
        <v>76</v>
      </c>
    </row>
    <row r="3614" spans="1:11" ht="42" customHeight="1">
      <c r="A3614" s="2" t="s">
        <v>9800</v>
      </c>
      <c r="B3614" s="2" t="s">
        <v>9801</v>
      </c>
      <c r="C3614" s="2" t="s">
        <v>88</v>
      </c>
      <c r="D3614" s="2" t="s">
        <v>117</v>
      </c>
      <c r="E3614" s="4">
        <v>-32729</v>
      </c>
      <c r="F3614" s="3" t="s">
        <v>174</v>
      </c>
      <c r="G3614" s="3" t="s">
        <v>175</v>
      </c>
      <c r="H3614" s="2" t="s">
        <v>74</v>
      </c>
      <c r="I3614" s="2" t="s">
        <v>9802</v>
      </c>
      <c r="J3614" s="3" t="str">
        <f>HYPERLINK("https://www.boe.es/gazeta/dias/1810/05/22/pdfs/GEI-1810-28.pdf#page=10","Abrir facsímil")</f>
        <v>Abrir facsímil</v>
      </c>
      <c r="K3614" s="3" t="s">
        <v>76</v>
      </c>
    </row>
    <row r="3615" spans="1:11" ht="42" customHeight="1">
      <c r="A3615" s="2" t="s">
        <v>9803</v>
      </c>
      <c r="B3615" s="2" t="s">
        <v>9803</v>
      </c>
      <c r="C3615" s="2" t="s">
        <v>26</v>
      </c>
      <c r="D3615" s="2" t="s">
        <v>27</v>
      </c>
      <c r="E3615" s="4">
        <v>-32529</v>
      </c>
      <c r="F3615" s="3" t="s">
        <v>3700</v>
      </c>
      <c r="G3615" s="3" t="s">
        <v>70</v>
      </c>
      <c r="H3615" s="2" t="s">
        <v>74</v>
      </c>
      <c r="I3615" s="2" t="s">
        <v>9804</v>
      </c>
      <c r="J3615" s="3" t="str">
        <f>HYPERLINK("https://www.boe.es/gazeta/dias/1810/12/08/pdfs/GMD-1810-342.pdf#page=3","Abrir facsímil")</f>
        <v>Abrir facsímil</v>
      </c>
      <c r="K3615" s="3" t="s">
        <v>76</v>
      </c>
    </row>
    <row r="3616" spans="1:11" ht="42" customHeight="1">
      <c r="A3616" s="2" t="s">
        <v>9805</v>
      </c>
      <c r="B3616" s="2" t="s">
        <v>9806</v>
      </c>
      <c r="C3616" s="2" t="s">
        <v>26</v>
      </c>
      <c r="D3616" s="2" t="s">
        <v>27</v>
      </c>
      <c r="E3616" s="4">
        <v>-32642</v>
      </c>
      <c r="F3616" s="3" t="s">
        <v>657</v>
      </c>
      <c r="G3616" s="3" t="s">
        <v>29</v>
      </c>
      <c r="H3616" s="2" t="s">
        <v>74</v>
      </c>
      <c r="I3616" s="2" t="s">
        <v>9807</v>
      </c>
      <c r="J3616" s="3" t="str">
        <f>HYPERLINK("https://www.boe.es/gazeta/dias/1810/08/17/pdfs/GEI-1810-57.pdf#page=4","Abrir facsímil")</f>
        <v>Abrir facsímil</v>
      </c>
      <c r="K3616" s="3" t="s">
        <v>76</v>
      </c>
    </row>
    <row r="3617" spans="1:11" ht="42" customHeight="1">
      <c r="A3617" s="2" t="s">
        <v>9808</v>
      </c>
      <c r="B3617" s="2" t="s">
        <v>9809</v>
      </c>
      <c r="C3617" s="2" t="s">
        <v>26</v>
      </c>
      <c r="D3617" s="2" t="s">
        <v>27</v>
      </c>
      <c r="E3617" s="4">
        <v>-32647</v>
      </c>
      <c r="F3617" s="3" t="s">
        <v>118</v>
      </c>
      <c r="G3617" s="3" t="s">
        <v>140</v>
      </c>
      <c r="H3617" s="2" t="s">
        <v>74</v>
      </c>
      <c r="I3617" s="2" t="s">
        <v>9810</v>
      </c>
      <c r="J3617" s="3" t="str">
        <f>HYPERLINK("https://www.boe.es/gazeta/dias/1810/08/12/pdfs/GMD-1810-224.pdf#page=2","Abrir facsímil")</f>
        <v>Abrir facsímil</v>
      </c>
      <c r="K3617" s="3" t="s">
        <v>76</v>
      </c>
    </row>
    <row r="3618" spans="1:11" ht="42" customHeight="1">
      <c r="A3618" s="2" t="s">
        <v>9811</v>
      </c>
      <c r="B3618" s="2" t="s">
        <v>9812</v>
      </c>
      <c r="C3618" s="2" t="s">
        <v>26</v>
      </c>
      <c r="D3618" s="2" t="s">
        <v>27</v>
      </c>
      <c r="E3618" s="4">
        <v>-32647</v>
      </c>
      <c r="F3618" s="3" t="s">
        <v>118</v>
      </c>
      <c r="G3618" s="3" t="s">
        <v>140</v>
      </c>
      <c r="H3618" s="2" t="s">
        <v>74</v>
      </c>
      <c r="I3618" s="2" t="s">
        <v>9813</v>
      </c>
      <c r="J3618" s="3" t="str">
        <f>HYPERLINK("https://www.boe.es/gazeta/dias/1810/08/12/pdfs/GMD-1810-224.pdf#page=2","Abrir facsímil")</f>
        <v>Abrir facsímil</v>
      </c>
      <c r="K3618" s="3" t="s">
        <v>76</v>
      </c>
    </row>
    <row r="3619" spans="1:11" ht="42" customHeight="1">
      <c r="A3619" s="2" t="s">
        <v>9814</v>
      </c>
      <c r="B3619" s="2" t="s">
        <v>9815</v>
      </c>
      <c r="C3619" s="2" t="s">
        <v>26</v>
      </c>
      <c r="D3619" s="2" t="s">
        <v>27</v>
      </c>
      <c r="E3619" s="4">
        <v>-32647</v>
      </c>
      <c r="F3619" s="3" t="s">
        <v>118</v>
      </c>
      <c r="G3619" s="3" t="s">
        <v>140</v>
      </c>
      <c r="H3619" s="2" t="s">
        <v>74</v>
      </c>
      <c r="I3619" s="2" t="s">
        <v>9816</v>
      </c>
      <c r="J3619" s="3" t="str">
        <f>HYPERLINK("https://www.boe.es/gazeta/dias/1810/08/12/pdfs/GMD-1810-224.pdf#page=2","Abrir facsímil")</f>
        <v>Abrir facsímil</v>
      </c>
      <c r="K3619" s="3" t="s">
        <v>76</v>
      </c>
    </row>
    <row r="3620" spans="1:11" ht="42" customHeight="1">
      <c r="A3620" s="2" t="s">
        <v>9817</v>
      </c>
      <c r="B3620" s="2" t="s">
        <v>9818</v>
      </c>
      <c r="C3620" s="2" t="s">
        <v>26</v>
      </c>
      <c r="D3620" s="2" t="s">
        <v>220</v>
      </c>
      <c r="E3620" s="4">
        <v>-32591</v>
      </c>
      <c r="F3620" s="3" t="s">
        <v>377</v>
      </c>
      <c r="G3620" s="3" t="s">
        <v>136</v>
      </c>
      <c r="H3620" s="2" t="s">
        <v>74</v>
      </c>
      <c r="I3620" s="2" t="s">
        <v>9819</v>
      </c>
      <c r="J3620" s="3" t="str">
        <f>HYPERLINK("https://www.boe.es/gazeta/dias/1810/10/07/pdfs/GMD-1810-280.pdf#page=3","Abrir facsímil")</f>
        <v>Abrir facsímil</v>
      </c>
      <c r="K3620" s="3" t="s">
        <v>76</v>
      </c>
    </row>
    <row r="3621" spans="1:11" ht="42" customHeight="1">
      <c r="A3621" s="2" t="s">
        <v>9820</v>
      </c>
      <c r="B3621" s="2" t="s">
        <v>9821</v>
      </c>
      <c r="C3621" s="2" t="s">
        <v>88</v>
      </c>
      <c r="D3621" s="2" t="s">
        <v>27</v>
      </c>
      <c r="E3621" s="4">
        <v>-32710</v>
      </c>
      <c r="F3621" s="3" t="s">
        <v>126</v>
      </c>
      <c r="G3621" s="3" t="s">
        <v>20</v>
      </c>
      <c r="H3621" s="2" t="s">
        <v>74</v>
      </c>
      <c r="I3621" s="2" t="s">
        <v>9822</v>
      </c>
      <c r="J3621" s="3" t="str">
        <f>HYPERLINK("https://www.boe.es/gazeta/dias/1810/06/10/pdfs/GMD-1810-161.pdf#page=4","Abrir facsímil")</f>
        <v>Abrir facsímil</v>
      </c>
      <c r="K3621" s="3" t="s">
        <v>76</v>
      </c>
    </row>
    <row r="3622" spans="1:11" ht="42" customHeight="1">
      <c r="A3622" s="2" t="s">
        <v>9823</v>
      </c>
      <c r="B3622" s="2" t="s">
        <v>9824</v>
      </c>
      <c r="C3622" s="2" t="s">
        <v>88</v>
      </c>
      <c r="D3622" s="2" t="s">
        <v>27</v>
      </c>
      <c r="E3622" s="4">
        <v>-32517</v>
      </c>
      <c r="F3622" s="3" t="s">
        <v>566</v>
      </c>
      <c r="G3622" s="3" t="s">
        <v>762</v>
      </c>
      <c r="H3622" s="2" t="s">
        <v>74</v>
      </c>
      <c r="I3622" s="2" t="s">
        <v>9825</v>
      </c>
      <c r="J3622" s="3" t="str">
        <f>HYPERLINK("https://www.boe.es/gazeta/dias/1810/12/20/pdfs/GEI-1810-110.pdf#page=8","Abrir facsímil")</f>
        <v>Abrir facsímil</v>
      </c>
      <c r="K3622" s="3" t="s">
        <v>76</v>
      </c>
    </row>
    <row r="3623" spans="1:11" ht="42" customHeight="1">
      <c r="A3623" s="2" t="s">
        <v>9826</v>
      </c>
      <c r="B3623" s="2" t="s">
        <v>9827</v>
      </c>
      <c r="C3623" s="2" t="s">
        <v>26</v>
      </c>
      <c r="D3623" s="2" t="s">
        <v>27</v>
      </c>
      <c r="E3623" s="4">
        <v>-32647</v>
      </c>
      <c r="F3623" s="3" t="s">
        <v>118</v>
      </c>
      <c r="G3623" s="3" t="s">
        <v>140</v>
      </c>
      <c r="H3623" s="2" t="s">
        <v>74</v>
      </c>
      <c r="I3623" s="2" t="s">
        <v>9828</v>
      </c>
      <c r="J3623" s="3" t="str">
        <f>HYPERLINK("https://www.boe.es/gazeta/dias/1810/08/12/pdfs/GMD-1810-224.pdf#page=2","Abrir facsímil")</f>
        <v>Abrir facsímil</v>
      </c>
      <c r="K3623" s="3" t="s">
        <v>76</v>
      </c>
    </row>
    <row r="3624" spans="1:11" ht="42" customHeight="1">
      <c r="A3624" s="2" t="s">
        <v>9829</v>
      </c>
      <c r="B3624" s="2" t="s">
        <v>9830</v>
      </c>
      <c r="C3624" s="2" t="s">
        <v>225</v>
      </c>
      <c r="D3624" s="2" t="s">
        <v>27</v>
      </c>
      <c r="E3624" s="4">
        <v>-32802</v>
      </c>
      <c r="F3624" s="3" t="s">
        <v>1075</v>
      </c>
      <c r="G3624" s="3" t="s">
        <v>90</v>
      </c>
      <c r="H3624" s="2" t="s">
        <v>74</v>
      </c>
      <c r="I3624" s="2" t="s">
        <v>9831</v>
      </c>
      <c r="J3624" s="3" t="str">
        <f>HYPERLINK("https://www.boe.es/gazeta/dias/1810/03/10/pdfs/GMD-1810-69.pdf#page=3","Abrir facsímil")</f>
        <v>Abrir facsímil</v>
      </c>
      <c r="K3624" s="3" t="s">
        <v>76</v>
      </c>
    </row>
    <row r="3625" spans="1:11" ht="42" customHeight="1">
      <c r="A3625" s="2" t="s">
        <v>9832</v>
      </c>
      <c r="B3625" s="2" t="s">
        <v>9833</v>
      </c>
      <c r="C3625" s="2" t="s">
        <v>88</v>
      </c>
      <c r="D3625" s="2" t="s">
        <v>27</v>
      </c>
      <c r="E3625" s="4">
        <v>-32710</v>
      </c>
      <c r="F3625" s="3" t="s">
        <v>126</v>
      </c>
      <c r="G3625" s="3" t="s">
        <v>20</v>
      </c>
      <c r="H3625" s="2" t="s">
        <v>74</v>
      </c>
      <c r="I3625" s="2" t="s">
        <v>9834</v>
      </c>
      <c r="J3625" s="3" t="str">
        <f>HYPERLINK("https://www.boe.es/gazeta/dias/1810/06/10/pdfs/GMD-1810-161.pdf#page=4","Abrir facsímil")</f>
        <v>Abrir facsímil</v>
      </c>
      <c r="K3625" s="3" t="s">
        <v>76</v>
      </c>
    </row>
    <row r="3626" spans="1:11" ht="42" customHeight="1">
      <c r="A3626" s="2" t="s">
        <v>9835</v>
      </c>
      <c r="B3626" s="2" t="s">
        <v>9836</v>
      </c>
      <c r="C3626" s="2" t="s">
        <v>111</v>
      </c>
      <c r="D3626" s="2" t="s">
        <v>220</v>
      </c>
      <c r="E3626" s="4">
        <v>-32862</v>
      </c>
      <c r="F3626" s="3" t="s">
        <v>878</v>
      </c>
      <c r="G3626" s="3" t="s">
        <v>99</v>
      </c>
      <c r="H3626" s="2" t="s">
        <v>74</v>
      </c>
      <c r="I3626" s="2" t="s">
        <v>9837</v>
      </c>
      <c r="J3626" s="3" t="str">
        <f>HYPERLINK("https://www.boe.es/gazeta/dias/1810/01/09/pdfs/GMD-1810-9.pdf#page=3","Abrir facsímil")</f>
        <v>Abrir facsímil</v>
      </c>
      <c r="K3626" s="3" t="s">
        <v>76</v>
      </c>
    </row>
    <row r="3627" spans="1:11" ht="42" customHeight="1">
      <c r="A3627" s="2" t="s">
        <v>9838</v>
      </c>
      <c r="B3627" s="2" t="s">
        <v>9839</v>
      </c>
      <c r="C3627" s="2" t="s">
        <v>88</v>
      </c>
      <c r="D3627" s="2" t="s">
        <v>27</v>
      </c>
      <c r="E3627" s="4">
        <v>-32550</v>
      </c>
      <c r="F3627" s="3" t="s">
        <v>1472</v>
      </c>
      <c r="G3627" s="3" t="s">
        <v>1473</v>
      </c>
      <c r="H3627" s="2" t="s">
        <v>74</v>
      </c>
      <c r="I3627" s="2" t="s">
        <v>9840</v>
      </c>
      <c r="J3627" s="3" t="str">
        <f>HYPERLINK("https://www.boe.es/gazeta/dias/1810/11/17/pdfs/GEI-1810-96.pdf#page=8","Abrir facsímil")</f>
        <v>Abrir facsímil</v>
      </c>
      <c r="K3627" s="3" t="s">
        <v>76</v>
      </c>
    </row>
    <row r="3628" spans="1:11" ht="42" customHeight="1">
      <c r="A3628" s="2" t="s">
        <v>9841</v>
      </c>
      <c r="B3628" s="2" t="s">
        <v>9841</v>
      </c>
      <c r="C3628" s="2" t="s">
        <v>88</v>
      </c>
      <c r="D3628" s="2" t="s">
        <v>27</v>
      </c>
      <c r="E3628" s="4">
        <v>-32568</v>
      </c>
      <c r="F3628" s="3" t="s">
        <v>683</v>
      </c>
      <c r="G3628" s="3" t="s">
        <v>5333</v>
      </c>
      <c r="H3628" s="2" t="s">
        <v>74</v>
      </c>
      <c r="I3628" s="2" t="s">
        <v>9842</v>
      </c>
      <c r="J3628" s="3" t="str">
        <f>HYPERLINK("https://www.boe.es/gazeta/dias/1810/10/30/pdfs/GEI-1810-88.pdf#page=7","Abrir facsímil")</f>
        <v>Abrir facsímil</v>
      </c>
      <c r="K3628" s="3" t="s">
        <v>76</v>
      </c>
    </row>
    <row r="3629" spans="1:11" ht="42" customHeight="1">
      <c r="A3629" s="2" t="s">
        <v>9843</v>
      </c>
      <c r="B3629" s="2" t="s">
        <v>9844</v>
      </c>
      <c r="C3629" s="2" t="s">
        <v>26</v>
      </c>
      <c r="D3629" s="2" t="s">
        <v>27</v>
      </c>
      <c r="E3629" s="4">
        <v>-32563</v>
      </c>
      <c r="F3629" s="3" t="s">
        <v>535</v>
      </c>
      <c r="G3629" s="3" t="s">
        <v>536</v>
      </c>
      <c r="H3629" s="2" t="s">
        <v>74</v>
      </c>
      <c r="I3629" s="2" t="s">
        <v>9845</v>
      </c>
      <c r="J3629" s="3" t="str">
        <f>HYPERLINK("https://www.boe.es/gazeta/dias/1810/11/04/pdfs/GMD-1810-308.pdf#page=9","Abrir facsímil")</f>
        <v>Abrir facsímil</v>
      </c>
      <c r="K3629" s="3" t="s">
        <v>76</v>
      </c>
    </row>
    <row r="3630" spans="1:11" ht="42" customHeight="1">
      <c r="A3630" s="2" t="s">
        <v>9846</v>
      </c>
      <c r="B3630" s="2" t="s">
        <v>9847</v>
      </c>
      <c r="C3630" s="2" t="s">
        <v>26</v>
      </c>
      <c r="D3630" s="2" t="s">
        <v>27</v>
      </c>
      <c r="E3630" s="4">
        <v>-32659</v>
      </c>
      <c r="F3630" s="3" t="s">
        <v>328</v>
      </c>
      <c r="G3630" s="3" t="s">
        <v>119</v>
      </c>
      <c r="H3630" s="2" t="s">
        <v>74</v>
      </c>
      <c r="I3630" s="2" t="s">
        <v>9848</v>
      </c>
      <c r="J3630" s="3" t="str">
        <f>HYPERLINK("https://www.boe.es/gazeta/dias/1810/07/31/pdfs/GEI-1810-49.pdf#page=8","Abrir facsímil")</f>
        <v>Abrir facsímil</v>
      </c>
      <c r="K3630" s="3" t="s">
        <v>76</v>
      </c>
    </row>
    <row r="3631" spans="1:11" ht="42" customHeight="1">
      <c r="A3631" s="2" t="s">
        <v>9849</v>
      </c>
      <c r="B3631" s="2" t="s">
        <v>9850</v>
      </c>
      <c r="C3631" s="2" t="s">
        <v>26</v>
      </c>
      <c r="D3631" s="2" t="s">
        <v>39</v>
      </c>
      <c r="E3631" s="4">
        <v>-32701</v>
      </c>
      <c r="F3631" s="3" t="s">
        <v>40</v>
      </c>
      <c r="G3631" s="3" t="s">
        <v>170</v>
      </c>
      <c r="H3631" s="2" t="s">
        <v>74</v>
      </c>
      <c r="I3631" s="2" t="s">
        <v>9851</v>
      </c>
      <c r="J3631" s="3" t="str">
        <f>HYPERLINK("https://www.boe.es/gazeta/dias/1810/06/19/pdfs/GMD-C-1810-170.pdf#page=1","Abrir facsímil")</f>
        <v>Abrir facsímil</v>
      </c>
      <c r="K3631" s="3" t="s">
        <v>76</v>
      </c>
    </row>
    <row r="3632" spans="1:11" ht="42" customHeight="1">
      <c r="A3632" s="2" t="s">
        <v>9852</v>
      </c>
      <c r="B3632" s="2" t="s">
        <v>9853</v>
      </c>
      <c r="C3632" s="2" t="s">
        <v>26</v>
      </c>
      <c r="D3632" s="2" t="s">
        <v>27</v>
      </c>
      <c r="E3632" s="4">
        <v>-32508</v>
      </c>
      <c r="F3632" s="3" t="s">
        <v>864</v>
      </c>
      <c r="G3632" s="3" t="s">
        <v>691</v>
      </c>
      <c r="H3632" s="2" t="s">
        <v>74</v>
      </c>
      <c r="I3632" s="2" t="s">
        <v>9854</v>
      </c>
      <c r="J3632" s="3" t="str">
        <f>HYPERLINK("https://www.boe.es/gazeta/dias/1810/12/29/pdfs/GEI-1810-114.pdf#page=8","Abrir facsímil")</f>
        <v>Abrir facsímil</v>
      </c>
      <c r="K3632" s="3" t="s">
        <v>76</v>
      </c>
    </row>
    <row r="3633" spans="1:11" ht="42" customHeight="1">
      <c r="A3633" s="2" t="s">
        <v>9855</v>
      </c>
      <c r="B3633" s="2" t="s">
        <v>9856</v>
      </c>
      <c r="C3633" s="2" t="s">
        <v>26</v>
      </c>
      <c r="D3633" s="2" t="s">
        <v>39</v>
      </c>
      <c r="E3633" s="4">
        <v>-32702</v>
      </c>
      <c r="F3633" s="3" t="s">
        <v>179</v>
      </c>
      <c r="G3633" s="3" t="s">
        <v>180</v>
      </c>
      <c r="H3633" s="2" t="s">
        <v>74</v>
      </c>
      <c r="I3633" s="2" t="s">
        <v>9857</v>
      </c>
      <c r="J3633" s="3" t="str">
        <f>HYPERLINK("https://www.boe.es/gazeta/dias/1810/06/18/pdfs/GMD-C-1810-169.pdf#page=2","Abrir facsímil")</f>
        <v>Abrir facsímil</v>
      </c>
      <c r="K3633" s="3" t="s">
        <v>76</v>
      </c>
    </row>
    <row r="3634" spans="1:11" ht="42" customHeight="1">
      <c r="A3634" s="2" t="s">
        <v>9858</v>
      </c>
      <c r="B3634" s="2" t="s">
        <v>9859</v>
      </c>
      <c r="C3634" s="2" t="s">
        <v>26</v>
      </c>
      <c r="D3634" s="2" t="s">
        <v>39</v>
      </c>
      <c r="E3634" s="4">
        <v>-32702</v>
      </c>
      <c r="F3634" s="3" t="s">
        <v>179</v>
      </c>
      <c r="G3634" s="3" t="s">
        <v>119</v>
      </c>
      <c r="H3634" s="2" t="s">
        <v>74</v>
      </c>
      <c r="I3634" s="2" t="s">
        <v>9860</v>
      </c>
      <c r="J3634" s="3" t="str">
        <f>HYPERLINK("https://www.boe.es/gazeta/dias/1810/06/18/pdfs/GMD-C-1810-169.pdf#page=1","Abrir facsímil")</f>
        <v>Abrir facsímil</v>
      </c>
      <c r="K3634" s="3" t="s">
        <v>76</v>
      </c>
    </row>
    <row r="3635" spans="1:11" ht="42" customHeight="1">
      <c r="A3635" s="2" t="s">
        <v>9861</v>
      </c>
      <c r="B3635" s="2" t="s">
        <v>9861</v>
      </c>
      <c r="C3635" s="2" t="s">
        <v>88</v>
      </c>
      <c r="D3635" s="2" t="s">
        <v>220</v>
      </c>
      <c r="E3635" s="4">
        <v>-32851</v>
      </c>
      <c r="F3635" s="3" t="s">
        <v>9862</v>
      </c>
      <c r="G3635" s="3" t="s">
        <v>29</v>
      </c>
      <c r="H3635" s="2" t="s">
        <v>74</v>
      </c>
      <c r="I3635" s="2" t="s">
        <v>9863</v>
      </c>
      <c r="J3635" s="3" t="str">
        <f>HYPERLINK("https://www.boe.es/gazeta/dias/1810/01/20/pdfs/GGB-1810-9.pdf#page=4","Abrir facsímil")</f>
        <v>Abrir facsímil</v>
      </c>
      <c r="K3635" s="3" t="s">
        <v>76</v>
      </c>
    </row>
    <row r="3636" spans="1:11" ht="42" customHeight="1">
      <c r="A3636" s="2" t="s">
        <v>9861</v>
      </c>
      <c r="B3636" s="2" t="s">
        <v>9861</v>
      </c>
      <c r="C3636" s="2" t="s">
        <v>88</v>
      </c>
      <c r="D3636" s="2" t="s">
        <v>27</v>
      </c>
      <c r="E3636" s="4">
        <v>-32782</v>
      </c>
      <c r="F3636" s="3" t="s">
        <v>79</v>
      </c>
      <c r="G3636" s="3" t="s">
        <v>5628</v>
      </c>
      <c r="H3636" s="2" t="s">
        <v>74</v>
      </c>
      <c r="I3636" s="2" t="s">
        <v>9864</v>
      </c>
      <c r="J3636" s="3" t="str">
        <f>HYPERLINK("https://www.boe.es/gazeta/dias/1810/03/30/pdfs/GEI-1810-9.pdf#page=6","Abrir facsímil")</f>
        <v>Abrir facsímil</v>
      </c>
      <c r="K3636" s="3" t="s">
        <v>76</v>
      </c>
    </row>
    <row r="3637" spans="1:11" ht="42" customHeight="1">
      <c r="A3637" s="2" t="s">
        <v>9865</v>
      </c>
      <c r="B3637" s="2" t="s">
        <v>9866</v>
      </c>
      <c r="C3637" s="2" t="s">
        <v>33</v>
      </c>
      <c r="D3637" s="2" t="s">
        <v>27</v>
      </c>
      <c r="E3637" s="4">
        <v>-32820</v>
      </c>
      <c r="F3637" s="3" t="s">
        <v>226</v>
      </c>
      <c r="G3637" s="3" t="s">
        <v>356</v>
      </c>
      <c r="H3637" s="2" t="s">
        <v>74</v>
      </c>
      <c r="I3637" s="2" t="s">
        <v>9867</v>
      </c>
      <c r="J3637" s="3" t="str">
        <f>HYPERLINK("https://www.boe.es/gazeta/dias/1810/02/20/pdfs/GMD-1810-51.pdf#page=3","Abrir facsímil")</f>
        <v>Abrir facsímil</v>
      </c>
      <c r="K3637" s="3" t="s">
        <v>76</v>
      </c>
    </row>
    <row r="3638" spans="1:11" ht="42" customHeight="1">
      <c r="A3638" s="2" t="s">
        <v>9868</v>
      </c>
      <c r="B3638" s="2" t="s">
        <v>9869</v>
      </c>
      <c r="C3638" s="2" t="s">
        <v>17</v>
      </c>
      <c r="D3638" s="2" t="s">
        <v>27</v>
      </c>
      <c r="E3638" s="4">
        <v>-32721</v>
      </c>
      <c r="F3638" s="3" t="s">
        <v>3437</v>
      </c>
      <c r="G3638" s="3" t="s">
        <v>20</v>
      </c>
      <c r="H3638" s="2" t="s">
        <v>74</v>
      </c>
      <c r="I3638" s="2" t="s">
        <v>9870</v>
      </c>
      <c r="J3638" s="3" t="str">
        <f>HYPERLINK("https://www.boe.es/gazeta/dias/1810/05/30/pdfs/GMD-1810-150.pdf#page=4","Abrir facsímil")</f>
        <v>Abrir facsímil</v>
      </c>
      <c r="K3638" s="3" t="s">
        <v>76</v>
      </c>
    </row>
    <row r="3639" spans="1:11" ht="42" customHeight="1">
      <c r="A3639" s="2" t="s">
        <v>9871</v>
      </c>
      <c r="B3639" s="2" t="s">
        <v>9872</v>
      </c>
      <c r="C3639" s="2" t="s">
        <v>26</v>
      </c>
      <c r="D3639" s="2" t="s">
        <v>27</v>
      </c>
      <c r="E3639" s="4">
        <v>-32582</v>
      </c>
      <c r="F3639" s="3" t="s">
        <v>3849</v>
      </c>
      <c r="G3639" s="3" t="s">
        <v>5822</v>
      </c>
      <c r="H3639" s="2" t="s">
        <v>74</v>
      </c>
      <c r="I3639" s="2" t="s">
        <v>9873</v>
      </c>
      <c r="J3639" s="3" t="str">
        <f>HYPERLINK("https://www.boe.es/gazeta/dias/1810/10/16/pdfs/GEI-1810-82.pdf#page=8","Abrir facsímil")</f>
        <v>Abrir facsímil</v>
      </c>
      <c r="K3639" s="3" t="s">
        <v>76</v>
      </c>
    </row>
    <row r="3640" spans="1:11" ht="42" customHeight="1">
      <c r="A3640" s="2" t="s">
        <v>9874</v>
      </c>
      <c r="B3640" s="2" t="s">
        <v>9875</v>
      </c>
      <c r="C3640" s="2" t="s">
        <v>225</v>
      </c>
      <c r="D3640" s="2" t="s">
        <v>27</v>
      </c>
      <c r="E3640" s="4">
        <v>-32820</v>
      </c>
      <c r="F3640" s="3" t="s">
        <v>226</v>
      </c>
      <c r="G3640" s="3" t="s">
        <v>356</v>
      </c>
      <c r="H3640" s="2" t="s">
        <v>74</v>
      </c>
      <c r="I3640" s="2" t="s">
        <v>9876</v>
      </c>
      <c r="J3640" s="3" t="str">
        <f>HYPERLINK("https://www.boe.es/gazeta/dias/1810/02/20/pdfs/GMD-1810-51.pdf#page=3","Abrir facsímil")</f>
        <v>Abrir facsímil</v>
      </c>
      <c r="K3640" s="3" t="s">
        <v>76</v>
      </c>
    </row>
    <row r="3641" spans="1:11" ht="42" customHeight="1">
      <c r="A3641" s="2" t="s">
        <v>9877</v>
      </c>
      <c r="B3641" s="2" t="s">
        <v>9878</v>
      </c>
      <c r="C3641" s="2" t="s">
        <v>88</v>
      </c>
      <c r="D3641" s="2" t="s">
        <v>27</v>
      </c>
      <c r="E3641" s="4">
        <v>-32710</v>
      </c>
      <c r="F3641" s="3" t="s">
        <v>126</v>
      </c>
      <c r="G3641" s="3" t="s">
        <v>20</v>
      </c>
      <c r="H3641" s="2" t="s">
        <v>74</v>
      </c>
      <c r="I3641" s="2" t="s">
        <v>9879</v>
      </c>
      <c r="J3641" s="3" t="str">
        <f>HYPERLINK("https://www.boe.es/gazeta/dias/1810/06/10/pdfs/GMD-1810-161.pdf#page=4","Abrir facsímil")</f>
        <v>Abrir facsímil</v>
      </c>
      <c r="K3641" s="3" t="s">
        <v>76</v>
      </c>
    </row>
    <row r="3642" spans="1:11" ht="42" customHeight="1">
      <c r="A3642" s="2" t="s">
        <v>9880</v>
      </c>
      <c r="B3642" s="2" t="s">
        <v>9881</v>
      </c>
      <c r="C3642" s="2" t="s">
        <v>26</v>
      </c>
      <c r="D3642" s="2" t="s">
        <v>27</v>
      </c>
      <c r="E3642" s="4">
        <v>-32575</v>
      </c>
      <c r="F3642" s="3" t="s">
        <v>135</v>
      </c>
      <c r="G3642" s="3" t="s">
        <v>136</v>
      </c>
      <c r="H3642" s="2" t="s">
        <v>74</v>
      </c>
      <c r="I3642" s="2" t="s">
        <v>9882</v>
      </c>
      <c r="J3642" s="3" t="str">
        <f>HYPERLINK("https://www.boe.es/gazeta/dias/1810/10/23/pdfs/GEI-1810-85.pdf#page=11","Abrir facsímil")</f>
        <v>Abrir facsímil</v>
      </c>
      <c r="K3642" s="3" t="s">
        <v>76</v>
      </c>
    </row>
    <row r="3643" spans="1:11" ht="42" customHeight="1">
      <c r="A3643" s="2" t="s">
        <v>9883</v>
      </c>
      <c r="B3643" s="2" t="s">
        <v>9883</v>
      </c>
      <c r="C3643" s="2" t="s">
        <v>88</v>
      </c>
      <c r="D3643" s="2" t="s">
        <v>27</v>
      </c>
      <c r="E3643" s="4">
        <v>-32667</v>
      </c>
      <c r="F3643" s="3" t="s">
        <v>381</v>
      </c>
      <c r="G3643" s="3" t="s">
        <v>213</v>
      </c>
      <c r="H3643" s="2" t="s">
        <v>74</v>
      </c>
      <c r="I3643" s="2" t="s">
        <v>9884</v>
      </c>
      <c r="J3643" s="3" t="str">
        <f>HYPERLINK("https://www.boe.es/gazeta/dias/1810/07/23/pdfs/GMD-1810-204.pdf#page=4","Abrir facsímil")</f>
        <v>Abrir facsímil</v>
      </c>
      <c r="K3643" s="3" t="s">
        <v>76</v>
      </c>
    </row>
    <row r="3644" spans="1:11" ht="42" customHeight="1">
      <c r="A3644" s="2" t="s">
        <v>9885</v>
      </c>
      <c r="B3644" s="2" t="s">
        <v>9886</v>
      </c>
      <c r="C3644" s="2" t="s">
        <v>88</v>
      </c>
      <c r="D3644" s="2" t="s">
        <v>27</v>
      </c>
      <c r="E3644" s="4">
        <v>-32550</v>
      </c>
      <c r="F3644" s="3" t="s">
        <v>1472</v>
      </c>
      <c r="G3644" s="3" t="s">
        <v>1473</v>
      </c>
      <c r="H3644" s="2" t="s">
        <v>74</v>
      </c>
      <c r="I3644" s="2" t="s">
        <v>9887</v>
      </c>
      <c r="J3644" s="3" t="str">
        <f>HYPERLINK("https://www.boe.es/gazeta/dias/1810/11/17/pdfs/GEI-1810-96.pdf#page=8","Abrir facsímil")</f>
        <v>Abrir facsímil</v>
      </c>
      <c r="K3644" s="3" t="s">
        <v>76</v>
      </c>
    </row>
    <row r="3645" spans="1:11" ht="42" customHeight="1">
      <c r="A3645" s="2" t="s">
        <v>9888</v>
      </c>
      <c r="B3645" s="2" t="s">
        <v>9889</v>
      </c>
      <c r="C3645" s="2" t="s">
        <v>26</v>
      </c>
      <c r="D3645" s="2" t="s">
        <v>27</v>
      </c>
      <c r="E3645" s="4">
        <v>-32526</v>
      </c>
      <c r="F3645" s="3" t="s">
        <v>530</v>
      </c>
      <c r="G3645" s="3" t="s">
        <v>531</v>
      </c>
      <c r="H3645" s="2" t="s">
        <v>74</v>
      </c>
      <c r="I3645" s="2" t="s">
        <v>9890</v>
      </c>
      <c r="J3645" s="3" t="str">
        <f>HYPERLINK("https://www.boe.es/gazeta/dias/1810/12/11/pdfs/GEI-1810-106.pdf#page=2","Abrir facsímil")</f>
        <v>Abrir facsímil</v>
      </c>
      <c r="K3645" s="3" t="s">
        <v>76</v>
      </c>
    </row>
    <row r="3646" spans="1:11" ht="42" customHeight="1">
      <c r="A3646" s="2" t="s">
        <v>9891</v>
      </c>
      <c r="B3646" s="2" t="s">
        <v>9892</v>
      </c>
      <c r="C3646" s="2" t="s">
        <v>26</v>
      </c>
      <c r="D3646" s="2" t="s">
        <v>27</v>
      </c>
      <c r="E3646" s="4">
        <v>-32526</v>
      </c>
      <c r="F3646" s="3" t="s">
        <v>530</v>
      </c>
      <c r="G3646" s="3" t="s">
        <v>531</v>
      </c>
      <c r="H3646" s="2" t="s">
        <v>74</v>
      </c>
      <c r="I3646" s="2" t="s">
        <v>9893</v>
      </c>
      <c r="J3646" s="3" t="str">
        <f>HYPERLINK("https://www.boe.es/gazeta/dias/1810/12/11/pdfs/GEI-1810-106.pdf#page=2","Abrir facsímil")</f>
        <v>Abrir facsímil</v>
      </c>
      <c r="K3646" s="3" t="s">
        <v>76</v>
      </c>
    </row>
    <row r="3647" spans="1:11" ht="42" customHeight="1">
      <c r="A3647" s="2" t="s">
        <v>9894</v>
      </c>
      <c r="B3647" s="2" t="s">
        <v>9894</v>
      </c>
      <c r="C3647" s="2" t="s">
        <v>88</v>
      </c>
      <c r="D3647" s="2" t="s">
        <v>27</v>
      </c>
      <c r="E3647" s="4">
        <v>-32851</v>
      </c>
      <c r="F3647" s="3" t="s">
        <v>9862</v>
      </c>
      <c r="G3647" s="3" t="s">
        <v>1711</v>
      </c>
      <c r="H3647" s="2" t="s">
        <v>74</v>
      </c>
      <c r="I3647" s="2" t="s">
        <v>9895</v>
      </c>
      <c r="J3647" s="3" t="str">
        <f>HYPERLINK("https://www.boe.es/gazeta/dias/1810/01/20/pdfs/GGB-1810-9.pdf#page=7","Abrir facsímil")</f>
        <v>Abrir facsímil</v>
      </c>
      <c r="K3647" s="3" t="s">
        <v>76</v>
      </c>
    </row>
    <row r="3648" spans="1:11" ht="42" customHeight="1">
      <c r="A3648" s="2" t="s">
        <v>9894</v>
      </c>
      <c r="B3648" s="2" t="s">
        <v>9894</v>
      </c>
      <c r="C3648" s="2" t="s">
        <v>88</v>
      </c>
      <c r="D3648" s="2" t="s">
        <v>117</v>
      </c>
      <c r="E3648" s="4">
        <v>-32764</v>
      </c>
      <c r="F3648" s="3" t="s">
        <v>640</v>
      </c>
      <c r="G3648" s="3" t="s">
        <v>131</v>
      </c>
      <c r="H3648" s="2" t="s">
        <v>74</v>
      </c>
      <c r="I3648" s="2" t="s">
        <v>9896</v>
      </c>
      <c r="J3648" s="3" t="str">
        <f>HYPERLINK("https://www.boe.es/gazeta/dias/1810/04/17/pdfs/GEI-1810-15.pdf#page=3","Abrir facsímil")</f>
        <v>Abrir facsímil</v>
      </c>
      <c r="K3648" s="3" t="s">
        <v>76</v>
      </c>
    </row>
    <row r="3649" spans="1:11" ht="42" customHeight="1">
      <c r="A3649" s="2" t="s">
        <v>9894</v>
      </c>
      <c r="B3649" s="2" t="s">
        <v>9894</v>
      </c>
      <c r="C3649" s="2" t="s">
        <v>26</v>
      </c>
      <c r="D3649" s="2" t="s">
        <v>27</v>
      </c>
      <c r="E3649" s="4">
        <v>-32743</v>
      </c>
      <c r="F3649" s="3" t="s">
        <v>2265</v>
      </c>
      <c r="G3649" s="3" t="s">
        <v>9425</v>
      </c>
      <c r="H3649" s="2" t="s">
        <v>74</v>
      </c>
      <c r="I3649" s="2" t="s">
        <v>9897</v>
      </c>
      <c r="J3649" s="3" t="str">
        <f>HYPERLINK("https://www.boe.es/gazeta/dias/1810/05/08/pdfs/GEI-1810-22.pdf#page=2","Abrir facsímil")</f>
        <v>Abrir facsímil</v>
      </c>
      <c r="K3649" s="3" t="s">
        <v>76</v>
      </c>
    </row>
    <row r="3650" spans="1:11" ht="42" customHeight="1">
      <c r="A3650" s="2" t="s">
        <v>9894</v>
      </c>
      <c r="B3650" s="2" t="s">
        <v>9894</v>
      </c>
      <c r="C3650" s="2" t="s">
        <v>88</v>
      </c>
      <c r="D3650" s="2" t="s">
        <v>220</v>
      </c>
      <c r="E3650" s="4">
        <v>-32510</v>
      </c>
      <c r="F3650" s="3" t="s">
        <v>9898</v>
      </c>
      <c r="G3650" s="3" t="s">
        <v>473</v>
      </c>
      <c r="H3650" s="2" t="s">
        <v>74</v>
      </c>
      <c r="I3650" s="2" t="s">
        <v>9899</v>
      </c>
      <c r="J3650" s="3" t="str">
        <f>HYPERLINK("https://www.boe.es/gazeta/dias/1810/12/27/pdfs/GMD-1810-361.pdf#page=4","Abrir facsímil")</f>
        <v>Abrir facsímil</v>
      </c>
      <c r="K3650" s="3" t="s">
        <v>76</v>
      </c>
    </row>
    <row r="3651" spans="1:11" ht="42" customHeight="1">
      <c r="A3651" s="2" t="s">
        <v>9900</v>
      </c>
      <c r="B3651" s="2" t="s">
        <v>9901</v>
      </c>
      <c r="C3651" s="2" t="s">
        <v>317</v>
      </c>
      <c r="D3651" s="2" t="s">
        <v>117</v>
      </c>
      <c r="E3651" s="4">
        <v>-32584</v>
      </c>
      <c r="F3651" s="3" t="s">
        <v>1560</v>
      </c>
      <c r="G3651" s="3" t="s">
        <v>971</v>
      </c>
      <c r="H3651" s="2" t="s">
        <v>74</v>
      </c>
      <c r="I3651" s="2" t="s">
        <v>9902</v>
      </c>
      <c r="J3651" s="3" t="str">
        <f>HYPERLINK("https://www.boe.es/gazeta/dias/1810/10/14/pdfs/GMD-1810-287.pdf#page=3","Abrir facsímil")</f>
        <v>Abrir facsímil</v>
      </c>
      <c r="K3651" s="3" t="s">
        <v>76</v>
      </c>
    </row>
    <row r="3652" spans="1:11" ht="42" customHeight="1">
      <c r="A3652" s="2" t="s">
        <v>9903</v>
      </c>
      <c r="B3652" s="2" t="s">
        <v>9904</v>
      </c>
      <c r="C3652" s="2" t="s">
        <v>26</v>
      </c>
      <c r="D3652" s="2" t="s">
        <v>39</v>
      </c>
      <c r="E3652" s="4">
        <v>-32599</v>
      </c>
      <c r="F3652" s="3" t="s">
        <v>662</v>
      </c>
      <c r="G3652" s="3" t="s">
        <v>227</v>
      </c>
      <c r="H3652" s="2" t="s">
        <v>74</v>
      </c>
      <c r="I3652" s="2" t="s">
        <v>9905</v>
      </c>
      <c r="J3652" s="3" t="str">
        <f>HYPERLINK("https://www.boe.es/gazeta/dias/1810/09/29/pdfs/GMD-C-1810-272.pdf#page=6","Abrir facsímil")</f>
        <v>Abrir facsímil</v>
      </c>
      <c r="K3652" s="3" t="s">
        <v>76</v>
      </c>
    </row>
    <row r="3653" spans="1:11" ht="42" customHeight="1">
      <c r="A3653" s="2" t="s">
        <v>9906</v>
      </c>
      <c r="B3653" s="2" t="s">
        <v>9907</v>
      </c>
      <c r="C3653" s="2" t="s">
        <v>26</v>
      </c>
      <c r="D3653" s="2" t="s">
        <v>27</v>
      </c>
      <c r="E3653" s="4">
        <v>-32563</v>
      </c>
      <c r="F3653" s="3" t="s">
        <v>535</v>
      </c>
      <c r="G3653" s="3" t="s">
        <v>3597</v>
      </c>
      <c r="H3653" s="2" t="s">
        <v>74</v>
      </c>
      <c r="I3653" s="2" t="s">
        <v>9908</v>
      </c>
      <c r="J3653" s="3" t="str">
        <f>HYPERLINK("https://www.boe.es/gazeta/dias/1810/11/04/pdfs/GMD-1810-308.pdf#page=23","Abrir facsímil")</f>
        <v>Abrir facsímil</v>
      </c>
      <c r="K3653" s="3" t="s">
        <v>76</v>
      </c>
    </row>
    <row r="3654" spans="1:11" ht="42" customHeight="1">
      <c r="A3654" s="2" t="s">
        <v>9909</v>
      </c>
      <c r="B3654" s="2" t="s">
        <v>9910</v>
      </c>
      <c r="C3654" s="2" t="s">
        <v>26</v>
      </c>
      <c r="D3654" s="2" t="s">
        <v>39</v>
      </c>
      <c r="E3654" s="4">
        <v>-32701</v>
      </c>
      <c r="F3654" s="3" t="s">
        <v>40</v>
      </c>
      <c r="G3654" s="3" t="s">
        <v>41</v>
      </c>
      <c r="H3654" s="2" t="s">
        <v>74</v>
      </c>
      <c r="I3654" s="2" t="s">
        <v>9911</v>
      </c>
      <c r="J3654" s="3" t="str">
        <f>HYPERLINK("https://www.boe.es/gazeta/dias/1810/06/19/pdfs/GMD-C-1810-170.pdf#page=3","Abrir facsímil")</f>
        <v>Abrir facsímil</v>
      </c>
      <c r="K3654" s="3" t="s">
        <v>76</v>
      </c>
    </row>
    <row r="3655" spans="1:11" ht="42" customHeight="1">
      <c r="A3655" s="2" t="s">
        <v>9912</v>
      </c>
      <c r="B3655" s="2" t="s">
        <v>9913</v>
      </c>
      <c r="C3655" s="2" t="s">
        <v>26</v>
      </c>
      <c r="D3655" s="2" t="s">
        <v>27</v>
      </c>
      <c r="E3655" s="4">
        <v>-32771</v>
      </c>
      <c r="F3655" s="3" t="s">
        <v>543</v>
      </c>
      <c r="G3655" s="3" t="s">
        <v>65</v>
      </c>
      <c r="H3655" s="2" t="s">
        <v>74</v>
      </c>
      <c r="I3655" s="2" t="s">
        <v>9914</v>
      </c>
      <c r="J3655" s="3" t="str">
        <f>HYPERLINK("https://www.boe.es/gazeta/dias/1810/04/10/pdfs/GEI-1810-13.pdf#page=7","Abrir facsímil")</f>
        <v>Abrir facsímil</v>
      </c>
      <c r="K3655" s="3" t="s">
        <v>76</v>
      </c>
    </row>
    <row r="3656" spans="1:11" ht="42" customHeight="1">
      <c r="A3656" s="2" t="s">
        <v>9915</v>
      </c>
      <c r="B3656" s="2" t="s">
        <v>9916</v>
      </c>
      <c r="C3656" s="2" t="s">
        <v>26</v>
      </c>
      <c r="D3656" s="2" t="s">
        <v>27</v>
      </c>
      <c r="E3656" s="4">
        <v>-32591</v>
      </c>
      <c r="F3656" s="3" t="s">
        <v>377</v>
      </c>
      <c r="G3656" s="3" t="s">
        <v>140</v>
      </c>
      <c r="H3656" s="2" t="s">
        <v>74</v>
      </c>
      <c r="I3656" s="2" t="s">
        <v>9917</v>
      </c>
      <c r="J3656" s="3" t="str">
        <f>HYPERLINK("https://www.boe.es/gazeta/dias/1810/10/07/pdfs/GMD-1810-280.pdf#page=4","Abrir facsímil")</f>
        <v>Abrir facsímil</v>
      </c>
      <c r="K3656" s="3" t="s">
        <v>76</v>
      </c>
    </row>
    <row r="3657" spans="1:11" ht="42" customHeight="1">
      <c r="A3657" s="2" t="s">
        <v>9918</v>
      </c>
      <c r="B3657" s="2" t="s">
        <v>9919</v>
      </c>
      <c r="C3657" s="2" t="s">
        <v>26</v>
      </c>
      <c r="D3657" s="2" t="s">
        <v>39</v>
      </c>
      <c r="E3657" s="4">
        <v>-32701</v>
      </c>
      <c r="F3657" s="3" t="s">
        <v>40</v>
      </c>
      <c r="G3657" s="3" t="s">
        <v>333</v>
      </c>
      <c r="H3657" s="2" t="s">
        <v>74</v>
      </c>
      <c r="I3657" s="2" t="s">
        <v>9920</v>
      </c>
      <c r="J3657" s="3" t="str">
        <f>HYPERLINK("https://www.boe.es/gazeta/dias/1810/06/19/pdfs/GMD-C-1810-170.pdf#page=4","Abrir facsímil")</f>
        <v>Abrir facsímil</v>
      </c>
      <c r="K3657" s="3" t="s">
        <v>76</v>
      </c>
    </row>
    <row r="3658" spans="1:11" ht="42" customHeight="1">
      <c r="A3658" s="2" t="s">
        <v>9921</v>
      </c>
      <c r="B3658" s="2" t="s">
        <v>9922</v>
      </c>
      <c r="C3658" s="2" t="s">
        <v>26</v>
      </c>
      <c r="D3658" s="2" t="s">
        <v>39</v>
      </c>
      <c r="E3658" s="4">
        <v>-32661</v>
      </c>
      <c r="F3658" s="3" t="s">
        <v>157</v>
      </c>
      <c r="G3658" s="3" t="s">
        <v>592</v>
      </c>
      <c r="H3658" s="2" t="s">
        <v>74</v>
      </c>
      <c r="I3658" s="2" t="s">
        <v>9923</v>
      </c>
      <c r="J3658" s="3" t="str">
        <f>HYPERLINK("https://www.boe.es/gazeta/dias/1810/07/29/pdfs/GMD-C-1810-210.pdf#page=2","Abrir facsímil")</f>
        <v>Abrir facsímil</v>
      </c>
      <c r="K3658" s="3" t="s">
        <v>76</v>
      </c>
    </row>
    <row r="3659" spans="1:11" ht="42" customHeight="1">
      <c r="A3659" s="2" t="s">
        <v>9924</v>
      </c>
      <c r="B3659" s="2" t="s">
        <v>9925</v>
      </c>
      <c r="C3659" s="2" t="s">
        <v>26</v>
      </c>
      <c r="D3659" s="2" t="s">
        <v>39</v>
      </c>
      <c r="E3659" s="4">
        <v>-32661</v>
      </c>
      <c r="F3659" s="3" t="s">
        <v>157</v>
      </c>
      <c r="G3659" s="3" t="s">
        <v>158</v>
      </c>
      <c r="H3659" s="2" t="s">
        <v>74</v>
      </c>
      <c r="I3659" s="2" t="s">
        <v>9926</v>
      </c>
      <c r="J3659" s="3" t="str">
        <f>HYPERLINK("https://www.boe.es/gazeta/dias/1810/07/29/pdfs/GMD-C-1810-210.pdf#page=1","Abrir facsímil")</f>
        <v>Abrir facsímil</v>
      </c>
      <c r="K3659" s="3" t="s">
        <v>76</v>
      </c>
    </row>
    <row r="3660" spans="1:11" ht="42" customHeight="1">
      <c r="A3660" s="2" t="s">
        <v>9927</v>
      </c>
      <c r="B3660" s="2" t="s">
        <v>9928</v>
      </c>
      <c r="C3660" s="2" t="s">
        <v>195</v>
      </c>
      <c r="D3660" s="2" t="s">
        <v>27</v>
      </c>
      <c r="E3660" s="4">
        <v>-32756</v>
      </c>
      <c r="F3660" s="3" t="s">
        <v>203</v>
      </c>
      <c r="G3660" s="3" t="s">
        <v>180</v>
      </c>
      <c r="H3660" s="2" t="s">
        <v>74</v>
      </c>
      <c r="I3660" s="2" t="s">
        <v>9929</v>
      </c>
      <c r="J3660" s="3" t="str">
        <f>HYPERLINK("https://www.boe.es/gazeta/dias/1810/04/25/pdfs/GMD-1810-115.pdf#page=4","Abrir facsímil")</f>
        <v>Abrir facsímil</v>
      </c>
      <c r="K3660" s="3" t="s">
        <v>76</v>
      </c>
    </row>
    <row r="3661" spans="1:11" ht="42" customHeight="1">
      <c r="A3661" s="2" t="s">
        <v>9927</v>
      </c>
      <c r="B3661" s="2" t="s">
        <v>9928</v>
      </c>
      <c r="C3661" s="2" t="s">
        <v>26</v>
      </c>
      <c r="D3661" s="2" t="s">
        <v>27</v>
      </c>
      <c r="E3661" s="4">
        <v>-32710</v>
      </c>
      <c r="F3661" s="3" t="s">
        <v>126</v>
      </c>
      <c r="G3661" s="3" t="s">
        <v>35</v>
      </c>
      <c r="H3661" s="2" t="s">
        <v>74</v>
      </c>
      <c r="I3661" s="2" t="s">
        <v>9930</v>
      </c>
      <c r="J3661" s="3" t="str">
        <f>HYPERLINK("https://www.boe.es/gazeta/dias/1810/06/10/pdfs/GMD-1810-161.pdf#page=2","Abrir facsímil")</f>
        <v>Abrir facsímil</v>
      </c>
      <c r="K3661" s="3" t="s">
        <v>76</v>
      </c>
    </row>
    <row r="3662" spans="1:11" ht="42" customHeight="1">
      <c r="A3662" s="2" t="s">
        <v>9931</v>
      </c>
      <c r="B3662" s="2" t="s">
        <v>9932</v>
      </c>
      <c r="C3662" s="2" t="s">
        <v>88</v>
      </c>
      <c r="D3662" s="2" t="s">
        <v>117</v>
      </c>
      <c r="E3662" s="4">
        <v>-32705</v>
      </c>
      <c r="F3662" s="3" t="s">
        <v>678</v>
      </c>
      <c r="G3662" s="3" t="s">
        <v>691</v>
      </c>
      <c r="H3662" s="2" t="s">
        <v>74</v>
      </c>
      <c r="I3662" s="2" t="s">
        <v>9933</v>
      </c>
      <c r="J3662" s="3" t="str">
        <f>HYPERLINK("https://www.boe.es/gazeta/dias/1810/06/15/pdfs/GEI-1810-36.pdf#page=8","Abrir facsímil")</f>
        <v>Abrir facsímil</v>
      </c>
      <c r="K3662" s="3" t="s">
        <v>76</v>
      </c>
    </row>
    <row r="3663" spans="1:11" ht="42" customHeight="1">
      <c r="A3663" s="2" t="s">
        <v>9927</v>
      </c>
      <c r="B3663" s="2" t="s">
        <v>9928</v>
      </c>
      <c r="C3663" s="2" t="s">
        <v>26</v>
      </c>
      <c r="D3663" s="2" t="s">
        <v>27</v>
      </c>
      <c r="E3663" s="4">
        <v>-32663</v>
      </c>
      <c r="F3663" s="3" t="s">
        <v>1945</v>
      </c>
      <c r="G3663" s="3" t="s">
        <v>29</v>
      </c>
      <c r="H3663" s="2" t="s">
        <v>74</v>
      </c>
      <c r="I3663" s="2" t="s">
        <v>9934</v>
      </c>
      <c r="J3663" s="3" t="str">
        <f>HYPERLINK("https://www.boe.es/gazeta/dias/1810/07/27/pdfs/GEI-1810-48.pdf#page=5","Abrir facsímil")</f>
        <v>Abrir facsímil</v>
      </c>
      <c r="K3663" s="3" t="s">
        <v>76</v>
      </c>
    </row>
    <row r="3664" spans="1:11" ht="42" customHeight="1">
      <c r="A3664" s="2" t="s">
        <v>9927</v>
      </c>
      <c r="B3664" s="2" t="s">
        <v>9928</v>
      </c>
      <c r="C3664" s="2" t="s">
        <v>33</v>
      </c>
      <c r="D3664" s="2" t="s">
        <v>27</v>
      </c>
      <c r="E3664" s="4">
        <v>-32515</v>
      </c>
      <c r="F3664" s="3" t="s">
        <v>351</v>
      </c>
      <c r="G3664" s="3" t="s">
        <v>352</v>
      </c>
      <c r="H3664" s="2" t="s">
        <v>74</v>
      </c>
      <c r="I3664" s="2" t="s">
        <v>9935</v>
      </c>
      <c r="J3664" s="3" t="str">
        <f>HYPERLINK("https://www.boe.es/gazeta/dias/1810/12/22/pdfs/GEI-1810-111.pdf#page=8","Abrir facsímil")</f>
        <v>Abrir facsímil</v>
      </c>
      <c r="K3664" s="3" t="s">
        <v>76</v>
      </c>
    </row>
    <row r="3665" spans="1:11" ht="42" customHeight="1">
      <c r="A3665" s="2" t="s">
        <v>9936</v>
      </c>
      <c r="B3665" s="2" t="s">
        <v>9937</v>
      </c>
      <c r="C3665" s="2" t="s">
        <v>33</v>
      </c>
      <c r="D3665" s="2" t="s">
        <v>27</v>
      </c>
      <c r="E3665" s="4">
        <v>-32682</v>
      </c>
      <c r="F3665" s="3" t="s">
        <v>4623</v>
      </c>
      <c r="G3665" s="3" t="s">
        <v>113</v>
      </c>
      <c r="H3665" s="2" t="s">
        <v>74</v>
      </c>
      <c r="I3665" s="2" t="s">
        <v>9938</v>
      </c>
      <c r="J3665" s="3" t="str">
        <f>HYPERLINK("https://www.boe.es/gazeta/dias/1810/07/08/pdfs/GMD-1810-189.pdf#page=4","Abrir facsímil")</f>
        <v>Abrir facsímil</v>
      </c>
      <c r="K3665" s="3" t="s">
        <v>76</v>
      </c>
    </row>
    <row r="3666" spans="1:11" ht="42" customHeight="1">
      <c r="A3666" s="2" t="s">
        <v>9939</v>
      </c>
      <c r="B3666" s="2" t="s">
        <v>9940</v>
      </c>
      <c r="C3666" s="2" t="s">
        <v>26</v>
      </c>
      <c r="D3666" s="2" t="s">
        <v>18</v>
      </c>
      <c r="E3666" s="4">
        <v>-32820</v>
      </c>
      <c r="F3666" s="3" t="s">
        <v>226</v>
      </c>
      <c r="G3666" s="3" t="s">
        <v>227</v>
      </c>
      <c r="H3666" s="2" t="s">
        <v>74</v>
      </c>
      <c r="I3666" s="2" t="s">
        <v>9941</v>
      </c>
      <c r="J3666" s="3" t="str">
        <f>HYPERLINK("https://www.boe.es/gazeta/dias/1810/02/20/pdfs/GMD-1810-51.pdf#page=4","Abrir facsímil")</f>
        <v>Abrir facsímil</v>
      </c>
      <c r="K3666" s="3" t="s">
        <v>76</v>
      </c>
    </row>
    <row r="3667" spans="1:11" ht="42" customHeight="1">
      <c r="A3667" s="2" t="s">
        <v>9942</v>
      </c>
      <c r="B3667" s="2" t="s">
        <v>9943</v>
      </c>
      <c r="C3667" s="2" t="s">
        <v>26</v>
      </c>
      <c r="D3667" s="2" t="s">
        <v>27</v>
      </c>
      <c r="E3667" s="4">
        <v>-32647</v>
      </c>
      <c r="F3667" s="3" t="s">
        <v>118</v>
      </c>
      <c r="G3667" s="3" t="s">
        <v>119</v>
      </c>
      <c r="H3667" s="2" t="s">
        <v>74</v>
      </c>
      <c r="I3667" s="2" t="s">
        <v>9944</v>
      </c>
      <c r="J3667" s="3" t="str">
        <f>HYPERLINK("https://www.boe.es/gazeta/dias/1810/08/12/pdfs/GMD-1810-224.pdf#page=3","Abrir facsímil")</f>
        <v>Abrir facsímil</v>
      </c>
      <c r="K3667" s="3" t="s">
        <v>76</v>
      </c>
    </row>
    <row r="3668" spans="1:11" ht="42" customHeight="1">
      <c r="A3668" s="2" t="s">
        <v>9942</v>
      </c>
      <c r="B3668" s="2" t="s">
        <v>9943</v>
      </c>
      <c r="C3668" s="2" t="s">
        <v>317</v>
      </c>
      <c r="D3668" s="2" t="s">
        <v>27</v>
      </c>
      <c r="E3668" s="4">
        <v>-32537</v>
      </c>
      <c r="F3668" s="3" t="s">
        <v>1091</v>
      </c>
      <c r="G3668" s="3" t="s">
        <v>20</v>
      </c>
      <c r="H3668" s="2" t="s">
        <v>74</v>
      </c>
      <c r="I3668" s="2" t="s">
        <v>9945</v>
      </c>
      <c r="J3668" s="3" t="str">
        <f>HYPERLINK("https://www.boe.es/gazeta/dias/1810/11/30/pdfs/GMD-1810-334.pdf#page=4","Abrir facsímil")</f>
        <v>Abrir facsímil</v>
      </c>
      <c r="K3668" s="3" t="s">
        <v>76</v>
      </c>
    </row>
    <row r="3669" spans="1:11" ht="42" customHeight="1">
      <c r="A3669" s="2" t="s">
        <v>9946</v>
      </c>
      <c r="B3669" s="2" t="s">
        <v>9947</v>
      </c>
      <c r="C3669" s="2" t="s">
        <v>88</v>
      </c>
      <c r="D3669" s="2" t="s">
        <v>27</v>
      </c>
      <c r="E3669" s="4">
        <v>-32645</v>
      </c>
      <c r="F3669" s="3" t="s">
        <v>122</v>
      </c>
      <c r="G3669" s="3" t="s">
        <v>119</v>
      </c>
      <c r="H3669" s="2" t="s">
        <v>74</v>
      </c>
      <c r="I3669" s="2" t="s">
        <v>9948</v>
      </c>
      <c r="J3669" s="3" t="str">
        <f>HYPERLINK("https://www.boe.es/gazeta/dias/1810/08/14/pdfs/GEI-1810-56.pdf#page=14","Abrir facsímil")</f>
        <v>Abrir facsímil</v>
      </c>
      <c r="K3669" s="3" t="s">
        <v>76</v>
      </c>
    </row>
    <row r="3670" spans="1:11" ht="42" customHeight="1">
      <c r="A3670" s="2" t="s">
        <v>9949</v>
      </c>
      <c r="B3670" s="2" t="s">
        <v>9950</v>
      </c>
      <c r="C3670" s="2" t="s">
        <v>26</v>
      </c>
      <c r="D3670" s="2" t="s">
        <v>27</v>
      </c>
      <c r="E3670" s="4">
        <v>-32689</v>
      </c>
      <c r="F3670" s="3" t="s">
        <v>571</v>
      </c>
      <c r="G3670" s="3" t="s">
        <v>29</v>
      </c>
      <c r="H3670" s="2" t="s">
        <v>74</v>
      </c>
      <c r="I3670" s="2" t="s">
        <v>9951</v>
      </c>
      <c r="J3670" s="3" t="str">
        <f>HYPERLINK("https://www.boe.es/gazeta/dias/1810/07/01/pdfs/GMD-1810-182.pdf#page=3","Abrir facsímil")</f>
        <v>Abrir facsímil</v>
      </c>
      <c r="K3670" s="3" t="s">
        <v>76</v>
      </c>
    </row>
    <row r="3671" spans="1:11" ht="42" customHeight="1">
      <c r="A3671" s="2" t="s">
        <v>9949</v>
      </c>
      <c r="B3671" s="2" t="s">
        <v>9950</v>
      </c>
      <c r="C3671" s="2" t="s">
        <v>317</v>
      </c>
      <c r="D3671" s="2" t="s">
        <v>27</v>
      </c>
      <c r="E3671" s="4">
        <v>-32537</v>
      </c>
      <c r="F3671" s="3" t="s">
        <v>1091</v>
      </c>
      <c r="G3671" s="3" t="s">
        <v>20</v>
      </c>
      <c r="H3671" s="2" t="s">
        <v>74</v>
      </c>
      <c r="I3671" s="2" t="s">
        <v>9952</v>
      </c>
      <c r="J3671" s="3" t="str">
        <f>HYPERLINK("https://www.boe.es/gazeta/dias/1810/11/30/pdfs/GMD-1810-334.pdf#page=4","Abrir facsímil")</f>
        <v>Abrir facsímil</v>
      </c>
      <c r="K3671" s="3" t="s">
        <v>76</v>
      </c>
    </row>
    <row r="3672" spans="1:11" ht="42" customHeight="1">
      <c r="A3672" s="2" t="s">
        <v>9953</v>
      </c>
      <c r="B3672" s="2" t="s">
        <v>9954</v>
      </c>
      <c r="C3672" s="2" t="s">
        <v>26</v>
      </c>
      <c r="D3672" s="2" t="s">
        <v>27</v>
      </c>
      <c r="E3672" s="4">
        <v>-32736</v>
      </c>
      <c r="F3672" s="3" t="s">
        <v>400</v>
      </c>
      <c r="G3672" s="3" t="s">
        <v>99</v>
      </c>
      <c r="H3672" s="2" t="s">
        <v>74</v>
      </c>
      <c r="I3672" s="2" t="s">
        <v>9955</v>
      </c>
      <c r="J3672" s="3" t="str">
        <f>HYPERLINK("https://www.boe.es/gazeta/dias/1810/05/15/pdfs/GMD-1810-135.pdf#page=3","Abrir facsímil")</f>
        <v>Abrir facsímil</v>
      </c>
      <c r="K3672" s="3" t="s">
        <v>76</v>
      </c>
    </row>
    <row r="3673" spans="1:11" ht="42" customHeight="1">
      <c r="A3673" s="2" t="s">
        <v>9956</v>
      </c>
      <c r="B3673" s="2" t="s">
        <v>9957</v>
      </c>
      <c r="C3673" s="2" t="s">
        <v>317</v>
      </c>
      <c r="D3673" s="2" t="s">
        <v>27</v>
      </c>
      <c r="E3673" s="4">
        <v>-32754</v>
      </c>
      <c r="F3673" s="3" t="s">
        <v>1057</v>
      </c>
      <c r="G3673" s="3" t="s">
        <v>1058</v>
      </c>
      <c r="H3673" s="2" t="s">
        <v>74</v>
      </c>
      <c r="I3673" s="2" t="s">
        <v>9958</v>
      </c>
      <c r="J3673" s="3" t="str">
        <f>HYPERLINK("https://www.boe.es/gazeta/dias/1810/04/27/pdfs/GEI-1810-18.pdf#page=12","Abrir facsímil")</f>
        <v>Abrir facsímil</v>
      </c>
      <c r="K3673" s="3" t="s">
        <v>76</v>
      </c>
    </row>
    <row r="3674" spans="1:11" ht="42" customHeight="1">
      <c r="A3674" s="2" t="s">
        <v>9956</v>
      </c>
      <c r="B3674" s="2" t="s">
        <v>9957</v>
      </c>
      <c r="C3674" s="2" t="s">
        <v>26</v>
      </c>
      <c r="D3674" s="2" t="s">
        <v>27</v>
      </c>
      <c r="E3674" s="4">
        <v>-32735</v>
      </c>
      <c r="F3674" s="3" t="s">
        <v>612</v>
      </c>
      <c r="G3674" s="3" t="s">
        <v>359</v>
      </c>
      <c r="H3674" s="2" t="s">
        <v>74</v>
      </c>
      <c r="I3674" s="2" t="s">
        <v>9959</v>
      </c>
      <c r="J3674" s="3" t="str">
        <f>HYPERLINK("https://www.boe.es/gazeta/dias/1810/05/16/pdfs/GMD-1810-136.pdf#page=3","Abrir facsímil")</f>
        <v>Abrir facsímil</v>
      </c>
      <c r="K3674" s="3" t="s">
        <v>76</v>
      </c>
    </row>
    <row r="3675" spans="1:11" ht="42" customHeight="1">
      <c r="A3675" s="2" t="s">
        <v>9956</v>
      </c>
      <c r="B3675" s="2" t="s">
        <v>9957</v>
      </c>
      <c r="C3675" s="2" t="s">
        <v>88</v>
      </c>
      <c r="D3675" s="2" t="s">
        <v>27</v>
      </c>
      <c r="E3675" s="4">
        <v>-32550</v>
      </c>
      <c r="F3675" s="3" t="s">
        <v>1472</v>
      </c>
      <c r="G3675" s="3" t="s">
        <v>1473</v>
      </c>
      <c r="H3675" s="2" t="s">
        <v>74</v>
      </c>
      <c r="I3675" s="2" t="s">
        <v>9960</v>
      </c>
      <c r="J3675" s="3" t="str">
        <f>HYPERLINK("https://www.boe.es/gazeta/dias/1810/11/17/pdfs/GEI-1810-96.pdf#page=8","Abrir facsímil")</f>
        <v>Abrir facsímil</v>
      </c>
      <c r="K3675" s="3" t="s">
        <v>76</v>
      </c>
    </row>
    <row r="3676" spans="1:11" ht="42" customHeight="1">
      <c r="A3676" s="2" t="s">
        <v>9961</v>
      </c>
      <c r="B3676" s="2" t="s">
        <v>9962</v>
      </c>
      <c r="C3676" s="2" t="s">
        <v>26</v>
      </c>
      <c r="D3676" s="2" t="s">
        <v>27</v>
      </c>
      <c r="E3676" s="4">
        <v>-32669</v>
      </c>
      <c r="F3676" s="3" t="s">
        <v>217</v>
      </c>
      <c r="G3676" s="3" t="s">
        <v>20</v>
      </c>
      <c r="H3676" s="2" t="s">
        <v>74</v>
      </c>
      <c r="I3676" s="2" t="s">
        <v>9963</v>
      </c>
      <c r="J3676" s="3" t="str">
        <f>HYPERLINK("https://www.boe.es/gazeta/dias/1810/07/21/pdfs/GMD-1810-202.pdf#page=4","Abrir facsímil")</f>
        <v>Abrir facsímil</v>
      </c>
      <c r="K3676" s="3" t="s">
        <v>76</v>
      </c>
    </row>
    <row r="3677" spans="1:11" ht="42" customHeight="1">
      <c r="A3677" s="2" t="s">
        <v>9964</v>
      </c>
      <c r="B3677" s="2" t="s">
        <v>9965</v>
      </c>
      <c r="C3677" s="2" t="s">
        <v>26</v>
      </c>
      <c r="D3677" s="2" t="s">
        <v>27</v>
      </c>
      <c r="E3677" s="4">
        <v>-32738</v>
      </c>
      <c r="F3677" s="3" t="s">
        <v>321</v>
      </c>
      <c r="G3677" s="3" t="s">
        <v>140</v>
      </c>
      <c r="H3677" s="2" t="s">
        <v>74</v>
      </c>
      <c r="I3677" s="2" t="s">
        <v>9966</v>
      </c>
      <c r="J3677" s="3" t="str">
        <f>HYPERLINK("https://www.boe.es/gazeta/dias/1810/05/13/pdfs/GMD-1810-133.pdf#page=4","Abrir facsímil")</f>
        <v>Abrir facsímil</v>
      </c>
      <c r="K3677" s="3" t="s">
        <v>76</v>
      </c>
    </row>
    <row r="3678" spans="1:11" ht="42" customHeight="1">
      <c r="A3678" s="2" t="s">
        <v>9964</v>
      </c>
      <c r="B3678" s="2" t="s">
        <v>9965</v>
      </c>
      <c r="C3678" s="2" t="s">
        <v>26</v>
      </c>
      <c r="D3678" s="2" t="s">
        <v>27</v>
      </c>
      <c r="E3678" s="4">
        <v>-32595</v>
      </c>
      <c r="F3678" s="3" t="s">
        <v>700</v>
      </c>
      <c r="G3678" s="3" t="s">
        <v>701</v>
      </c>
      <c r="H3678" s="2" t="s">
        <v>74</v>
      </c>
      <c r="I3678" s="2" t="s">
        <v>9967</v>
      </c>
      <c r="J3678" s="3" t="str">
        <f>HYPERLINK("https://www.boe.es/gazeta/dias/1810/10/03/pdfs/GMD-1810-276.pdf#page=3","Abrir facsímil")</f>
        <v>Abrir facsímil</v>
      </c>
      <c r="K3678" s="3" t="s">
        <v>76</v>
      </c>
    </row>
    <row r="3679" spans="1:11" ht="42" customHeight="1">
      <c r="A3679" s="2" t="s">
        <v>9968</v>
      </c>
      <c r="B3679" s="2" t="s">
        <v>9969</v>
      </c>
      <c r="C3679" s="2" t="s">
        <v>26</v>
      </c>
      <c r="D3679" s="2" t="s">
        <v>27</v>
      </c>
      <c r="E3679" s="4">
        <v>-32839</v>
      </c>
      <c r="F3679" s="3" t="s">
        <v>28</v>
      </c>
      <c r="G3679" s="3" t="s">
        <v>29</v>
      </c>
      <c r="H3679" s="2" t="s">
        <v>74</v>
      </c>
      <c r="I3679" s="2" t="s">
        <v>9970</v>
      </c>
      <c r="J3679" s="3" t="str">
        <f>HYPERLINK("https://www.boe.es/gazeta/dias/1810/02/01/pdfs/GMD-1810-32.pdf#page=3","Abrir facsímil")</f>
        <v>Abrir facsímil</v>
      </c>
      <c r="K3679" s="3" t="s">
        <v>76</v>
      </c>
    </row>
    <row r="3680" spans="1:11" ht="42" customHeight="1">
      <c r="A3680" s="2" t="s">
        <v>9971</v>
      </c>
      <c r="B3680" s="2" t="s">
        <v>9972</v>
      </c>
      <c r="C3680" s="2" t="s">
        <v>33</v>
      </c>
      <c r="D3680" s="2" t="s">
        <v>27</v>
      </c>
      <c r="E3680" s="4">
        <v>-32515</v>
      </c>
      <c r="F3680" s="3" t="s">
        <v>351</v>
      </c>
      <c r="G3680" s="3" t="s">
        <v>352</v>
      </c>
      <c r="H3680" s="2" t="s">
        <v>74</v>
      </c>
      <c r="I3680" s="2" t="s">
        <v>9973</v>
      </c>
      <c r="J3680" s="3" t="str">
        <f>HYPERLINK("https://www.boe.es/gazeta/dias/1810/12/22/pdfs/GEI-1810-111.pdf#page=8","Abrir facsímil")</f>
        <v>Abrir facsímil</v>
      </c>
      <c r="K3680" s="3" t="s">
        <v>76</v>
      </c>
    </row>
    <row r="3681" spans="1:11" ht="42" customHeight="1">
      <c r="A3681" s="2" t="s">
        <v>9974</v>
      </c>
      <c r="B3681" s="2" t="s">
        <v>9975</v>
      </c>
      <c r="C3681" s="2" t="s">
        <v>17</v>
      </c>
      <c r="D3681" s="2" t="s">
        <v>18</v>
      </c>
      <c r="E3681" s="4">
        <v>-32734</v>
      </c>
      <c r="F3681" s="3" t="s">
        <v>19</v>
      </c>
      <c r="G3681" s="3" t="s">
        <v>20</v>
      </c>
      <c r="H3681" s="2" t="s">
        <v>74</v>
      </c>
      <c r="I3681" s="2" t="s">
        <v>9976</v>
      </c>
      <c r="J3681" s="3" t="str">
        <f>HYPERLINK("https://www.boe.es/gazeta/dias/1810/05/17/pdfs/GMD-1810-137.pdf#page=4","Abrir facsímil")</f>
        <v>Abrir facsímil</v>
      </c>
      <c r="K3681" s="3" t="s">
        <v>76</v>
      </c>
    </row>
    <row r="3682" spans="1:11" ht="42" customHeight="1">
      <c r="A3682" s="2" t="s">
        <v>9977</v>
      </c>
      <c r="B3682" s="2" t="s">
        <v>9978</v>
      </c>
      <c r="C3682" s="2" t="s">
        <v>88</v>
      </c>
      <c r="D3682" s="2" t="s">
        <v>117</v>
      </c>
      <c r="E3682" s="4">
        <v>-32692</v>
      </c>
      <c r="F3682" s="3" t="s">
        <v>3698</v>
      </c>
      <c r="G3682" s="3" t="s">
        <v>140</v>
      </c>
      <c r="H3682" s="2" t="s">
        <v>74</v>
      </c>
      <c r="I3682" s="2" t="s">
        <v>9979</v>
      </c>
      <c r="J3682" s="3" t="str">
        <f>HYPERLINK("https://www.boe.es/gazeta/dias/1810/06/28/pdfs/GMD-1810-179.pdf#page=4","Abrir facsímil")</f>
        <v>Abrir facsímil</v>
      </c>
      <c r="K3682" s="3" t="s">
        <v>76</v>
      </c>
    </row>
    <row r="3683" spans="1:11" ht="42" customHeight="1">
      <c r="A3683" s="2" t="s">
        <v>9980</v>
      </c>
      <c r="B3683" s="2" t="s">
        <v>9981</v>
      </c>
      <c r="C3683" s="2" t="s">
        <v>17</v>
      </c>
      <c r="D3683" s="2" t="s">
        <v>27</v>
      </c>
      <c r="E3683" s="4">
        <v>-32721</v>
      </c>
      <c r="F3683" s="3" t="s">
        <v>3437</v>
      </c>
      <c r="G3683" s="3" t="s">
        <v>20</v>
      </c>
      <c r="H3683" s="2" t="s">
        <v>74</v>
      </c>
      <c r="I3683" s="2" t="s">
        <v>9982</v>
      </c>
      <c r="J3683" s="3" t="str">
        <f>HYPERLINK("https://www.boe.es/gazeta/dias/1810/05/30/pdfs/GMD-1810-150.pdf#page=4","Abrir facsímil")</f>
        <v>Abrir facsímil</v>
      </c>
      <c r="K3683" s="3" t="s">
        <v>76</v>
      </c>
    </row>
    <row r="3684" spans="1:11" ht="42" customHeight="1">
      <c r="A3684" s="2" t="s">
        <v>9983</v>
      </c>
      <c r="B3684" s="2" t="s">
        <v>9984</v>
      </c>
      <c r="C3684" s="2" t="s">
        <v>26</v>
      </c>
      <c r="D3684" s="2" t="s">
        <v>39</v>
      </c>
      <c r="E3684" s="4">
        <v>-32687</v>
      </c>
      <c r="F3684" s="3" t="s">
        <v>304</v>
      </c>
      <c r="G3684" s="3" t="s">
        <v>213</v>
      </c>
      <c r="H3684" s="2" t="s">
        <v>74</v>
      </c>
      <c r="I3684" s="2" t="s">
        <v>9985</v>
      </c>
      <c r="J3684" s="3" t="str">
        <f>HYPERLINK("https://www.boe.es/gazeta/dias/1810/07/03/pdfs/GMD-C-1810-184.pdf#page=1","Abrir facsímil")</f>
        <v>Abrir facsímil</v>
      </c>
      <c r="K3684" s="3" t="s">
        <v>76</v>
      </c>
    </row>
    <row r="3685" spans="1:11" ht="42" customHeight="1">
      <c r="A3685" s="2" t="s">
        <v>9986</v>
      </c>
      <c r="B3685" s="2" t="s">
        <v>9986</v>
      </c>
      <c r="C3685" s="2" t="s">
        <v>88</v>
      </c>
      <c r="D3685" s="2" t="s">
        <v>220</v>
      </c>
      <c r="E3685" s="4">
        <v>-32506</v>
      </c>
      <c r="F3685" s="3" t="s">
        <v>7076</v>
      </c>
      <c r="G3685" s="3" t="s">
        <v>668</v>
      </c>
      <c r="H3685" s="2" t="s">
        <v>74</v>
      </c>
      <c r="I3685" s="2" t="s">
        <v>9987</v>
      </c>
      <c r="J3685" s="3" t="str">
        <f>HYPERLINK("https://www.boe.es/gazeta/dias/1810/12/31/pdfs/GMD-1810-365.pdf#page=3","Abrir facsímil")</f>
        <v>Abrir facsímil</v>
      </c>
      <c r="K3685" s="3" t="s">
        <v>76</v>
      </c>
    </row>
    <row r="3686" spans="1:11" ht="42" customHeight="1">
      <c r="A3686" s="2" t="s">
        <v>9988</v>
      </c>
      <c r="B3686" s="2" t="s">
        <v>9989</v>
      </c>
      <c r="C3686" s="2" t="s">
        <v>26</v>
      </c>
      <c r="D3686" s="2" t="s">
        <v>27</v>
      </c>
      <c r="E3686" s="4">
        <v>-32645</v>
      </c>
      <c r="F3686" s="3" t="s">
        <v>122</v>
      </c>
      <c r="G3686" s="3" t="s">
        <v>147</v>
      </c>
      <c r="H3686" s="2" t="s">
        <v>74</v>
      </c>
      <c r="I3686" s="2" t="s">
        <v>9990</v>
      </c>
      <c r="J3686" s="3" t="str">
        <f>HYPERLINK("https://www.boe.es/gazeta/dias/1810/08/14/pdfs/GEI-1810-56.pdf#page=16","Abrir facsímil")</f>
        <v>Abrir facsímil</v>
      </c>
      <c r="K3686" s="3" t="s">
        <v>76</v>
      </c>
    </row>
    <row r="3687" spans="1:11" ht="42" customHeight="1">
      <c r="A3687" s="2" t="s">
        <v>9991</v>
      </c>
      <c r="B3687" s="2" t="s">
        <v>9992</v>
      </c>
      <c r="C3687" s="2" t="s">
        <v>26</v>
      </c>
      <c r="D3687" s="2" t="s">
        <v>39</v>
      </c>
      <c r="E3687" s="4">
        <v>-32661</v>
      </c>
      <c r="F3687" s="3" t="s">
        <v>157</v>
      </c>
      <c r="G3687" s="3" t="s">
        <v>158</v>
      </c>
      <c r="H3687" s="2" t="s">
        <v>74</v>
      </c>
      <c r="I3687" s="2" t="s">
        <v>9993</v>
      </c>
      <c r="J3687" s="3" t="str">
        <f>HYPERLINK("https://www.boe.es/gazeta/dias/1810/07/29/pdfs/GMD-C-1810-210.pdf#page=1","Abrir facsímil")</f>
        <v>Abrir facsímil</v>
      </c>
      <c r="K3687" s="3" t="s">
        <v>76</v>
      </c>
    </row>
    <row r="3688" spans="1:11" ht="42" customHeight="1">
      <c r="A3688" s="2" t="s">
        <v>9994</v>
      </c>
      <c r="B3688" s="2" t="s">
        <v>9995</v>
      </c>
      <c r="C3688" s="2" t="s">
        <v>17</v>
      </c>
      <c r="D3688" s="2" t="s">
        <v>18</v>
      </c>
      <c r="E3688" s="4">
        <v>-32710</v>
      </c>
      <c r="F3688" s="3" t="s">
        <v>126</v>
      </c>
      <c r="G3688" s="3" t="s">
        <v>180</v>
      </c>
      <c r="H3688" s="2" t="s">
        <v>74</v>
      </c>
      <c r="I3688" s="2" t="s">
        <v>9996</v>
      </c>
      <c r="J3688" s="3" t="str">
        <f>HYPERLINK("https://www.boe.es/gazeta/dias/1810/06/10/pdfs/GMD-1810-161.pdf#page=1","Abrir facsímil")</f>
        <v>Abrir facsímil</v>
      </c>
      <c r="K3688" s="3" t="s">
        <v>76</v>
      </c>
    </row>
    <row r="3689" spans="1:11" ht="42" customHeight="1">
      <c r="A3689" s="2" t="s">
        <v>9997</v>
      </c>
      <c r="B3689" s="2" t="s">
        <v>9998</v>
      </c>
      <c r="C3689" s="2" t="s">
        <v>88</v>
      </c>
      <c r="D3689" s="2" t="s">
        <v>27</v>
      </c>
      <c r="E3689" s="4">
        <v>-32858</v>
      </c>
      <c r="F3689" s="3" t="s">
        <v>4182</v>
      </c>
      <c r="G3689" s="3" t="s">
        <v>2077</v>
      </c>
      <c r="H3689" s="2" t="s">
        <v>74</v>
      </c>
      <c r="I3689" s="2" t="s">
        <v>9999</v>
      </c>
      <c r="J3689" s="3" t="str">
        <f>HYPERLINK("https://www.boe.es/gazeta/dias/1810/01/13/pdfs/GGB-1810-6.pdf#page=10","Abrir facsímil")</f>
        <v>Abrir facsímil</v>
      </c>
      <c r="K3689" s="3" t="s">
        <v>76</v>
      </c>
    </row>
    <row r="3690" spans="1:11" ht="42" customHeight="1">
      <c r="A3690" s="2" t="s">
        <v>10000</v>
      </c>
      <c r="B3690" s="2" t="s">
        <v>10000</v>
      </c>
      <c r="C3690" s="2" t="s">
        <v>26</v>
      </c>
      <c r="D3690" s="2" t="s">
        <v>27</v>
      </c>
      <c r="E3690" s="4">
        <v>-32716</v>
      </c>
      <c r="F3690" s="3" t="s">
        <v>624</v>
      </c>
      <c r="G3690" s="3" t="s">
        <v>140</v>
      </c>
      <c r="H3690" s="2" t="s">
        <v>74</v>
      </c>
      <c r="I3690" s="2" t="s">
        <v>10001</v>
      </c>
      <c r="J3690" s="3" t="str">
        <f>HYPERLINK("https://www.boe.es/gazeta/dias/1810/06/04/pdfs/GMD-1810-155.pdf#page=1","Abrir facsímil")</f>
        <v>Abrir facsímil</v>
      </c>
      <c r="K3690" s="3" t="s">
        <v>76</v>
      </c>
    </row>
    <row r="3691" spans="1:11" ht="42" customHeight="1">
      <c r="A3691" s="2" t="s">
        <v>10002</v>
      </c>
      <c r="B3691" s="2" t="s">
        <v>10003</v>
      </c>
      <c r="C3691" s="2" t="s">
        <v>26</v>
      </c>
      <c r="D3691" s="2" t="s">
        <v>27</v>
      </c>
      <c r="E3691" s="4">
        <v>-32575</v>
      </c>
      <c r="F3691" s="3" t="s">
        <v>135</v>
      </c>
      <c r="G3691" s="3" t="s">
        <v>140</v>
      </c>
      <c r="H3691" s="2" t="s">
        <v>74</v>
      </c>
      <c r="I3691" s="2" t="s">
        <v>10004</v>
      </c>
      <c r="J3691" s="3" t="str">
        <f>HYPERLINK("https://www.boe.es/gazeta/dias/1810/10/23/pdfs/GEI-1810-85.pdf#page=10","Abrir facsímil")</f>
        <v>Abrir facsímil</v>
      </c>
      <c r="K3691" s="3" t="s">
        <v>76</v>
      </c>
    </row>
    <row r="3692" spans="1:11" ht="42" customHeight="1">
      <c r="A3692" s="2" t="s">
        <v>10005</v>
      </c>
      <c r="B3692" s="2" t="s">
        <v>10005</v>
      </c>
      <c r="C3692" s="2" t="s">
        <v>88</v>
      </c>
      <c r="D3692" s="2" t="s">
        <v>117</v>
      </c>
      <c r="E3692" s="4">
        <v>-32526</v>
      </c>
      <c r="F3692" s="3" t="s">
        <v>4340</v>
      </c>
      <c r="G3692" s="3" t="s">
        <v>4341</v>
      </c>
      <c r="H3692" s="2" t="s">
        <v>74</v>
      </c>
      <c r="I3692" s="2" t="s">
        <v>10006</v>
      </c>
      <c r="J3692" s="3" t="str">
        <f>HYPERLINK("https://www.boe.es/gazeta/dias/1810/12/11/pdfs/GMD-1810-345.pdf#page=2","Abrir facsímil")</f>
        <v>Abrir facsímil</v>
      </c>
      <c r="K3692" s="3" t="s">
        <v>76</v>
      </c>
    </row>
    <row r="3693" spans="1:11" ht="42" customHeight="1">
      <c r="A3693" s="2" t="s">
        <v>10007</v>
      </c>
      <c r="B3693" s="2" t="s">
        <v>10007</v>
      </c>
      <c r="C3693" s="2" t="s">
        <v>88</v>
      </c>
      <c r="D3693" s="2" t="s">
        <v>27</v>
      </c>
      <c r="E3693" s="4">
        <v>-32526</v>
      </c>
      <c r="F3693" s="3" t="s">
        <v>4340</v>
      </c>
      <c r="G3693" s="3" t="s">
        <v>4341</v>
      </c>
      <c r="H3693" s="2" t="s">
        <v>74</v>
      </c>
      <c r="I3693" s="2" t="s">
        <v>10008</v>
      </c>
      <c r="J3693" s="3" t="str">
        <f>HYPERLINK("https://www.boe.es/gazeta/dias/1810/12/11/pdfs/GMD-1810-345.pdf#page=2","Abrir facsímil")</f>
        <v>Abrir facsímil</v>
      </c>
      <c r="K3693" s="3" t="s">
        <v>76</v>
      </c>
    </row>
    <row r="3694" spans="1:11" ht="42" customHeight="1">
      <c r="A3694" s="2" t="s">
        <v>10009</v>
      </c>
      <c r="B3694" s="2" t="s">
        <v>10009</v>
      </c>
      <c r="C3694" s="2" t="s">
        <v>33</v>
      </c>
      <c r="D3694" s="2" t="s">
        <v>27</v>
      </c>
      <c r="E3694" s="4">
        <v>-32865</v>
      </c>
      <c r="F3694" s="3" t="s">
        <v>1377</v>
      </c>
      <c r="G3694" s="3" t="s">
        <v>691</v>
      </c>
      <c r="H3694" s="2" t="s">
        <v>74</v>
      </c>
      <c r="I3694" s="2" t="s">
        <v>10010</v>
      </c>
      <c r="J3694" s="3" t="str">
        <f>HYPERLINK("https://www.boe.es/gazeta/dias/1810/01/06/pdfs/GMD-1810-6.pdf#page=2","Abrir facsímil")</f>
        <v>Abrir facsímil</v>
      </c>
      <c r="K3694" s="3" t="s">
        <v>76</v>
      </c>
    </row>
    <row r="3695" spans="1:11" ht="42" customHeight="1">
      <c r="A3695" s="2" t="s">
        <v>10011</v>
      </c>
      <c r="B3695" s="2" t="s">
        <v>10012</v>
      </c>
      <c r="C3695" s="2" t="s">
        <v>26</v>
      </c>
      <c r="D3695" s="2" t="s">
        <v>27</v>
      </c>
      <c r="E3695" s="4">
        <v>-32575</v>
      </c>
      <c r="F3695" s="3" t="s">
        <v>135</v>
      </c>
      <c r="G3695" s="3" t="s">
        <v>136</v>
      </c>
      <c r="H3695" s="2" t="s">
        <v>74</v>
      </c>
      <c r="I3695" s="2" t="s">
        <v>10013</v>
      </c>
      <c r="J3695" s="3" t="str">
        <f>HYPERLINK("https://www.boe.es/gazeta/dias/1810/10/23/pdfs/GEI-1810-85.pdf#page=11","Abrir facsímil")</f>
        <v>Abrir facsímil</v>
      </c>
      <c r="K3695" s="3" t="s">
        <v>76</v>
      </c>
    </row>
    <row r="3696" spans="1:11" ht="42" customHeight="1">
      <c r="A3696" s="2" t="s">
        <v>10014</v>
      </c>
      <c r="B3696" s="2" t="s">
        <v>10015</v>
      </c>
      <c r="C3696" s="2" t="s">
        <v>26</v>
      </c>
      <c r="D3696" s="2" t="s">
        <v>27</v>
      </c>
      <c r="E3696" s="4">
        <v>-32587</v>
      </c>
      <c r="F3696" s="3" t="s">
        <v>1504</v>
      </c>
      <c r="G3696" s="3" t="s">
        <v>140</v>
      </c>
      <c r="H3696" s="2" t="s">
        <v>74</v>
      </c>
      <c r="I3696" s="2" t="s">
        <v>10016</v>
      </c>
      <c r="J3696" s="3" t="str">
        <f>HYPERLINK("https://www.boe.es/gazeta/dias/1810/10/11/pdfs/GMD-1810-284.pdf#page=4","Abrir facsímil")</f>
        <v>Abrir facsímil</v>
      </c>
      <c r="K3696" s="3" t="s">
        <v>76</v>
      </c>
    </row>
    <row r="3697" spans="1:11" ht="42" customHeight="1">
      <c r="A3697" s="2" t="s">
        <v>10017</v>
      </c>
      <c r="B3697" s="2" t="s">
        <v>10018</v>
      </c>
      <c r="C3697" s="2" t="s">
        <v>88</v>
      </c>
      <c r="D3697" s="2" t="s">
        <v>27</v>
      </c>
      <c r="E3697" s="4">
        <v>-32649</v>
      </c>
      <c r="F3697" s="3" t="s">
        <v>1988</v>
      </c>
      <c r="G3697" s="3" t="s">
        <v>227</v>
      </c>
      <c r="H3697" s="2" t="s">
        <v>74</v>
      </c>
      <c r="I3697" s="2" t="s">
        <v>10019</v>
      </c>
      <c r="J3697" s="3" t="str">
        <f>HYPERLINK("https://www.boe.es/gazeta/dias/1810/08/10/pdfs/GMD-1810-222.pdf#page=4","Abrir facsímil")</f>
        <v>Abrir facsímil</v>
      </c>
      <c r="K3697" s="3" t="s">
        <v>76</v>
      </c>
    </row>
    <row r="3698" spans="1:11" ht="42" customHeight="1">
      <c r="A3698" s="2" t="s">
        <v>10020</v>
      </c>
      <c r="B3698" s="2" t="s">
        <v>10021</v>
      </c>
      <c r="C3698" s="2" t="s">
        <v>26</v>
      </c>
      <c r="D3698" s="2" t="s">
        <v>27</v>
      </c>
      <c r="E3698" s="4">
        <v>-32701</v>
      </c>
      <c r="F3698" s="3" t="s">
        <v>671</v>
      </c>
      <c r="G3698" s="3" t="s">
        <v>151</v>
      </c>
      <c r="H3698" s="2" t="s">
        <v>74</v>
      </c>
      <c r="I3698" s="2" t="s">
        <v>10022</v>
      </c>
      <c r="J3698" s="3" t="str">
        <f>HYPERLINK("https://www.boe.es/gazeta/dias/1810/06/19/pdfs/GEI-1810-37.pdf#page=5","Abrir facsímil")</f>
        <v>Abrir facsímil</v>
      </c>
      <c r="K3698" s="3" t="s">
        <v>76</v>
      </c>
    </row>
    <row r="3699" spans="1:11" ht="42" customHeight="1">
      <c r="A3699" s="2" t="s">
        <v>10020</v>
      </c>
      <c r="B3699" s="2" t="s">
        <v>10021</v>
      </c>
      <c r="C3699" s="2" t="s">
        <v>17</v>
      </c>
      <c r="D3699" s="2" t="s">
        <v>27</v>
      </c>
      <c r="E3699" s="4">
        <v>-32607</v>
      </c>
      <c r="F3699" s="3" t="s">
        <v>6044</v>
      </c>
      <c r="G3699" s="3" t="s">
        <v>20</v>
      </c>
      <c r="H3699" s="2" t="s">
        <v>74</v>
      </c>
      <c r="I3699" s="2" t="s">
        <v>10023</v>
      </c>
      <c r="J3699" s="3" t="str">
        <f>HYPERLINK("https://www.boe.es/gazeta/dias/1810/09/21/pdfs/GMD-1810-264.pdf#page=4","Abrir facsímil")</f>
        <v>Abrir facsímil</v>
      </c>
      <c r="K3699" s="3" t="s">
        <v>76</v>
      </c>
    </row>
    <row r="3700" spans="1:11" ht="42" customHeight="1">
      <c r="A3700" s="2" t="s">
        <v>10024</v>
      </c>
      <c r="B3700" s="2" t="s">
        <v>10025</v>
      </c>
      <c r="C3700" s="2" t="s">
        <v>26</v>
      </c>
      <c r="D3700" s="2" t="s">
        <v>27</v>
      </c>
      <c r="E3700" s="4">
        <v>-32595</v>
      </c>
      <c r="F3700" s="3" t="s">
        <v>700</v>
      </c>
      <c r="G3700" s="3" t="s">
        <v>29</v>
      </c>
      <c r="H3700" s="2" t="s">
        <v>74</v>
      </c>
      <c r="I3700" s="2" t="s">
        <v>10026</v>
      </c>
      <c r="J3700" s="3" t="str">
        <f>HYPERLINK("https://www.boe.es/gazeta/dias/1810/10/03/pdfs/GMD-1810-276.pdf#page=4","Abrir facsímil")</f>
        <v>Abrir facsímil</v>
      </c>
      <c r="K3700" s="3" t="s">
        <v>76</v>
      </c>
    </row>
    <row r="3701" spans="1:11" ht="42" customHeight="1">
      <c r="A3701" s="2" t="s">
        <v>10027</v>
      </c>
      <c r="B3701" s="2" t="s">
        <v>10028</v>
      </c>
      <c r="C3701" s="2" t="s">
        <v>26</v>
      </c>
      <c r="D3701" s="2" t="s">
        <v>39</v>
      </c>
      <c r="E3701" s="4">
        <v>-32701</v>
      </c>
      <c r="F3701" s="3" t="s">
        <v>40</v>
      </c>
      <c r="G3701" s="3" t="s">
        <v>315</v>
      </c>
      <c r="H3701" s="2" t="s">
        <v>74</v>
      </c>
      <c r="I3701" s="2" t="s">
        <v>10029</v>
      </c>
      <c r="J3701" s="3" t="str">
        <f>HYPERLINK("https://www.boe.es/gazeta/dias/1810/06/19/pdfs/GMD-C-1810-170.pdf#page=2","Abrir facsímil")</f>
        <v>Abrir facsímil</v>
      </c>
      <c r="K3701" s="3" t="s">
        <v>76</v>
      </c>
    </row>
    <row r="3702" spans="1:11" ht="42" customHeight="1">
      <c r="A3702" s="2" t="s">
        <v>10030</v>
      </c>
      <c r="B3702" s="2" t="s">
        <v>10031</v>
      </c>
      <c r="C3702" s="2" t="s">
        <v>26</v>
      </c>
      <c r="D3702" s="2" t="s">
        <v>39</v>
      </c>
      <c r="E3702" s="4">
        <v>-32702</v>
      </c>
      <c r="F3702" s="3" t="s">
        <v>179</v>
      </c>
      <c r="G3702" s="3" t="s">
        <v>517</v>
      </c>
      <c r="H3702" s="2" t="s">
        <v>74</v>
      </c>
      <c r="I3702" s="2" t="s">
        <v>10032</v>
      </c>
      <c r="J3702" s="3" t="str">
        <f>HYPERLINK("https://www.boe.es/gazeta/dias/1810/06/18/pdfs/GMD-C-1810-169.pdf#page=3","Abrir facsímil")</f>
        <v>Abrir facsímil</v>
      </c>
      <c r="K3702" s="3" t="s">
        <v>76</v>
      </c>
    </row>
    <row r="3703" spans="1:11" ht="42" customHeight="1">
      <c r="A3703" s="2" t="s">
        <v>10033</v>
      </c>
      <c r="B3703" s="2" t="s">
        <v>10033</v>
      </c>
      <c r="C3703" s="2" t="s">
        <v>88</v>
      </c>
      <c r="D3703" s="2" t="s">
        <v>27</v>
      </c>
      <c r="E3703" s="4">
        <v>-32781</v>
      </c>
      <c r="F3703" s="3" t="s">
        <v>5673</v>
      </c>
      <c r="G3703" s="3" t="s">
        <v>20</v>
      </c>
      <c r="H3703" s="2" t="s">
        <v>74</v>
      </c>
      <c r="I3703" s="2" t="s">
        <v>10034</v>
      </c>
      <c r="J3703" s="3" t="str">
        <f>HYPERLINK("https://www.boe.es/gazeta/dias/1810/03/31/pdfs/GMD-1810-90.pdf#page=4","Abrir facsímil")</f>
        <v>Abrir facsímil</v>
      </c>
      <c r="K3703" s="3" t="s">
        <v>76</v>
      </c>
    </row>
    <row r="3704" spans="1:11" ht="42" customHeight="1">
      <c r="A3704" s="2" t="s">
        <v>10035</v>
      </c>
      <c r="B3704" s="2" t="s">
        <v>10036</v>
      </c>
      <c r="C3704" s="2" t="s">
        <v>195</v>
      </c>
      <c r="D3704" s="2" t="s">
        <v>27</v>
      </c>
      <c r="E3704" s="4">
        <v>-32562</v>
      </c>
      <c r="F3704" s="3" t="s">
        <v>1186</v>
      </c>
      <c r="G3704" s="3" t="s">
        <v>90</v>
      </c>
      <c r="H3704" s="2" t="s">
        <v>74</v>
      </c>
      <c r="I3704" s="2" t="s">
        <v>10037</v>
      </c>
      <c r="J3704" s="3" t="str">
        <f>HYPERLINK("https://www.boe.es/gazeta/dias/1810/11/05/pdfs/GMD-1810-309.pdf#page=3","Abrir facsímil")</f>
        <v>Abrir facsímil</v>
      </c>
      <c r="K3704" s="3" t="s">
        <v>76</v>
      </c>
    </row>
    <row r="3705" spans="1:11" ht="42" customHeight="1">
      <c r="A3705" s="2" t="s">
        <v>10038</v>
      </c>
      <c r="B3705" s="2" t="s">
        <v>10039</v>
      </c>
      <c r="C3705" s="2" t="s">
        <v>930</v>
      </c>
      <c r="D3705" s="2" t="s">
        <v>27</v>
      </c>
      <c r="E3705" s="4">
        <v>-32545</v>
      </c>
      <c r="F3705" s="3" t="s">
        <v>165</v>
      </c>
      <c r="G3705" s="3" t="s">
        <v>166</v>
      </c>
      <c r="H3705" s="2" t="s">
        <v>74</v>
      </c>
      <c r="I3705" s="2" t="s">
        <v>10040</v>
      </c>
      <c r="J3705" s="3" t="str">
        <f>HYPERLINK("https://www.boe.es/gazeta/dias/1810/11/22/pdfs/GEI-1810-98.pdf#page=8","Abrir facsímil")</f>
        <v>Abrir facsímil</v>
      </c>
      <c r="K3705" s="3" t="s">
        <v>76</v>
      </c>
    </row>
    <row r="3706" spans="1:11" ht="42" customHeight="1">
      <c r="A3706" s="2" t="s">
        <v>10041</v>
      </c>
      <c r="B3706" s="2" t="s">
        <v>10041</v>
      </c>
      <c r="C3706" s="2" t="s">
        <v>88</v>
      </c>
      <c r="D3706" s="2" t="s">
        <v>117</v>
      </c>
      <c r="E3706" s="4">
        <v>-32750</v>
      </c>
      <c r="F3706" s="3" t="s">
        <v>10042</v>
      </c>
      <c r="G3706" s="3" t="s">
        <v>613</v>
      </c>
      <c r="H3706" s="2" t="s">
        <v>74</v>
      </c>
      <c r="I3706" s="2" t="s">
        <v>10043</v>
      </c>
      <c r="J3706" s="3" t="str">
        <f>HYPERLINK("https://www.boe.es/gazeta/dias/1810/05/01/pdfs/GEI-1810-19.pdf#page=7","Abrir facsímil")</f>
        <v>Abrir facsímil</v>
      </c>
      <c r="K3706" s="3" t="s">
        <v>76</v>
      </c>
    </row>
    <row r="3707" spans="1:11" ht="42" customHeight="1">
      <c r="A3707" s="2" t="s">
        <v>10044</v>
      </c>
      <c r="B3707" s="2" t="s">
        <v>10045</v>
      </c>
      <c r="C3707" s="2" t="s">
        <v>225</v>
      </c>
      <c r="D3707" s="2" t="s">
        <v>27</v>
      </c>
      <c r="E3707" s="4">
        <v>-32693</v>
      </c>
      <c r="F3707" s="3" t="s">
        <v>54</v>
      </c>
      <c r="G3707" s="3" t="s">
        <v>20</v>
      </c>
      <c r="H3707" s="2" t="s">
        <v>74</v>
      </c>
      <c r="I3707" s="2" t="s">
        <v>10046</v>
      </c>
      <c r="J3707" s="3" t="str">
        <f>HYPERLINK("https://www.boe.es/gazeta/dias/1810/06/27/pdfs/GMD-1810-178.pdf#page=4","Abrir facsímil")</f>
        <v>Abrir facsímil</v>
      </c>
      <c r="K3707" s="3" t="s">
        <v>76</v>
      </c>
    </row>
    <row r="3708" spans="1:11" ht="42" customHeight="1">
      <c r="A3708" s="2" t="s">
        <v>10047</v>
      </c>
      <c r="B3708" s="2" t="s">
        <v>10048</v>
      </c>
      <c r="C3708" s="2" t="s">
        <v>26</v>
      </c>
      <c r="D3708" s="2" t="s">
        <v>27</v>
      </c>
      <c r="E3708" s="4">
        <v>-32733</v>
      </c>
      <c r="F3708" s="3" t="s">
        <v>955</v>
      </c>
      <c r="G3708" s="3" t="s">
        <v>20</v>
      </c>
      <c r="H3708" s="2" t="s">
        <v>74</v>
      </c>
      <c r="I3708" s="2" t="s">
        <v>10049</v>
      </c>
      <c r="J3708" s="3" t="str">
        <f>HYPERLINK("https://www.boe.es/gazeta/dias/1810/05/18/pdfs/GEI-1810-27.pdf#page=4","Abrir facsímil")</f>
        <v>Abrir facsímil</v>
      </c>
      <c r="K3708" s="3" t="s">
        <v>76</v>
      </c>
    </row>
    <row r="3709" spans="1:11" ht="42" customHeight="1">
      <c r="A3709" s="2" t="s">
        <v>10050</v>
      </c>
      <c r="B3709" s="2" t="s">
        <v>10051</v>
      </c>
      <c r="C3709" s="2" t="s">
        <v>26</v>
      </c>
      <c r="D3709" s="2" t="s">
        <v>18</v>
      </c>
      <c r="E3709" s="4">
        <v>-32734</v>
      </c>
      <c r="F3709" s="3" t="s">
        <v>19</v>
      </c>
      <c r="G3709" s="3" t="s">
        <v>20</v>
      </c>
      <c r="H3709" s="2" t="s">
        <v>74</v>
      </c>
      <c r="I3709" s="2" t="s">
        <v>10052</v>
      </c>
      <c r="J3709" s="3" t="str">
        <f>HYPERLINK("https://www.boe.es/gazeta/dias/1810/05/17/pdfs/GMD-1810-137.pdf#page=4","Abrir facsímil")</f>
        <v>Abrir facsímil</v>
      </c>
      <c r="K3709" s="3" t="s">
        <v>76</v>
      </c>
    </row>
    <row r="3710" spans="1:11" ht="42" customHeight="1">
      <c r="A3710" s="2" t="s">
        <v>10053</v>
      </c>
      <c r="B3710" s="2" t="s">
        <v>10053</v>
      </c>
      <c r="C3710" s="2" t="s">
        <v>26</v>
      </c>
      <c r="D3710" s="2" t="s">
        <v>39</v>
      </c>
      <c r="E3710" s="4">
        <v>-32645</v>
      </c>
      <c r="F3710" s="3" t="s">
        <v>2492</v>
      </c>
      <c r="G3710" s="3" t="s">
        <v>119</v>
      </c>
      <c r="H3710" s="2" t="s">
        <v>74</v>
      </c>
      <c r="I3710" s="2" t="s">
        <v>10054</v>
      </c>
      <c r="J3710" s="3" t="str">
        <f>HYPERLINK("https://www.boe.es/gazeta/dias/1810/08/14/pdfs/GEI-D-1810-56.pdf#page=3","Abrir facsímil")</f>
        <v>Abrir facsímil</v>
      </c>
      <c r="K3710" s="3" t="s">
        <v>76</v>
      </c>
    </row>
    <row r="3711" spans="1:11" ht="42" customHeight="1">
      <c r="A3711" s="2" t="s">
        <v>10055</v>
      </c>
      <c r="B3711" s="2" t="s">
        <v>10056</v>
      </c>
      <c r="C3711" s="2" t="s">
        <v>26</v>
      </c>
      <c r="D3711" s="2" t="s">
        <v>27</v>
      </c>
      <c r="E3711" s="4">
        <v>-32557</v>
      </c>
      <c r="F3711" s="3" t="s">
        <v>837</v>
      </c>
      <c r="G3711" s="3" t="s">
        <v>2073</v>
      </c>
      <c r="H3711" s="2" t="s">
        <v>74</v>
      </c>
      <c r="I3711" s="2" t="s">
        <v>10057</v>
      </c>
      <c r="J3711" s="3" t="str">
        <f>HYPERLINK("https://www.boe.es/gazeta/dias/1810/11/10/pdfs/GEI-1810-93.pdf#page=7","Abrir facsímil")</f>
        <v>Abrir facsímil</v>
      </c>
      <c r="K3711" s="3" t="s">
        <v>76</v>
      </c>
    </row>
    <row r="3712" spans="1:11" ht="42" customHeight="1">
      <c r="A3712" s="2" t="s">
        <v>10058</v>
      </c>
      <c r="B3712" s="2" t="s">
        <v>10059</v>
      </c>
      <c r="C3712" s="2" t="s">
        <v>26</v>
      </c>
      <c r="D3712" s="2" t="s">
        <v>39</v>
      </c>
      <c r="E3712" s="4">
        <v>-32702</v>
      </c>
      <c r="F3712" s="3" t="s">
        <v>179</v>
      </c>
      <c r="G3712" s="3" t="s">
        <v>180</v>
      </c>
      <c r="H3712" s="2" t="s">
        <v>74</v>
      </c>
      <c r="I3712" s="2" t="s">
        <v>10060</v>
      </c>
      <c r="J3712" s="3" t="str">
        <f>HYPERLINK("https://www.boe.es/gazeta/dias/1810/06/18/pdfs/GMD-C-1810-169.pdf#page=2","Abrir facsímil")</f>
        <v>Abrir facsímil</v>
      </c>
      <c r="K3712" s="3" t="s">
        <v>76</v>
      </c>
    </row>
    <row r="3713" spans="1:11" ht="42" customHeight="1">
      <c r="A3713" s="2" t="s">
        <v>10061</v>
      </c>
      <c r="B3713" s="2" t="s">
        <v>10062</v>
      </c>
      <c r="C3713" s="2" t="s">
        <v>111</v>
      </c>
      <c r="D3713" s="2" t="s">
        <v>18</v>
      </c>
      <c r="E3713" s="4">
        <v>-32691</v>
      </c>
      <c r="F3713" s="3" t="s">
        <v>3021</v>
      </c>
      <c r="G3713" s="3" t="s">
        <v>10063</v>
      </c>
      <c r="H3713" s="2" t="s">
        <v>74</v>
      </c>
      <c r="I3713" s="2" t="s">
        <v>10064</v>
      </c>
      <c r="J3713" s="3" t="str">
        <f>HYPERLINK("https://www.boe.es/gazeta/dias/1810/06/29/pdfs/GEI-1810-40.pdf#page=8","Abrir facsímil")</f>
        <v>Abrir facsímil</v>
      </c>
      <c r="K3713" s="3" t="s">
        <v>76</v>
      </c>
    </row>
    <row r="3714" spans="1:11" ht="42" customHeight="1">
      <c r="A3714" s="2" t="s">
        <v>10065</v>
      </c>
      <c r="B3714" s="2" t="s">
        <v>10066</v>
      </c>
      <c r="C3714" s="2" t="s">
        <v>26</v>
      </c>
      <c r="D3714" s="2" t="s">
        <v>27</v>
      </c>
      <c r="E3714" s="4">
        <v>-32782</v>
      </c>
      <c r="F3714" s="3" t="s">
        <v>79</v>
      </c>
      <c r="G3714" s="3" t="s">
        <v>80</v>
      </c>
      <c r="H3714" s="2" t="s">
        <v>74</v>
      </c>
      <c r="I3714" s="2" t="s">
        <v>10067</v>
      </c>
      <c r="J3714" s="3" t="str">
        <f>HYPERLINK("https://www.boe.es/gazeta/dias/1810/03/30/pdfs/GEI-1810-9.pdf#page=7","Abrir facsímil")</f>
        <v>Abrir facsímil</v>
      </c>
      <c r="K3714" s="3" t="s">
        <v>76</v>
      </c>
    </row>
    <row r="3715" spans="1:11" ht="42" customHeight="1">
      <c r="A3715" s="2" t="s">
        <v>10068</v>
      </c>
      <c r="B3715" s="2" t="s">
        <v>10068</v>
      </c>
      <c r="C3715" s="2" t="s">
        <v>88</v>
      </c>
      <c r="D3715" s="2" t="s">
        <v>27</v>
      </c>
      <c r="E3715" s="4">
        <v>-32524</v>
      </c>
      <c r="F3715" s="3" t="s">
        <v>9336</v>
      </c>
      <c r="G3715" s="3" t="s">
        <v>140</v>
      </c>
      <c r="H3715" s="2" t="s">
        <v>74</v>
      </c>
      <c r="I3715" s="2" t="s">
        <v>10069</v>
      </c>
      <c r="J3715" s="3" t="str">
        <f>HYPERLINK("https://www.boe.es/gazeta/dias/1810/12/13/pdfs/GMD-1810-347.pdf#page=4","Abrir facsímil")</f>
        <v>Abrir facsímil</v>
      </c>
      <c r="K3715" s="3" t="s">
        <v>76</v>
      </c>
    </row>
    <row r="3716" spans="1:11" ht="42" customHeight="1">
      <c r="A3716" s="2" t="s">
        <v>10070</v>
      </c>
      <c r="B3716" s="2" t="s">
        <v>10071</v>
      </c>
      <c r="C3716" s="2" t="s">
        <v>88</v>
      </c>
      <c r="D3716" s="2" t="s">
        <v>27</v>
      </c>
      <c r="E3716" s="4">
        <v>-32562</v>
      </c>
      <c r="F3716" s="3" t="s">
        <v>1186</v>
      </c>
      <c r="G3716" s="3" t="s">
        <v>29</v>
      </c>
      <c r="H3716" s="2" t="s">
        <v>74</v>
      </c>
      <c r="I3716" s="2" t="s">
        <v>10072</v>
      </c>
      <c r="J3716" s="3" t="str">
        <f>HYPERLINK("https://www.boe.es/gazeta/dias/1810/11/05/pdfs/GMD-1810-309.pdf#page=2","Abrir facsímil")</f>
        <v>Abrir facsímil</v>
      </c>
      <c r="K3716" s="3" t="s">
        <v>76</v>
      </c>
    </row>
    <row r="3717" spans="1:11" ht="42" customHeight="1">
      <c r="A3717" s="2" t="s">
        <v>10073</v>
      </c>
      <c r="B3717" s="2" t="s">
        <v>10074</v>
      </c>
      <c r="C3717" s="2" t="s">
        <v>26</v>
      </c>
      <c r="D3717" s="2" t="s">
        <v>27</v>
      </c>
      <c r="E3717" s="4">
        <v>-32647</v>
      </c>
      <c r="F3717" s="3" t="s">
        <v>118</v>
      </c>
      <c r="G3717" s="3" t="s">
        <v>119</v>
      </c>
      <c r="H3717" s="2" t="s">
        <v>74</v>
      </c>
      <c r="I3717" s="2" t="s">
        <v>10075</v>
      </c>
      <c r="J3717" s="3" t="str">
        <f>HYPERLINK("https://www.boe.es/gazeta/dias/1810/08/12/pdfs/GMD-1810-224.pdf#page=3","Abrir facsímil")</f>
        <v>Abrir facsímil</v>
      </c>
      <c r="K3717" s="3" t="s">
        <v>76</v>
      </c>
    </row>
    <row r="3718" spans="1:11" ht="42" customHeight="1">
      <c r="A3718" s="2" t="s">
        <v>10076</v>
      </c>
      <c r="B3718" s="2" t="s">
        <v>10077</v>
      </c>
      <c r="C3718" s="2" t="s">
        <v>26</v>
      </c>
      <c r="D3718" s="2" t="s">
        <v>27</v>
      </c>
      <c r="E3718" s="4">
        <v>-32508</v>
      </c>
      <c r="F3718" s="3" t="s">
        <v>864</v>
      </c>
      <c r="G3718" s="3" t="s">
        <v>691</v>
      </c>
      <c r="H3718" s="2" t="s">
        <v>74</v>
      </c>
      <c r="I3718" s="2" t="s">
        <v>10078</v>
      </c>
      <c r="J3718" s="3" t="str">
        <f>HYPERLINK("https://www.boe.es/gazeta/dias/1810/12/29/pdfs/GEI-1810-114.pdf#page=8","Abrir facsímil")</f>
        <v>Abrir facsímil</v>
      </c>
      <c r="K3718" s="3" t="s">
        <v>76</v>
      </c>
    </row>
    <row r="3719" spans="1:11" ht="42" customHeight="1">
      <c r="A3719" s="2" t="s">
        <v>10079</v>
      </c>
      <c r="B3719" s="2" t="s">
        <v>10080</v>
      </c>
      <c r="C3719" s="2" t="s">
        <v>26</v>
      </c>
      <c r="D3719" s="2" t="s">
        <v>27</v>
      </c>
      <c r="E3719" s="4">
        <v>-32587</v>
      </c>
      <c r="F3719" s="3" t="s">
        <v>103</v>
      </c>
      <c r="G3719" s="3" t="s">
        <v>10081</v>
      </c>
      <c r="H3719" s="2" t="s">
        <v>74</v>
      </c>
      <c r="I3719" s="2" t="s">
        <v>10082</v>
      </c>
      <c r="J3719" s="3" t="str">
        <f>HYPERLINK("https://www.boe.es/gazeta/dias/1810/10/11/pdfs/GEI-1810-80.pdf#page=4","Abrir facsímil")</f>
        <v>Abrir facsímil</v>
      </c>
      <c r="K3719" s="3" t="s">
        <v>76</v>
      </c>
    </row>
    <row r="3720" spans="1:11" ht="42" customHeight="1">
      <c r="A3720" s="2" t="s">
        <v>10083</v>
      </c>
      <c r="B3720" s="2" t="s">
        <v>10084</v>
      </c>
      <c r="C3720" s="2" t="s">
        <v>88</v>
      </c>
      <c r="D3720" s="2" t="s">
        <v>27</v>
      </c>
      <c r="E3720" s="4">
        <v>-32795</v>
      </c>
      <c r="F3720" s="3" t="s">
        <v>690</v>
      </c>
      <c r="G3720" s="3" t="s">
        <v>213</v>
      </c>
      <c r="H3720" s="2" t="s">
        <v>74</v>
      </c>
      <c r="I3720" s="2" t="s">
        <v>10085</v>
      </c>
      <c r="J3720" s="3" t="str">
        <f>HYPERLINK("https://www.boe.es/gazeta/dias/1810/03/17/pdfs/GMD-1810-76.pdf#page=4","Abrir facsímil")</f>
        <v>Abrir facsímil</v>
      </c>
      <c r="K3720" s="3" t="s">
        <v>76</v>
      </c>
    </row>
    <row r="3721" spans="1:11" ht="42" customHeight="1">
      <c r="A3721" s="2" t="s">
        <v>10086</v>
      </c>
      <c r="B3721" s="2" t="s">
        <v>10086</v>
      </c>
      <c r="C3721" s="2" t="s">
        <v>111</v>
      </c>
      <c r="D3721" s="2" t="s">
        <v>27</v>
      </c>
      <c r="E3721" s="4">
        <v>-32662</v>
      </c>
      <c r="F3721" s="3" t="s">
        <v>1487</v>
      </c>
      <c r="G3721" s="3" t="s">
        <v>180</v>
      </c>
      <c r="H3721" s="2" t="s">
        <v>74</v>
      </c>
      <c r="I3721" s="2" t="s">
        <v>10087</v>
      </c>
      <c r="J3721" s="3" t="str">
        <f>HYPERLINK("https://www.boe.es/gazeta/dias/1810/07/28/pdfs/GMD-1810-209.pdf#page=4","Abrir facsímil")</f>
        <v>Abrir facsímil</v>
      </c>
      <c r="K3721" s="3" t="s">
        <v>76</v>
      </c>
    </row>
    <row r="3722" spans="1:11" ht="42" customHeight="1">
      <c r="A3722" s="2" t="s">
        <v>10088</v>
      </c>
      <c r="B3722" s="2" t="s">
        <v>10088</v>
      </c>
      <c r="C3722" s="2" t="s">
        <v>88</v>
      </c>
      <c r="D3722" s="2" t="s">
        <v>220</v>
      </c>
      <c r="E3722" s="4">
        <v>-32603</v>
      </c>
      <c r="F3722" s="3" t="s">
        <v>2163</v>
      </c>
      <c r="G3722" s="3" t="s">
        <v>10089</v>
      </c>
      <c r="H3722" s="2" t="s">
        <v>74</v>
      </c>
      <c r="I3722" s="2" t="s">
        <v>10090</v>
      </c>
      <c r="J3722" s="3" t="str">
        <f>HYPERLINK("https://www.boe.es/gazeta/dias/1810/09/25/pdfs/GEI-1810-72.pdf#page=3","Abrir facsímil")</f>
        <v>Abrir facsímil</v>
      </c>
      <c r="K3722" s="3" t="s">
        <v>76</v>
      </c>
    </row>
    <row r="3723" spans="1:11" ht="42" customHeight="1">
      <c r="A3723" s="2" t="s">
        <v>10091</v>
      </c>
      <c r="B3723" s="2" t="s">
        <v>10091</v>
      </c>
      <c r="C3723" s="2" t="s">
        <v>88</v>
      </c>
      <c r="D3723" s="2" t="s">
        <v>220</v>
      </c>
      <c r="E3723" s="4">
        <v>-32723</v>
      </c>
      <c r="F3723" s="3" t="s">
        <v>464</v>
      </c>
      <c r="G3723" s="3" t="s">
        <v>1044</v>
      </c>
      <c r="H3723" s="2" t="s">
        <v>74</v>
      </c>
      <c r="I3723" s="2" t="s">
        <v>10092</v>
      </c>
      <c r="J3723" s="3" t="str">
        <f>HYPERLINK("https://www.boe.es/gazeta/dias/1810/05/28/pdfs/GMD-1810-148.pdf#page=3","Abrir facsímil")</f>
        <v>Abrir facsímil</v>
      </c>
      <c r="K3723" s="3" t="s">
        <v>76</v>
      </c>
    </row>
    <row r="3724" spans="1:11" ht="42" customHeight="1">
      <c r="A3724" s="2" t="s">
        <v>10093</v>
      </c>
      <c r="B3724" s="2" t="s">
        <v>10093</v>
      </c>
      <c r="C3724" s="2" t="s">
        <v>88</v>
      </c>
      <c r="D3724" s="2" t="s">
        <v>27</v>
      </c>
      <c r="E3724" s="4">
        <v>-32662</v>
      </c>
      <c r="F3724" s="3" t="s">
        <v>1487</v>
      </c>
      <c r="G3724" s="3" t="s">
        <v>180</v>
      </c>
      <c r="H3724" s="2" t="s">
        <v>74</v>
      </c>
      <c r="I3724" s="2" t="s">
        <v>10094</v>
      </c>
      <c r="J3724" s="3" t="str">
        <f>HYPERLINK("https://www.boe.es/gazeta/dias/1810/07/28/pdfs/GMD-1810-209.pdf#page=4","Abrir facsímil")</f>
        <v>Abrir facsímil</v>
      </c>
      <c r="K3724" s="3" t="s">
        <v>76</v>
      </c>
    </row>
    <row r="3725" spans="1:11" ht="42" customHeight="1">
      <c r="A3725" s="2" t="s">
        <v>10095</v>
      </c>
      <c r="B3725" s="2" t="s">
        <v>10096</v>
      </c>
      <c r="C3725" s="2" t="s">
        <v>26</v>
      </c>
      <c r="D3725" s="2" t="s">
        <v>39</v>
      </c>
      <c r="E3725" s="4">
        <v>-32702</v>
      </c>
      <c r="F3725" s="3" t="s">
        <v>179</v>
      </c>
      <c r="G3725" s="3" t="s">
        <v>213</v>
      </c>
      <c r="H3725" s="2" t="s">
        <v>74</v>
      </c>
      <c r="I3725" s="2" t="s">
        <v>10097</v>
      </c>
      <c r="J3725" s="3" t="str">
        <f>HYPERLINK("https://www.boe.es/gazeta/dias/1810/06/18/pdfs/GMD-C-1810-169.pdf#page=4","Abrir facsímil")</f>
        <v>Abrir facsímil</v>
      </c>
      <c r="K3725" s="3" t="s">
        <v>76</v>
      </c>
    </row>
    <row r="3726" spans="1:11" ht="42" customHeight="1">
      <c r="A3726" s="2" t="s">
        <v>10098</v>
      </c>
      <c r="B3726" s="2" t="s">
        <v>10098</v>
      </c>
      <c r="C3726" s="2" t="s">
        <v>88</v>
      </c>
      <c r="D3726" s="2" t="s">
        <v>117</v>
      </c>
      <c r="E3726" s="4">
        <v>-32574</v>
      </c>
      <c r="F3726" s="3" t="s">
        <v>9540</v>
      </c>
      <c r="G3726" s="3" t="s">
        <v>140</v>
      </c>
      <c r="H3726" s="2" t="s">
        <v>74</v>
      </c>
      <c r="I3726" s="2" t="s">
        <v>10099</v>
      </c>
      <c r="J3726" s="3" t="str">
        <f>HYPERLINK("https://www.boe.es/gazeta/dias/1810/10/24/pdfs/GMD-1810-297.pdf#page=2","Abrir facsímil")</f>
        <v>Abrir facsímil</v>
      </c>
      <c r="K3726" s="3" t="s">
        <v>76</v>
      </c>
    </row>
    <row r="3727" spans="1:11" ht="42" customHeight="1">
      <c r="A3727" s="2" t="s">
        <v>10100</v>
      </c>
      <c r="B3727" s="2" t="s">
        <v>10101</v>
      </c>
      <c r="C3727" s="2" t="s">
        <v>26</v>
      </c>
      <c r="D3727" s="2" t="s">
        <v>27</v>
      </c>
      <c r="E3727" s="4">
        <v>-32575</v>
      </c>
      <c r="F3727" s="3" t="s">
        <v>135</v>
      </c>
      <c r="G3727" s="3" t="s">
        <v>140</v>
      </c>
      <c r="H3727" s="2" t="s">
        <v>74</v>
      </c>
      <c r="I3727" s="2" t="s">
        <v>10102</v>
      </c>
      <c r="J3727" s="3" t="str">
        <f>HYPERLINK("https://www.boe.es/gazeta/dias/1810/10/23/pdfs/GEI-1810-85.pdf#page=10","Abrir facsímil")</f>
        <v>Abrir facsímil</v>
      </c>
      <c r="K3727" s="3" t="s">
        <v>76</v>
      </c>
    </row>
    <row r="3728" spans="1:11" ht="42" customHeight="1">
      <c r="A3728" s="2" t="s">
        <v>10103</v>
      </c>
      <c r="B3728" s="2" t="s">
        <v>10104</v>
      </c>
      <c r="C3728" s="2" t="s">
        <v>88</v>
      </c>
      <c r="D3728" s="2" t="s">
        <v>27</v>
      </c>
      <c r="E3728" s="4">
        <v>-32603</v>
      </c>
      <c r="F3728" s="3" t="s">
        <v>2163</v>
      </c>
      <c r="G3728" s="3" t="s">
        <v>4601</v>
      </c>
      <c r="H3728" s="2" t="s">
        <v>74</v>
      </c>
      <c r="I3728" s="2" t="s">
        <v>10105</v>
      </c>
      <c r="J3728" s="3" t="str">
        <f>HYPERLINK("https://www.boe.es/gazeta/dias/1810/09/25/pdfs/GEI-1810-72.pdf#page=7","Abrir facsímil")</f>
        <v>Abrir facsímil</v>
      </c>
      <c r="K3728" s="3" t="s">
        <v>76</v>
      </c>
    </row>
    <row r="3729" spans="1:11" ht="42" customHeight="1">
      <c r="A3729" s="2" t="s">
        <v>10106</v>
      </c>
      <c r="B3729" s="2" t="s">
        <v>10107</v>
      </c>
      <c r="C3729" s="2" t="s">
        <v>88</v>
      </c>
      <c r="D3729" s="2" t="s">
        <v>27</v>
      </c>
      <c r="E3729" s="4">
        <v>-32547</v>
      </c>
      <c r="F3729" s="3" t="s">
        <v>407</v>
      </c>
      <c r="G3729" s="3" t="s">
        <v>408</v>
      </c>
      <c r="H3729" s="2" t="s">
        <v>74</v>
      </c>
      <c r="I3729" s="2" t="s">
        <v>10108</v>
      </c>
      <c r="J3729" s="3" t="str">
        <f>HYPERLINK("https://www.boe.es/gazeta/dias/1810/11/20/pdfs/GEI-1810-97.pdf#page=8","Abrir facsímil")</f>
        <v>Abrir facsímil</v>
      </c>
      <c r="K3729" s="3" t="s">
        <v>76</v>
      </c>
    </row>
    <row r="3730" spans="1:11" ht="42" customHeight="1">
      <c r="A3730" s="2" t="s">
        <v>10109</v>
      </c>
      <c r="B3730" s="2" t="s">
        <v>10110</v>
      </c>
      <c r="C3730" s="2" t="s">
        <v>88</v>
      </c>
      <c r="D3730" s="2" t="s">
        <v>117</v>
      </c>
      <c r="E3730" s="4">
        <v>-32715</v>
      </c>
      <c r="F3730" s="3" t="s">
        <v>1029</v>
      </c>
      <c r="G3730" s="3" t="s">
        <v>90</v>
      </c>
      <c r="H3730" s="2" t="s">
        <v>74</v>
      </c>
      <c r="I3730" s="2" t="s">
        <v>10111</v>
      </c>
      <c r="J3730" s="3" t="str">
        <f>HYPERLINK("https://www.boe.es/gazeta/dias/1810/06/05/pdfs/GEI-1810-33.pdf#page=9","Abrir facsímil")</f>
        <v>Abrir facsímil</v>
      </c>
      <c r="K3730" s="3" t="s">
        <v>76</v>
      </c>
    </row>
    <row r="3731" spans="1:11" ht="42" customHeight="1">
      <c r="A3731" s="2" t="s">
        <v>10112</v>
      </c>
      <c r="B3731" s="2" t="s">
        <v>10112</v>
      </c>
      <c r="C3731" s="2" t="s">
        <v>88</v>
      </c>
      <c r="D3731" s="2" t="s">
        <v>117</v>
      </c>
      <c r="E3731" s="4">
        <v>-32713</v>
      </c>
      <c r="F3731" s="3" t="s">
        <v>959</v>
      </c>
      <c r="G3731" s="3" t="s">
        <v>960</v>
      </c>
      <c r="H3731" s="2" t="s">
        <v>74</v>
      </c>
      <c r="I3731" s="2" t="s">
        <v>10113</v>
      </c>
      <c r="J3731" s="3" t="str">
        <f>HYPERLINK("https://www.boe.es/gazeta/dias/1810/06/07/pdfs/GMD-1810-158.pdf#page=4","Abrir facsímil")</f>
        <v>Abrir facsímil</v>
      </c>
      <c r="K3731" s="3" t="s">
        <v>76</v>
      </c>
    </row>
    <row r="3732" spans="1:11" ht="42" customHeight="1">
      <c r="A3732" s="2" t="s">
        <v>10114</v>
      </c>
      <c r="B3732" s="2" t="s">
        <v>10114</v>
      </c>
      <c r="C3732" s="2" t="s">
        <v>88</v>
      </c>
      <c r="D3732" s="2" t="s">
        <v>27</v>
      </c>
      <c r="E3732" s="4">
        <v>-32571</v>
      </c>
      <c r="F3732" s="3" t="s">
        <v>6811</v>
      </c>
      <c r="G3732" s="3" t="s">
        <v>113</v>
      </c>
      <c r="H3732" s="2" t="s">
        <v>74</v>
      </c>
      <c r="I3732" s="2" t="s">
        <v>10115</v>
      </c>
      <c r="J3732" s="3" t="str">
        <f>HYPERLINK("https://www.boe.es/gazeta/dias/1810/10/27/pdfs/GMD-1810-300.pdf#page=2","Abrir facsímil")</f>
        <v>Abrir facsímil</v>
      </c>
      <c r="K3732" s="3" t="s">
        <v>76</v>
      </c>
    </row>
    <row r="3733" spans="1:11" ht="42" customHeight="1">
      <c r="A3733" s="2" t="s">
        <v>10116</v>
      </c>
      <c r="B3733" s="2" t="s">
        <v>10117</v>
      </c>
      <c r="C3733" s="2" t="s">
        <v>26</v>
      </c>
      <c r="D3733" s="2" t="s">
        <v>27</v>
      </c>
      <c r="E3733" s="4">
        <v>-32757</v>
      </c>
      <c r="F3733" s="3" t="s">
        <v>1136</v>
      </c>
      <c r="G3733" s="3" t="s">
        <v>1901</v>
      </c>
      <c r="H3733" s="2" t="s">
        <v>74</v>
      </c>
      <c r="I3733" s="2" t="s">
        <v>10118</v>
      </c>
      <c r="J3733" s="3" t="str">
        <f>HYPERLINK("https://www.boe.es/gazeta/dias/1810/04/24/pdfs/GEI-1810-17.pdf#page=8","Abrir facsímil")</f>
        <v>Abrir facsímil</v>
      </c>
      <c r="K3733" s="3" t="s">
        <v>76</v>
      </c>
    </row>
    <row r="3734" spans="1:11" ht="42" customHeight="1">
      <c r="A3734" s="2" t="s">
        <v>10119</v>
      </c>
      <c r="B3734" s="2" t="s">
        <v>10119</v>
      </c>
      <c r="C3734" s="2" t="s">
        <v>26</v>
      </c>
      <c r="D3734" s="2" t="s">
        <v>27</v>
      </c>
      <c r="E3734" s="4">
        <v>-32795</v>
      </c>
      <c r="F3734" s="3" t="s">
        <v>690</v>
      </c>
      <c r="G3734" s="3" t="s">
        <v>691</v>
      </c>
      <c r="H3734" s="2" t="s">
        <v>74</v>
      </c>
      <c r="I3734" s="2" t="s">
        <v>10120</v>
      </c>
      <c r="J3734" s="3" t="str">
        <f>HYPERLINK("https://www.boe.es/gazeta/dias/1810/03/17/pdfs/GMD-1810-76.pdf#page=3","Abrir facsímil")</f>
        <v>Abrir facsímil</v>
      </c>
      <c r="K3734" s="3" t="s">
        <v>76</v>
      </c>
    </row>
    <row r="3735" spans="1:11" ht="42" customHeight="1">
      <c r="A3735" s="2" t="s">
        <v>10121</v>
      </c>
      <c r="B3735" s="2" t="s">
        <v>10121</v>
      </c>
      <c r="C3735" s="2" t="s">
        <v>88</v>
      </c>
      <c r="D3735" s="2" t="s">
        <v>117</v>
      </c>
      <c r="E3735" s="4">
        <v>-32568</v>
      </c>
      <c r="F3735" s="3" t="s">
        <v>683</v>
      </c>
      <c r="G3735" s="3" t="s">
        <v>5929</v>
      </c>
      <c r="H3735" s="2" t="s">
        <v>74</v>
      </c>
      <c r="I3735" s="2" t="s">
        <v>10122</v>
      </c>
      <c r="J3735" s="3" t="str">
        <f>HYPERLINK("https://www.boe.es/gazeta/dias/1810/10/30/pdfs/GEI-1810-88.pdf#page=2","Abrir facsímil")</f>
        <v>Abrir facsímil</v>
      </c>
      <c r="K3735" s="3" t="s">
        <v>76</v>
      </c>
    </row>
    <row r="3736" spans="1:11" ht="42" customHeight="1">
      <c r="A3736" s="2" t="s">
        <v>10123</v>
      </c>
      <c r="B3736" s="2" t="s">
        <v>10123</v>
      </c>
      <c r="C3736" s="2" t="s">
        <v>88</v>
      </c>
      <c r="D3736" s="2" t="s">
        <v>117</v>
      </c>
      <c r="E3736" s="4">
        <v>-32708</v>
      </c>
      <c r="F3736" s="3" t="s">
        <v>1601</v>
      </c>
      <c r="G3736" s="3" t="s">
        <v>2172</v>
      </c>
      <c r="H3736" s="2" t="s">
        <v>74</v>
      </c>
      <c r="I3736" s="2" t="s">
        <v>10124</v>
      </c>
      <c r="J3736" s="3" t="str">
        <f>HYPERLINK("https://www.boe.es/gazeta/dias/1810/06/12/pdfs/GEI-D-1810-35.pdf#page=3","Abrir facsímil")</f>
        <v>Abrir facsímil</v>
      </c>
      <c r="K3736" s="3" t="s">
        <v>76</v>
      </c>
    </row>
    <row r="3737" spans="1:11" ht="42" customHeight="1">
      <c r="A3737" s="2" t="s">
        <v>10125</v>
      </c>
      <c r="B3737" s="2" t="s">
        <v>10125</v>
      </c>
      <c r="C3737" s="2" t="s">
        <v>26</v>
      </c>
      <c r="D3737" s="2" t="s">
        <v>27</v>
      </c>
      <c r="E3737" s="4">
        <v>-32624</v>
      </c>
      <c r="F3737" s="3" t="s">
        <v>2176</v>
      </c>
      <c r="G3737" s="3" t="s">
        <v>227</v>
      </c>
      <c r="H3737" s="2" t="s">
        <v>74</v>
      </c>
      <c r="I3737" s="2" t="s">
        <v>10126</v>
      </c>
      <c r="J3737" s="3" t="str">
        <f>HYPERLINK("https://www.boe.es/gazeta/dias/1810/09/04/pdfs/GEI-1810-64.pdf#page=5","Abrir facsímil")</f>
        <v>Abrir facsímil</v>
      </c>
      <c r="K3737" s="3" t="s">
        <v>76</v>
      </c>
    </row>
    <row r="3738" spans="1:11" ht="42" customHeight="1">
      <c r="A3738" s="2" t="s">
        <v>10125</v>
      </c>
      <c r="B3738" s="2" t="s">
        <v>10125</v>
      </c>
      <c r="C3738" s="2" t="s">
        <v>88</v>
      </c>
      <c r="D3738" s="2" t="s">
        <v>117</v>
      </c>
      <c r="E3738" s="4">
        <v>-32599</v>
      </c>
      <c r="F3738" s="3" t="s">
        <v>6642</v>
      </c>
      <c r="G3738" s="3" t="s">
        <v>1217</v>
      </c>
      <c r="H3738" s="2" t="s">
        <v>74</v>
      </c>
      <c r="I3738" s="2" t="s">
        <v>10127</v>
      </c>
      <c r="J3738" s="3" t="str">
        <f>HYPERLINK("https://www.boe.es/gazeta/dias/1810/09/29/pdfs/GEI-1810-75.pdf#page=3","Abrir facsímil")</f>
        <v>Abrir facsímil</v>
      </c>
      <c r="K3738" s="3" t="s">
        <v>76</v>
      </c>
    </row>
    <row r="3739" spans="1:11" ht="42" customHeight="1">
      <c r="A3739" s="2" t="s">
        <v>10125</v>
      </c>
      <c r="B3739" s="2" t="s">
        <v>10125</v>
      </c>
      <c r="C3739" s="2" t="s">
        <v>88</v>
      </c>
      <c r="D3739" s="2" t="s">
        <v>117</v>
      </c>
      <c r="E3739" s="4">
        <v>-32599</v>
      </c>
      <c r="F3739" s="3" t="s">
        <v>6642</v>
      </c>
      <c r="G3739" s="3" t="s">
        <v>2514</v>
      </c>
      <c r="H3739" s="2" t="s">
        <v>74</v>
      </c>
      <c r="I3739" s="2" t="s">
        <v>10128</v>
      </c>
      <c r="J3739" s="3" t="str">
        <f>HYPERLINK("https://www.boe.es/gazeta/dias/1810/09/29/pdfs/GEI-1810-75.pdf#page=5","Abrir facsímil")</f>
        <v>Abrir facsímil</v>
      </c>
      <c r="K3739" s="3" t="s">
        <v>76</v>
      </c>
    </row>
    <row r="3740" spans="1:11" ht="42" customHeight="1">
      <c r="A3740" s="2" t="s">
        <v>10129</v>
      </c>
      <c r="B3740" s="2" t="s">
        <v>10129</v>
      </c>
      <c r="C3740" s="2" t="s">
        <v>88</v>
      </c>
      <c r="D3740" s="2" t="s">
        <v>117</v>
      </c>
      <c r="E3740" s="4">
        <v>-32648</v>
      </c>
      <c r="F3740" s="3" t="s">
        <v>575</v>
      </c>
      <c r="G3740" s="3" t="s">
        <v>70</v>
      </c>
      <c r="H3740" s="2" t="s">
        <v>74</v>
      </c>
      <c r="I3740" s="2" t="s">
        <v>10130</v>
      </c>
      <c r="J3740" s="3" t="str">
        <f>HYPERLINK("https://www.boe.es/gazeta/dias/1810/08/11/pdfs/GMD-1810-223.pdf#page=2","Abrir facsímil")</f>
        <v>Abrir facsímil</v>
      </c>
      <c r="K3740" s="3" t="s">
        <v>76</v>
      </c>
    </row>
    <row r="3741" spans="1:11" ht="42" customHeight="1">
      <c r="A3741" s="2" t="s">
        <v>10131</v>
      </c>
      <c r="B3741" s="2" t="s">
        <v>10131</v>
      </c>
      <c r="C3741" s="2" t="s">
        <v>88</v>
      </c>
      <c r="D3741" s="2" t="s">
        <v>117</v>
      </c>
      <c r="E3741" s="4">
        <v>-32735</v>
      </c>
      <c r="F3741" s="3" t="s">
        <v>612</v>
      </c>
      <c r="G3741" s="3" t="s">
        <v>359</v>
      </c>
      <c r="H3741" s="2" t="s">
        <v>74</v>
      </c>
      <c r="I3741" s="2" t="s">
        <v>10132</v>
      </c>
      <c r="J3741" s="3" t="str">
        <f>HYPERLINK("https://www.boe.es/gazeta/dias/1810/05/16/pdfs/GMD-1810-136.pdf#page=3","Abrir facsímil")</f>
        <v>Abrir facsímil</v>
      </c>
      <c r="K3741" s="3" t="s">
        <v>76</v>
      </c>
    </row>
    <row r="3742" spans="1:11" ht="42" customHeight="1">
      <c r="A3742" s="2" t="s">
        <v>10133</v>
      </c>
      <c r="B3742" s="2" t="s">
        <v>10134</v>
      </c>
      <c r="C3742" s="2" t="s">
        <v>26</v>
      </c>
      <c r="D3742" s="2" t="s">
        <v>58</v>
      </c>
      <c r="E3742" s="4">
        <v>-32651</v>
      </c>
      <c r="F3742" s="3" t="s">
        <v>59</v>
      </c>
      <c r="G3742" s="3" t="s">
        <v>60</v>
      </c>
      <c r="H3742" s="2" t="s">
        <v>74</v>
      </c>
      <c r="I3742" s="2" t="s">
        <v>10135</v>
      </c>
      <c r="J3742" s="3" t="str">
        <f>HYPERLINK("https://www.boe.es/gazeta/dias/1810/08/08/pdfs/GEI-1810-53E.pdf#page=3","Abrir facsímil")</f>
        <v>Abrir facsímil</v>
      </c>
      <c r="K3742" s="3" t="s">
        <v>76</v>
      </c>
    </row>
    <row r="3743" spans="1:11" ht="42" customHeight="1">
      <c r="A3743" s="2" t="s">
        <v>10136</v>
      </c>
      <c r="B3743" s="2" t="s">
        <v>10137</v>
      </c>
      <c r="C3743" s="2" t="s">
        <v>26</v>
      </c>
      <c r="D3743" s="2" t="s">
        <v>39</v>
      </c>
      <c r="E3743" s="4">
        <v>-32701</v>
      </c>
      <c r="F3743" s="3" t="s">
        <v>40</v>
      </c>
      <c r="G3743" s="3" t="s">
        <v>333</v>
      </c>
      <c r="H3743" s="2" t="s">
        <v>74</v>
      </c>
      <c r="I3743" s="2" t="s">
        <v>10138</v>
      </c>
      <c r="J3743" s="3" t="str">
        <f>HYPERLINK("https://www.boe.es/gazeta/dias/1810/06/19/pdfs/GMD-C-1810-170.pdf#page=4","Abrir facsímil")</f>
        <v>Abrir facsímil</v>
      </c>
      <c r="K3743" s="3" t="s">
        <v>76</v>
      </c>
    </row>
    <row r="3744" spans="1:11" ht="42" customHeight="1">
      <c r="A3744" s="2" t="s">
        <v>10139</v>
      </c>
      <c r="B3744" s="2" t="s">
        <v>10140</v>
      </c>
      <c r="C3744" s="2" t="s">
        <v>88</v>
      </c>
      <c r="D3744" s="2" t="s">
        <v>27</v>
      </c>
      <c r="E3744" s="4">
        <v>-32708</v>
      </c>
      <c r="F3744" s="3" t="s">
        <v>206</v>
      </c>
      <c r="G3744" s="3" t="s">
        <v>227</v>
      </c>
      <c r="H3744" s="2" t="s">
        <v>74</v>
      </c>
      <c r="I3744" s="2" t="s">
        <v>10141</v>
      </c>
      <c r="J3744" s="3" t="str">
        <f>HYPERLINK("https://www.boe.es/gazeta/dias/1810/06/12/pdfs/GMD-1810-163.pdf#page=1","Abrir facsímil")</f>
        <v>Abrir facsímil</v>
      </c>
      <c r="K3744" s="3" t="s">
        <v>76</v>
      </c>
    </row>
    <row r="3745" spans="1:11" ht="42" customHeight="1">
      <c r="A3745" s="2" t="s">
        <v>10142</v>
      </c>
      <c r="B3745" s="2" t="s">
        <v>10143</v>
      </c>
      <c r="C3745" s="2" t="s">
        <v>88</v>
      </c>
      <c r="D3745" s="2" t="s">
        <v>27</v>
      </c>
      <c r="E3745" s="4">
        <v>-32710</v>
      </c>
      <c r="F3745" s="3" t="s">
        <v>126</v>
      </c>
      <c r="G3745" s="3" t="s">
        <v>184</v>
      </c>
      <c r="H3745" s="2" t="s">
        <v>74</v>
      </c>
      <c r="I3745" s="2" t="s">
        <v>10144</v>
      </c>
      <c r="J3745" s="3" t="str">
        <f>HYPERLINK("https://www.boe.es/gazeta/dias/1810/06/10/pdfs/GMD-1810-161.pdf#page=3","Abrir facsímil")</f>
        <v>Abrir facsímil</v>
      </c>
      <c r="K3745" s="3" t="s">
        <v>76</v>
      </c>
    </row>
    <row r="3746" spans="1:11" ht="42" customHeight="1">
      <c r="A3746" s="2" t="s">
        <v>10145</v>
      </c>
      <c r="B3746" s="2" t="s">
        <v>10146</v>
      </c>
      <c r="C3746" s="2" t="s">
        <v>225</v>
      </c>
      <c r="D3746" s="2" t="s">
        <v>27</v>
      </c>
      <c r="E3746" s="4">
        <v>-32869</v>
      </c>
      <c r="F3746" s="3" t="s">
        <v>5318</v>
      </c>
      <c r="G3746" s="3" t="s">
        <v>227</v>
      </c>
      <c r="H3746" s="2" t="s">
        <v>74</v>
      </c>
      <c r="I3746" s="2" t="s">
        <v>10147</v>
      </c>
      <c r="J3746" s="3" t="str">
        <f>HYPERLINK("https://www.boe.es/gazeta/dias/1810/01/02/pdfs/GGB-1810-1.pdf#page=6","Abrir facsímil")</f>
        <v>Abrir facsímil</v>
      </c>
      <c r="K3746" s="3" t="s">
        <v>76</v>
      </c>
    </row>
    <row r="3747" spans="1:11" ht="42" customHeight="1">
      <c r="A3747" s="2" t="s">
        <v>10148</v>
      </c>
      <c r="B3747" s="2" t="s">
        <v>10148</v>
      </c>
      <c r="C3747" s="2" t="s">
        <v>33</v>
      </c>
      <c r="D3747" s="2" t="s">
        <v>27</v>
      </c>
      <c r="E3747" s="4">
        <v>-32655</v>
      </c>
      <c r="F3747" s="3" t="s">
        <v>1040</v>
      </c>
      <c r="G3747" s="3" t="s">
        <v>1041</v>
      </c>
      <c r="H3747" s="2" t="s">
        <v>74</v>
      </c>
      <c r="I3747" s="2" t="s">
        <v>10149</v>
      </c>
      <c r="J3747" s="3" t="str">
        <f>HYPERLINK("https://www.boe.es/gazeta/dias/1810/08/04/pdfs/GMD-1810-216.pdf#page=4","Abrir facsímil")</f>
        <v>Abrir facsímil</v>
      </c>
      <c r="K3747" s="3" t="s">
        <v>76</v>
      </c>
    </row>
    <row r="3748" spans="1:11" ht="42" customHeight="1">
      <c r="A3748" s="2" t="s">
        <v>10150</v>
      </c>
      <c r="B3748" s="2" t="s">
        <v>10151</v>
      </c>
      <c r="C3748" s="2" t="s">
        <v>26</v>
      </c>
      <c r="D3748" s="2" t="s">
        <v>27</v>
      </c>
      <c r="E3748" s="4">
        <v>-32591</v>
      </c>
      <c r="F3748" s="3" t="s">
        <v>377</v>
      </c>
      <c r="G3748" s="3" t="s">
        <v>136</v>
      </c>
      <c r="H3748" s="2" t="s">
        <v>74</v>
      </c>
      <c r="I3748" s="2" t="s">
        <v>10152</v>
      </c>
      <c r="J3748" s="3" t="str">
        <f>HYPERLINK("https://www.boe.es/gazeta/dias/1810/10/07/pdfs/GMD-1810-280.pdf#page=3","Abrir facsímil")</f>
        <v>Abrir facsímil</v>
      </c>
      <c r="K3748" s="3" t="s">
        <v>76</v>
      </c>
    </row>
    <row r="3749" spans="1:11" ht="42" customHeight="1">
      <c r="A3749" s="2" t="s">
        <v>10153</v>
      </c>
      <c r="B3749" s="2" t="s">
        <v>10153</v>
      </c>
      <c r="C3749" s="2" t="s">
        <v>26</v>
      </c>
      <c r="D3749" s="2" t="s">
        <v>39</v>
      </c>
      <c r="E3749" s="4">
        <v>-32702</v>
      </c>
      <c r="F3749" s="3" t="s">
        <v>179</v>
      </c>
      <c r="G3749" s="3" t="s">
        <v>119</v>
      </c>
      <c r="H3749" s="2" t="s">
        <v>74</v>
      </c>
      <c r="I3749" s="2" t="s">
        <v>10154</v>
      </c>
      <c r="J3749" s="3" t="str">
        <f>HYPERLINK("https://www.boe.es/gazeta/dias/1810/06/18/pdfs/GMD-C-1810-169.pdf#page=1","Abrir facsímil")</f>
        <v>Abrir facsímil</v>
      </c>
      <c r="K3749" s="3" t="s">
        <v>76</v>
      </c>
    </row>
    <row r="3750" spans="1:11" ht="42" customHeight="1">
      <c r="A3750" s="2" t="s">
        <v>10155</v>
      </c>
      <c r="B3750" s="2" t="s">
        <v>10155</v>
      </c>
      <c r="C3750" s="2" t="s">
        <v>88</v>
      </c>
      <c r="D3750" s="2" t="s">
        <v>117</v>
      </c>
      <c r="E3750" s="4">
        <v>-32776</v>
      </c>
      <c r="F3750" s="3" t="s">
        <v>752</v>
      </c>
      <c r="G3750" s="3" t="s">
        <v>213</v>
      </c>
      <c r="H3750" s="2" t="s">
        <v>74</v>
      </c>
      <c r="I3750" s="2" t="s">
        <v>10156</v>
      </c>
      <c r="J3750" s="3" t="str">
        <f>HYPERLINK("https://www.boe.es/gazeta/dias/1810/04/05/pdfs/GMD-1810-95.pdf#page=3","Abrir facsímil")</f>
        <v>Abrir facsímil</v>
      </c>
      <c r="K3750" s="3" t="s">
        <v>76</v>
      </c>
    </row>
    <row r="3751" spans="1:11" ht="42" customHeight="1">
      <c r="A3751" s="2" t="s">
        <v>10155</v>
      </c>
      <c r="B3751" s="2" t="s">
        <v>10155</v>
      </c>
      <c r="C3751" s="2" t="s">
        <v>33</v>
      </c>
      <c r="D3751" s="2" t="s">
        <v>27</v>
      </c>
      <c r="E3751" s="4">
        <v>-32754</v>
      </c>
      <c r="F3751" s="3" t="s">
        <v>34</v>
      </c>
      <c r="G3751" s="3" t="s">
        <v>35</v>
      </c>
      <c r="H3751" s="2" t="s">
        <v>74</v>
      </c>
      <c r="I3751" s="2" t="s">
        <v>10157</v>
      </c>
      <c r="J3751" s="3" t="str">
        <f>HYPERLINK("https://www.boe.es/gazeta/dias/1810/04/27/pdfs/GMD-1810-117.pdf#page=2","Abrir facsímil")</f>
        <v>Abrir facsímil</v>
      </c>
      <c r="K3751" s="3" t="s">
        <v>76</v>
      </c>
    </row>
    <row r="3752" spans="1:11" ht="42" customHeight="1">
      <c r="A3752" s="2" t="s">
        <v>10155</v>
      </c>
      <c r="B3752" s="2" t="s">
        <v>10155</v>
      </c>
      <c r="C3752" s="2" t="s">
        <v>26</v>
      </c>
      <c r="D3752" s="2" t="s">
        <v>27</v>
      </c>
      <c r="E3752" s="4">
        <v>-32689</v>
      </c>
      <c r="F3752" s="3" t="s">
        <v>571</v>
      </c>
      <c r="G3752" s="3" t="s">
        <v>29</v>
      </c>
      <c r="H3752" s="2" t="s">
        <v>74</v>
      </c>
      <c r="I3752" s="2" t="s">
        <v>10158</v>
      </c>
      <c r="J3752" s="3" t="str">
        <f>HYPERLINK("https://www.boe.es/gazeta/dias/1810/07/01/pdfs/GMD-1810-182.pdf#page=3","Abrir facsímil")</f>
        <v>Abrir facsímil</v>
      </c>
      <c r="K3752" s="3" t="s">
        <v>76</v>
      </c>
    </row>
    <row r="3753" spans="1:11" ht="42" customHeight="1">
      <c r="A3753" s="2" t="s">
        <v>10155</v>
      </c>
      <c r="B3753" s="2" t="s">
        <v>10155</v>
      </c>
      <c r="C3753" s="2" t="s">
        <v>33</v>
      </c>
      <c r="D3753" s="2" t="s">
        <v>27</v>
      </c>
      <c r="E3753" s="4">
        <v>-32543</v>
      </c>
      <c r="F3753" s="3" t="s">
        <v>69</v>
      </c>
      <c r="G3753" s="3" t="s">
        <v>84</v>
      </c>
      <c r="H3753" s="2" t="s">
        <v>74</v>
      </c>
      <c r="I3753" s="2" t="s">
        <v>10159</v>
      </c>
      <c r="J3753" s="3" t="str">
        <f>HYPERLINK("https://www.boe.es/gazeta/dias/1810/11/24/pdfs/GEI-1810-99.pdf#page=7","Abrir facsímil")</f>
        <v>Abrir facsímil</v>
      </c>
      <c r="K3753" s="3" t="s">
        <v>76</v>
      </c>
    </row>
    <row r="3754" spans="1:11" ht="42" customHeight="1">
      <c r="A3754" s="2" t="s">
        <v>10160</v>
      </c>
      <c r="B3754" s="2" t="s">
        <v>10160</v>
      </c>
      <c r="C3754" s="2" t="s">
        <v>26</v>
      </c>
      <c r="D3754" s="2" t="s">
        <v>27</v>
      </c>
      <c r="E3754" s="4">
        <v>-32856</v>
      </c>
      <c r="F3754" s="3" t="s">
        <v>963</v>
      </c>
      <c r="G3754" s="3" t="s">
        <v>99</v>
      </c>
      <c r="H3754" s="2" t="s">
        <v>74</v>
      </c>
      <c r="I3754" s="2" t="s">
        <v>10161</v>
      </c>
      <c r="J3754" s="3" t="str">
        <f>HYPERLINK("https://www.boe.es/gazeta/dias/1810/01/15/pdfs/GMD-1810-15.pdf#page=3","Abrir facsímil")</f>
        <v>Abrir facsímil</v>
      </c>
      <c r="K3754" s="3" t="s">
        <v>76</v>
      </c>
    </row>
    <row r="3755" spans="1:11" ht="42" customHeight="1">
      <c r="A3755" s="2" t="s">
        <v>10162</v>
      </c>
      <c r="B3755" s="2" t="s">
        <v>10162</v>
      </c>
      <c r="C3755" s="2" t="s">
        <v>88</v>
      </c>
      <c r="D3755" s="2" t="s">
        <v>27</v>
      </c>
      <c r="E3755" s="4">
        <v>-32735</v>
      </c>
      <c r="F3755" s="3" t="s">
        <v>612</v>
      </c>
      <c r="G3755" s="3" t="s">
        <v>359</v>
      </c>
      <c r="H3755" s="2" t="s">
        <v>74</v>
      </c>
      <c r="I3755" s="2" t="s">
        <v>10163</v>
      </c>
      <c r="J3755" s="3" t="str">
        <f>HYPERLINK("https://www.boe.es/gazeta/dias/1810/05/16/pdfs/GMD-1810-136.pdf#page=3","Abrir facsímil")</f>
        <v>Abrir facsímil</v>
      </c>
      <c r="K3755" s="3" t="s">
        <v>76</v>
      </c>
    </row>
    <row r="3756" spans="1:11" ht="42" customHeight="1">
      <c r="A3756" s="2" t="s">
        <v>10164</v>
      </c>
      <c r="B3756" s="2" t="s">
        <v>10164</v>
      </c>
      <c r="C3756" s="2" t="s">
        <v>88</v>
      </c>
      <c r="D3756" s="2" t="s">
        <v>27</v>
      </c>
      <c r="E3756" s="4">
        <v>-32766</v>
      </c>
      <c r="F3756" s="3" t="s">
        <v>492</v>
      </c>
      <c r="G3756" s="3" t="s">
        <v>493</v>
      </c>
      <c r="H3756" s="2" t="s">
        <v>74</v>
      </c>
      <c r="I3756" s="2" t="s">
        <v>10165</v>
      </c>
      <c r="J3756" s="3" t="str">
        <f>HYPERLINK("https://www.boe.es/gazeta/dias/1810/04/15/pdfs/GMD-1810-105.pdf#page=4","Abrir facsímil")</f>
        <v>Abrir facsímil</v>
      </c>
      <c r="K3756" s="3" t="s">
        <v>76</v>
      </c>
    </row>
    <row r="3757" spans="1:11" ht="42" customHeight="1">
      <c r="A3757" s="2" t="s">
        <v>10166</v>
      </c>
      <c r="B3757" s="2" t="s">
        <v>10167</v>
      </c>
      <c r="C3757" s="2" t="s">
        <v>26</v>
      </c>
      <c r="D3757" s="2" t="s">
        <v>39</v>
      </c>
      <c r="E3757" s="4">
        <v>-32670</v>
      </c>
      <c r="F3757" s="3" t="s">
        <v>2457</v>
      </c>
      <c r="G3757" s="3" t="s">
        <v>473</v>
      </c>
      <c r="H3757" s="2" t="s">
        <v>74</v>
      </c>
      <c r="I3757" s="2" t="s">
        <v>10168</v>
      </c>
      <c r="J3757" s="3" t="str">
        <f>HYPERLINK("https://www.boe.es/gazeta/dias/1810/07/20/pdfs/GMD-C-1810-201.pdf#page=4","Abrir facsímil")</f>
        <v>Abrir facsímil</v>
      </c>
      <c r="K3757" s="3" t="s">
        <v>76</v>
      </c>
    </row>
    <row r="3758" spans="1:11" ht="42" customHeight="1">
      <c r="A3758" s="2" t="s">
        <v>10166</v>
      </c>
      <c r="B3758" s="2" t="s">
        <v>10167</v>
      </c>
      <c r="C3758" s="2" t="s">
        <v>26</v>
      </c>
      <c r="D3758" s="2" t="s">
        <v>39</v>
      </c>
      <c r="E3758" s="4">
        <v>-32669</v>
      </c>
      <c r="F3758" s="3" t="s">
        <v>1110</v>
      </c>
      <c r="G3758" s="3" t="s">
        <v>213</v>
      </c>
      <c r="H3758" s="2" t="s">
        <v>74</v>
      </c>
      <c r="I3758" s="2" t="s">
        <v>10169</v>
      </c>
      <c r="J3758" s="3" t="str">
        <f>HYPERLINK("https://www.boe.es/gazeta/dias/1810/07/21/pdfs/GMD-C-1810-202.pdf#page=1","Abrir facsímil")</f>
        <v>Abrir facsímil</v>
      </c>
      <c r="K3758" s="3" t="s">
        <v>76</v>
      </c>
    </row>
    <row r="3759" spans="1:11" ht="42" customHeight="1">
      <c r="A3759" s="2" t="s">
        <v>10170</v>
      </c>
      <c r="B3759" s="2" t="s">
        <v>10170</v>
      </c>
      <c r="C3759" s="2" t="s">
        <v>88</v>
      </c>
      <c r="D3759" s="2" t="s">
        <v>117</v>
      </c>
      <c r="E3759" s="4">
        <v>-32743</v>
      </c>
      <c r="F3759" s="3" t="s">
        <v>2265</v>
      </c>
      <c r="G3759" s="3" t="s">
        <v>2654</v>
      </c>
      <c r="H3759" s="2" t="s">
        <v>74</v>
      </c>
      <c r="I3759" s="2" t="s">
        <v>10171</v>
      </c>
      <c r="J3759" s="3" t="str">
        <f>HYPERLINK("https://www.boe.es/gazeta/dias/1810/05/08/pdfs/GEI-1810-22.pdf#page=1","Abrir facsímil")</f>
        <v>Abrir facsímil</v>
      </c>
      <c r="K3759" s="3" t="s">
        <v>76</v>
      </c>
    </row>
    <row r="3760" spans="1:11" ht="42" customHeight="1">
      <c r="A3760" s="2" t="s">
        <v>10172</v>
      </c>
      <c r="B3760" s="2" t="s">
        <v>10173</v>
      </c>
      <c r="C3760" s="2" t="s">
        <v>88</v>
      </c>
      <c r="D3760" s="2" t="s">
        <v>18</v>
      </c>
      <c r="E3760" s="4">
        <v>-32728</v>
      </c>
      <c r="F3760" s="3" t="s">
        <v>269</v>
      </c>
      <c r="G3760" s="3" t="s">
        <v>70</v>
      </c>
      <c r="H3760" s="2" t="s">
        <v>74</v>
      </c>
      <c r="I3760" s="2" t="s">
        <v>10174</v>
      </c>
      <c r="J3760" s="3" t="str">
        <f>HYPERLINK("https://www.boe.es/gazeta/dias/1810/05/23/pdfs/GMD-1810-143.pdf#page=4","Abrir facsímil")</f>
        <v>Abrir facsímil</v>
      </c>
      <c r="K3760" s="3" t="s">
        <v>76</v>
      </c>
    </row>
    <row r="3761" spans="1:11" ht="42" customHeight="1">
      <c r="A3761" s="2" t="s">
        <v>10175</v>
      </c>
      <c r="B3761" s="2" t="s">
        <v>10176</v>
      </c>
      <c r="C3761" s="2" t="s">
        <v>225</v>
      </c>
      <c r="D3761" s="2" t="s">
        <v>27</v>
      </c>
      <c r="E3761" s="4">
        <v>-32729</v>
      </c>
      <c r="F3761" s="3" t="s">
        <v>174</v>
      </c>
      <c r="G3761" s="3" t="s">
        <v>2671</v>
      </c>
      <c r="H3761" s="2" t="s">
        <v>74</v>
      </c>
      <c r="I3761" s="2" t="s">
        <v>10177</v>
      </c>
      <c r="J3761" s="3" t="str">
        <f>HYPERLINK("https://www.boe.es/gazeta/dias/1810/05/22/pdfs/GEI-1810-28.pdf#page=6","Abrir facsímil")</f>
        <v>Abrir facsímil</v>
      </c>
      <c r="K3761" s="3" t="s">
        <v>76</v>
      </c>
    </row>
    <row r="3762" spans="1:11" ht="42" customHeight="1">
      <c r="A3762" s="2" t="s">
        <v>10178</v>
      </c>
      <c r="B3762" s="2" t="s">
        <v>10178</v>
      </c>
      <c r="C3762" s="2" t="s">
        <v>88</v>
      </c>
      <c r="D3762" s="2" t="s">
        <v>27</v>
      </c>
      <c r="E3762" s="4">
        <v>-32531</v>
      </c>
      <c r="F3762" s="3" t="s">
        <v>2023</v>
      </c>
      <c r="G3762" s="3" t="s">
        <v>180</v>
      </c>
      <c r="H3762" s="2" t="s">
        <v>74</v>
      </c>
      <c r="I3762" s="2" t="s">
        <v>10179</v>
      </c>
      <c r="J3762" s="3" t="str">
        <f>HYPERLINK("https://www.boe.es/gazeta/dias/1810/12/06/pdfs/GMD-1810-340.pdf#page=1","Abrir facsímil")</f>
        <v>Abrir facsímil</v>
      </c>
      <c r="K3762" s="3" t="s">
        <v>76</v>
      </c>
    </row>
    <row r="3763" spans="1:11" ht="42" customHeight="1">
      <c r="A3763" s="2" t="s">
        <v>10180</v>
      </c>
      <c r="B3763" s="2" t="s">
        <v>10181</v>
      </c>
      <c r="C3763" s="2" t="s">
        <v>26</v>
      </c>
      <c r="D3763" s="2" t="s">
        <v>27</v>
      </c>
      <c r="E3763" s="4">
        <v>-32640</v>
      </c>
      <c r="F3763" s="3" t="s">
        <v>10182</v>
      </c>
      <c r="G3763" s="3" t="s">
        <v>10183</v>
      </c>
      <c r="H3763" s="2" t="s">
        <v>74</v>
      </c>
      <c r="I3763" s="2" t="s">
        <v>10184</v>
      </c>
      <c r="J3763" s="3" t="str">
        <f>HYPERLINK("https://www.boe.es/gazeta/dias/1810/08/19/pdfs/GMD-1810-231.pdf#page=4","Abrir facsímil")</f>
        <v>Abrir facsímil</v>
      </c>
      <c r="K3763" s="3" t="s">
        <v>76</v>
      </c>
    </row>
    <row r="3764" spans="1:11" ht="42" customHeight="1">
      <c r="A3764" s="2" t="s">
        <v>10185</v>
      </c>
      <c r="B3764" s="2" t="s">
        <v>10185</v>
      </c>
      <c r="C3764" s="2" t="s">
        <v>225</v>
      </c>
      <c r="D3764" s="2" t="s">
        <v>117</v>
      </c>
      <c r="E3764" s="4">
        <v>-32531</v>
      </c>
      <c r="F3764" s="3" t="s">
        <v>2023</v>
      </c>
      <c r="G3764" s="3" t="s">
        <v>70</v>
      </c>
      <c r="H3764" s="2" t="s">
        <v>74</v>
      </c>
      <c r="I3764" s="2" t="s">
        <v>10186</v>
      </c>
      <c r="J3764" s="3" t="str">
        <f>HYPERLINK("https://www.boe.es/gazeta/dias/1810/12/06/pdfs/GMD-1810-340.pdf#page=3","Abrir facsímil")</f>
        <v>Abrir facsímil</v>
      </c>
      <c r="K3764" s="3" t="s">
        <v>76</v>
      </c>
    </row>
    <row r="3765" spans="1:11" ht="42" customHeight="1">
      <c r="A3765" s="2" t="s">
        <v>10187</v>
      </c>
      <c r="B3765" s="2" t="s">
        <v>10187</v>
      </c>
      <c r="C3765" s="2" t="s">
        <v>317</v>
      </c>
      <c r="D3765" s="2" t="s">
        <v>39</v>
      </c>
      <c r="E3765" s="4">
        <v>-32684</v>
      </c>
      <c r="F3765" s="3" t="s">
        <v>295</v>
      </c>
      <c r="G3765" s="3" t="s">
        <v>213</v>
      </c>
      <c r="H3765" s="2" t="s">
        <v>74</v>
      </c>
      <c r="I3765" s="2" t="s">
        <v>10188</v>
      </c>
      <c r="J3765" s="3" t="str">
        <f>HYPERLINK("https://www.boe.es/gazeta/dias/1810/07/06/pdfs/GMD-C-1810-187.pdf#page=2","Abrir facsímil")</f>
        <v>Abrir facsímil</v>
      </c>
      <c r="K3765" s="3" t="s">
        <v>76</v>
      </c>
    </row>
    <row r="3766" spans="1:11" ht="42" customHeight="1">
      <c r="A3766" s="2" t="s">
        <v>10189</v>
      </c>
      <c r="B3766" s="2" t="s">
        <v>10190</v>
      </c>
      <c r="C3766" s="2" t="s">
        <v>26</v>
      </c>
      <c r="D3766" s="2" t="s">
        <v>27</v>
      </c>
      <c r="E3766" s="4">
        <v>-32756</v>
      </c>
      <c r="F3766" s="3" t="s">
        <v>203</v>
      </c>
      <c r="G3766" s="3" t="s">
        <v>180</v>
      </c>
      <c r="H3766" s="2" t="s">
        <v>74</v>
      </c>
      <c r="I3766" s="2" t="s">
        <v>10191</v>
      </c>
      <c r="J3766" s="3" t="str">
        <f>HYPERLINK("https://www.boe.es/gazeta/dias/1810/04/25/pdfs/GMD-1810-115.pdf#page=4","Abrir facsímil")</f>
        <v>Abrir facsímil</v>
      </c>
      <c r="K3766" s="3" t="s">
        <v>76</v>
      </c>
    </row>
    <row r="3767" spans="1:11" ht="42" customHeight="1">
      <c r="A3767" s="2" t="s">
        <v>10192</v>
      </c>
      <c r="B3767" s="2" t="s">
        <v>10193</v>
      </c>
      <c r="C3767" s="2" t="s">
        <v>26</v>
      </c>
      <c r="D3767" s="2" t="s">
        <v>39</v>
      </c>
      <c r="E3767" s="4">
        <v>-32702</v>
      </c>
      <c r="F3767" s="3" t="s">
        <v>179</v>
      </c>
      <c r="G3767" s="3" t="s">
        <v>180</v>
      </c>
      <c r="H3767" s="2" t="s">
        <v>74</v>
      </c>
      <c r="I3767" s="2" t="s">
        <v>10194</v>
      </c>
      <c r="J3767" s="3" t="str">
        <f>HYPERLINK("https://www.boe.es/gazeta/dias/1810/06/18/pdfs/GMD-C-1810-169.pdf#page=2","Abrir facsímil")</f>
        <v>Abrir facsímil</v>
      </c>
      <c r="K3767" s="3" t="s">
        <v>76</v>
      </c>
    </row>
    <row r="3768" spans="1:11" ht="42" customHeight="1">
      <c r="A3768" s="2" t="s">
        <v>10195</v>
      </c>
      <c r="B3768" s="2" t="s">
        <v>10196</v>
      </c>
      <c r="C3768" s="2" t="s">
        <v>26</v>
      </c>
      <c r="D3768" s="2" t="s">
        <v>27</v>
      </c>
      <c r="E3768" s="4">
        <v>-32591</v>
      </c>
      <c r="F3768" s="3" t="s">
        <v>377</v>
      </c>
      <c r="G3768" s="3" t="s">
        <v>140</v>
      </c>
      <c r="H3768" s="2" t="s">
        <v>74</v>
      </c>
      <c r="I3768" s="2" t="s">
        <v>10197</v>
      </c>
      <c r="J3768" s="3" t="str">
        <f>HYPERLINK("https://www.boe.es/gazeta/dias/1810/10/07/pdfs/GMD-1810-280.pdf#page=4","Abrir facsímil")</f>
        <v>Abrir facsímil</v>
      </c>
      <c r="K3768" s="3" t="s">
        <v>76</v>
      </c>
    </row>
    <row r="3769" spans="1:11" ht="42" customHeight="1">
      <c r="A3769" s="2" t="s">
        <v>10198</v>
      </c>
      <c r="B3769" s="2" t="s">
        <v>10199</v>
      </c>
      <c r="C3769" s="2" t="s">
        <v>26</v>
      </c>
      <c r="D3769" s="2" t="s">
        <v>27</v>
      </c>
      <c r="E3769" s="4">
        <v>-32689</v>
      </c>
      <c r="F3769" s="3" t="s">
        <v>571</v>
      </c>
      <c r="G3769" s="3" t="s">
        <v>140</v>
      </c>
      <c r="H3769" s="2" t="s">
        <v>74</v>
      </c>
      <c r="I3769" s="2" t="s">
        <v>10200</v>
      </c>
      <c r="J3769" s="3" t="str">
        <f>HYPERLINK("https://www.boe.es/gazeta/dias/1810/07/01/pdfs/GMD-1810-182.pdf#page=4","Abrir facsímil")</f>
        <v>Abrir facsímil</v>
      </c>
      <c r="K3769" s="3" t="s">
        <v>76</v>
      </c>
    </row>
    <row r="3770" spans="1:11" ht="42" customHeight="1">
      <c r="A3770" s="2" t="s">
        <v>10201</v>
      </c>
      <c r="B3770" s="2" t="s">
        <v>10202</v>
      </c>
      <c r="C3770" s="2" t="s">
        <v>26</v>
      </c>
      <c r="D3770" s="2" t="s">
        <v>39</v>
      </c>
      <c r="E3770" s="4">
        <v>-32702</v>
      </c>
      <c r="F3770" s="3" t="s">
        <v>179</v>
      </c>
      <c r="G3770" s="3" t="s">
        <v>119</v>
      </c>
      <c r="H3770" s="2" t="s">
        <v>74</v>
      </c>
      <c r="I3770" s="2" t="s">
        <v>10203</v>
      </c>
      <c r="J3770" s="3" t="str">
        <f>HYPERLINK("https://www.boe.es/gazeta/dias/1810/06/18/pdfs/GMD-C-1810-169.pdf#page=1","Abrir facsímil")</f>
        <v>Abrir facsímil</v>
      </c>
      <c r="K3770" s="3" t="s">
        <v>76</v>
      </c>
    </row>
    <row r="3771" spans="1:11" ht="42" customHeight="1">
      <c r="A3771" s="2" t="s">
        <v>10204</v>
      </c>
      <c r="B3771" s="2" t="s">
        <v>10205</v>
      </c>
      <c r="C3771" s="2" t="s">
        <v>111</v>
      </c>
      <c r="D3771" s="2" t="s">
        <v>27</v>
      </c>
      <c r="E3771" s="4">
        <v>-32617</v>
      </c>
      <c r="F3771" s="3" t="s">
        <v>1459</v>
      </c>
      <c r="G3771" s="3" t="s">
        <v>2771</v>
      </c>
      <c r="H3771" s="2" t="s">
        <v>74</v>
      </c>
      <c r="I3771" s="2" t="s">
        <v>10206</v>
      </c>
      <c r="J3771" s="3" t="str">
        <f>HYPERLINK("https://www.boe.es/gazeta/dias/1810/09/11/pdfs/GEI-1810-66.pdf#page=3","Abrir facsímil")</f>
        <v>Abrir facsímil</v>
      </c>
      <c r="K3771" s="3" t="s">
        <v>76</v>
      </c>
    </row>
    <row r="3772" spans="1:11" ht="42" customHeight="1">
      <c r="A3772" s="2" t="s">
        <v>10207</v>
      </c>
      <c r="B3772" s="2" t="s">
        <v>10207</v>
      </c>
      <c r="C3772" s="2" t="s">
        <v>26</v>
      </c>
      <c r="D3772" s="2" t="s">
        <v>27</v>
      </c>
      <c r="E3772" s="4">
        <v>-32646</v>
      </c>
      <c r="F3772" s="3" t="s">
        <v>6939</v>
      </c>
      <c r="G3772" s="3" t="s">
        <v>180</v>
      </c>
      <c r="H3772" s="2" t="s">
        <v>74</v>
      </c>
      <c r="I3772" s="2" t="s">
        <v>10208</v>
      </c>
      <c r="J3772" s="3" t="str">
        <f>HYPERLINK("https://www.boe.es/gazeta/dias/1810/08/13/pdfs/GMD-1810-225.pdf#page=1","Abrir facsímil")</f>
        <v>Abrir facsímil</v>
      </c>
      <c r="K3772" s="3" t="s">
        <v>76</v>
      </c>
    </row>
    <row r="3773" spans="1:11" ht="42" customHeight="1">
      <c r="A3773" s="2" t="s">
        <v>10209</v>
      </c>
      <c r="B3773" s="2" t="s">
        <v>10210</v>
      </c>
      <c r="C3773" s="2" t="s">
        <v>88</v>
      </c>
      <c r="D3773" s="2" t="s">
        <v>117</v>
      </c>
      <c r="E3773" s="4">
        <v>-32848</v>
      </c>
      <c r="F3773" s="3" t="s">
        <v>558</v>
      </c>
      <c r="G3773" s="3" t="s">
        <v>559</v>
      </c>
      <c r="H3773" s="2" t="s">
        <v>74</v>
      </c>
      <c r="I3773" s="2" t="s">
        <v>10211</v>
      </c>
      <c r="J3773" s="3" t="str">
        <f>HYPERLINK("https://www.boe.es/gazeta/dias/1810/01/23/pdfs/GGB-1810-10.pdf#page=7","Abrir facsímil")</f>
        <v>Abrir facsímil</v>
      </c>
      <c r="K3773" s="3" t="s">
        <v>76</v>
      </c>
    </row>
    <row r="3774" spans="1:11" ht="42" customHeight="1">
      <c r="A3774" s="2" t="s">
        <v>10212</v>
      </c>
      <c r="B3774" s="2" t="s">
        <v>10213</v>
      </c>
      <c r="C3774" s="2" t="s">
        <v>26</v>
      </c>
      <c r="D3774" s="2" t="s">
        <v>39</v>
      </c>
      <c r="E3774" s="4">
        <v>-32702</v>
      </c>
      <c r="F3774" s="3" t="s">
        <v>179</v>
      </c>
      <c r="G3774" s="3" t="s">
        <v>180</v>
      </c>
      <c r="H3774" s="2" t="s">
        <v>74</v>
      </c>
      <c r="I3774" s="2" t="s">
        <v>10214</v>
      </c>
      <c r="J3774" s="3" t="str">
        <f>HYPERLINK("https://www.boe.es/gazeta/dias/1810/06/18/pdfs/GMD-C-1810-169.pdf#page=2","Abrir facsímil")</f>
        <v>Abrir facsímil</v>
      </c>
      <c r="K3774" s="3" t="s">
        <v>76</v>
      </c>
    </row>
    <row r="3775" spans="1:11" ht="42" customHeight="1">
      <c r="A3775" s="2" t="s">
        <v>10215</v>
      </c>
      <c r="B3775" s="2" t="s">
        <v>10215</v>
      </c>
      <c r="C3775" s="2" t="s">
        <v>111</v>
      </c>
      <c r="D3775" s="2" t="s">
        <v>220</v>
      </c>
      <c r="E3775" s="4">
        <v>-32508</v>
      </c>
      <c r="F3775" s="3" t="s">
        <v>2609</v>
      </c>
      <c r="G3775" s="3" t="s">
        <v>2610</v>
      </c>
      <c r="H3775" s="2" t="s">
        <v>74</v>
      </c>
      <c r="I3775" s="2" t="s">
        <v>10216</v>
      </c>
      <c r="J3775" s="3" t="str">
        <f>HYPERLINK("https://www.boe.es/gazeta/dias/1810/12/29/pdfs/GMD-1810-363.pdf#page=3","Abrir facsímil")</f>
        <v>Abrir facsímil</v>
      </c>
      <c r="K3775" s="3" t="s">
        <v>76</v>
      </c>
    </row>
    <row r="3776" spans="1:11" ht="42" customHeight="1">
      <c r="A3776" s="2" t="s">
        <v>10217</v>
      </c>
      <c r="B3776" s="2" t="s">
        <v>10218</v>
      </c>
      <c r="C3776" s="2" t="s">
        <v>88</v>
      </c>
      <c r="D3776" s="2" t="s">
        <v>27</v>
      </c>
      <c r="E3776" s="4">
        <v>-32713</v>
      </c>
      <c r="F3776" s="3" t="s">
        <v>959</v>
      </c>
      <c r="G3776" s="3" t="s">
        <v>960</v>
      </c>
      <c r="H3776" s="2" t="s">
        <v>74</v>
      </c>
      <c r="I3776" s="2" t="s">
        <v>10219</v>
      </c>
      <c r="J3776" s="3" t="str">
        <f>HYPERLINK("https://www.boe.es/gazeta/dias/1810/06/07/pdfs/GMD-1810-158.pdf#page=4","Abrir facsímil")</f>
        <v>Abrir facsímil</v>
      </c>
      <c r="K3776" s="3" t="s">
        <v>76</v>
      </c>
    </row>
    <row r="3777" spans="1:11" ht="42" customHeight="1">
      <c r="A3777" s="2" t="s">
        <v>10220</v>
      </c>
      <c r="B3777" s="2" t="s">
        <v>10221</v>
      </c>
      <c r="C3777" s="2" t="s">
        <v>33</v>
      </c>
      <c r="D3777" s="2" t="s">
        <v>27</v>
      </c>
      <c r="E3777" s="4">
        <v>-32710</v>
      </c>
      <c r="F3777" s="3" t="s">
        <v>126</v>
      </c>
      <c r="G3777" s="3" t="s">
        <v>184</v>
      </c>
      <c r="H3777" s="2" t="s">
        <v>74</v>
      </c>
      <c r="I3777" s="2" t="s">
        <v>10222</v>
      </c>
      <c r="J3777" s="3" t="str">
        <f>HYPERLINK("https://www.boe.es/gazeta/dias/1810/06/10/pdfs/GMD-1810-161.pdf#page=3","Abrir facsímil")</f>
        <v>Abrir facsímil</v>
      </c>
      <c r="K3777" s="3" t="s">
        <v>76</v>
      </c>
    </row>
    <row r="3778" spans="1:11" ht="42" customHeight="1">
      <c r="A3778" s="2" t="s">
        <v>10223</v>
      </c>
      <c r="B3778" s="2" t="s">
        <v>10223</v>
      </c>
      <c r="C3778" s="2" t="s">
        <v>88</v>
      </c>
      <c r="D3778" s="2" t="s">
        <v>18</v>
      </c>
      <c r="E3778" s="4">
        <v>-32621</v>
      </c>
      <c r="F3778" s="3" t="s">
        <v>674</v>
      </c>
      <c r="G3778" s="3" t="s">
        <v>20</v>
      </c>
      <c r="H3778" s="2" t="s">
        <v>74</v>
      </c>
      <c r="I3778" s="2" t="s">
        <v>10224</v>
      </c>
      <c r="J3778" s="3" t="str">
        <f>HYPERLINK("https://www.boe.es/gazeta/dias/1810/09/07/pdfs/GEI-1810-65.pdf#page=4","Abrir facsímil")</f>
        <v>Abrir facsímil</v>
      </c>
      <c r="K3778" s="3" t="s">
        <v>76</v>
      </c>
    </row>
    <row r="3779" spans="1:11" ht="42" customHeight="1">
      <c r="A3779" s="2" t="s">
        <v>10225</v>
      </c>
      <c r="B3779" s="2" t="s">
        <v>10225</v>
      </c>
      <c r="C3779" s="2" t="s">
        <v>88</v>
      </c>
      <c r="D3779" s="2" t="s">
        <v>27</v>
      </c>
      <c r="E3779" s="4">
        <v>-32659</v>
      </c>
      <c r="F3779" s="3" t="s">
        <v>1684</v>
      </c>
      <c r="G3779" s="3" t="s">
        <v>8241</v>
      </c>
      <c r="H3779" s="2" t="s">
        <v>74</v>
      </c>
      <c r="I3779" s="2" t="s">
        <v>10226</v>
      </c>
      <c r="J3779" s="3" t="str">
        <f>HYPERLINK("https://www.boe.es/gazeta/dias/1810/07/31/pdfs/GMD-1810-212.pdf#page=3","Abrir facsímil")</f>
        <v>Abrir facsímil</v>
      </c>
      <c r="K3779" s="3" t="s">
        <v>76</v>
      </c>
    </row>
    <row r="3780" spans="1:11" ht="42" customHeight="1">
      <c r="A3780" s="2" t="s">
        <v>10225</v>
      </c>
      <c r="B3780" s="2" t="s">
        <v>10225</v>
      </c>
      <c r="C3780" s="2" t="s">
        <v>88</v>
      </c>
      <c r="D3780" s="2" t="s">
        <v>117</v>
      </c>
      <c r="E3780" s="4">
        <v>-32531</v>
      </c>
      <c r="F3780" s="3" t="s">
        <v>2483</v>
      </c>
      <c r="G3780" s="3" t="s">
        <v>2686</v>
      </c>
      <c r="H3780" s="2" t="s">
        <v>74</v>
      </c>
      <c r="I3780" s="2" t="s">
        <v>10227</v>
      </c>
      <c r="J3780" s="3" t="str">
        <f>HYPERLINK("https://www.boe.es/gazeta/dias/1810/12/06/pdfs/GEI-1810-104.pdf#page=8","Abrir facsímil")</f>
        <v>Abrir facsímil</v>
      </c>
      <c r="K3780" s="3" t="s">
        <v>76</v>
      </c>
    </row>
    <row r="3781" spans="1:11" ht="42" customHeight="1">
      <c r="A3781" s="2" t="s">
        <v>10228</v>
      </c>
      <c r="B3781" s="2" t="s">
        <v>10228</v>
      </c>
      <c r="C3781" s="2" t="s">
        <v>88</v>
      </c>
      <c r="D3781" s="2" t="s">
        <v>27</v>
      </c>
      <c r="E3781" s="4">
        <v>-32659</v>
      </c>
      <c r="F3781" s="3" t="s">
        <v>1684</v>
      </c>
      <c r="G3781" s="3" t="s">
        <v>8241</v>
      </c>
      <c r="H3781" s="2" t="s">
        <v>74</v>
      </c>
      <c r="I3781" s="2" t="s">
        <v>10229</v>
      </c>
      <c r="J3781" s="3" t="str">
        <f>HYPERLINK("https://www.boe.es/gazeta/dias/1810/07/31/pdfs/GMD-1810-212.pdf#page=3","Abrir facsímil")</f>
        <v>Abrir facsímil</v>
      </c>
      <c r="K3781" s="3" t="s">
        <v>76</v>
      </c>
    </row>
    <row r="3782" spans="1:11" ht="42" customHeight="1">
      <c r="A3782" s="2" t="s">
        <v>10228</v>
      </c>
      <c r="B3782" s="2" t="s">
        <v>10228</v>
      </c>
      <c r="C3782" s="2" t="s">
        <v>88</v>
      </c>
      <c r="D3782" s="2" t="s">
        <v>27</v>
      </c>
      <c r="E3782" s="4">
        <v>-32645</v>
      </c>
      <c r="F3782" s="3" t="s">
        <v>122</v>
      </c>
      <c r="G3782" s="3" t="s">
        <v>227</v>
      </c>
      <c r="H3782" s="2" t="s">
        <v>74</v>
      </c>
      <c r="I3782" s="2" t="s">
        <v>10230</v>
      </c>
      <c r="J3782" s="3" t="str">
        <f>HYPERLINK("https://www.boe.es/gazeta/dias/1810/08/14/pdfs/GEI-1810-56.pdf#page=11","Abrir facsímil")</f>
        <v>Abrir facsímil</v>
      </c>
      <c r="K3782" s="3" t="s">
        <v>76</v>
      </c>
    </row>
    <row r="3783" spans="1:11" ht="42" customHeight="1">
      <c r="A3783" s="2" t="s">
        <v>10228</v>
      </c>
      <c r="B3783" s="2" t="s">
        <v>10228</v>
      </c>
      <c r="C3783" s="2" t="s">
        <v>88</v>
      </c>
      <c r="D3783" s="2" t="s">
        <v>27</v>
      </c>
      <c r="E3783" s="4">
        <v>-32645</v>
      </c>
      <c r="F3783" s="3" t="s">
        <v>122</v>
      </c>
      <c r="G3783" s="3" t="s">
        <v>1540</v>
      </c>
      <c r="H3783" s="2" t="s">
        <v>74</v>
      </c>
      <c r="I3783" s="2" t="s">
        <v>10231</v>
      </c>
      <c r="J3783" s="3" t="str">
        <f>HYPERLINK("https://www.boe.es/gazeta/dias/1810/08/14/pdfs/GEI-1810-56.pdf#page=12","Abrir facsímil")</f>
        <v>Abrir facsímil</v>
      </c>
      <c r="K3783" s="3" t="s">
        <v>76</v>
      </c>
    </row>
    <row r="3784" spans="1:11" ht="42" customHeight="1">
      <c r="A3784" s="2" t="s">
        <v>10228</v>
      </c>
      <c r="B3784" s="2" t="s">
        <v>10228</v>
      </c>
      <c r="C3784" s="2" t="s">
        <v>88</v>
      </c>
      <c r="D3784" s="2" t="s">
        <v>27</v>
      </c>
      <c r="E3784" s="4">
        <v>-32636</v>
      </c>
      <c r="F3784" s="3" t="s">
        <v>10232</v>
      </c>
      <c r="G3784" s="3" t="s">
        <v>104</v>
      </c>
      <c r="H3784" s="2" t="s">
        <v>74</v>
      </c>
      <c r="I3784" s="2" t="s">
        <v>10233</v>
      </c>
      <c r="J3784" s="3" t="str">
        <f>HYPERLINK("https://www.boe.es/gazeta/dias/1810/08/23/pdfs/GMD-1810-235.pdf#page=2","Abrir facsímil")</f>
        <v>Abrir facsímil</v>
      </c>
      <c r="K3784" s="3" t="s">
        <v>76</v>
      </c>
    </row>
    <row r="3785" spans="1:11" ht="42" customHeight="1">
      <c r="A3785" s="2" t="s">
        <v>10228</v>
      </c>
      <c r="B3785" s="2" t="s">
        <v>10228</v>
      </c>
      <c r="C3785" s="2" t="s">
        <v>88</v>
      </c>
      <c r="D3785" s="2" t="s">
        <v>117</v>
      </c>
      <c r="E3785" s="4">
        <v>-32599</v>
      </c>
      <c r="F3785" s="3" t="s">
        <v>6642</v>
      </c>
      <c r="G3785" s="3" t="s">
        <v>41</v>
      </c>
      <c r="H3785" s="2" t="s">
        <v>74</v>
      </c>
      <c r="I3785" s="2" t="s">
        <v>10234</v>
      </c>
      <c r="J3785" s="3" t="str">
        <f>HYPERLINK("https://www.boe.es/gazeta/dias/1810/09/29/pdfs/GEI-1810-75.pdf#page=2","Abrir facsímil")</f>
        <v>Abrir facsímil</v>
      </c>
      <c r="K3785" s="3" t="s">
        <v>76</v>
      </c>
    </row>
    <row r="3786" spans="1:11" ht="42" customHeight="1">
      <c r="A3786" s="2" t="s">
        <v>10228</v>
      </c>
      <c r="B3786" s="2" t="s">
        <v>10228</v>
      </c>
      <c r="C3786" s="2" t="s">
        <v>88</v>
      </c>
      <c r="D3786" s="2" t="s">
        <v>117</v>
      </c>
      <c r="E3786" s="4">
        <v>-32580</v>
      </c>
      <c r="F3786" s="3" t="s">
        <v>2508</v>
      </c>
      <c r="G3786" s="3" t="s">
        <v>1590</v>
      </c>
      <c r="H3786" s="2" t="s">
        <v>74</v>
      </c>
      <c r="I3786" s="2" t="s">
        <v>10235</v>
      </c>
      <c r="J3786" s="3" t="str">
        <f>HYPERLINK("https://www.boe.es/gazeta/dias/1810/10/18/pdfs/GEI-1810-83.pdf#page=2","Abrir facsímil")</f>
        <v>Abrir facsímil</v>
      </c>
      <c r="K3786" s="3" t="s">
        <v>76</v>
      </c>
    </row>
    <row r="3787" spans="1:11" ht="42" customHeight="1">
      <c r="A3787" s="2" t="s">
        <v>10236</v>
      </c>
      <c r="B3787" s="2" t="s">
        <v>10236</v>
      </c>
      <c r="C3787" s="2" t="s">
        <v>88</v>
      </c>
      <c r="D3787" s="2" t="s">
        <v>27</v>
      </c>
      <c r="E3787" s="4">
        <v>-32555</v>
      </c>
      <c r="F3787" s="3" t="s">
        <v>10237</v>
      </c>
      <c r="G3787" s="3" t="s">
        <v>140</v>
      </c>
      <c r="H3787" s="2" t="s">
        <v>74</v>
      </c>
      <c r="I3787" s="2" t="s">
        <v>10238</v>
      </c>
      <c r="J3787" s="3" t="str">
        <f>HYPERLINK("https://www.boe.es/gazeta/dias/1810/11/12/pdfs/GMD-1810-316.pdf#page=2","Abrir facsímil")</f>
        <v>Abrir facsímil</v>
      </c>
      <c r="K3787" s="3" t="s">
        <v>76</v>
      </c>
    </row>
    <row r="3788" spans="1:11" ht="42" customHeight="1">
      <c r="A3788" s="2" t="s">
        <v>10228</v>
      </c>
      <c r="B3788" s="2" t="s">
        <v>10228</v>
      </c>
      <c r="C3788" s="2" t="s">
        <v>88</v>
      </c>
      <c r="D3788" s="2" t="s">
        <v>117</v>
      </c>
      <c r="E3788" s="4">
        <v>-32554</v>
      </c>
      <c r="F3788" s="3" t="s">
        <v>5190</v>
      </c>
      <c r="G3788" s="3" t="s">
        <v>10239</v>
      </c>
      <c r="H3788" s="2" t="s">
        <v>74</v>
      </c>
      <c r="I3788" s="2" t="s">
        <v>10240</v>
      </c>
      <c r="J3788" s="3" t="str">
        <f>HYPERLINK("https://www.boe.es/gazeta/dias/1810/11/13/pdfs/GEI-1810-94.pdf#page=6","Abrir facsímil")</f>
        <v>Abrir facsímil</v>
      </c>
      <c r="K3788" s="3" t="s">
        <v>76</v>
      </c>
    </row>
    <row r="3789" spans="1:11" ht="42" customHeight="1">
      <c r="A3789" s="2" t="s">
        <v>10228</v>
      </c>
      <c r="B3789" s="2" t="s">
        <v>10228</v>
      </c>
      <c r="C3789" s="2" t="s">
        <v>88</v>
      </c>
      <c r="D3789" s="2" t="s">
        <v>27</v>
      </c>
      <c r="E3789" s="4">
        <v>-32526</v>
      </c>
      <c r="F3789" s="3" t="s">
        <v>530</v>
      </c>
      <c r="G3789" s="3" t="s">
        <v>113</v>
      </c>
      <c r="H3789" s="2" t="s">
        <v>74</v>
      </c>
      <c r="I3789" s="2" t="s">
        <v>10241</v>
      </c>
      <c r="J3789" s="3" t="str">
        <f>HYPERLINK("https://www.boe.es/gazeta/dias/1810/12/11/pdfs/GEI-1810-106.pdf#page=5","Abrir facsímil")</f>
        <v>Abrir facsímil</v>
      </c>
      <c r="K3789" s="3" t="s">
        <v>76</v>
      </c>
    </row>
    <row r="3790" spans="1:11" ht="42" customHeight="1">
      <c r="A3790" s="2" t="s">
        <v>10228</v>
      </c>
      <c r="B3790" s="2" t="s">
        <v>10228</v>
      </c>
      <c r="C3790" s="2" t="s">
        <v>88</v>
      </c>
      <c r="D3790" s="2" t="s">
        <v>27</v>
      </c>
      <c r="E3790" s="4">
        <v>-32526</v>
      </c>
      <c r="F3790" s="3" t="s">
        <v>530</v>
      </c>
      <c r="G3790" s="3" t="s">
        <v>1044</v>
      </c>
      <c r="H3790" s="2" t="s">
        <v>74</v>
      </c>
      <c r="I3790" s="2" t="s">
        <v>10242</v>
      </c>
      <c r="J3790" s="3" t="str">
        <f>HYPERLINK("https://www.boe.es/gazeta/dias/1810/12/11/pdfs/GEI-1810-106.pdf#page=6","Abrir facsímil")</f>
        <v>Abrir facsímil</v>
      </c>
      <c r="K3790" s="3" t="s">
        <v>76</v>
      </c>
    </row>
    <row r="3791" spans="1:11" ht="42" customHeight="1">
      <c r="A3791" s="2" t="s">
        <v>10228</v>
      </c>
      <c r="B3791" s="2" t="s">
        <v>10228</v>
      </c>
      <c r="C3791" s="2" t="s">
        <v>88</v>
      </c>
      <c r="D3791" s="2" t="s">
        <v>117</v>
      </c>
      <c r="E3791" s="4">
        <v>-32526</v>
      </c>
      <c r="F3791" s="3" t="s">
        <v>530</v>
      </c>
      <c r="G3791" s="3" t="s">
        <v>636</v>
      </c>
      <c r="H3791" s="2" t="s">
        <v>74</v>
      </c>
      <c r="I3791" s="2" t="s">
        <v>10243</v>
      </c>
      <c r="J3791" s="3" t="str">
        <f>HYPERLINK("https://www.boe.es/gazeta/dias/1810/12/11/pdfs/GEI-1810-106.pdf#page=8","Abrir facsímil")</f>
        <v>Abrir facsímil</v>
      </c>
      <c r="K3791" s="3" t="s">
        <v>76</v>
      </c>
    </row>
    <row r="3792" spans="1:11" ht="42" customHeight="1">
      <c r="A3792" s="2" t="s">
        <v>10228</v>
      </c>
      <c r="B3792" s="2" t="s">
        <v>10228</v>
      </c>
      <c r="C3792" s="2" t="s">
        <v>88</v>
      </c>
      <c r="D3792" s="2" t="s">
        <v>117</v>
      </c>
      <c r="E3792" s="4">
        <v>-32515</v>
      </c>
      <c r="F3792" s="3" t="s">
        <v>351</v>
      </c>
      <c r="G3792" s="3" t="s">
        <v>1408</v>
      </c>
      <c r="H3792" s="2" t="s">
        <v>74</v>
      </c>
      <c r="I3792" s="2" t="s">
        <v>10244</v>
      </c>
      <c r="J3792" s="3" t="str">
        <f>HYPERLINK("https://www.boe.es/gazeta/dias/1810/12/22/pdfs/GEI-1810-111.pdf#page=6","Abrir facsímil")</f>
        <v>Abrir facsímil</v>
      </c>
      <c r="K3792" s="3" t="s">
        <v>76</v>
      </c>
    </row>
    <row r="3793" spans="1:11" ht="42" customHeight="1">
      <c r="A3793" s="2" t="s">
        <v>10245</v>
      </c>
      <c r="B3793" s="2" t="s">
        <v>10246</v>
      </c>
      <c r="C3793" s="2" t="s">
        <v>26</v>
      </c>
      <c r="D3793" s="2" t="s">
        <v>39</v>
      </c>
      <c r="E3793" s="4">
        <v>-32701</v>
      </c>
      <c r="F3793" s="3" t="s">
        <v>40</v>
      </c>
      <c r="G3793" s="3" t="s">
        <v>170</v>
      </c>
      <c r="H3793" s="2" t="s">
        <v>74</v>
      </c>
      <c r="I3793" s="2" t="s">
        <v>10247</v>
      </c>
      <c r="J3793" s="3" t="str">
        <f>HYPERLINK("https://www.boe.es/gazeta/dias/1810/06/19/pdfs/GMD-C-1810-170.pdf#page=1","Abrir facsímil")</f>
        <v>Abrir facsímil</v>
      </c>
      <c r="K3793" s="3" t="s">
        <v>76</v>
      </c>
    </row>
    <row r="3794" spans="1:11" ht="42" customHeight="1">
      <c r="A3794" s="2" t="s">
        <v>10248</v>
      </c>
      <c r="B3794" s="2" t="s">
        <v>10249</v>
      </c>
      <c r="C3794" s="2" t="s">
        <v>26</v>
      </c>
      <c r="D3794" s="2" t="s">
        <v>39</v>
      </c>
      <c r="E3794" s="4">
        <v>-32702</v>
      </c>
      <c r="F3794" s="3" t="s">
        <v>179</v>
      </c>
      <c r="G3794" s="3" t="s">
        <v>213</v>
      </c>
      <c r="H3794" s="2" t="s">
        <v>74</v>
      </c>
      <c r="I3794" s="2" t="s">
        <v>10250</v>
      </c>
      <c r="J3794" s="3" t="str">
        <f>HYPERLINK("https://www.boe.es/gazeta/dias/1810/06/18/pdfs/GMD-C-1810-169.pdf#page=4","Abrir facsímil")</f>
        <v>Abrir facsímil</v>
      </c>
      <c r="K3794" s="3" t="s">
        <v>76</v>
      </c>
    </row>
    <row r="3795" spans="1:11" ht="42" customHeight="1">
      <c r="A3795" s="2" t="s">
        <v>10251</v>
      </c>
      <c r="B3795" s="2" t="s">
        <v>10252</v>
      </c>
      <c r="C3795" s="2" t="s">
        <v>88</v>
      </c>
      <c r="D3795" s="2" t="s">
        <v>39</v>
      </c>
      <c r="E3795" s="4">
        <v>-32702</v>
      </c>
      <c r="F3795" s="3" t="s">
        <v>179</v>
      </c>
      <c r="G3795" s="3" t="s">
        <v>213</v>
      </c>
      <c r="H3795" s="2" t="s">
        <v>74</v>
      </c>
      <c r="I3795" s="2" t="s">
        <v>10253</v>
      </c>
      <c r="J3795" s="3" t="str">
        <f>HYPERLINK("https://www.boe.es/gazeta/dias/1810/06/18/pdfs/GMD-C-1810-169.pdf#page=4","Abrir facsímil")</f>
        <v>Abrir facsímil</v>
      </c>
      <c r="K3795" s="3" t="s">
        <v>76</v>
      </c>
    </row>
    <row r="3796" spans="1:11" ht="42" customHeight="1">
      <c r="A3796" s="2" t="s">
        <v>10254</v>
      </c>
      <c r="B3796" s="2" t="s">
        <v>10254</v>
      </c>
      <c r="C3796" s="2" t="s">
        <v>88</v>
      </c>
      <c r="D3796" s="2" t="s">
        <v>18</v>
      </c>
      <c r="E3796" s="4">
        <v>-32540</v>
      </c>
      <c r="F3796" s="3" t="s">
        <v>3590</v>
      </c>
      <c r="G3796" s="3" t="s">
        <v>10255</v>
      </c>
      <c r="H3796" s="2" t="s">
        <v>74</v>
      </c>
      <c r="I3796" s="2" t="s">
        <v>10256</v>
      </c>
      <c r="J3796" s="3" t="str">
        <f>HYPERLINK("https://www.boe.es/gazeta/dias/1810/11/27/pdfs/GEI-1810-100.pdf#page=7","Abrir facsímil")</f>
        <v>Abrir facsímil</v>
      </c>
      <c r="K3796" s="3" t="s">
        <v>76</v>
      </c>
    </row>
    <row r="3797" spans="1:11" ht="42" customHeight="1">
      <c r="A3797" s="2" t="s">
        <v>10257</v>
      </c>
      <c r="B3797" s="2" t="s">
        <v>10258</v>
      </c>
      <c r="C3797" s="2" t="s">
        <v>26</v>
      </c>
      <c r="D3797" s="2" t="s">
        <v>27</v>
      </c>
      <c r="E3797" s="4">
        <v>-32761</v>
      </c>
      <c r="F3797" s="3" t="s">
        <v>2093</v>
      </c>
      <c r="G3797" s="3" t="s">
        <v>2094</v>
      </c>
      <c r="H3797" s="2" t="s">
        <v>74</v>
      </c>
      <c r="I3797" s="2" t="s">
        <v>10259</v>
      </c>
      <c r="J3797" s="3" t="str">
        <f>HYPERLINK("https://www.boe.es/gazeta/dias/1810/04/20/pdfs/GMD-1810-110.pdf#page=2","Abrir facsímil")</f>
        <v>Abrir facsímil</v>
      </c>
      <c r="K3797" s="3" t="s">
        <v>76</v>
      </c>
    </row>
    <row r="3798" spans="1:11" ht="42" customHeight="1">
      <c r="A3798" s="2" t="s">
        <v>10260</v>
      </c>
      <c r="B3798" s="2" t="s">
        <v>10261</v>
      </c>
      <c r="C3798" s="2" t="s">
        <v>26</v>
      </c>
      <c r="D3798" s="2" t="s">
        <v>220</v>
      </c>
      <c r="E3798" s="4">
        <v>-32659</v>
      </c>
      <c r="F3798" s="3" t="s">
        <v>328</v>
      </c>
      <c r="G3798" s="3" t="s">
        <v>119</v>
      </c>
      <c r="H3798" s="2" t="s">
        <v>74</v>
      </c>
      <c r="I3798" s="2" t="s">
        <v>10262</v>
      </c>
      <c r="J3798" s="3" t="str">
        <f>HYPERLINK("https://www.boe.es/gazeta/dias/1810/07/31/pdfs/GEI-1810-49.pdf#page=8","Abrir facsímil")</f>
        <v>Abrir facsímil</v>
      </c>
      <c r="K3798" s="3" t="s">
        <v>76</v>
      </c>
    </row>
    <row r="3799" spans="1:11" ht="42" customHeight="1">
      <c r="A3799" s="2" t="s">
        <v>10263</v>
      </c>
      <c r="B3799" s="2" t="s">
        <v>10264</v>
      </c>
      <c r="C3799" s="2" t="s">
        <v>26</v>
      </c>
      <c r="D3799" s="2" t="s">
        <v>27</v>
      </c>
      <c r="E3799" s="4">
        <v>-32684</v>
      </c>
      <c r="F3799" s="3" t="s">
        <v>1373</v>
      </c>
      <c r="G3799" s="3" t="s">
        <v>1374</v>
      </c>
      <c r="H3799" s="2" t="s">
        <v>74</v>
      </c>
      <c r="I3799" s="2" t="s">
        <v>10265</v>
      </c>
      <c r="J3799" s="3" t="str">
        <f>HYPERLINK("https://www.boe.es/gazeta/dias/1810/07/06/pdfs/GEI-1810-42.pdf#page=8","Abrir facsímil")</f>
        <v>Abrir facsímil</v>
      </c>
      <c r="K3799" s="3" t="s">
        <v>76</v>
      </c>
    </row>
    <row r="3800" spans="1:11" ht="42" customHeight="1">
      <c r="A3800" s="2" t="s">
        <v>10266</v>
      </c>
      <c r="B3800" s="2" t="s">
        <v>10267</v>
      </c>
      <c r="C3800" s="2" t="s">
        <v>26</v>
      </c>
      <c r="D3800" s="2" t="s">
        <v>27</v>
      </c>
      <c r="E3800" s="4">
        <v>-32684</v>
      </c>
      <c r="F3800" s="3" t="s">
        <v>1373</v>
      </c>
      <c r="G3800" s="3" t="s">
        <v>1374</v>
      </c>
      <c r="H3800" s="2" t="s">
        <v>74</v>
      </c>
      <c r="I3800" s="2" t="s">
        <v>10268</v>
      </c>
      <c r="J3800" s="3" t="str">
        <f>HYPERLINK("https://www.boe.es/gazeta/dias/1810/07/06/pdfs/GEI-1810-42.pdf#page=8","Abrir facsímil")</f>
        <v>Abrir facsímil</v>
      </c>
      <c r="K3800" s="3" t="s">
        <v>76</v>
      </c>
    </row>
    <row r="3801" spans="1:11" ht="42" customHeight="1">
      <c r="A3801" s="2" t="s">
        <v>10269</v>
      </c>
      <c r="B3801" s="2" t="s">
        <v>10270</v>
      </c>
      <c r="C3801" s="2" t="s">
        <v>26</v>
      </c>
      <c r="D3801" s="2" t="s">
        <v>18</v>
      </c>
      <c r="E3801" s="4">
        <v>-32730</v>
      </c>
      <c r="F3801" s="3" t="s">
        <v>50</v>
      </c>
      <c r="G3801" s="3" t="s">
        <v>20</v>
      </c>
      <c r="H3801" s="2" t="s">
        <v>74</v>
      </c>
      <c r="I3801" s="2" t="s">
        <v>10271</v>
      </c>
      <c r="J3801" s="3" t="str">
        <f>HYPERLINK("https://www.boe.es/gazeta/dias/1810/05/21/pdfs/GMD-1810-141.pdf#page=4","Abrir facsímil")</f>
        <v>Abrir facsímil</v>
      </c>
      <c r="K3801" s="3" t="s">
        <v>76</v>
      </c>
    </row>
    <row r="3802" spans="1:11" ht="42" customHeight="1">
      <c r="A3802" s="2" t="s">
        <v>10272</v>
      </c>
      <c r="B3802" s="2" t="s">
        <v>10273</v>
      </c>
      <c r="C3802" s="2" t="s">
        <v>26</v>
      </c>
      <c r="D3802" s="2" t="s">
        <v>27</v>
      </c>
      <c r="E3802" s="4">
        <v>-32563</v>
      </c>
      <c r="F3802" s="3" t="s">
        <v>535</v>
      </c>
      <c r="G3802" s="3" t="s">
        <v>10274</v>
      </c>
      <c r="H3802" s="2" t="s">
        <v>74</v>
      </c>
      <c r="I3802" s="2" t="s">
        <v>10275</v>
      </c>
      <c r="J3802" s="3" t="str">
        <f>HYPERLINK("https://www.boe.es/gazeta/dias/1810/11/04/pdfs/GMD-1810-308.pdf#page=21","Abrir facsímil")</f>
        <v>Abrir facsímil</v>
      </c>
      <c r="K3802" s="3" t="s">
        <v>76</v>
      </c>
    </row>
    <row r="3803" spans="1:11" ht="42" customHeight="1">
      <c r="A3803" s="2" t="s">
        <v>10276</v>
      </c>
      <c r="B3803" s="2" t="s">
        <v>10277</v>
      </c>
      <c r="C3803" s="2" t="s">
        <v>26</v>
      </c>
      <c r="D3803" s="2" t="s">
        <v>39</v>
      </c>
      <c r="E3803" s="4">
        <v>-32701</v>
      </c>
      <c r="F3803" s="3" t="s">
        <v>40</v>
      </c>
      <c r="G3803" s="3" t="s">
        <v>170</v>
      </c>
      <c r="H3803" s="2" t="s">
        <v>74</v>
      </c>
      <c r="I3803" s="2" t="s">
        <v>10278</v>
      </c>
      <c r="J3803" s="3" t="str">
        <f>HYPERLINK("https://www.boe.es/gazeta/dias/1810/06/19/pdfs/GMD-C-1810-170.pdf#page=1","Abrir facsímil")</f>
        <v>Abrir facsímil</v>
      </c>
      <c r="K3803" s="3" t="s">
        <v>76</v>
      </c>
    </row>
    <row r="3804" spans="1:11" ht="42" customHeight="1">
      <c r="A3804" s="2" t="s">
        <v>10279</v>
      </c>
      <c r="B3804" s="2" t="s">
        <v>10280</v>
      </c>
      <c r="C3804" s="2" t="s">
        <v>88</v>
      </c>
      <c r="D3804" s="2" t="s">
        <v>27</v>
      </c>
      <c r="E3804" s="4">
        <v>-32725</v>
      </c>
      <c r="F3804" s="3" t="s">
        <v>417</v>
      </c>
      <c r="G3804" s="3" t="s">
        <v>140</v>
      </c>
      <c r="H3804" s="2" t="s">
        <v>74</v>
      </c>
      <c r="I3804" s="2" t="s">
        <v>10281</v>
      </c>
      <c r="J3804" s="3" t="str">
        <f>HYPERLINK("https://www.boe.es/gazeta/dias/1810/05/26/pdfs/GMD-1810-146.pdf#page=4","Abrir facsímil")</f>
        <v>Abrir facsímil</v>
      </c>
      <c r="K3804" s="3" t="s">
        <v>76</v>
      </c>
    </row>
    <row r="3805" spans="1:11" ht="42" customHeight="1">
      <c r="A3805" s="2" t="s">
        <v>10282</v>
      </c>
      <c r="B3805" s="2" t="s">
        <v>10283</v>
      </c>
      <c r="C3805" s="2" t="s">
        <v>17</v>
      </c>
      <c r="D3805" s="2" t="s">
        <v>27</v>
      </c>
      <c r="E3805" s="4">
        <v>-32778</v>
      </c>
      <c r="F3805" s="3" t="s">
        <v>4255</v>
      </c>
      <c r="G3805" s="3" t="s">
        <v>20</v>
      </c>
      <c r="H3805" s="2" t="s">
        <v>74</v>
      </c>
      <c r="I3805" s="2" t="s">
        <v>10284</v>
      </c>
      <c r="J3805" s="3" t="str">
        <f>HYPERLINK("https://www.boe.es/gazeta/dias/1810/04/03/pdfs/GMD-1810-93.pdf#page=4","Abrir facsímil")</f>
        <v>Abrir facsímil</v>
      </c>
      <c r="K3805" s="3" t="s">
        <v>76</v>
      </c>
    </row>
    <row r="3806" spans="1:11" ht="42" customHeight="1">
      <c r="A3806" s="2" t="s">
        <v>10285</v>
      </c>
      <c r="B3806" s="2" t="s">
        <v>10286</v>
      </c>
      <c r="C3806" s="2" t="s">
        <v>26</v>
      </c>
      <c r="D3806" s="2" t="s">
        <v>27</v>
      </c>
      <c r="E3806" s="4">
        <v>-32684</v>
      </c>
      <c r="F3806" s="3" t="s">
        <v>1373</v>
      </c>
      <c r="G3806" s="3" t="s">
        <v>1374</v>
      </c>
      <c r="H3806" s="2" t="s">
        <v>74</v>
      </c>
      <c r="I3806" s="2" t="s">
        <v>10287</v>
      </c>
      <c r="J3806" s="3" t="str">
        <f>HYPERLINK("https://www.boe.es/gazeta/dias/1810/07/06/pdfs/GEI-1810-42.pdf#page=8","Abrir facsímil")</f>
        <v>Abrir facsímil</v>
      </c>
      <c r="K3806" s="3" t="s">
        <v>76</v>
      </c>
    </row>
    <row r="3807" spans="1:11" ht="42" customHeight="1">
      <c r="A3807" s="2" t="s">
        <v>10285</v>
      </c>
      <c r="B3807" s="2" t="s">
        <v>10286</v>
      </c>
      <c r="C3807" s="2" t="s">
        <v>26</v>
      </c>
      <c r="D3807" s="2" t="s">
        <v>27</v>
      </c>
      <c r="E3807" s="4">
        <v>-32659</v>
      </c>
      <c r="F3807" s="3" t="s">
        <v>328</v>
      </c>
      <c r="G3807" s="3" t="s">
        <v>119</v>
      </c>
      <c r="H3807" s="2" t="s">
        <v>74</v>
      </c>
      <c r="I3807" s="2" t="s">
        <v>10288</v>
      </c>
      <c r="J3807" s="3" t="str">
        <f>HYPERLINK("https://www.boe.es/gazeta/dias/1810/07/31/pdfs/GEI-1810-49.pdf#page=8","Abrir facsímil")</f>
        <v>Abrir facsímil</v>
      </c>
      <c r="K3807" s="3" t="s">
        <v>76</v>
      </c>
    </row>
    <row r="3808" spans="1:11" ht="42" customHeight="1">
      <c r="A3808" s="2" t="s">
        <v>10289</v>
      </c>
      <c r="B3808" s="2" t="s">
        <v>10289</v>
      </c>
      <c r="C3808" s="2" t="s">
        <v>88</v>
      </c>
      <c r="D3808" s="2" t="s">
        <v>117</v>
      </c>
      <c r="E3808" s="4">
        <v>-32708</v>
      </c>
      <c r="F3808" s="3" t="s">
        <v>206</v>
      </c>
      <c r="G3808" s="3" t="s">
        <v>227</v>
      </c>
      <c r="H3808" s="2" t="s">
        <v>74</v>
      </c>
      <c r="I3808" s="2" t="s">
        <v>10290</v>
      </c>
      <c r="J3808" s="3" t="str">
        <f>HYPERLINK("https://www.boe.es/gazeta/dias/1810/06/12/pdfs/GMD-1810-163.pdf#page=1","Abrir facsímil")</f>
        <v>Abrir facsímil</v>
      </c>
      <c r="K3808" s="3" t="s">
        <v>76</v>
      </c>
    </row>
    <row r="3809" spans="1:11" ht="42" customHeight="1">
      <c r="A3809" s="2" t="s">
        <v>10291</v>
      </c>
      <c r="B3809" s="2" t="s">
        <v>10291</v>
      </c>
      <c r="C3809" s="2" t="s">
        <v>88</v>
      </c>
      <c r="D3809" s="2" t="s">
        <v>27</v>
      </c>
      <c r="E3809" s="4">
        <v>-32534</v>
      </c>
      <c r="F3809" s="3" t="s">
        <v>2242</v>
      </c>
      <c r="G3809" s="3" t="s">
        <v>35</v>
      </c>
      <c r="H3809" s="2" t="s">
        <v>74</v>
      </c>
      <c r="I3809" s="2" t="s">
        <v>10292</v>
      </c>
      <c r="J3809" s="3" t="str">
        <f>HYPERLINK("https://www.boe.es/gazeta/dias/1810/12/03/pdfs/GMD-1810-337.pdf#page=2","Abrir facsímil")</f>
        <v>Abrir facsímil</v>
      </c>
      <c r="K3809" s="3" t="s">
        <v>76</v>
      </c>
    </row>
    <row r="3810" spans="1:11" ht="42" customHeight="1">
      <c r="A3810" s="2" t="s">
        <v>10293</v>
      </c>
      <c r="B3810" s="2" t="s">
        <v>10294</v>
      </c>
      <c r="C3810" s="2" t="s">
        <v>26</v>
      </c>
      <c r="D3810" s="2" t="s">
        <v>18</v>
      </c>
      <c r="E3810" s="4">
        <v>-32800</v>
      </c>
      <c r="F3810" s="3" t="s">
        <v>388</v>
      </c>
      <c r="G3810" s="3" t="s">
        <v>90</v>
      </c>
      <c r="H3810" s="2" t="s">
        <v>74</v>
      </c>
      <c r="I3810" s="2" t="s">
        <v>10295</v>
      </c>
      <c r="J3810" s="3" t="str">
        <f>HYPERLINK("https://www.boe.es/gazeta/dias/1810/03/12/pdfs/GMD-1810-71.pdf#page=4","Abrir facsímil")</f>
        <v>Abrir facsímil</v>
      </c>
      <c r="K3810" s="3" t="s">
        <v>76</v>
      </c>
    </row>
    <row r="3811" spans="1:11" ht="42" customHeight="1">
      <c r="A3811" s="2" t="s">
        <v>10296</v>
      </c>
      <c r="B3811" s="2" t="s">
        <v>10296</v>
      </c>
      <c r="C3811" s="2" t="s">
        <v>88</v>
      </c>
      <c r="D3811" s="2" t="s">
        <v>27</v>
      </c>
      <c r="E3811" s="4">
        <v>-32731</v>
      </c>
      <c r="F3811" s="3" t="s">
        <v>251</v>
      </c>
      <c r="G3811" s="3" t="s">
        <v>252</v>
      </c>
      <c r="H3811" s="2" t="s">
        <v>74</v>
      </c>
      <c r="I3811" s="2" t="s">
        <v>10297</v>
      </c>
      <c r="J3811" s="3" t="str">
        <f>HYPERLINK("https://www.boe.es/gazeta/dias/1810/05/20/pdfs/GMD-1810-140.pdf#page=4","Abrir facsímil")</f>
        <v>Abrir facsímil</v>
      </c>
      <c r="K3811" s="3" t="s">
        <v>76</v>
      </c>
    </row>
    <row r="3812" spans="1:11" ht="42" customHeight="1">
      <c r="A3812" s="2" t="s">
        <v>10298</v>
      </c>
      <c r="B3812" s="2" t="s">
        <v>10299</v>
      </c>
      <c r="C3812" s="2" t="s">
        <v>33</v>
      </c>
      <c r="D3812" s="2" t="s">
        <v>18</v>
      </c>
      <c r="E3812" s="4">
        <v>-32698</v>
      </c>
      <c r="F3812" s="3" t="s">
        <v>2705</v>
      </c>
      <c r="G3812" s="3" t="s">
        <v>2706</v>
      </c>
      <c r="H3812" s="2" t="s">
        <v>74</v>
      </c>
      <c r="I3812" s="2" t="s">
        <v>10300</v>
      </c>
      <c r="J3812" s="3" t="str">
        <f>HYPERLINK("https://www.boe.es/gazeta/dias/1810/06/22/pdfs/GEI-1810-38.pdf#page=8","Abrir facsímil")</f>
        <v>Abrir facsímil</v>
      </c>
      <c r="K3812" s="3" t="s">
        <v>76</v>
      </c>
    </row>
    <row r="3813" spans="1:11" ht="42" customHeight="1">
      <c r="A3813" s="2" t="s">
        <v>10301</v>
      </c>
      <c r="B3813" s="2" t="s">
        <v>10302</v>
      </c>
      <c r="C3813" s="2" t="s">
        <v>26</v>
      </c>
      <c r="D3813" s="2" t="s">
        <v>27</v>
      </c>
      <c r="E3813" s="4">
        <v>-32654</v>
      </c>
      <c r="F3813" s="3" t="s">
        <v>1226</v>
      </c>
      <c r="G3813" s="3" t="s">
        <v>732</v>
      </c>
      <c r="H3813" s="2" t="s">
        <v>74</v>
      </c>
      <c r="I3813" s="2" t="s">
        <v>10303</v>
      </c>
      <c r="J3813" s="3" t="str">
        <f>HYPERLINK("https://www.boe.es/gazeta/dias/1810/08/05/pdfs/GMD-1810-217.pdf#page=3","Abrir facsímil")</f>
        <v>Abrir facsímil</v>
      </c>
      <c r="K3813" s="3" t="s">
        <v>76</v>
      </c>
    </row>
    <row r="3814" spans="1:11" ht="42" customHeight="1">
      <c r="A3814" s="2" t="s">
        <v>10304</v>
      </c>
      <c r="B3814" s="2" t="s">
        <v>10305</v>
      </c>
      <c r="C3814" s="2" t="s">
        <v>225</v>
      </c>
      <c r="D3814" s="2" t="s">
        <v>27</v>
      </c>
      <c r="E3814" s="4">
        <v>-32757</v>
      </c>
      <c r="F3814" s="3" t="s">
        <v>1136</v>
      </c>
      <c r="G3814" s="3" t="s">
        <v>1901</v>
      </c>
      <c r="H3814" s="2" t="s">
        <v>74</v>
      </c>
      <c r="I3814" s="2" t="s">
        <v>10306</v>
      </c>
      <c r="J3814" s="3" t="str">
        <f>HYPERLINK("https://www.boe.es/gazeta/dias/1810/04/24/pdfs/GEI-1810-17.pdf#page=8","Abrir facsímil")</f>
        <v>Abrir facsímil</v>
      </c>
      <c r="K3814" s="3" t="s">
        <v>76</v>
      </c>
    </row>
    <row r="3815" spans="1:11" ht="42" customHeight="1">
      <c r="A3815" s="2" t="s">
        <v>10307</v>
      </c>
      <c r="B3815" s="2" t="s">
        <v>10308</v>
      </c>
      <c r="C3815" s="2" t="s">
        <v>26</v>
      </c>
      <c r="D3815" s="2" t="s">
        <v>27</v>
      </c>
      <c r="E3815" s="4">
        <v>-32757</v>
      </c>
      <c r="F3815" s="3" t="s">
        <v>1136</v>
      </c>
      <c r="G3815" s="3" t="s">
        <v>1901</v>
      </c>
      <c r="H3815" s="2" t="s">
        <v>74</v>
      </c>
      <c r="I3815" s="2" t="s">
        <v>10309</v>
      </c>
      <c r="J3815" s="3" t="str">
        <f>HYPERLINK("https://www.boe.es/gazeta/dias/1810/04/24/pdfs/GEI-1810-17.pdf#page=8","Abrir facsímil")</f>
        <v>Abrir facsímil</v>
      </c>
      <c r="K3815" s="3" t="s">
        <v>76</v>
      </c>
    </row>
    <row r="3816" spans="1:11" ht="42" customHeight="1">
      <c r="A3816" s="2" t="s">
        <v>10310</v>
      </c>
      <c r="B3816" s="2" t="s">
        <v>10310</v>
      </c>
      <c r="C3816" s="2" t="s">
        <v>88</v>
      </c>
      <c r="D3816" s="2" t="s">
        <v>117</v>
      </c>
      <c r="E3816" s="4">
        <v>-32575</v>
      </c>
      <c r="F3816" s="3" t="s">
        <v>135</v>
      </c>
      <c r="G3816" s="3" t="s">
        <v>1408</v>
      </c>
      <c r="H3816" s="2" t="s">
        <v>74</v>
      </c>
      <c r="I3816" s="2" t="s">
        <v>10311</v>
      </c>
      <c r="J3816" s="3" t="str">
        <f>HYPERLINK("https://www.boe.es/gazeta/dias/1810/10/23/pdfs/GEI-1810-85.pdf#page=6","Abrir facsímil")</f>
        <v>Abrir facsímil</v>
      </c>
      <c r="K3816" s="3" t="s">
        <v>76</v>
      </c>
    </row>
    <row r="3817" spans="1:11" ht="42" customHeight="1">
      <c r="A3817" s="2" t="s">
        <v>10312</v>
      </c>
      <c r="B3817" s="2" t="s">
        <v>10313</v>
      </c>
      <c r="C3817" s="2" t="s">
        <v>26</v>
      </c>
      <c r="D3817" s="2" t="s">
        <v>27</v>
      </c>
      <c r="E3817" s="4">
        <v>-32689</v>
      </c>
      <c r="F3817" s="3" t="s">
        <v>571</v>
      </c>
      <c r="G3817" s="3" t="s">
        <v>140</v>
      </c>
      <c r="H3817" s="2" t="s">
        <v>74</v>
      </c>
      <c r="I3817" s="2" t="s">
        <v>10314</v>
      </c>
      <c r="J3817" s="3" t="str">
        <f>HYPERLINK("https://www.boe.es/gazeta/dias/1810/07/01/pdfs/GMD-1810-182.pdf#page=4","Abrir facsímil")</f>
        <v>Abrir facsímil</v>
      </c>
      <c r="K3817" s="3" t="s">
        <v>76</v>
      </c>
    </row>
    <row r="3818" spans="1:11" ht="42" customHeight="1">
      <c r="A3818" s="2" t="s">
        <v>10315</v>
      </c>
      <c r="B3818" s="2" t="s">
        <v>10316</v>
      </c>
      <c r="C3818" s="2" t="s">
        <v>26</v>
      </c>
      <c r="D3818" s="2" t="s">
        <v>58</v>
      </c>
      <c r="E3818" s="4">
        <v>-32601</v>
      </c>
      <c r="F3818" s="3" t="s">
        <v>392</v>
      </c>
      <c r="G3818" s="3" t="s">
        <v>1430</v>
      </c>
      <c r="H3818" s="2" t="s">
        <v>74</v>
      </c>
      <c r="I3818" s="2" t="s">
        <v>10317</v>
      </c>
      <c r="J3818" s="3" t="str">
        <f>HYPERLINK("https://www.boe.es/gazeta/dias/1810/09/27/pdfs/GEI-1810-74E.pdf#page=3","Abrir facsímil")</f>
        <v>Abrir facsímil</v>
      </c>
      <c r="K3818" s="3" t="s">
        <v>76</v>
      </c>
    </row>
    <row r="3819" spans="1:11" ht="42" customHeight="1">
      <c r="A3819" s="2" t="s">
        <v>10318</v>
      </c>
      <c r="B3819" s="2" t="s">
        <v>10319</v>
      </c>
      <c r="C3819" s="2" t="s">
        <v>26</v>
      </c>
      <c r="D3819" s="2" t="s">
        <v>27</v>
      </c>
      <c r="E3819" s="4">
        <v>-32647</v>
      </c>
      <c r="F3819" s="3" t="s">
        <v>118</v>
      </c>
      <c r="G3819" s="3" t="s">
        <v>119</v>
      </c>
      <c r="H3819" s="2" t="s">
        <v>74</v>
      </c>
      <c r="I3819" s="2" t="s">
        <v>10320</v>
      </c>
      <c r="J3819" s="3" t="str">
        <f>HYPERLINK("https://www.boe.es/gazeta/dias/1810/08/12/pdfs/GMD-1810-224.pdf#page=3","Abrir facsímil")</f>
        <v>Abrir facsímil</v>
      </c>
      <c r="K3819" s="3" t="s">
        <v>76</v>
      </c>
    </row>
    <row r="3820" spans="1:11" ht="42" customHeight="1">
      <c r="A3820" s="2" t="s">
        <v>10321</v>
      </c>
      <c r="B3820" s="2" t="s">
        <v>10322</v>
      </c>
      <c r="C3820" s="2" t="s">
        <v>88</v>
      </c>
      <c r="D3820" s="2" t="s">
        <v>117</v>
      </c>
      <c r="E3820" s="4">
        <v>-32666</v>
      </c>
      <c r="F3820" s="3" t="s">
        <v>1913</v>
      </c>
      <c r="G3820" s="3" t="s">
        <v>1914</v>
      </c>
      <c r="H3820" s="2" t="s">
        <v>74</v>
      </c>
      <c r="I3820" s="2" t="s">
        <v>10323</v>
      </c>
      <c r="J3820" s="3" t="str">
        <f>HYPERLINK("https://www.boe.es/gazeta/dias/1810/07/24/pdfs/GMD-1810-205.pdf#page=4","Abrir facsímil")</f>
        <v>Abrir facsímil</v>
      </c>
      <c r="K3820" s="3" t="s">
        <v>76</v>
      </c>
    </row>
    <row r="3821" spans="1:11" ht="42" customHeight="1">
      <c r="A3821" s="2" t="s">
        <v>10324</v>
      </c>
      <c r="B3821" s="2" t="s">
        <v>10325</v>
      </c>
      <c r="C3821" s="2" t="s">
        <v>88</v>
      </c>
      <c r="D3821" s="2" t="s">
        <v>27</v>
      </c>
      <c r="E3821" s="4">
        <v>-32710</v>
      </c>
      <c r="F3821" s="3" t="s">
        <v>126</v>
      </c>
      <c r="G3821" s="3" t="s">
        <v>20</v>
      </c>
      <c r="H3821" s="2" t="s">
        <v>74</v>
      </c>
      <c r="I3821" s="2" t="s">
        <v>10326</v>
      </c>
      <c r="J3821" s="3" t="str">
        <f>HYPERLINK("https://www.boe.es/gazeta/dias/1810/06/10/pdfs/GMD-1810-161.pdf#page=4","Abrir facsímil")</f>
        <v>Abrir facsímil</v>
      </c>
      <c r="K3821" s="3" t="s">
        <v>76</v>
      </c>
    </row>
    <row r="3822" spans="1:11" ht="42" customHeight="1">
      <c r="A3822" s="2" t="s">
        <v>10324</v>
      </c>
      <c r="B3822" s="2" t="s">
        <v>10325</v>
      </c>
      <c r="C3822" s="2" t="s">
        <v>26</v>
      </c>
      <c r="D3822" s="2" t="s">
        <v>27</v>
      </c>
      <c r="E3822" s="4">
        <v>-32647</v>
      </c>
      <c r="F3822" s="3" t="s">
        <v>118</v>
      </c>
      <c r="G3822" s="3" t="s">
        <v>20</v>
      </c>
      <c r="H3822" s="2" t="s">
        <v>74</v>
      </c>
      <c r="I3822" s="2" t="s">
        <v>10327</v>
      </c>
      <c r="J3822" s="3" t="str">
        <f>HYPERLINK("https://www.boe.es/gazeta/dias/1810/08/12/pdfs/GMD-1810-224.pdf#page=4","Abrir facsímil")</f>
        <v>Abrir facsímil</v>
      </c>
      <c r="K3822" s="3" t="s">
        <v>76</v>
      </c>
    </row>
    <row r="3823" spans="1:11" ht="42" customHeight="1">
      <c r="A3823" s="2" t="s">
        <v>10324</v>
      </c>
      <c r="B3823" s="2" t="s">
        <v>10325</v>
      </c>
      <c r="C3823" s="2" t="s">
        <v>26</v>
      </c>
      <c r="D3823" s="2" t="s">
        <v>27</v>
      </c>
      <c r="E3823" s="4">
        <v>-32595</v>
      </c>
      <c r="F3823" s="3" t="s">
        <v>700</v>
      </c>
      <c r="G3823" s="3" t="s">
        <v>29</v>
      </c>
      <c r="H3823" s="2" t="s">
        <v>74</v>
      </c>
      <c r="I3823" s="2" t="s">
        <v>10328</v>
      </c>
      <c r="J3823" s="3" t="str">
        <f>HYPERLINK("https://www.boe.es/gazeta/dias/1810/10/03/pdfs/GMD-1810-276.pdf#page=4","Abrir facsímil")</f>
        <v>Abrir facsímil</v>
      </c>
      <c r="K3823" s="3" t="s">
        <v>76</v>
      </c>
    </row>
    <row r="3824" spans="1:11" ht="42" customHeight="1">
      <c r="A3824" s="2" t="s">
        <v>10329</v>
      </c>
      <c r="B3824" s="2" t="s">
        <v>10330</v>
      </c>
      <c r="C3824" s="2" t="s">
        <v>26</v>
      </c>
      <c r="D3824" s="2" t="s">
        <v>27</v>
      </c>
      <c r="E3824" s="4">
        <v>-32666</v>
      </c>
      <c r="F3824" s="3" t="s">
        <v>346</v>
      </c>
      <c r="G3824" s="3" t="s">
        <v>971</v>
      </c>
      <c r="H3824" s="2" t="s">
        <v>74</v>
      </c>
      <c r="I3824" s="2" t="s">
        <v>10331</v>
      </c>
      <c r="J3824" s="3" t="str">
        <f>HYPERLINK("https://www.boe.es/gazeta/dias/1810/07/24/pdfs/GEI-1810-47.pdf#page=7","Abrir facsímil")</f>
        <v>Abrir facsímil</v>
      </c>
      <c r="K3824" s="3" t="s">
        <v>76</v>
      </c>
    </row>
    <row r="3825" spans="1:11" ht="42" customHeight="1">
      <c r="A3825" s="2" t="s">
        <v>10329</v>
      </c>
      <c r="B3825" s="2" t="s">
        <v>10330</v>
      </c>
      <c r="C3825" s="2" t="s">
        <v>88</v>
      </c>
      <c r="D3825" s="2" t="s">
        <v>27</v>
      </c>
      <c r="E3825" s="4">
        <v>-32559</v>
      </c>
      <c r="F3825" s="3" t="s">
        <v>3062</v>
      </c>
      <c r="G3825" s="3" t="s">
        <v>180</v>
      </c>
      <c r="H3825" s="2" t="s">
        <v>74</v>
      </c>
      <c r="I3825" s="2" t="s">
        <v>10332</v>
      </c>
      <c r="J3825" s="3" t="str">
        <f>HYPERLINK("https://www.boe.es/gazeta/dias/1810/11/08/pdfs/GEI-1810-92.pdf#page=7","Abrir facsímil")</f>
        <v>Abrir facsímil</v>
      </c>
      <c r="K3825" s="3" t="s">
        <v>76</v>
      </c>
    </row>
    <row r="3826" spans="1:11" ht="42" customHeight="1">
      <c r="A3826" s="2" t="s">
        <v>10329</v>
      </c>
      <c r="B3826" s="2" t="s">
        <v>10330</v>
      </c>
      <c r="C3826" s="2" t="s">
        <v>26</v>
      </c>
      <c r="D3826" s="2" t="s">
        <v>27</v>
      </c>
      <c r="E3826" s="4">
        <v>-32543</v>
      </c>
      <c r="F3826" s="3" t="s">
        <v>69</v>
      </c>
      <c r="G3826" s="3" t="s">
        <v>465</v>
      </c>
      <c r="H3826" s="2" t="s">
        <v>74</v>
      </c>
      <c r="I3826" s="2" t="s">
        <v>10333</v>
      </c>
      <c r="J3826" s="3" t="str">
        <f>HYPERLINK("https://www.boe.es/gazeta/dias/1810/11/24/pdfs/GEI-1810-99.pdf#page=2","Abrir facsímil")</f>
        <v>Abrir facsímil</v>
      </c>
      <c r="K3826" s="3" t="s">
        <v>76</v>
      </c>
    </row>
    <row r="3827" spans="1:11" ht="42" customHeight="1">
      <c r="A3827" s="2" t="s">
        <v>10334</v>
      </c>
      <c r="B3827" s="2" t="s">
        <v>10335</v>
      </c>
      <c r="C3827" s="2" t="s">
        <v>88</v>
      </c>
      <c r="D3827" s="2" t="s">
        <v>27</v>
      </c>
      <c r="E3827" s="4">
        <v>-32710</v>
      </c>
      <c r="F3827" s="3" t="s">
        <v>126</v>
      </c>
      <c r="G3827" s="3" t="s">
        <v>20</v>
      </c>
      <c r="H3827" s="2" t="s">
        <v>74</v>
      </c>
      <c r="I3827" s="2" t="s">
        <v>10336</v>
      </c>
      <c r="J3827" s="3" t="str">
        <f>HYPERLINK("https://www.boe.es/gazeta/dias/1810/06/10/pdfs/GMD-1810-161.pdf#page=4","Abrir facsímil")</f>
        <v>Abrir facsímil</v>
      </c>
      <c r="K3827" s="3" t="s">
        <v>76</v>
      </c>
    </row>
    <row r="3828" spans="1:11" ht="42" customHeight="1">
      <c r="A3828" s="2" t="s">
        <v>10337</v>
      </c>
      <c r="B3828" s="2" t="s">
        <v>10338</v>
      </c>
      <c r="C3828" s="2" t="s">
        <v>88</v>
      </c>
      <c r="D3828" s="2" t="s">
        <v>27</v>
      </c>
      <c r="E3828" s="4">
        <v>-32545</v>
      </c>
      <c r="F3828" s="3" t="s">
        <v>165</v>
      </c>
      <c r="G3828" s="3" t="s">
        <v>65</v>
      </c>
      <c r="H3828" s="2" t="s">
        <v>74</v>
      </c>
      <c r="I3828" s="2" t="s">
        <v>10339</v>
      </c>
      <c r="J3828" s="3" t="str">
        <f>HYPERLINK("https://www.boe.es/gazeta/dias/1810/11/22/pdfs/GEI-1810-98.pdf#page=5","Abrir facsímil")</f>
        <v>Abrir facsímil</v>
      </c>
      <c r="K3828" s="3" t="s">
        <v>76</v>
      </c>
    </row>
    <row r="3829" spans="1:11" ht="42" customHeight="1">
      <c r="A3829" s="2" t="s">
        <v>10340</v>
      </c>
      <c r="B3829" s="2" t="s">
        <v>10341</v>
      </c>
      <c r="C3829" s="2" t="s">
        <v>26</v>
      </c>
      <c r="D3829" s="2" t="s">
        <v>39</v>
      </c>
      <c r="E3829" s="4">
        <v>-32701</v>
      </c>
      <c r="F3829" s="3" t="s">
        <v>40</v>
      </c>
      <c r="G3829" s="3" t="s">
        <v>41</v>
      </c>
      <c r="H3829" s="2" t="s">
        <v>74</v>
      </c>
      <c r="I3829" s="2" t="s">
        <v>10342</v>
      </c>
      <c r="J3829" s="3" t="str">
        <f>HYPERLINK("https://www.boe.es/gazeta/dias/1810/06/19/pdfs/GMD-C-1810-170.pdf#page=3","Abrir facsímil")</f>
        <v>Abrir facsímil</v>
      </c>
      <c r="K3829" s="3" t="s">
        <v>76</v>
      </c>
    </row>
    <row r="3830" spans="1:11" ht="42" customHeight="1">
      <c r="A3830" s="2" t="s">
        <v>10343</v>
      </c>
      <c r="B3830" s="2" t="s">
        <v>10344</v>
      </c>
      <c r="C3830" s="2" t="s">
        <v>26</v>
      </c>
      <c r="D3830" s="2" t="s">
        <v>39</v>
      </c>
      <c r="E3830" s="4">
        <v>-32702</v>
      </c>
      <c r="F3830" s="3" t="s">
        <v>179</v>
      </c>
      <c r="G3830" s="3" t="s">
        <v>517</v>
      </c>
      <c r="H3830" s="2" t="s">
        <v>74</v>
      </c>
      <c r="I3830" s="2" t="s">
        <v>10345</v>
      </c>
      <c r="J3830" s="3" t="str">
        <f>HYPERLINK("https://www.boe.es/gazeta/dias/1810/06/18/pdfs/GMD-C-1810-169.pdf#page=3","Abrir facsímil")</f>
        <v>Abrir facsímil</v>
      </c>
      <c r="K3830" s="3" t="s">
        <v>76</v>
      </c>
    </row>
    <row r="3831" spans="1:11" ht="42" customHeight="1">
      <c r="A3831" s="2" t="s">
        <v>10346</v>
      </c>
      <c r="B3831" s="2" t="s">
        <v>10347</v>
      </c>
      <c r="C3831" s="2" t="s">
        <v>17</v>
      </c>
      <c r="D3831" s="2" t="s">
        <v>27</v>
      </c>
      <c r="E3831" s="4">
        <v>-32842</v>
      </c>
      <c r="F3831" s="3" t="s">
        <v>1291</v>
      </c>
      <c r="G3831" s="3" t="s">
        <v>1292</v>
      </c>
      <c r="H3831" s="2" t="s">
        <v>74</v>
      </c>
      <c r="I3831" s="2" t="s">
        <v>10348</v>
      </c>
      <c r="J3831" s="3" t="str">
        <f>HYPERLINK("https://www.boe.es/gazeta/dias/1810/01/29/pdfs/GMD-1810-29.pdf#page=3","Abrir facsímil")</f>
        <v>Abrir facsímil</v>
      </c>
      <c r="K3831" s="3" t="s">
        <v>76</v>
      </c>
    </row>
    <row r="3832" spans="1:11" ht="42" customHeight="1">
      <c r="A3832" s="2" t="s">
        <v>10346</v>
      </c>
      <c r="B3832" s="2" t="s">
        <v>10347</v>
      </c>
      <c r="C3832" s="2" t="s">
        <v>26</v>
      </c>
      <c r="D3832" s="2" t="s">
        <v>39</v>
      </c>
      <c r="E3832" s="4">
        <v>-32702</v>
      </c>
      <c r="F3832" s="3" t="s">
        <v>179</v>
      </c>
      <c r="G3832" s="3" t="s">
        <v>213</v>
      </c>
      <c r="H3832" s="2" t="s">
        <v>74</v>
      </c>
      <c r="I3832" s="2" t="s">
        <v>10349</v>
      </c>
      <c r="J3832" s="3" t="str">
        <f>HYPERLINK("https://www.boe.es/gazeta/dias/1810/06/18/pdfs/GMD-C-1810-169.pdf#page=4","Abrir facsímil")</f>
        <v>Abrir facsímil</v>
      </c>
      <c r="K3832" s="3" t="s">
        <v>76</v>
      </c>
    </row>
    <row r="3833" spans="1:11" ht="42" customHeight="1">
      <c r="A3833" s="2" t="s">
        <v>10350</v>
      </c>
      <c r="B3833" s="2" t="s">
        <v>10351</v>
      </c>
      <c r="C3833" s="2" t="s">
        <v>26</v>
      </c>
      <c r="D3833" s="2" t="s">
        <v>39</v>
      </c>
      <c r="E3833" s="4">
        <v>-32701</v>
      </c>
      <c r="F3833" s="3" t="s">
        <v>40</v>
      </c>
      <c r="G3833" s="3" t="s">
        <v>170</v>
      </c>
      <c r="H3833" s="2" t="s">
        <v>74</v>
      </c>
      <c r="I3833" s="2" t="s">
        <v>10352</v>
      </c>
      <c r="J3833" s="3" t="str">
        <f>HYPERLINK("https://www.boe.es/gazeta/dias/1810/06/19/pdfs/GMD-C-1810-170.pdf#page=1","Abrir facsímil")</f>
        <v>Abrir facsímil</v>
      </c>
      <c r="K3833" s="3" t="s">
        <v>76</v>
      </c>
    </row>
    <row r="3834" spans="1:11" ht="42" customHeight="1">
      <c r="A3834" s="2" t="s">
        <v>10353</v>
      </c>
      <c r="B3834" s="2" t="s">
        <v>10354</v>
      </c>
      <c r="C3834" s="2" t="s">
        <v>26</v>
      </c>
      <c r="D3834" s="2" t="s">
        <v>27</v>
      </c>
      <c r="E3834" s="4">
        <v>-32710</v>
      </c>
      <c r="F3834" s="3" t="s">
        <v>126</v>
      </c>
      <c r="G3834" s="3" t="s">
        <v>20</v>
      </c>
      <c r="H3834" s="2" t="s">
        <v>74</v>
      </c>
      <c r="I3834" s="2" t="s">
        <v>10355</v>
      </c>
      <c r="J3834" s="3" t="str">
        <f>HYPERLINK("https://www.boe.es/gazeta/dias/1810/06/10/pdfs/GMD-1810-161.pdf#page=4","Abrir facsímil")</f>
        <v>Abrir facsímil</v>
      </c>
      <c r="K3834" s="3" t="s">
        <v>76</v>
      </c>
    </row>
    <row r="3835" spans="1:11" ht="42" customHeight="1">
      <c r="A3835" s="2" t="s">
        <v>10353</v>
      </c>
      <c r="B3835" s="2" t="s">
        <v>10354</v>
      </c>
      <c r="C3835" s="2" t="s">
        <v>88</v>
      </c>
      <c r="D3835" s="2" t="s">
        <v>27</v>
      </c>
      <c r="E3835" s="4">
        <v>-32701</v>
      </c>
      <c r="F3835" s="3" t="s">
        <v>671</v>
      </c>
      <c r="G3835" s="3" t="s">
        <v>9577</v>
      </c>
      <c r="H3835" s="2" t="s">
        <v>74</v>
      </c>
      <c r="I3835" s="2" t="s">
        <v>10356</v>
      </c>
      <c r="J3835" s="3" t="str">
        <f>HYPERLINK("https://www.boe.es/gazeta/dias/1810/06/19/pdfs/GEI-1810-37.pdf#page=4","Abrir facsímil")</f>
        <v>Abrir facsímil</v>
      </c>
      <c r="K3835" s="3" t="s">
        <v>76</v>
      </c>
    </row>
    <row r="3836" spans="1:11" ht="42" customHeight="1">
      <c r="A3836" s="2" t="s">
        <v>10357</v>
      </c>
      <c r="B3836" s="2" t="s">
        <v>10358</v>
      </c>
      <c r="C3836" s="2" t="s">
        <v>26</v>
      </c>
      <c r="D3836" s="2" t="s">
        <v>27</v>
      </c>
      <c r="E3836" s="4">
        <v>-32689</v>
      </c>
      <c r="F3836" s="3" t="s">
        <v>571</v>
      </c>
      <c r="G3836" s="3" t="s">
        <v>140</v>
      </c>
      <c r="H3836" s="2" t="s">
        <v>74</v>
      </c>
      <c r="I3836" s="2" t="s">
        <v>10359</v>
      </c>
      <c r="J3836" s="3" t="str">
        <f>HYPERLINK("https://www.boe.es/gazeta/dias/1810/07/01/pdfs/GMD-1810-182.pdf#page=4","Abrir facsímil")</f>
        <v>Abrir facsímil</v>
      </c>
      <c r="K3836" s="3" t="s">
        <v>76</v>
      </c>
    </row>
    <row r="3837" spans="1:11" ht="42" customHeight="1">
      <c r="A3837" s="2" t="s">
        <v>10360</v>
      </c>
      <c r="B3837" s="2" t="s">
        <v>10361</v>
      </c>
      <c r="C3837" s="2" t="s">
        <v>26</v>
      </c>
      <c r="D3837" s="2" t="s">
        <v>27</v>
      </c>
      <c r="E3837" s="4">
        <v>-32632</v>
      </c>
      <c r="F3837" s="3" t="s">
        <v>358</v>
      </c>
      <c r="G3837" s="3" t="s">
        <v>359</v>
      </c>
      <c r="H3837" s="2" t="s">
        <v>74</v>
      </c>
      <c r="I3837" s="2" t="s">
        <v>10362</v>
      </c>
      <c r="J3837" s="3" t="str">
        <f>HYPERLINK("https://www.boe.es/gazeta/dias/1810/08/27/pdfs/GMD-1810-239.pdf#page=3","Abrir facsímil")</f>
        <v>Abrir facsímil</v>
      </c>
      <c r="K3837" s="3" t="s">
        <v>76</v>
      </c>
    </row>
    <row r="3838" spans="1:11" ht="42" customHeight="1">
      <c r="A3838" s="2" t="s">
        <v>10360</v>
      </c>
      <c r="B3838" s="2" t="s">
        <v>10361</v>
      </c>
      <c r="C3838" s="2" t="s">
        <v>111</v>
      </c>
      <c r="D3838" s="2" t="s">
        <v>27</v>
      </c>
      <c r="E3838" s="4">
        <v>-32584</v>
      </c>
      <c r="F3838" s="3" t="s">
        <v>1560</v>
      </c>
      <c r="G3838" s="3" t="s">
        <v>971</v>
      </c>
      <c r="H3838" s="2" t="s">
        <v>74</v>
      </c>
      <c r="I3838" s="2" t="s">
        <v>10363</v>
      </c>
      <c r="J3838" s="3" t="str">
        <f>HYPERLINK("https://www.boe.es/gazeta/dias/1810/10/14/pdfs/GMD-1810-287.pdf#page=3","Abrir facsímil")</f>
        <v>Abrir facsímil</v>
      </c>
      <c r="K3838" s="3" t="s">
        <v>76</v>
      </c>
    </row>
    <row r="3839" spans="1:11" ht="42" customHeight="1">
      <c r="A3839" s="2" t="s">
        <v>10364</v>
      </c>
      <c r="B3839" s="2" t="s">
        <v>10365</v>
      </c>
      <c r="C3839" s="2" t="s">
        <v>26</v>
      </c>
      <c r="D3839" s="2" t="s">
        <v>27</v>
      </c>
      <c r="E3839" s="4">
        <v>-32591</v>
      </c>
      <c r="F3839" s="3" t="s">
        <v>377</v>
      </c>
      <c r="G3839" s="3" t="s">
        <v>140</v>
      </c>
      <c r="H3839" s="2" t="s">
        <v>74</v>
      </c>
      <c r="I3839" s="2" t="s">
        <v>10366</v>
      </c>
      <c r="J3839" s="3" t="str">
        <f>HYPERLINK("https://www.boe.es/gazeta/dias/1810/10/07/pdfs/GMD-1810-280.pdf#page=4","Abrir facsímil")</f>
        <v>Abrir facsímil</v>
      </c>
      <c r="K3839" s="3" t="s">
        <v>76</v>
      </c>
    </row>
    <row r="3840" spans="1:11" ht="42" customHeight="1">
      <c r="A3840" s="2" t="s">
        <v>10367</v>
      </c>
      <c r="B3840" s="2" t="s">
        <v>10368</v>
      </c>
      <c r="C3840" s="2" t="s">
        <v>317</v>
      </c>
      <c r="D3840" s="2" t="s">
        <v>27</v>
      </c>
      <c r="E3840" s="4">
        <v>-32869</v>
      </c>
      <c r="F3840" s="3" t="s">
        <v>5318</v>
      </c>
      <c r="G3840" s="3" t="s">
        <v>180</v>
      </c>
      <c r="H3840" s="2" t="s">
        <v>74</v>
      </c>
      <c r="I3840" s="2" t="s">
        <v>10369</v>
      </c>
      <c r="J3840" s="3" t="str">
        <f>HYPERLINK("https://www.boe.es/gazeta/dias/1810/01/02/pdfs/GGB-1810-1.pdf#page=7","Abrir facsímil")</f>
        <v>Abrir facsímil</v>
      </c>
      <c r="K3840" s="3" t="s">
        <v>76</v>
      </c>
    </row>
    <row r="3841" spans="1:11" ht="42" customHeight="1">
      <c r="A3841" s="2" t="s">
        <v>10370</v>
      </c>
      <c r="B3841" s="2" t="s">
        <v>10371</v>
      </c>
      <c r="C3841" s="2" t="s">
        <v>26</v>
      </c>
      <c r="D3841" s="2" t="s">
        <v>39</v>
      </c>
      <c r="E3841" s="4">
        <v>-32701</v>
      </c>
      <c r="F3841" s="3" t="s">
        <v>40</v>
      </c>
      <c r="G3841" s="3" t="s">
        <v>170</v>
      </c>
      <c r="H3841" s="2" t="s">
        <v>74</v>
      </c>
      <c r="I3841" s="2" t="s">
        <v>10372</v>
      </c>
      <c r="J3841" s="3" t="str">
        <f>HYPERLINK("https://www.boe.es/gazeta/dias/1810/06/19/pdfs/GMD-C-1810-170.pdf#page=1","Abrir facsímil")</f>
        <v>Abrir facsímil</v>
      </c>
      <c r="K3841" s="3" t="s">
        <v>76</v>
      </c>
    </row>
    <row r="3842" spans="1:11" ht="42" customHeight="1">
      <c r="A3842" s="2" t="s">
        <v>10373</v>
      </c>
      <c r="B3842" s="2" t="s">
        <v>10374</v>
      </c>
      <c r="C3842" s="2" t="s">
        <v>26</v>
      </c>
      <c r="D3842" s="2" t="s">
        <v>27</v>
      </c>
      <c r="E3842" s="4">
        <v>-32710</v>
      </c>
      <c r="F3842" s="3" t="s">
        <v>126</v>
      </c>
      <c r="G3842" s="3" t="s">
        <v>180</v>
      </c>
      <c r="H3842" s="2" t="s">
        <v>74</v>
      </c>
      <c r="I3842" s="2" t="s">
        <v>10375</v>
      </c>
      <c r="J3842" s="3" t="str">
        <f>HYPERLINK("https://www.boe.es/gazeta/dias/1810/06/10/pdfs/GMD-1810-161.pdf#page=1","Abrir facsímil")</f>
        <v>Abrir facsímil</v>
      </c>
      <c r="K3842" s="3" t="s">
        <v>76</v>
      </c>
    </row>
    <row r="3843" spans="1:11" ht="42" customHeight="1">
      <c r="A3843" s="2" t="s">
        <v>10376</v>
      </c>
      <c r="B3843" s="2" t="s">
        <v>10377</v>
      </c>
      <c r="C3843" s="2" t="s">
        <v>26</v>
      </c>
      <c r="D3843" s="2" t="s">
        <v>39</v>
      </c>
      <c r="E3843" s="4">
        <v>-32685</v>
      </c>
      <c r="F3843" s="3" t="s">
        <v>10378</v>
      </c>
      <c r="G3843" s="3" t="s">
        <v>8160</v>
      </c>
      <c r="H3843" s="2" t="s">
        <v>74</v>
      </c>
      <c r="I3843" s="2" t="s">
        <v>10379</v>
      </c>
      <c r="J3843" s="3" t="str">
        <f>HYPERLINK("https://www.boe.es/gazeta/dias/1810/07/05/pdfs/GMD-C-1810-186.pdf#page=1","Abrir facsímil")</f>
        <v>Abrir facsímil</v>
      </c>
      <c r="K3843" s="3" t="s">
        <v>76</v>
      </c>
    </row>
    <row r="3844" spans="1:11" ht="42" customHeight="1">
      <c r="A3844" s="2" t="s">
        <v>10376</v>
      </c>
      <c r="B3844" s="2" t="s">
        <v>10377</v>
      </c>
      <c r="C3844" s="2" t="s">
        <v>26</v>
      </c>
      <c r="D3844" s="2" t="s">
        <v>27</v>
      </c>
      <c r="E3844" s="4">
        <v>-32563</v>
      </c>
      <c r="F3844" s="3" t="s">
        <v>535</v>
      </c>
      <c r="G3844" s="3" t="s">
        <v>10274</v>
      </c>
      <c r="H3844" s="2" t="s">
        <v>74</v>
      </c>
      <c r="I3844" s="2" t="s">
        <v>10380</v>
      </c>
      <c r="J3844" s="3" t="str">
        <f>HYPERLINK("https://www.boe.es/gazeta/dias/1810/11/04/pdfs/GMD-1810-308.pdf#page=21","Abrir facsímil")</f>
        <v>Abrir facsímil</v>
      </c>
      <c r="K3844" s="3" t="s">
        <v>76</v>
      </c>
    </row>
    <row r="3845" spans="1:11" ht="42" customHeight="1">
      <c r="A3845" s="2" t="s">
        <v>10381</v>
      </c>
      <c r="B3845" s="2" t="s">
        <v>10382</v>
      </c>
      <c r="C3845" s="2" t="s">
        <v>33</v>
      </c>
      <c r="D3845" s="2" t="s">
        <v>27</v>
      </c>
      <c r="E3845" s="4">
        <v>-32688</v>
      </c>
      <c r="F3845" s="3" t="s">
        <v>997</v>
      </c>
      <c r="G3845" s="3" t="s">
        <v>749</v>
      </c>
      <c r="H3845" s="2" t="s">
        <v>74</v>
      </c>
      <c r="I3845" s="2" t="s">
        <v>10383</v>
      </c>
      <c r="J3845" s="3" t="str">
        <f>HYPERLINK("https://www.boe.es/gazeta/dias/1810/07/02/pdfs/GMD-1810-183.pdf#page=4","Abrir facsímil")</f>
        <v>Abrir facsímil</v>
      </c>
      <c r="K3845" s="3" t="s">
        <v>76</v>
      </c>
    </row>
    <row r="3846" spans="1:11" ht="42" customHeight="1">
      <c r="A3846" s="2" t="s">
        <v>10384</v>
      </c>
      <c r="B3846" s="2" t="s">
        <v>10385</v>
      </c>
      <c r="C3846" s="2" t="s">
        <v>26</v>
      </c>
      <c r="D3846" s="2" t="s">
        <v>18</v>
      </c>
      <c r="E3846" s="4">
        <v>-32829</v>
      </c>
      <c r="F3846" s="3" t="s">
        <v>1126</v>
      </c>
      <c r="G3846" s="3" t="s">
        <v>29</v>
      </c>
      <c r="H3846" s="2" t="s">
        <v>74</v>
      </c>
      <c r="I3846" s="2" t="s">
        <v>10386</v>
      </c>
      <c r="J3846" s="3" t="str">
        <f>HYPERLINK("https://www.boe.es/gazeta/dias/1810/02/11/pdfs/GMD-1810-42.pdf#page=2","Abrir facsímil")</f>
        <v>Abrir facsímil</v>
      </c>
      <c r="K3846" s="3" t="s">
        <v>76</v>
      </c>
    </row>
    <row r="3847" spans="1:11" ht="42" customHeight="1">
      <c r="A3847" s="2" t="s">
        <v>10387</v>
      </c>
      <c r="B3847" s="2" t="s">
        <v>10388</v>
      </c>
      <c r="C3847" s="2" t="s">
        <v>26</v>
      </c>
      <c r="D3847" s="2" t="s">
        <v>39</v>
      </c>
      <c r="E3847" s="4">
        <v>-32701</v>
      </c>
      <c r="F3847" s="3" t="s">
        <v>40</v>
      </c>
      <c r="G3847" s="3" t="s">
        <v>315</v>
      </c>
      <c r="H3847" s="2" t="s">
        <v>74</v>
      </c>
      <c r="I3847" s="2" t="s">
        <v>10389</v>
      </c>
      <c r="J3847" s="3" t="str">
        <f>HYPERLINK("https://www.boe.es/gazeta/dias/1810/06/19/pdfs/GMD-C-1810-170.pdf#page=2","Abrir facsímil")</f>
        <v>Abrir facsímil</v>
      </c>
      <c r="K3847" s="3" t="s">
        <v>76</v>
      </c>
    </row>
    <row r="3848" spans="1:11" ht="42" customHeight="1">
      <c r="A3848" s="2" t="s">
        <v>10390</v>
      </c>
      <c r="B3848" s="2" t="s">
        <v>10391</v>
      </c>
      <c r="C3848" s="2" t="s">
        <v>225</v>
      </c>
      <c r="D3848" s="2" t="s">
        <v>27</v>
      </c>
      <c r="E3848" s="4">
        <v>-32562</v>
      </c>
      <c r="F3848" s="3" t="s">
        <v>1186</v>
      </c>
      <c r="G3848" s="3" t="s">
        <v>29</v>
      </c>
      <c r="H3848" s="2" t="s">
        <v>74</v>
      </c>
      <c r="I3848" s="2" t="s">
        <v>10392</v>
      </c>
      <c r="J3848" s="3" t="str">
        <f>HYPERLINK("https://www.boe.es/gazeta/dias/1810/11/05/pdfs/GMD-1810-309.pdf#page=2","Abrir facsímil")</f>
        <v>Abrir facsímil</v>
      </c>
      <c r="K3848" s="3" t="s">
        <v>76</v>
      </c>
    </row>
    <row r="3849" spans="1:11" ht="42" customHeight="1">
      <c r="A3849" s="2" t="s">
        <v>10393</v>
      </c>
      <c r="B3849" s="2" t="s">
        <v>10394</v>
      </c>
      <c r="C3849" s="2" t="s">
        <v>225</v>
      </c>
      <c r="D3849" s="2" t="s">
        <v>27</v>
      </c>
      <c r="E3849" s="4">
        <v>-32782</v>
      </c>
      <c r="F3849" s="3" t="s">
        <v>1141</v>
      </c>
      <c r="G3849" s="3" t="s">
        <v>99</v>
      </c>
      <c r="H3849" s="2" t="s">
        <v>74</v>
      </c>
      <c r="I3849" s="2" t="s">
        <v>10395</v>
      </c>
      <c r="J3849" s="3" t="str">
        <f>HYPERLINK("https://www.boe.es/gazeta/dias/1810/03/30/pdfs/GMD-1810-89.pdf#page=3","Abrir facsímil")</f>
        <v>Abrir facsímil</v>
      </c>
      <c r="K3849" s="3" t="s">
        <v>76</v>
      </c>
    </row>
    <row r="3850" spans="1:11" ht="42" customHeight="1">
      <c r="A3850" s="2" t="s">
        <v>10396</v>
      </c>
      <c r="B3850" s="2" t="s">
        <v>10397</v>
      </c>
      <c r="C3850" s="2" t="s">
        <v>33</v>
      </c>
      <c r="D3850" s="2" t="s">
        <v>27</v>
      </c>
      <c r="E3850" s="4">
        <v>-32869</v>
      </c>
      <c r="F3850" s="3" t="s">
        <v>5318</v>
      </c>
      <c r="G3850" s="3" t="s">
        <v>227</v>
      </c>
      <c r="H3850" s="2" t="s">
        <v>74</v>
      </c>
      <c r="I3850" s="2" t="s">
        <v>10398</v>
      </c>
      <c r="J3850" s="3" t="str">
        <f>HYPERLINK("https://www.boe.es/gazeta/dias/1810/01/02/pdfs/GGB-1810-1.pdf#page=6","Abrir facsímil")</f>
        <v>Abrir facsímil</v>
      </c>
      <c r="K3850" s="3" t="s">
        <v>76</v>
      </c>
    </row>
    <row r="3851" spans="1:11" ht="42" customHeight="1">
      <c r="A3851" s="2" t="s">
        <v>10399</v>
      </c>
      <c r="B3851" s="2" t="s">
        <v>10400</v>
      </c>
      <c r="C3851" s="2" t="s">
        <v>26</v>
      </c>
      <c r="D3851" s="2" t="s">
        <v>27</v>
      </c>
      <c r="E3851" s="4">
        <v>-32647</v>
      </c>
      <c r="F3851" s="3" t="s">
        <v>118</v>
      </c>
      <c r="G3851" s="3" t="s">
        <v>140</v>
      </c>
      <c r="H3851" s="2" t="s">
        <v>74</v>
      </c>
      <c r="I3851" s="2" t="s">
        <v>10401</v>
      </c>
      <c r="J3851" s="3" t="str">
        <f>HYPERLINK("https://www.boe.es/gazeta/dias/1810/08/12/pdfs/GMD-1810-224.pdf#page=2","Abrir facsímil")</f>
        <v>Abrir facsímil</v>
      </c>
      <c r="K3851" s="3" t="s">
        <v>76</v>
      </c>
    </row>
    <row r="3852" spans="1:11" ht="42" customHeight="1">
      <c r="A3852" s="2" t="s">
        <v>10402</v>
      </c>
      <c r="B3852" s="2" t="s">
        <v>10403</v>
      </c>
      <c r="C3852" s="2" t="s">
        <v>26</v>
      </c>
      <c r="D3852" s="2" t="s">
        <v>27</v>
      </c>
      <c r="E3852" s="4">
        <v>-32526</v>
      </c>
      <c r="F3852" s="3" t="s">
        <v>530</v>
      </c>
      <c r="G3852" s="3" t="s">
        <v>531</v>
      </c>
      <c r="H3852" s="2" t="s">
        <v>74</v>
      </c>
      <c r="I3852" s="2" t="s">
        <v>10404</v>
      </c>
      <c r="J3852" s="3" t="str">
        <f>HYPERLINK("https://www.boe.es/gazeta/dias/1810/12/11/pdfs/GEI-1810-106.pdf#page=2","Abrir facsímil")</f>
        <v>Abrir facsímil</v>
      </c>
      <c r="K3852" s="3" t="s">
        <v>76</v>
      </c>
    </row>
    <row r="3853" spans="1:11" ht="42" customHeight="1">
      <c r="A3853" s="2" t="s">
        <v>10405</v>
      </c>
      <c r="B3853" s="2" t="s">
        <v>10406</v>
      </c>
      <c r="C3853" s="2" t="s">
        <v>88</v>
      </c>
      <c r="D3853" s="2" t="s">
        <v>27</v>
      </c>
      <c r="E3853" s="4">
        <v>-32584</v>
      </c>
      <c r="F3853" s="3" t="s">
        <v>1560</v>
      </c>
      <c r="G3853" s="3" t="s">
        <v>971</v>
      </c>
      <c r="H3853" s="2" t="s">
        <v>74</v>
      </c>
      <c r="I3853" s="2" t="s">
        <v>10407</v>
      </c>
      <c r="J3853" s="3" t="str">
        <f>HYPERLINK("https://www.boe.es/gazeta/dias/1810/10/14/pdfs/GMD-1810-287.pdf#page=3","Abrir facsímil")</f>
        <v>Abrir facsímil</v>
      </c>
      <c r="K3853" s="3" t="s">
        <v>76</v>
      </c>
    </row>
    <row r="3854" spans="1:11" ht="42" customHeight="1">
      <c r="A3854" s="2" t="s">
        <v>10408</v>
      </c>
      <c r="B3854" s="2" t="s">
        <v>10409</v>
      </c>
      <c r="C3854" s="2" t="s">
        <v>26</v>
      </c>
      <c r="D3854" s="2" t="s">
        <v>27</v>
      </c>
      <c r="E3854" s="4">
        <v>-32722</v>
      </c>
      <c r="F3854" s="3" t="s">
        <v>856</v>
      </c>
      <c r="G3854" s="3" t="s">
        <v>668</v>
      </c>
      <c r="H3854" s="2" t="s">
        <v>74</v>
      </c>
      <c r="I3854" s="2" t="s">
        <v>10410</v>
      </c>
      <c r="J3854" s="3" t="str">
        <f>HYPERLINK("https://www.boe.es/gazeta/dias/1810/05/29/pdfs/GEI-1810-31.pdf#page=12","Abrir facsímil")</f>
        <v>Abrir facsímil</v>
      </c>
      <c r="K3854" s="3" t="s">
        <v>76</v>
      </c>
    </row>
    <row r="3855" spans="1:11" ht="42" customHeight="1">
      <c r="A3855" s="2" t="s">
        <v>10411</v>
      </c>
      <c r="B3855" s="2" t="s">
        <v>10412</v>
      </c>
      <c r="C3855" s="2" t="s">
        <v>26</v>
      </c>
      <c r="D3855" s="2" t="s">
        <v>27</v>
      </c>
      <c r="E3855" s="4">
        <v>-32563</v>
      </c>
      <c r="F3855" s="3" t="s">
        <v>535</v>
      </c>
      <c r="G3855" s="3" t="s">
        <v>210</v>
      </c>
      <c r="H3855" s="2" t="s">
        <v>74</v>
      </c>
      <c r="I3855" s="2" t="s">
        <v>10413</v>
      </c>
      <c r="J3855" s="3" t="str">
        <f>HYPERLINK("https://www.boe.es/gazeta/dias/1810/11/04/pdfs/GMD-1810-308.pdf#page=14","Abrir facsímil")</f>
        <v>Abrir facsímil</v>
      </c>
      <c r="K3855" s="3" t="s">
        <v>76</v>
      </c>
    </row>
    <row r="3856" spans="1:11" ht="42" customHeight="1">
      <c r="A3856" s="2" t="s">
        <v>10414</v>
      </c>
      <c r="B3856" s="2" t="s">
        <v>10415</v>
      </c>
      <c r="C3856" s="2" t="s">
        <v>88</v>
      </c>
      <c r="D3856" s="2" t="s">
        <v>27</v>
      </c>
      <c r="E3856" s="4">
        <v>-32729</v>
      </c>
      <c r="F3856" s="3" t="s">
        <v>174</v>
      </c>
      <c r="G3856" s="3" t="s">
        <v>151</v>
      </c>
      <c r="H3856" s="2" t="s">
        <v>74</v>
      </c>
      <c r="I3856" s="2" t="s">
        <v>10416</v>
      </c>
      <c r="J3856" s="3" t="str">
        <f>HYPERLINK("https://www.boe.es/gazeta/dias/1810/05/22/pdfs/GEI-1810-28.pdf#page=12","Abrir facsímil")</f>
        <v>Abrir facsímil</v>
      </c>
      <c r="K3856" s="3" t="s">
        <v>76</v>
      </c>
    </row>
    <row r="3857" spans="1:11" ht="42" customHeight="1">
      <c r="A3857" s="2" t="s">
        <v>10417</v>
      </c>
      <c r="B3857" s="2" t="s">
        <v>10418</v>
      </c>
      <c r="C3857" s="2" t="s">
        <v>26</v>
      </c>
      <c r="D3857" s="2" t="s">
        <v>27</v>
      </c>
      <c r="E3857" s="4">
        <v>-32820</v>
      </c>
      <c r="F3857" s="3" t="s">
        <v>226</v>
      </c>
      <c r="G3857" s="3" t="s">
        <v>356</v>
      </c>
      <c r="H3857" s="2" t="s">
        <v>74</v>
      </c>
      <c r="I3857" s="2" t="s">
        <v>10419</v>
      </c>
      <c r="J3857" s="3" t="str">
        <f>HYPERLINK("https://www.boe.es/gazeta/dias/1810/02/20/pdfs/GMD-1810-51.pdf#page=3","Abrir facsímil")</f>
        <v>Abrir facsímil</v>
      </c>
      <c r="K3857" s="3" t="s">
        <v>76</v>
      </c>
    </row>
    <row r="3858" spans="1:11" ht="42" customHeight="1">
      <c r="A3858" s="2" t="s">
        <v>10417</v>
      </c>
      <c r="B3858" s="2" t="s">
        <v>10418</v>
      </c>
      <c r="C3858" s="2" t="s">
        <v>26</v>
      </c>
      <c r="D3858" s="2" t="s">
        <v>39</v>
      </c>
      <c r="E3858" s="4">
        <v>-32702</v>
      </c>
      <c r="F3858" s="3" t="s">
        <v>179</v>
      </c>
      <c r="G3858" s="3" t="s">
        <v>517</v>
      </c>
      <c r="H3858" s="2" t="s">
        <v>74</v>
      </c>
      <c r="I3858" s="2" t="s">
        <v>10420</v>
      </c>
      <c r="J3858" s="3" t="str">
        <f>HYPERLINK("https://www.boe.es/gazeta/dias/1810/06/18/pdfs/GMD-C-1810-169.pdf#page=3","Abrir facsímil")</f>
        <v>Abrir facsímil</v>
      </c>
      <c r="K3858" s="3" t="s">
        <v>76</v>
      </c>
    </row>
    <row r="3859" spans="1:11" ht="42" customHeight="1">
      <c r="A3859" s="2" t="s">
        <v>10417</v>
      </c>
      <c r="B3859" s="2" t="s">
        <v>10418</v>
      </c>
      <c r="C3859" s="2" t="s">
        <v>26</v>
      </c>
      <c r="D3859" s="2" t="s">
        <v>27</v>
      </c>
      <c r="E3859" s="4">
        <v>-32647</v>
      </c>
      <c r="F3859" s="3" t="s">
        <v>118</v>
      </c>
      <c r="G3859" s="3" t="s">
        <v>20</v>
      </c>
      <c r="H3859" s="2" t="s">
        <v>74</v>
      </c>
      <c r="I3859" s="2" t="s">
        <v>10421</v>
      </c>
      <c r="J3859" s="3" t="str">
        <f>HYPERLINK("https://www.boe.es/gazeta/dias/1810/08/12/pdfs/GMD-1810-224.pdf#page=4","Abrir facsímil")</f>
        <v>Abrir facsímil</v>
      </c>
      <c r="K3859" s="3" t="s">
        <v>76</v>
      </c>
    </row>
    <row r="3860" spans="1:11" ht="42" customHeight="1">
      <c r="A3860" s="2" t="s">
        <v>10422</v>
      </c>
      <c r="B3860" s="2" t="s">
        <v>10423</v>
      </c>
      <c r="C3860" s="2" t="s">
        <v>26</v>
      </c>
      <c r="D3860" s="2" t="s">
        <v>39</v>
      </c>
      <c r="E3860" s="4">
        <v>-32710</v>
      </c>
      <c r="F3860" s="3" t="s">
        <v>1735</v>
      </c>
      <c r="G3860" s="3" t="s">
        <v>1736</v>
      </c>
      <c r="H3860" s="2" t="s">
        <v>74</v>
      </c>
      <c r="I3860" s="2" t="s">
        <v>10424</v>
      </c>
      <c r="J3860" s="3" t="str">
        <f>HYPERLINK("https://www.boe.es/gazeta/dias/1810/06/10/pdfs/GMD-C-1810-161.pdf#page=2","Abrir facsímil")</f>
        <v>Abrir facsímil</v>
      </c>
      <c r="K3860" s="3" t="s">
        <v>76</v>
      </c>
    </row>
    <row r="3861" spans="1:11" ht="42" customHeight="1">
      <c r="A3861" s="2" t="s">
        <v>10425</v>
      </c>
      <c r="B3861" s="2" t="s">
        <v>10426</v>
      </c>
      <c r="C3861" s="2" t="s">
        <v>17</v>
      </c>
      <c r="D3861" s="2" t="s">
        <v>27</v>
      </c>
      <c r="E3861" s="4">
        <v>-32820</v>
      </c>
      <c r="F3861" s="3" t="s">
        <v>226</v>
      </c>
      <c r="G3861" s="3" t="s">
        <v>356</v>
      </c>
      <c r="H3861" s="2" t="s">
        <v>74</v>
      </c>
      <c r="I3861" s="2" t="s">
        <v>10427</v>
      </c>
      <c r="J3861" s="3" t="str">
        <f>HYPERLINK("https://www.boe.es/gazeta/dias/1810/02/20/pdfs/GMD-1810-51.pdf#page=3","Abrir facsímil")</f>
        <v>Abrir facsímil</v>
      </c>
      <c r="K3861" s="3" t="s">
        <v>76</v>
      </c>
    </row>
    <row r="3862" spans="1:11" ht="42" customHeight="1">
      <c r="A3862" s="2" t="s">
        <v>10428</v>
      </c>
      <c r="B3862" s="2" t="s">
        <v>10429</v>
      </c>
      <c r="C3862" s="2" t="s">
        <v>26</v>
      </c>
      <c r="D3862" s="2" t="s">
        <v>39</v>
      </c>
      <c r="E3862" s="4">
        <v>-32702</v>
      </c>
      <c r="F3862" s="3" t="s">
        <v>179</v>
      </c>
      <c r="G3862" s="3" t="s">
        <v>180</v>
      </c>
      <c r="H3862" s="2" t="s">
        <v>74</v>
      </c>
      <c r="I3862" s="2" t="s">
        <v>10430</v>
      </c>
      <c r="J3862" s="3" t="str">
        <f>HYPERLINK("https://www.boe.es/gazeta/dias/1810/06/18/pdfs/GMD-C-1810-169.pdf#page=2","Abrir facsímil")</f>
        <v>Abrir facsímil</v>
      </c>
      <c r="K3862" s="3" t="s">
        <v>76</v>
      </c>
    </row>
    <row r="3863" spans="1:11" ht="42" customHeight="1">
      <c r="A3863" s="2" t="s">
        <v>10431</v>
      </c>
      <c r="B3863" s="2" t="s">
        <v>10432</v>
      </c>
      <c r="C3863" s="2" t="s">
        <v>88</v>
      </c>
      <c r="D3863" s="2" t="s">
        <v>27</v>
      </c>
      <c r="E3863" s="4">
        <v>-32789</v>
      </c>
      <c r="F3863" s="3" t="s">
        <v>1468</v>
      </c>
      <c r="G3863" s="3" t="s">
        <v>140</v>
      </c>
      <c r="H3863" s="2" t="s">
        <v>74</v>
      </c>
      <c r="I3863" s="2" t="s">
        <v>10433</v>
      </c>
      <c r="J3863" s="3" t="str">
        <f>HYPERLINK("https://www.boe.es/gazeta/dias/1810/03/23/pdfs/GEI-1810-5.pdf#page=8","Abrir facsímil")</f>
        <v>Abrir facsímil</v>
      </c>
      <c r="K3863" s="3" t="s">
        <v>76</v>
      </c>
    </row>
    <row r="3864" spans="1:11" ht="42" customHeight="1">
      <c r="A3864" s="2" t="s">
        <v>10431</v>
      </c>
      <c r="B3864" s="2" t="s">
        <v>10432</v>
      </c>
      <c r="C3864" s="2" t="s">
        <v>225</v>
      </c>
      <c r="D3864" s="2" t="s">
        <v>27</v>
      </c>
      <c r="E3864" s="4">
        <v>-32757</v>
      </c>
      <c r="F3864" s="3" t="s">
        <v>1136</v>
      </c>
      <c r="G3864" s="3" t="s">
        <v>1901</v>
      </c>
      <c r="H3864" s="2" t="s">
        <v>74</v>
      </c>
      <c r="I3864" s="2" t="s">
        <v>10434</v>
      </c>
      <c r="J3864" s="3" t="str">
        <f>HYPERLINK("https://www.boe.es/gazeta/dias/1810/04/24/pdfs/GEI-1810-17.pdf#page=8","Abrir facsímil")</f>
        <v>Abrir facsímil</v>
      </c>
      <c r="K3864" s="3" t="s">
        <v>76</v>
      </c>
    </row>
    <row r="3865" spans="1:11" ht="42" customHeight="1">
      <c r="A3865" s="2" t="s">
        <v>10431</v>
      </c>
      <c r="B3865" s="2" t="s">
        <v>10432</v>
      </c>
      <c r="C3865" s="2" t="s">
        <v>26</v>
      </c>
      <c r="D3865" s="2" t="s">
        <v>39</v>
      </c>
      <c r="E3865" s="4">
        <v>-32702</v>
      </c>
      <c r="F3865" s="3" t="s">
        <v>179</v>
      </c>
      <c r="G3865" s="3" t="s">
        <v>180</v>
      </c>
      <c r="H3865" s="2" t="s">
        <v>74</v>
      </c>
      <c r="I3865" s="2" t="s">
        <v>10435</v>
      </c>
      <c r="J3865" s="3" t="str">
        <f>HYPERLINK("https://www.boe.es/gazeta/dias/1810/06/18/pdfs/GMD-C-1810-169.pdf#page=2","Abrir facsímil")</f>
        <v>Abrir facsímil</v>
      </c>
      <c r="K3865" s="3" t="s">
        <v>76</v>
      </c>
    </row>
    <row r="3866" spans="1:11" ht="42" customHeight="1">
      <c r="A3866" s="2" t="s">
        <v>10436</v>
      </c>
      <c r="B3866" s="2" t="s">
        <v>10437</v>
      </c>
      <c r="C3866" s="2" t="s">
        <v>317</v>
      </c>
      <c r="D3866" s="2" t="s">
        <v>27</v>
      </c>
      <c r="E3866" s="4">
        <v>-32693</v>
      </c>
      <c r="F3866" s="3" t="s">
        <v>54</v>
      </c>
      <c r="G3866" s="3" t="s">
        <v>20</v>
      </c>
      <c r="H3866" s="2" t="s">
        <v>74</v>
      </c>
      <c r="I3866" s="2" t="s">
        <v>10438</v>
      </c>
      <c r="J3866" s="3" t="str">
        <f>HYPERLINK("https://www.boe.es/gazeta/dias/1810/06/27/pdfs/GMD-1810-178.pdf#page=4","Abrir facsímil")</f>
        <v>Abrir facsímil</v>
      </c>
      <c r="K3866" s="3" t="s">
        <v>76</v>
      </c>
    </row>
    <row r="3867" spans="1:11" ht="42" customHeight="1">
      <c r="A3867" s="2" t="s">
        <v>10439</v>
      </c>
      <c r="B3867" s="2" t="s">
        <v>10440</v>
      </c>
      <c r="C3867" s="2" t="s">
        <v>225</v>
      </c>
      <c r="D3867" s="2" t="s">
        <v>27</v>
      </c>
      <c r="E3867" s="4">
        <v>-32837</v>
      </c>
      <c r="F3867" s="3" t="s">
        <v>196</v>
      </c>
      <c r="G3867" s="3" t="s">
        <v>99</v>
      </c>
      <c r="H3867" s="2" t="s">
        <v>74</v>
      </c>
      <c r="I3867" s="2" t="s">
        <v>10441</v>
      </c>
      <c r="J3867" s="3" t="str">
        <f>HYPERLINK("https://www.boe.es/gazeta/dias/1810/02/03/pdfs/GMD-1810-34.pdf#page=3","Abrir facsímil")</f>
        <v>Abrir facsímil</v>
      </c>
      <c r="K3867" s="3" t="s">
        <v>76</v>
      </c>
    </row>
    <row r="3868" spans="1:11" ht="42" customHeight="1">
      <c r="A3868" s="2" t="s">
        <v>10442</v>
      </c>
      <c r="B3868" s="2" t="s">
        <v>10443</v>
      </c>
      <c r="C3868" s="2" t="s">
        <v>26</v>
      </c>
      <c r="D3868" s="2" t="s">
        <v>18</v>
      </c>
      <c r="E3868" s="4">
        <v>-32837</v>
      </c>
      <c r="F3868" s="3" t="s">
        <v>196</v>
      </c>
      <c r="G3868" s="3" t="s">
        <v>140</v>
      </c>
      <c r="H3868" s="2" t="s">
        <v>74</v>
      </c>
      <c r="I3868" s="2" t="s">
        <v>10444</v>
      </c>
      <c r="J3868" s="3" t="str">
        <f>HYPERLINK("https://www.boe.es/gazeta/dias/1810/02/03/pdfs/GMD-1810-34.pdf#page=4","Abrir facsímil")</f>
        <v>Abrir facsímil</v>
      </c>
      <c r="K3868" s="3" t="s">
        <v>76</v>
      </c>
    </row>
    <row r="3869" spans="1:11" ht="42" customHeight="1">
      <c r="A3869" s="2" t="s">
        <v>10442</v>
      </c>
      <c r="B3869" s="2" t="s">
        <v>10443</v>
      </c>
      <c r="C3869" s="2" t="s">
        <v>26</v>
      </c>
      <c r="D3869" s="2" t="s">
        <v>18</v>
      </c>
      <c r="E3869" s="4">
        <v>-32601</v>
      </c>
      <c r="F3869" s="3" t="s">
        <v>392</v>
      </c>
      <c r="G3869" s="3" t="s">
        <v>1430</v>
      </c>
      <c r="H3869" s="2" t="s">
        <v>74</v>
      </c>
      <c r="I3869" s="2" t="s">
        <v>10445</v>
      </c>
      <c r="J3869" s="3" t="str">
        <f>HYPERLINK("https://www.boe.es/gazeta/dias/1810/09/27/pdfs/GEI-1810-74E.pdf#page=3","Abrir facsímil")</f>
        <v>Abrir facsímil</v>
      </c>
      <c r="K3869" s="3" t="s">
        <v>76</v>
      </c>
    </row>
    <row r="3870" spans="1:11" ht="42" customHeight="1">
      <c r="A3870" s="2" t="s">
        <v>10442</v>
      </c>
      <c r="B3870" s="2" t="s">
        <v>10443</v>
      </c>
      <c r="C3870" s="2" t="s">
        <v>26</v>
      </c>
      <c r="D3870" s="2" t="s">
        <v>27</v>
      </c>
      <c r="E3870" s="4">
        <v>-32582</v>
      </c>
      <c r="F3870" s="3" t="s">
        <v>3849</v>
      </c>
      <c r="G3870" s="3" t="s">
        <v>3850</v>
      </c>
      <c r="H3870" s="2" t="s">
        <v>74</v>
      </c>
      <c r="I3870" s="2" t="s">
        <v>10446</v>
      </c>
      <c r="J3870" s="3" t="str">
        <f>HYPERLINK("https://www.boe.es/gazeta/dias/1810/10/16/pdfs/GEI-1810-82.pdf#page=4","Abrir facsímil")</f>
        <v>Abrir facsímil</v>
      </c>
      <c r="K3870" s="3" t="s">
        <v>76</v>
      </c>
    </row>
    <row r="3871" spans="1:11" ht="42" customHeight="1">
      <c r="A3871" s="2" t="s">
        <v>10447</v>
      </c>
      <c r="B3871" s="2" t="s">
        <v>10448</v>
      </c>
      <c r="C3871" s="2" t="s">
        <v>26</v>
      </c>
      <c r="D3871" s="2" t="s">
        <v>27</v>
      </c>
      <c r="E3871" s="4">
        <v>-32647</v>
      </c>
      <c r="F3871" s="3" t="s">
        <v>118</v>
      </c>
      <c r="G3871" s="3" t="s">
        <v>119</v>
      </c>
      <c r="H3871" s="2" t="s">
        <v>74</v>
      </c>
      <c r="I3871" s="2" t="s">
        <v>10449</v>
      </c>
      <c r="J3871" s="3" t="str">
        <f>HYPERLINK("https://www.boe.es/gazeta/dias/1810/08/12/pdfs/GMD-1810-224.pdf#page=3","Abrir facsímil")</f>
        <v>Abrir facsímil</v>
      </c>
      <c r="K3871" s="3" t="s">
        <v>76</v>
      </c>
    </row>
    <row r="3872" spans="1:11" ht="42" customHeight="1">
      <c r="A3872" s="2" t="s">
        <v>10450</v>
      </c>
      <c r="B3872" s="2" t="s">
        <v>10451</v>
      </c>
      <c r="C3872" s="2" t="s">
        <v>33</v>
      </c>
      <c r="D3872" s="2" t="s">
        <v>27</v>
      </c>
      <c r="E3872" s="4">
        <v>-32687</v>
      </c>
      <c r="F3872" s="3" t="s">
        <v>221</v>
      </c>
      <c r="G3872" s="3" t="s">
        <v>20</v>
      </c>
      <c r="H3872" s="2" t="s">
        <v>74</v>
      </c>
      <c r="I3872" s="2" t="s">
        <v>10452</v>
      </c>
      <c r="J3872" s="3" t="str">
        <f>HYPERLINK("https://www.boe.es/gazeta/dias/1810/07/03/pdfs/GMD-1810-184.pdf#page=4","Abrir facsímil")</f>
        <v>Abrir facsímil</v>
      </c>
      <c r="K3872" s="3" t="s">
        <v>76</v>
      </c>
    </row>
    <row r="3873" spans="1:11" ht="42" customHeight="1">
      <c r="A3873" s="2" t="s">
        <v>10453</v>
      </c>
      <c r="B3873" s="2" t="s">
        <v>10454</v>
      </c>
      <c r="C3873" s="2" t="s">
        <v>26</v>
      </c>
      <c r="D3873" s="2" t="s">
        <v>27</v>
      </c>
      <c r="E3873" s="4">
        <v>-32569</v>
      </c>
      <c r="F3873" s="3" t="s">
        <v>421</v>
      </c>
      <c r="G3873" s="3" t="s">
        <v>20</v>
      </c>
      <c r="H3873" s="2" t="s">
        <v>74</v>
      </c>
      <c r="I3873" s="2" t="s">
        <v>10455</v>
      </c>
      <c r="J3873" s="3" t="str">
        <f>HYPERLINK("https://www.boe.es/gazeta/dias/1810/10/29/pdfs/GMD-1810-302.pdf#page=4","Abrir facsímil")</f>
        <v>Abrir facsímil</v>
      </c>
      <c r="K3873" s="3" t="s">
        <v>76</v>
      </c>
    </row>
    <row r="3874" spans="1:11" ht="42" customHeight="1">
      <c r="A3874" s="2" t="s">
        <v>10456</v>
      </c>
      <c r="B3874" s="2" t="s">
        <v>10457</v>
      </c>
      <c r="C3874" s="2" t="s">
        <v>88</v>
      </c>
      <c r="D3874" s="2" t="s">
        <v>117</v>
      </c>
      <c r="E3874" s="4">
        <v>-32526</v>
      </c>
      <c r="F3874" s="3" t="s">
        <v>530</v>
      </c>
      <c r="G3874" s="3" t="s">
        <v>636</v>
      </c>
      <c r="H3874" s="2" t="s">
        <v>74</v>
      </c>
      <c r="I3874" s="2" t="s">
        <v>10458</v>
      </c>
      <c r="J3874" s="3" t="str">
        <f>HYPERLINK("https://www.boe.es/gazeta/dias/1810/12/11/pdfs/GEI-1810-106.pdf#page=3","Abrir facsímil")</f>
        <v>Abrir facsímil</v>
      </c>
      <c r="K3874" s="3" t="s">
        <v>76</v>
      </c>
    </row>
    <row r="3875" spans="1:11" ht="42" customHeight="1">
      <c r="A3875" s="2" t="s">
        <v>10459</v>
      </c>
      <c r="B3875" s="2" t="s">
        <v>10460</v>
      </c>
      <c r="C3875" s="2" t="s">
        <v>88</v>
      </c>
      <c r="D3875" s="2" t="s">
        <v>27</v>
      </c>
      <c r="E3875" s="4">
        <v>-32697</v>
      </c>
      <c r="F3875" s="3" t="s">
        <v>1859</v>
      </c>
      <c r="G3875" s="3" t="s">
        <v>140</v>
      </c>
      <c r="H3875" s="2" t="s">
        <v>74</v>
      </c>
      <c r="I3875" s="2" t="s">
        <v>10461</v>
      </c>
      <c r="J3875" s="3" t="str">
        <f>HYPERLINK("https://www.boe.es/gazeta/dias/1810/06/23/pdfs/GMD-1810-174.pdf#page=3","Abrir facsímil")</f>
        <v>Abrir facsímil</v>
      </c>
      <c r="K3875" s="3" t="s">
        <v>76</v>
      </c>
    </row>
    <row r="3876" spans="1:11" ht="42" customHeight="1">
      <c r="A3876" s="2" t="s">
        <v>10459</v>
      </c>
      <c r="B3876" s="2" t="s">
        <v>10460</v>
      </c>
      <c r="C3876" s="2" t="s">
        <v>88</v>
      </c>
      <c r="D3876" s="2" t="s">
        <v>117</v>
      </c>
      <c r="E3876" s="4">
        <v>-32696</v>
      </c>
      <c r="F3876" s="3" t="s">
        <v>1863</v>
      </c>
      <c r="G3876" s="3" t="s">
        <v>701</v>
      </c>
      <c r="H3876" s="2" t="s">
        <v>74</v>
      </c>
      <c r="I3876" s="2" t="s">
        <v>10462</v>
      </c>
      <c r="J3876" s="3" t="str">
        <f>HYPERLINK("https://www.boe.es/gazeta/dias/1810/06/24/pdfs/GMD-1810-175.pdf#page=4","Abrir facsímil")</f>
        <v>Abrir facsímil</v>
      </c>
      <c r="K3876" s="3" t="s">
        <v>76</v>
      </c>
    </row>
    <row r="3877" spans="1:11" ht="42" customHeight="1">
      <c r="A3877" s="2" t="s">
        <v>10463</v>
      </c>
      <c r="B3877" s="2" t="s">
        <v>10464</v>
      </c>
      <c r="C3877" s="2" t="s">
        <v>33</v>
      </c>
      <c r="D3877" s="2" t="s">
        <v>27</v>
      </c>
      <c r="E3877" s="4">
        <v>-32618</v>
      </c>
      <c r="F3877" s="3" t="s">
        <v>1501</v>
      </c>
      <c r="G3877" s="3" t="s">
        <v>20</v>
      </c>
      <c r="H3877" s="2" t="s">
        <v>74</v>
      </c>
      <c r="I3877" s="2" t="s">
        <v>10465</v>
      </c>
      <c r="J3877" s="3" t="str">
        <f>HYPERLINK("https://www.boe.es/gazeta/dias/1810/09/10/pdfs/GMD-1810-253.pdf#page=4","Abrir facsímil")</f>
        <v>Abrir facsímil</v>
      </c>
      <c r="K3877" s="3" t="s">
        <v>76</v>
      </c>
    </row>
    <row r="3878" spans="1:11" ht="42" customHeight="1">
      <c r="A3878" s="2" t="s">
        <v>10466</v>
      </c>
      <c r="B3878" s="2" t="s">
        <v>10467</v>
      </c>
      <c r="C3878" s="2" t="s">
        <v>26</v>
      </c>
      <c r="D3878" s="2" t="s">
        <v>27</v>
      </c>
      <c r="E3878" s="4">
        <v>-32520</v>
      </c>
      <c r="F3878" s="3" t="s">
        <v>2109</v>
      </c>
      <c r="G3878" s="3" t="s">
        <v>2110</v>
      </c>
      <c r="H3878" s="2" t="s">
        <v>74</v>
      </c>
      <c r="I3878" s="2" t="s">
        <v>10468</v>
      </c>
      <c r="J3878" s="3" t="str">
        <f>HYPERLINK("https://www.boe.es/gazeta/dias/1810/12/17/pdfs/GMD-1810-351.pdf#page=2","Abrir facsímil")</f>
        <v>Abrir facsímil</v>
      </c>
      <c r="K3878" s="3" t="s">
        <v>76</v>
      </c>
    </row>
    <row r="3879" spans="1:11" ht="42" customHeight="1">
      <c r="A3879" s="2" t="s">
        <v>10469</v>
      </c>
      <c r="B3879" s="2" t="s">
        <v>10470</v>
      </c>
      <c r="C3879" s="2" t="s">
        <v>33</v>
      </c>
      <c r="D3879" s="2" t="s">
        <v>18</v>
      </c>
      <c r="E3879" s="4">
        <v>-32707</v>
      </c>
      <c r="F3879" s="3" t="s">
        <v>1753</v>
      </c>
      <c r="G3879" s="3" t="s">
        <v>227</v>
      </c>
      <c r="H3879" s="2" t="s">
        <v>74</v>
      </c>
      <c r="I3879" s="2" t="s">
        <v>10471</v>
      </c>
      <c r="J3879" s="3" t="str">
        <f>HYPERLINK("https://www.boe.es/gazeta/dias/1810/06/13/pdfs/GMD-1810-164.pdf#page=4","Abrir facsímil")</f>
        <v>Abrir facsímil</v>
      </c>
      <c r="K3879" s="3" t="s">
        <v>76</v>
      </c>
    </row>
    <row r="3880" spans="1:11" ht="42" customHeight="1">
      <c r="A3880" s="2" t="s">
        <v>10472</v>
      </c>
      <c r="B3880" s="2" t="s">
        <v>10473</v>
      </c>
      <c r="C3880" s="2" t="s">
        <v>26</v>
      </c>
      <c r="D3880" s="2" t="s">
        <v>27</v>
      </c>
      <c r="E3880" s="4">
        <v>-32631</v>
      </c>
      <c r="F3880" s="3" t="s">
        <v>497</v>
      </c>
      <c r="G3880" s="3" t="s">
        <v>498</v>
      </c>
      <c r="H3880" s="2" t="s">
        <v>74</v>
      </c>
      <c r="I3880" s="2" t="s">
        <v>10474</v>
      </c>
      <c r="J3880" s="3" t="str">
        <f>HYPERLINK("https://www.boe.es/gazeta/dias/1810/08/28/pdfs/GMD-1810-240.pdf#page=2","Abrir facsímil")</f>
        <v>Abrir facsímil</v>
      </c>
      <c r="K3880" s="3" t="s">
        <v>76</v>
      </c>
    </row>
    <row r="3881" spans="1:11" ht="42" customHeight="1">
      <c r="A3881" s="2" t="s">
        <v>10475</v>
      </c>
      <c r="B3881" s="2" t="s">
        <v>10476</v>
      </c>
      <c r="C3881" s="2" t="s">
        <v>88</v>
      </c>
      <c r="D3881" s="2" t="s">
        <v>58</v>
      </c>
      <c r="E3881" s="4">
        <v>-32651</v>
      </c>
      <c r="F3881" s="3" t="s">
        <v>59</v>
      </c>
      <c r="G3881" s="3" t="s">
        <v>5204</v>
      </c>
      <c r="H3881" s="2" t="s">
        <v>74</v>
      </c>
      <c r="I3881" s="2" t="s">
        <v>10477</v>
      </c>
      <c r="J3881" s="3" t="str">
        <f>HYPERLINK("https://www.boe.es/gazeta/dias/1810/08/08/pdfs/GEI-1810-53E.pdf#page=10","Abrir facsímil")</f>
        <v>Abrir facsímil</v>
      </c>
      <c r="K3881" s="3" t="s">
        <v>76</v>
      </c>
    </row>
    <row r="3882" spans="1:11" ht="42" customHeight="1">
      <c r="A3882" s="2" t="s">
        <v>10478</v>
      </c>
      <c r="B3882" s="2" t="s">
        <v>10479</v>
      </c>
      <c r="C3882" s="2" t="s">
        <v>26</v>
      </c>
      <c r="D3882" s="2" t="s">
        <v>27</v>
      </c>
      <c r="E3882" s="4">
        <v>-32827</v>
      </c>
      <c r="F3882" s="3" t="s">
        <v>290</v>
      </c>
      <c r="G3882" s="3" t="s">
        <v>291</v>
      </c>
      <c r="H3882" s="2" t="s">
        <v>74</v>
      </c>
      <c r="I3882" s="2" t="s">
        <v>10480</v>
      </c>
      <c r="J3882" s="3" t="str">
        <f>HYPERLINK("https://www.boe.es/gazeta/dias/1810/02/13/pdfs/GMD-1810-44.pdf#page=4","Abrir facsímil")</f>
        <v>Abrir facsímil</v>
      </c>
      <c r="K3882" s="3" t="s">
        <v>76</v>
      </c>
    </row>
    <row r="3883" spans="1:11" ht="42" customHeight="1">
      <c r="A3883" s="2" t="s">
        <v>10481</v>
      </c>
      <c r="B3883" s="2" t="s">
        <v>10482</v>
      </c>
      <c r="C3883" s="2" t="s">
        <v>33</v>
      </c>
      <c r="D3883" s="2" t="s">
        <v>27</v>
      </c>
      <c r="E3883" s="4">
        <v>-32869</v>
      </c>
      <c r="F3883" s="3" t="s">
        <v>5318</v>
      </c>
      <c r="G3883" s="3" t="s">
        <v>227</v>
      </c>
      <c r="H3883" s="2" t="s">
        <v>74</v>
      </c>
      <c r="I3883" s="2" t="s">
        <v>10483</v>
      </c>
      <c r="J3883" s="3" t="str">
        <f>HYPERLINK("https://www.boe.es/gazeta/dias/1810/01/02/pdfs/GGB-1810-1.pdf#page=6","Abrir facsímil")</f>
        <v>Abrir facsímil</v>
      </c>
      <c r="K3883" s="3" t="s">
        <v>76</v>
      </c>
    </row>
    <row r="3884" spans="1:11" ht="42" customHeight="1">
      <c r="A3884" s="2" t="s">
        <v>10484</v>
      </c>
      <c r="B3884" s="2" t="s">
        <v>10485</v>
      </c>
      <c r="C3884" s="2" t="s">
        <v>33</v>
      </c>
      <c r="D3884" s="2" t="s">
        <v>18</v>
      </c>
      <c r="E3884" s="4">
        <v>-32734</v>
      </c>
      <c r="F3884" s="3" t="s">
        <v>19</v>
      </c>
      <c r="G3884" s="3" t="s">
        <v>20</v>
      </c>
      <c r="H3884" s="2" t="s">
        <v>74</v>
      </c>
      <c r="I3884" s="2" t="s">
        <v>10486</v>
      </c>
      <c r="J3884" s="3" t="str">
        <f>HYPERLINK("https://www.boe.es/gazeta/dias/1810/05/17/pdfs/GMD-1810-137.pdf#page=4","Abrir facsímil")</f>
        <v>Abrir facsímil</v>
      </c>
      <c r="K3884" s="3" t="s">
        <v>76</v>
      </c>
    </row>
    <row r="3885" spans="1:11" ht="42" customHeight="1">
      <c r="A3885" s="2" t="s">
        <v>10487</v>
      </c>
      <c r="B3885" s="2" t="s">
        <v>10488</v>
      </c>
      <c r="C3885" s="2" t="s">
        <v>33</v>
      </c>
      <c r="D3885" s="2" t="s">
        <v>27</v>
      </c>
      <c r="E3885" s="4">
        <v>-32733</v>
      </c>
      <c r="F3885" s="3" t="s">
        <v>955</v>
      </c>
      <c r="G3885" s="3" t="s">
        <v>20</v>
      </c>
      <c r="H3885" s="2" t="s">
        <v>74</v>
      </c>
      <c r="I3885" s="2" t="s">
        <v>10489</v>
      </c>
      <c r="J3885" s="3" t="str">
        <f>HYPERLINK("https://www.boe.es/gazeta/dias/1810/05/18/pdfs/GEI-1810-27.pdf#page=4","Abrir facsímil")</f>
        <v>Abrir facsímil</v>
      </c>
      <c r="K3885" s="3" t="s">
        <v>76</v>
      </c>
    </row>
    <row r="3886" spans="1:11" ht="42" customHeight="1">
      <c r="A3886" s="2" t="s">
        <v>10490</v>
      </c>
      <c r="B3886" s="2" t="s">
        <v>10491</v>
      </c>
      <c r="C3886" s="2" t="s">
        <v>33</v>
      </c>
      <c r="D3886" s="2" t="s">
        <v>58</v>
      </c>
      <c r="E3886" s="4">
        <v>-32651</v>
      </c>
      <c r="F3886" s="3" t="s">
        <v>59</v>
      </c>
      <c r="G3886" s="3" t="s">
        <v>60</v>
      </c>
      <c r="H3886" s="2" t="s">
        <v>74</v>
      </c>
      <c r="I3886" s="2" t="s">
        <v>10492</v>
      </c>
      <c r="J3886" s="3" t="str">
        <f>HYPERLINK("https://www.boe.es/gazeta/dias/1810/08/08/pdfs/GEI-1810-53E.pdf#page=3","Abrir facsímil")</f>
        <v>Abrir facsímil</v>
      </c>
      <c r="K3886" s="3" t="s">
        <v>76</v>
      </c>
    </row>
    <row r="3887" spans="1:11" ht="42" customHeight="1">
      <c r="A3887" s="2" t="s">
        <v>10493</v>
      </c>
      <c r="B3887" s="2" t="s">
        <v>10494</v>
      </c>
      <c r="C3887" s="2" t="s">
        <v>17</v>
      </c>
      <c r="D3887" s="2" t="s">
        <v>27</v>
      </c>
      <c r="E3887" s="4">
        <v>-32820</v>
      </c>
      <c r="F3887" s="3" t="s">
        <v>226</v>
      </c>
      <c r="G3887" s="3" t="s">
        <v>213</v>
      </c>
      <c r="H3887" s="2" t="s">
        <v>74</v>
      </c>
      <c r="I3887" s="2" t="s">
        <v>10495</v>
      </c>
      <c r="J3887" s="3" t="str">
        <f>HYPERLINK("https://www.boe.es/gazeta/dias/1810/02/20/pdfs/GMD-1810-51.pdf#page=2","Abrir facsímil")</f>
        <v>Abrir facsímil</v>
      </c>
      <c r="K3887" s="3" t="s">
        <v>76</v>
      </c>
    </row>
    <row r="3888" spans="1:11" ht="42" customHeight="1">
      <c r="A3888" s="2" t="s">
        <v>10493</v>
      </c>
      <c r="B3888" s="2" t="s">
        <v>10494</v>
      </c>
      <c r="C3888" s="2" t="s">
        <v>33</v>
      </c>
      <c r="D3888" s="2" t="s">
        <v>27</v>
      </c>
      <c r="E3888" s="4">
        <v>-32614</v>
      </c>
      <c r="F3888" s="3" t="s">
        <v>1083</v>
      </c>
      <c r="G3888" s="3" t="s">
        <v>1084</v>
      </c>
      <c r="H3888" s="2" t="s">
        <v>74</v>
      </c>
      <c r="I3888" s="2" t="s">
        <v>10496</v>
      </c>
      <c r="J3888" s="3" t="str">
        <f>HYPERLINK("https://www.boe.es/gazeta/dias/1810/09/14/pdfs/GEI-1810-67.pdf#page=10","Abrir facsímil")</f>
        <v>Abrir facsímil</v>
      </c>
      <c r="K3888" s="3" t="s">
        <v>76</v>
      </c>
    </row>
    <row r="3889" spans="1:11" ht="42" customHeight="1">
      <c r="A3889" s="2" t="s">
        <v>10493</v>
      </c>
      <c r="B3889" s="2" t="s">
        <v>10494</v>
      </c>
      <c r="C3889" s="2" t="s">
        <v>26</v>
      </c>
      <c r="D3889" s="2" t="s">
        <v>27</v>
      </c>
      <c r="E3889" s="4">
        <v>-32528</v>
      </c>
      <c r="F3889" s="3" t="s">
        <v>3058</v>
      </c>
      <c r="G3889" s="3" t="s">
        <v>359</v>
      </c>
      <c r="H3889" s="2" t="s">
        <v>74</v>
      </c>
      <c r="I3889" s="2" t="s">
        <v>10497</v>
      </c>
      <c r="J3889" s="3" t="str">
        <f>HYPERLINK("https://www.boe.es/gazeta/dias/1810/12/09/pdfs/GMD-1810-343.pdf#page=3","Abrir facsímil")</f>
        <v>Abrir facsímil</v>
      </c>
      <c r="K3889" s="3" t="s">
        <v>76</v>
      </c>
    </row>
    <row r="3890" spans="1:11" ht="42" customHeight="1">
      <c r="A3890" s="2" t="s">
        <v>10498</v>
      </c>
      <c r="B3890" s="2" t="s">
        <v>10499</v>
      </c>
      <c r="C3890" s="2" t="s">
        <v>26</v>
      </c>
      <c r="D3890" s="2" t="s">
        <v>27</v>
      </c>
      <c r="E3890" s="4">
        <v>-32605</v>
      </c>
      <c r="F3890" s="3" t="s">
        <v>4823</v>
      </c>
      <c r="G3890" s="3" t="s">
        <v>213</v>
      </c>
      <c r="H3890" s="2" t="s">
        <v>74</v>
      </c>
      <c r="I3890" s="2" t="s">
        <v>10500</v>
      </c>
      <c r="J3890" s="3" t="str">
        <f>HYPERLINK("https://www.boe.es/gazeta/dias/1810/09/23/pdfs/GMD-1810-266.pdf#page=4","Abrir facsímil")</f>
        <v>Abrir facsímil</v>
      </c>
      <c r="K3890" s="3" t="s">
        <v>76</v>
      </c>
    </row>
    <row r="3891" spans="1:11" ht="42" customHeight="1">
      <c r="A3891" s="2" t="s">
        <v>10501</v>
      </c>
      <c r="B3891" s="2" t="s">
        <v>10502</v>
      </c>
      <c r="C3891" s="2" t="s">
        <v>26</v>
      </c>
      <c r="D3891" s="2" t="s">
        <v>58</v>
      </c>
      <c r="E3891" s="4">
        <v>-32651</v>
      </c>
      <c r="F3891" s="3" t="s">
        <v>59</v>
      </c>
      <c r="G3891" s="3" t="s">
        <v>60</v>
      </c>
      <c r="H3891" s="2" t="s">
        <v>74</v>
      </c>
      <c r="I3891" s="2" t="s">
        <v>10503</v>
      </c>
      <c r="J3891" s="3" t="str">
        <f>HYPERLINK("https://www.boe.es/gazeta/dias/1810/08/08/pdfs/GEI-1810-53E.pdf#page=3","Abrir facsímil")</f>
        <v>Abrir facsímil</v>
      </c>
      <c r="K3891" s="3" t="s">
        <v>76</v>
      </c>
    </row>
    <row r="3892" spans="1:11" ht="42" customHeight="1">
      <c r="A3892" s="2" t="s">
        <v>10504</v>
      </c>
      <c r="B3892" s="2" t="s">
        <v>10504</v>
      </c>
      <c r="C3892" s="2" t="s">
        <v>88</v>
      </c>
      <c r="D3892" s="2" t="s">
        <v>27</v>
      </c>
      <c r="E3892" s="4">
        <v>-32776</v>
      </c>
      <c r="F3892" s="3" t="s">
        <v>752</v>
      </c>
      <c r="G3892" s="3" t="s">
        <v>213</v>
      </c>
      <c r="H3892" s="2" t="s">
        <v>74</v>
      </c>
      <c r="I3892" s="2" t="s">
        <v>10505</v>
      </c>
      <c r="J3892" s="3" t="str">
        <f>HYPERLINK("https://www.boe.es/gazeta/dias/1810/04/05/pdfs/GMD-1810-95.pdf#page=3","Abrir facsímil")</f>
        <v>Abrir facsímil</v>
      </c>
      <c r="K3892" s="3" t="s">
        <v>76</v>
      </c>
    </row>
    <row r="3893" spans="1:11" ht="42" customHeight="1">
      <c r="A3893" s="2" t="s">
        <v>10504</v>
      </c>
      <c r="B3893" s="2" t="s">
        <v>10504</v>
      </c>
      <c r="C3893" s="2" t="s">
        <v>225</v>
      </c>
      <c r="D3893" s="2" t="s">
        <v>18</v>
      </c>
      <c r="E3893" s="4">
        <v>-32766</v>
      </c>
      <c r="F3893" s="3" t="s">
        <v>492</v>
      </c>
      <c r="G3893" s="3" t="s">
        <v>493</v>
      </c>
      <c r="H3893" s="2" t="s">
        <v>74</v>
      </c>
      <c r="I3893" s="2" t="s">
        <v>10506</v>
      </c>
      <c r="J3893" s="3" t="str">
        <f>HYPERLINK("https://www.boe.es/gazeta/dias/1810/04/15/pdfs/GMD-1810-105.pdf#page=4","Abrir facsímil")</f>
        <v>Abrir facsímil</v>
      </c>
      <c r="K3893" s="3" t="s">
        <v>76</v>
      </c>
    </row>
    <row r="3894" spans="1:11" ht="42" customHeight="1">
      <c r="A3894" s="2" t="s">
        <v>10504</v>
      </c>
      <c r="B3894" s="2" t="s">
        <v>10504</v>
      </c>
      <c r="C3894" s="2" t="s">
        <v>26</v>
      </c>
      <c r="D3894" s="2" t="s">
        <v>39</v>
      </c>
      <c r="E3894" s="4">
        <v>-32702</v>
      </c>
      <c r="F3894" s="3" t="s">
        <v>179</v>
      </c>
      <c r="G3894" s="3" t="s">
        <v>119</v>
      </c>
      <c r="H3894" s="2" t="s">
        <v>74</v>
      </c>
      <c r="I3894" s="2" t="s">
        <v>10507</v>
      </c>
      <c r="J3894" s="3" t="str">
        <f>HYPERLINK("https://www.boe.es/gazeta/dias/1810/06/18/pdfs/GMD-C-1810-169.pdf#page=1","Abrir facsímil")</f>
        <v>Abrir facsímil</v>
      </c>
      <c r="K3894" s="3" t="s">
        <v>76</v>
      </c>
    </row>
    <row r="3895" spans="1:11" ht="42" customHeight="1">
      <c r="A3895" s="2" t="s">
        <v>10504</v>
      </c>
      <c r="B3895" s="2" t="s">
        <v>10504</v>
      </c>
      <c r="C3895" s="2" t="s">
        <v>26</v>
      </c>
      <c r="D3895" s="2" t="s">
        <v>27</v>
      </c>
      <c r="E3895" s="4">
        <v>-32587</v>
      </c>
      <c r="F3895" s="3" t="s">
        <v>103</v>
      </c>
      <c r="G3895" s="3" t="s">
        <v>180</v>
      </c>
      <c r="H3895" s="2" t="s">
        <v>74</v>
      </c>
      <c r="I3895" s="2" t="s">
        <v>10508</v>
      </c>
      <c r="J3895" s="3" t="str">
        <f>HYPERLINK("https://www.boe.es/gazeta/dias/1810/10/11/pdfs/GEI-1810-80.pdf#page=8","Abrir facsímil")</f>
        <v>Abrir facsímil</v>
      </c>
      <c r="K3895" s="3" t="s">
        <v>76</v>
      </c>
    </row>
    <row r="3896" spans="1:11" ht="42" customHeight="1">
      <c r="A3896" s="2" t="s">
        <v>10509</v>
      </c>
      <c r="B3896" s="2" t="s">
        <v>10510</v>
      </c>
      <c r="C3896" s="2" t="s">
        <v>26</v>
      </c>
      <c r="D3896" s="2" t="s">
        <v>27</v>
      </c>
      <c r="E3896" s="4">
        <v>-32575</v>
      </c>
      <c r="F3896" s="3" t="s">
        <v>135</v>
      </c>
      <c r="G3896" s="3" t="s">
        <v>140</v>
      </c>
      <c r="H3896" s="2" t="s">
        <v>74</v>
      </c>
      <c r="I3896" s="2" t="s">
        <v>10511</v>
      </c>
      <c r="J3896" s="3" t="str">
        <f>HYPERLINK("https://www.boe.es/gazeta/dias/1810/10/23/pdfs/GEI-1810-85.pdf#page=10","Abrir facsímil")</f>
        <v>Abrir facsímil</v>
      </c>
      <c r="K3896" s="3" t="s">
        <v>76</v>
      </c>
    </row>
    <row r="3897" spans="1:11" ht="42" customHeight="1">
      <c r="A3897" s="2" t="s">
        <v>10512</v>
      </c>
      <c r="B3897" s="2" t="s">
        <v>10513</v>
      </c>
      <c r="C3897" s="2" t="s">
        <v>26</v>
      </c>
      <c r="D3897" s="2" t="s">
        <v>39</v>
      </c>
      <c r="E3897" s="4">
        <v>-32701</v>
      </c>
      <c r="F3897" s="3" t="s">
        <v>40</v>
      </c>
      <c r="G3897" s="3" t="s">
        <v>41</v>
      </c>
      <c r="H3897" s="2" t="s">
        <v>74</v>
      </c>
      <c r="I3897" s="2" t="s">
        <v>10514</v>
      </c>
      <c r="J3897" s="3" t="str">
        <f>HYPERLINK("https://www.boe.es/gazeta/dias/1810/06/19/pdfs/GMD-C-1810-170.pdf#page=3","Abrir facsímil")</f>
        <v>Abrir facsímil</v>
      </c>
      <c r="K3897" s="3" t="s">
        <v>76</v>
      </c>
    </row>
    <row r="3898" spans="1:11" ht="42" customHeight="1">
      <c r="A3898" s="2" t="s">
        <v>10515</v>
      </c>
      <c r="B3898" s="2" t="s">
        <v>10516</v>
      </c>
      <c r="C3898" s="2" t="s">
        <v>26</v>
      </c>
      <c r="D3898" s="2" t="s">
        <v>18</v>
      </c>
      <c r="E3898" s="4">
        <v>-32618</v>
      </c>
      <c r="F3898" s="3" t="s">
        <v>1501</v>
      </c>
      <c r="G3898" s="3" t="s">
        <v>20</v>
      </c>
      <c r="H3898" s="2" t="s">
        <v>74</v>
      </c>
      <c r="I3898" s="2" t="s">
        <v>10517</v>
      </c>
      <c r="J3898" s="3" t="str">
        <f>HYPERLINK("https://www.boe.es/gazeta/dias/1810/09/10/pdfs/GMD-1810-253.pdf#page=4","Abrir facsímil")</f>
        <v>Abrir facsímil</v>
      </c>
      <c r="K3898" s="3" t="s">
        <v>76</v>
      </c>
    </row>
    <row r="3899" spans="1:11" ht="42" customHeight="1">
      <c r="A3899" s="2" t="s">
        <v>10518</v>
      </c>
      <c r="B3899" s="2" t="s">
        <v>10519</v>
      </c>
      <c r="C3899" s="2" t="s">
        <v>26</v>
      </c>
      <c r="D3899" s="2" t="s">
        <v>39</v>
      </c>
      <c r="E3899" s="4">
        <v>-32599</v>
      </c>
      <c r="F3899" s="3" t="s">
        <v>662</v>
      </c>
      <c r="G3899" s="3" t="s">
        <v>695</v>
      </c>
      <c r="H3899" s="2" t="s">
        <v>74</v>
      </c>
      <c r="I3899" s="2" t="s">
        <v>10520</v>
      </c>
      <c r="J3899" s="3" t="str">
        <f>HYPERLINK("https://www.boe.es/gazeta/dias/1810/09/29/pdfs/GMD-C-1810-272.pdf#page=1","Abrir facsímil")</f>
        <v>Abrir facsímil</v>
      </c>
      <c r="K3899" s="3" t="s">
        <v>76</v>
      </c>
    </row>
    <row r="3900" spans="1:11" ht="42" customHeight="1">
      <c r="A3900" s="2" t="s">
        <v>10521</v>
      </c>
      <c r="B3900" s="2" t="s">
        <v>10522</v>
      </c>
      <c r="C3900" s="2" t="s">
        <v>111</v>
      </c>
      <c r="D3900" s="2" t="s">
        <v>27</v>
      </c>
      <c r="E3900" s="4">
        <v>-32839</v>
      </c>
      <c r="F3900" s="3" t="s">
        <v>28</v>
      </c>
      <c r="G3900" s="3" t="s">
        <v>140</v>
      </c>
      <c r="H3900" s="2" t="s">
        <v>74</v>
      </c>
      <c r="I3900" s="2" t="s">
        <v>10523</v>
      </c>
      <c r="J3900" s="3" t="str">
        <f>HYPERLINK("https://www.boe.es/gazeta/dias/1810/02/01/pdfs/GMD-1810-32.pdf#page=4","Abrir facsímil")</f>
        <v>Abrir facsímil</v>
      </c>
      <c r="K3900" s="3" t="s">
        <v>76</v>
      </c>
    </row>
    <row r="3901" spans="1:11" ht="42" customHeight="1">
      <c r="A3901" s="2" t="s">
        <v>10524</v>
      </c>
      <c r="B3901" s="2" t="s">
        <v>10525</v>
      </c>
      <c r="C3901" s="2" t="s">
        <v>26</v>
      </c>
      <c r="D3901" s="2" t="s">
        <v>27</v>
      </c>
      <c r="E3901" s="4">
        <v>-32544</v>
      </c>
      <c r="F3901" s="3" t="s">
        <v>1239</v>
      </c>
      <c r="G3901" s="3" t="s">
        <v>99</v>
      </c>
      <c r="H3901" s="2" t="s">
        <v>74</v>
      </c>
      <c r="I3901" s="2" t="s">
        <v>10526</v>
      </c>
      <c r="J3901" s="3" t="str">
        <f>HYPERLINK("https://www.boe.es/gazeta/dias/1810/11/23/pdfs/GMD-1810-327.pdf#page=3","Abrir facsímil")</f>
        <v>Abrir facsímil</v>
      </c>
      <c r="K3901" s="3" t="s">
        <v>76</v>
      </c>
    </row>
    <row r="3902" spans="1:11" ht="42" customHeight="1">
      <c r="A3902" s="2" t="s">
        <v>10527</v>
      </c>
      <c r="B3902" s="2" t="s">
        <v>10528</v>
      </c>
      <c r="C3902" s="2" t="s">
        <v>195</v>
      </c>
      <c r="D3902" s="2" t="s">
        <v>18</v>
      </c>
      <c r="E3902" s="4">
        <v>-32659</v>
      </c>
      <c r="F3902" s="3" t="s">
        <v>328</v>
      </c>
      <c r="G3902" s="3" t="s">
        <v>119</v>
      </c>
      <c r="H3902" s="2" t="s">
        <v>74</v>
      </c>
      <c r="I3902" s="2" t="s">
        <v>10529</v>
      </c>
      <c r="J3902" s="3" t="str">
        <f>HYPERLINK("https://www.boe.es/gazeta/dias/1810/07/31/pdfs/GEI-1810-49.pdf#page=8","Abrir facsímil")</f>
        <v>Abrir facsímil</v>
      </c>
      <c r="K3902" s="3" t="s">
        <v>76</v>
      </c>
    </row>
    <row r="3903" spans="1:11" ht="42" customHeight="1">
      <c r="A3903" s="2" t="s">
        <v>10530</v>
      </c>
      <c r="B3903" s="2" t="s">
        <v>10531</v>
      </c>
      <c r="C3903" s="2" t="s">
        <v>26</v>
      </c>
      <c r="D3903" s="2" t="s">
        <v>27</v>
      </c>
      <c r="E3903" s="4">
        <v>-32684</v>
      </c>
      <c r="F3903" s="3" t="s">
        <v>1373</v>
      </c>
      <c r="G3903" s="3" t="s">
        <v>1374</v>
      </c>
      <c r="H3903" s="2" t="s">
        <v>21</v>
      </c>
      <c r="I3903" s="2" t="s">
        <v>10532</v>
      </c>
      <c r="J3903" s="3" t="str">
        <f>HYPERLINK("https://www.boe.es/gazeta/dias/1810/07/06/pdfs/GEI-1810-42.pdf#page=8","Abrir facsímil")</f>
        <v>Abrir facsímil</v>
      </c>
      <c r="K3903" s="3" t="s">
        <v>23</v>
      </c>
    </row>
    <row r="3904" spans="1:11" ht="42" customHeight="1">
      <c r="A3904" s="2" t="s">
        <v>10533</v>
      </c>
      <c r="B3904" s="2" t="s">
        <v>10534</v>
      </c>
      <c r="C3904" s="2" t="s">
        <v>26</v>
      </c>
      <c r="D3904" s="2" t="s">
        <v>27</v>
      </c>
      <c r="E3904" s="4">
        <v>-32569</v>
      </c>
      <c r="F3904" s="3" t="s">
        <v>421</v>
      </c>
      <c r="G3904" s="3" t="s">
        <v>20</v>
      </c>
      <c r="H3904" s="2" t="s">
        <v>74</v>
      </c>
      <c r="I3904" s="2" t="s">
        <v>10535</v>
      </c>
      <c r="J3904" s="3" t="str">
        <f>HYPERLINK("https://www.boe.es/gazeta/dias/1810/10/29/pdfs/GMD-1810-302.pdf#page=4","Abrir facsímil")</f>
        <v>Abrir facsímil</v>
      </c>
      <c r="K3904" s="3" t="s">
        <v>76</v>
      </c>
    </row>
    <row r="3905" spans="1:11" ht="42" customHeight="1">
      <c r="A3905" s="2" t="s">
        <v>10536</v>
      </c>
      <c r="B3905" s="2" t="s">
        <v>10537</v>
      </c>
      <c r="C3905" s="2" t="s">
        <v>317</v>
      </c>
      <c r="D3905" s="2" t="s">
        <v>27</v>
      </c>
      <c r="E3905" s="4">
        <v>-32649</v>
      </c>
      <c r="F3905" s="3" t="s">
        <v>1988</v>
      </c>
      <c r="G3905" s="3" t="s">
        <v>227</v>
      </c>
      <c r="H3905" s="2" t="s">
        <v>74</v>
      </c>
      <c r="I3905" s="2" t="s">
        <v>10538</v>
      </c>
      <c r="J3905" s="3" t="str">
        <f>HYPERLINK("https://www.boe.es/gazeta/dias/1810/08/10/pdfs/GMD-1810-222.pdf#page=4","Abrir facsímil")</f>
        <v>Abrir facsímil</v>
      </c>
      <c r="K3905" s="3" t="s">
        <v>76</v>
      </c>
    </row>
    <row r="3906" spans="1:11" ht="42" customHeight="1">
      <c r="A3906" s="2" t="s">
        <v>10539</v>
      </c>
      <c r="B3906" s="2" t="s">
        <v>10539</v>
      </c>
      <c r="C3906" s="2" t="s">
        <v>88</v>
      </c>
      <c r="D3906" s="2" t="s">
        <v>27</v>
      </c>
      <c r="E3906" s="4">
        <v>-32705</v>
      </c>
      <c r="F3906" s="3" t="s">
        <v>1158</v>
      </c>
      <c r="G3906" s="3" t="s">
        <v>119</v>
      </c>
      <c r="H3906" s="2" t="s">
        <v>74</v>
      </c>
      <c r="I3906" s="2" t="s">
        <v>10540</v>
      </c>
      <c r="J3906" s="3" t="str">
        <f>HYPERLINK("https://www.boe.es/gazeta/dias/1810/06/15/pdfs/GMD-1810-166.pdf#page=3","Abrir facsímil")</f>
        <v>Abrir facsímil</v>
      </c>
      <c r="K3906" s="3" t="s">
        <v>76</v>
      </c>
    </row>
    <row r="3907" spans="1:11" ht="42" customHeight="1">
      <c r="A3907" s="2" t="s">
        <v>10541</v>
      </c>
      <c r="B3907" s="2" t="s">
        <v>10541</v>
      </c>
      <c r="C3907" s="2" t="s">
        <v>26</v>
      </c>
      <c r="D3907" s="2" t="s">
        <v>27</v>
      </c>
      <c r="E3907" s="4">
        <v>-32562</v>
      </c>
      <c r="F3907" s="3" t="s">
        <v>1186</v>
      </c>
      <c r="G3907" s="3" t="s">
        <v>735</v>
      </c>
      <c r="H3907" s="2" t="s">
        <v>74</v>
      </c>
      <c r="I3907" s="2" t="s">
        <v>10542</v>
      </c>
      <c r="J3907" s="3" t="str">
        <f>HYPERLINK("https://www.boe.es/gazeta/dias/1810/11/05/pdfs/GMD-1810-309.pdf#page=1","Abrir facsímil")</f>
        <v>Abrir facsímil</v>
      </c>
      <c r="K3907" s="3" t="s">
        <v>76</v>
      </c>
    </row>
    <row r="3908" spans="1:11" ht="42" customHeight="1">
      <c r="A3908" s="2" t="s">
        <v>10543</v>
      </c>
      <c r="B3908" s="2" t="s">
        <v>10543</v>
      </c>
      <c r="C3908" s="2" t="s">
        <v>195</v>
      </c>
      <c r="D3908" s="2" t="s">
        <v>27</v>
      </c>
      <c r="E3908" s="4">
        <v>-32688</v>
      </c>
      <c r="F3908" s="3" t="s">
        <v>997</v>
      </c>
      <c r="G3908" s="3" t="s">
        <v>10544</v>
      </c>
      <c r="H3908" s="2" t="s">
        <v>74</v>
      </c>
      <c r="I3908" s="2" t="s">
        <v>10545</v>
      </c>
      <c r="J3908" s="3" t="str">
        <f>HYPERLINK("https://www.boe.es/gazeta/dias/1810/07/02/pdfs/GMD-1810-183.pdf#page=2","Abrir facsímil")</f>
        <v>Abrir facsímil</v>
      </c>
      <c r="K3908" s="3" t="s">
        <v>76</v>
      </c>
    </row>
    <row r="3909" spans="1:11" ht="42" customHeight="1">
      <c r="A3909" s="2" t="s">
        <v>10546</v>
      </c>
      <c r="B3909" s="2" t="s">
        <v>10547</v>
      </c>
      <c r="C3909" s="2" t="s">
        <v>26</v>
      </c>
      <c r="D3909" s="2" t="s">
        <v>18</v>
      </c>
      <c r="E3909" s="4">
        <v>-32654</v>
      </c>
      <c r="F3909" s="3" t="s">
        <v>1226</v>
      </c>
      <c r="G3909" s="3" t="s">
        <v>732</v>
      </c>
      <c r="H3909" s="2" t="s">
        <v>74</v>
      </c>
      <c r="I3909" s="2" t="s">
        <v>10548</v>
      </c>
      <c r="J3909" s="3" t="str">
        <f>HYPERLINK("https://www.boe.es/gazeta/dias/1810/08/05/pdfs/GMD-1810-217.pdf#page=3","Abrir facsímil")</f>
        <v>Abrir facsímil</v>
      </c>
      <c r="K3909" s="3" t="s">
        <v>76</v>
      </c>
    </row>
    <row r="3910" spans="1:11" ht="42" customHeight="1">
      <c r="A3910" s="2" t="s">
        <v>10549</v>
      </c>
      <c r="B3910" s="2" t="s">
        <v>10549</v>
      </c>
      <c r="C3910" s="2" t="s">
        <v>88</v>
      </c>
      <c r="D3910" s="2" t="s">
        <v>27</v>
      </c>
      <c r="E3910" s="4">
        <v>-32783</v>
      </c>
      <c r="F3910" s="3" t="s">
        <v>896</v>
      </c>
      <c r="G3910" s="3" t="s">
        <v>99</v>
      </c>
      <c r="H3910" s="2" t="s">
        <v>74</v>
      </c>
      <c r="I3910" s="2" t="s">
        <v>10550</v>
      </c>
      <c r="J3910" s="3" t="str">
        <f>HYPERLINK("https://www.boe.es/gazeta/dias/1810/03/29/pdfs/GMD-1810-88.pdf#page=3","Abrir facsímil")</f>
        <v>Abrir facsímil</v>
      </c>
      <c r="K3910" s="3" t="s">
        <v>76</v>
      </c>
    </row>
    <row r="3911" spans="1:11" ht="42" customHeight="1">
      <c r="A3911" s="2" t="s">
        <v>10551</v>
      </c>
      <c r="B3911" s="2" t="s">
        <v>10552</v>
      </c>
      <c r="C3911" s="2" t="s">
        <v>26</v>
      </c>
      <c r="D3911" s="2" t="s">
        <v>27</v>
      </c>
      <c r="E3911" s="4">
        <v>-32592</v>
      </c>
      <c r="F3911" s="3" t="s">
        <v>2782</v>
      </c>
      <c r="G3911" s="3" t="s">
        <v>2864</v>
      </c>
      <c r="H3911" s="2" t="s">
        <v>74</v>
      </c>
      <c r="I3911" s="2" t="s">
        <v>10553</v>
      </c>
      <c r="J3911" s="3" t="str">
        <f>HYPERLINK("https://www.boe.es/gazeta/dias/1810/10/06/pdfs/GMD-1810-279.pdf#page=4","Abrir facsímil")</f>
        <v>Abrir facsímil</v>
      </c>
      <c r="K3911" s="3" t="s">
        <v>76</v>
      </c>
    </row>
    <row r="3912" spans="1:11" ht="42" customHeight="1">
      <c r="A3912" s="2" t="s">
        <v>10554</v>
      </c>
      <c r="B3912" s="2" t="s">
        <v>10555</v>
      </c>
      <c r="C3912" s="2" t="s">
        <v>225</v>
      </c>
      <c r="D3912" s="2" t="s">
        <v>117</v>
      </c>
      <c r="E3912" s="4">
        <v>-32774</v>
      </c>
      <c r="F3912" s="3" t="s">
        <v>10556</v>
      </c>
      <c r="G3912" s="3" t="s">
        <v>20</v>
      </c>
      <c r="H3912" s="2" t="s">
        <v>74</v>
      </c>
      <c r="I3912" s="2" t="s">
        <v>10557</v>
      </c>
      <c r="J3912" s="3" t="str">
        <f>HYPERLINK("https://www.boe.es/gazeta/dias/1810/04/07/pdfs/GMD-1810-97.pdf#page=4","Abrir facsímil")</f>
        <v>Abrir facsímil</v>
      </c>
      <c r="K3912" s="3" t="s">
        <v>76</v>
      </c>
    </row>
    <row r="3913" spans="1:11" ht="42" customHeight="1">
      <c r="A3913" s="2" t="s">
        <v>10558</v>
      </c>
      <c r="B3913" s="2" t="s">
        <v>10559</v>
      </c>
      <c r="C3913" s="2" t="s">
        <v>26</v>
      </c>
      <c r="D3913" s="2" t="s">
        <v>27</v>
      </c>
      <c r="E3913" s="4">
        <v>-32771</v>
      </c>
      <c r="F3913" s="3" t="s">
        <v>543</v>
      </c>
      <c r="G3913" s="3" t="s">
        <v>65</v>
      </c>
      <c r="H3913" s="2" t="s">
        <v>74</v>
      </c>
      <c r="I3913" s="2" t="s">
        <v>10560</v>
      </c>
      <c r="J3913" s="3" t="str">
        <f>HYPERLINK("https://www.boe.es/gazeta/dias/1810/04/10/pdfs/GEI-1810-13.pdf#page=7","Abrir facsímil")</f>
        <v>Abrir facsímil</v>
      </c>
      <c r="K3913" s="3" t="s">
        <v>76</v>
      </c>
    </row>
    <row r="3914" spans="1:11" ht="42" customHeight="1">
      <c r="A3914" s="2" t="s">
        <v>10561</v>
      </c>
      <c r="B3914" s="2" t="s">
        <v>10562</v>
      </c>
      <c r="C3914" s="2" t="s">
        <v>26</v>
      </c>
      <c r="D3914" s="2" t="s">
        <v>27</v>
      </c>
      <c r="E3914" s="4">
        <v>-32568</v>
      </c>
      <c r="F3914" s="3" t="s">
        <v>683</v>
      </c>
      <c r="G3914" s="3" t="s">
        <v>10563</v>
      </c>
      <c r="H3914" s="2" t="s">
        <v>74</v>
      </c>
      <c r="I3914" s="2" t="s">
        <v>10564</v>
      </c>
      <c r="J3914" s="3" t="str">
        <f>HYPERLINK("https://www.boe.es/gazeta/dias/1810/10/30/pdfs/GEI-1810-88.pdf#page=10","Abrir facsímil")</f>
        <v>Abrir facsímil</v>
      </c>
      <c r="K3914" s="3" t="s">
        <v>76</v>
      </c>
    </row>
    <row r="3915" spans="1:11" ht="42" customHeight="1">
      <c r="A3915" s="2" t="s">
        <v>10565</v>
      </c>
      <c r="B3915" s="2" t="s">
        <v>10566</v>
      </c>
      <c r="C3915" s="2" t="s">
        <v>88</v>
      </c>
      <c r="D3915" s="2" t="s">
        <v>117</v>
      </c>
      <c r="E3915" s="4">
        <v>-32645</v>
      </c>
      <c r="F3915" s="3" t="s">
        <v>122</v>
      </c>
      <c r="G3915" s="3" t="s">
        <v>588</v>
      </c>
      <c r="H3915" s="2" t="s">
        <v>74</v>
      </c>
      <c r="I3915" s="2" t="s">
        <v>10567</v>
      </c>
      <c r="J3915" s="3" t="str">
        <f>HYPERLINK("https://www.boe.es/gazeta/dias/1810/08/14/pdfs/GEI-1810-56.pdf#page=15","Abrir facsímil")</f>
        <v>Abrir facsímil</v>
      </c>
      <c r="K3915" s="3" t="s">
        <v>76</v>
      </c>
    </row>
    <row r="3916" spans="1:11" ht="42" customHeight="1">
      <c r="A3916" s="2" t="s">
        <v>10568</v>
      </c>
      <c r="B3916" s="2" t="s">
        <v>10568</v>
      </c>
      <c r="C3916" s="2" t="s">
        <v>88</v>
      </c>
      <c r="D3916" s="2" t="s">
        <v>117</v>
      </c>
      <c r="E3916" s="4">
        <v>-32736</v>
      </c>
      <c r="F3916" s="3" t="s">
        <v>400</v>
      </c>
      <c r="G3916" s="3" t="s">
        <v>592</v>
      </c>
      <c r="H3916" s="2" t="s">
        <v>74</v>
      </c>
      <c r="I3916" s="2" t="s">
        <v>10569</v>
      </c>
      <c r="J3916" s="3" t="str">
        <f>HYPERLINK("https://www.boe.es/gazeta/dias/1810/05/15/pdfs/GMD-1810-135.pdf#page=1","Abrir facsímil")</f>
        <v>Abrir facsímil</v>
      </c>
      <c r="K3916" s="3" t="s">
        <v>76</v>
      </c>
    </row>
    <row r="3917" spans="1:11" ht="42" customHeight="1">
      <c r="A3917" s="2" t="s">
        <v>10570</v>
      </c>
      <c r="B3917" s="2" t="s">
        <v>10570</v>
      </c>
      <c r="C3917" s="2" t="s">
        <v>111</v>
      </c>
      <c r="D3917" s="2" t="s">
        <v>27</v>
      </c>
      <c r="E3917" s="4">
        <v>-32677</v>
      </c>
      <c r="F3917" s="3" t="s">
        <v>209</v>
      </c>
      <c r="G3917" s="3" t="s">
        <v>210</v>
      </c>
      <c r="H3917" s="2" t="s">
        <v>74</v>
      </c>
      <c r="I3917" s="2" t="s">
        <v>10571</v>
      </c>
      <c r="J3917" s="3" t="str">
        <f>HYPERLINK("https://www.boe.es/gazeta/dias/1810/07/13/pdfs/GMD-1810-194.pdf#page=3","Abrir facsímil")</f>
        <v>Abrir facsímil</v>
      </c>
      <c r="K3917" s="3" t="s">
        <v>76</v>
      </c>
    </row>
    <row r="3918" spans="1:11" ht="42" customHeight="1">
      <c r="A3918" s="2" t="s">
        <v>10572</v>
      </c>
      <c r="B3918" s="2" t="s">
        <v>10572</v>
      </c>
      <c r="C3918" s="2" t="s">
        <v>88</v>
      </c>
      <c r="D3918" s="2" t="s">
        <v>18</v>
      </c>
      <c r="E3918" s="4">
        <v>-32578</v>
      </c>
      <c r="F3918" s="3" t="s">
        <v>2333</v>
      </c>
      <c r="G3918" s="3" t="s">
        <v>645</v>
      </c>
      <c r="H3918" s="2" t="s">
        <v>74</v>
      </c>
      <c r="I3918" s="2" t="s">
        <v>10573</v>
      </c>
      <c r="J3918" s="3" t="str">
        <f>HYPERLINK("https://www.boe.es/gazeta/dias/1810/10/20/pdfs/GEI-1810-84.pdf#page=7","Abrir facsímil")</f>
        <v>Abrir facsímil</v>
      </c>
      <c r="K3918" s="3" t="s">
        <v>76</v>
      </c>
    </row>
    <row r="3919" spans="1:11" ht="42" customHeight="1">
      <c r="A3919" s="2" t="s">
        <v>10574</v>
      </c>
      <c r="B3919" s="2" t="s">
        <v>10574</v>
      </c>
      <c r="C3919" s="2" t="s">
        <v>88</v>
      </c>
      <c r="D3919" s="2" t="s">
        <v>27</v>
      </c>
      <c r="E3919" s="4">
        <v>-32512</v>
      </c>
      <c r="F3919" s="3" t="s">
        <v>1920</v>
      </c>
      <c r="G3919" s="3" t="s">
        <v>10575</v>
      </c>
      <c r="H3919" s="2" t="s">
        <v>74</v>
      </c>
      <c r="I3919" s="2" t="s">
        <v>10576</v>
      </c>
      <c r="J3919" s="3" t="str">
        <f>HYPERLINK("https://www.boe.es/gazeta/dias/1810/12/25/pdfs/GEI-1810-112.pdf#page=4","Abrir facsímil")</f>
        <v>Abrir facsímil</v>
      </c>
      <c r="K3919" s="3" t="s">
        <v>76</v>
      </c>
    </row>
    <row r="3920" spans="1:11" ht="42" customHeight="1">
      <c r="A3920" s="2" t="s">
        <v>10577</v>
      </c>
      <c r="B3920" s="2" t="s">
        <v>10578</v>
      </c>
      <c r="C3920" s="2" t="s">
        <v>17</v>
      </c>
      <c r="D3920" s="2" t="s">
        <v>18</v>
      </c>
      <c r="E3920" s="4">
        <v>-32820</v>
      </c>
      <c r="F3920" s="3" t="s">
        <v>226</v>
      </c>
      <c r="G3920" s="3" t="s">
        <v>227</v>
      </c>
      <c r="H3920" s="2" t="s">
        <v>74</v>
      </c>
      <c r="I3920" s="2" t="s">
        <v>10579</v>
      </c>
      <c r="J3920" s="3" t="str">
        <f>HYPERLINK("https://www.boe.es/gazeta/dias/1810/02/20/pdfs/GMD-1810-51.pdf#page=4","Abrir facsímil")</f>
        <v>Abrir facsímil</v>
      </c>
      <c r="K3920" s="3" t="s">
        <v>76</v>
      </c>
    </row>
    <row r="3921" spans="1:11" ht="42" customHeight="1">
      <c r="A3921" s="2" t="s">
        <v>10580</v>
      </c>
      <c r="B3921" s="2" t="s">
        <v>10581</v>
      </c>
      <c r="C3921" s="2" t="s">
        <v>26</v>
      </c>
      <c r="D3921" s="2" t="s">
        <v>27</v>
      </c>
      <c r="E3921" s="4">
        <v>-32509</v>
      </c>
      <c r="F3921" s="3" t="s">
        <v>212</v>
      </c>
      <c r="G3921" s="3" t="s">
        <v>213</v>
      </c>
      <c r="H3921" s="2" t="s">
        <v>74</v>
      </c>
      <c r="I3921" s="2" t="s">
        <v>10582</v>
      </c>
      <c r="J3921" s="3" t="str">
        <f>HYPERLINK("https://www.boe.es/gazeta/dias/1810/12/28/pdfs/GMD-1810-362.pdf#page=4","Abrir facsímil")</f>
        <v>Abrir facsímil</v>
      </c>
      <c r="K3921" s="3" t="s">
        <v>76</v>
      </c>
    </row>
    <row r="3922" spans="1:11" ht="42" customHeight="1">
      <c r="A3922" s="2" t="s">
        <v>10583</v>
      </c>
      <c r="B3922" s="2" t="s">
        <v>10584</v>
      </c>
      <c r="C3922" s="2" t="s">
        <v>88</v>
      </c>
      <c r="D3922" s="2" t="s">
        <v>27</v>
      </c>
      <c r="E3922" s="4">
        <v>-32764</v>
      </c>
      <c r="F3922" s="3" t="s">
        <v>640</v>
      </c>
      <c r="G3922" s="3" t="s">
        <v>641</v>
      </c>
      <c r="H3922" s="2" t="s">
        <v>74</v>
      </c>
      <c r="I3922" s="2" t="s">
        <v>10585</v>
      </c>
      <c r="J3922" s="3" t="str">
        <f>HYPERLINK("https://www.boe.es/gazeta/dias/1810/04/17/pdfs/GEI-1810-15.pdf#page=8","Abrir facsímil")</f>
        <v>Abrir facsímil</v>
      </c>
      <c r="K3922" s="3" t="s">
        <v>76</v>
      </c>
    </row>
    <row r="3923" spans="1:11" ht="42" customHeight="1">
      <c r="A3923" s="2" t="s">
        <v>10586</v>
      </c>
      <c r="B3923" s="2" t="s">
        <v>10587</v>
      </c>
      <c r="C3923" s="2" t="s">
        <v>26</v>
      </c>
      <c r="D3923" s="2" t="s">
        <v>27</v>
      </c>
      <c r="E3923" s="4">
        <v>-32722</v>
      </c>
      <c r="F3923" s="3" t="s">
        <v>856</v>
      </c>
      <c r="G3923" s="3" t="s">
        <v>668</v>
      </c>
      <c r="H3923" s="2" t="s">
        <v>74</v>
      </c>
      <c r="I3923" s="2" t="s">
        <v>10588</v>
      </c>
      <c r="J3923" s="3" t="str">
        <f>HYPERLINK("https://www.boe.es/gazeta/dias/1810/05/29/pdfs/GEI-1810-31.pdf#page=12","Abrir facsímil")</f>
        <v>Abrir facsímil</v>
      </c>
      <c r="K3923" s="3" t="s">
        <v>76</v>
      </c>
    </row>
    <row r="3924" spans="1:11" ht="42" customHeight="1">
      <c r="A3924" s="2" t="s">
        <v>10589</v>
      </c>
      <c r="B3924" s="2" t="s">
        <v>10590</v>
      </c>
      <c r="C3924" s="2" t="s">
        <v>26</v>
      </c>
      <c r="D3924" s="2" t="s">
        <v>27</v>
      </c>
      <c r="E3924" s="4">
        <v>-32734</v>
      </c>
      <c r="F3924" s="3" t="s">
        <v>19</v>
      </c>
      <c r="G3924" s="3" t="s">
        <v>20</v>
      </c>
      <c r="H3924" s="2" t="s">
        <v>74</v>
      </c>
      <c r="I3924" s="2" t="s">
        <v>10591</v>
      </c>
      <c r="J3924" s="3" t="str">
        <f>HYPERLINK("https://www.boe.es/gazeta/dias/1810/05/17/pdfs/GMD-1810-137.pdf#page=4","Abrir facsímil")</f>
        <v>Abrir facsímil</v>
      </c>
      <c r="K3924" s="3" t="s">
        <v>76</v>
      </c>
    </row>
    <row r="3925" spans="1:11" ht="42" customHeight="1">
      <c r="A3925" s="2" t="s">
        <v>10589</v>
      </c>
      <c r="B3925" s="2" t="s">
        <v>10590</v>
      </c>
      <c r="C3925" s="2" t="s">
        <v>33</v>
      </c>
      <c r="D3925" s="2" t="s">
        <v>27</v>
      </c>
      <c r="E3925" s="4">
        <v>-32733</v>
      </c>
      <c r="F3925" s="3" t="s">
        <v>955</v>
      </c>
      <c r="G3925" s="3" t="s">
        <v>5433</v>
      </c>
      <c r="H3925" s="2" t="s">
        <v>74</v>
      </c>
      <c r="I3925" s="2" t="s">
        <v>10592</v>
      </c>
      <c r="J3925" s="3" t="str">
        <f>HYPERLINK("https://www.boe.es/gazeta/dias/1810/05/18/pdfs/GEI-1810-27.pdf#page=3","Abrir facsímil")</f>
        <v>Abrir facsímil</v>
      </c>
      <c r="K3925" s="3" t="s">
        <v>76</v>
      </c>
    </row>
    <row r="3926" spans="1:11" ht="42" customHeight="1">
      <c r="A3926" s="2" t="s">
        <v>10593</v>
      </c>
      <c r="B3926" s="2" t="s">
        <v>10593</v>
      </c>
      <c r="C3926" s="2" t="s">
        <v>26</v>
      </c>
      <c r="D3926" s="2" t="s">
        <v>27</v>
      </c>
      <c r="E3926" s="4">
        <v>-32825</v>
      </c>
      <c r="F3926" s="3" t="s">
        <v>10594</v>
      </c>
      <c r="G3926" s="3" t="s">
        <v>227</v>
      </c>
      <c r="H3926" s="2" t="s">
        <v>74</v>
      </c>
      <c r="I3926" s="2" t="s">
        <v>10595</v>
      </c>
      <c r="J3926" s="3" t="str">
        <f>HYPERLINK("https://www.boe.es/gazeta/dias/1810/02/15/pdfs/GMD-1810-46.pdf#page=3","Abrir facsímil")</f>
        <v>Abrir facsímil</v>
      </c>
      <c r="K3926" s="3" t="s">
        <v>76</v>
      </c>
    </row>
    <row r="3927" spans="1:11" ht="42" customHeight="1">
      <c r="A3927" s="2" t="s">
        <v>10593</v>
      </c>
      <c r="B3927" s="2" t="s">
        <v>10593</v>
      </c>
      <c r="C3927" s="2" t="s">
        <v>26</v>
      </c>
      <c r="D3927" s="2" t="s">
        <v>27</v>
      </c>
      <c r="E3927" s="4">
        <v>-32557</v>
      </c>
      <c r="F3927" s="3" t="s">
        <v>837</v>
      </c>
      <c r="G3927" s="3" t="s">
        <v>8451</v>
      </c>
      <c r="H3927" s="2" t="s">
        <v>74</v>
      </c>
      <c r="I3927" s="2" t="s">
        <v>10596</v>
      </c>
      <c r="J3927" s="3" t="str">
        <f>HYPERLINK("https://www.boe.es/gazeta/dias/1810/11/10/pdfs/GEI-1810-93.pdf#page=8","Abrir facsímil")</f>
        <v>Abrir facsímil</v>
      </c>
      <c r="K3927" s="3" t="s">
        <v>76</v>
      </c>
    </row>
    <row r="3928" spans="1:11" ht="42" customHeight="1">
      <c r="A3928" s="2" t="s">
        <v>10597</v>
      </c>
      <c r="B3928" s="2" t="s">
        <v>10597</v>
      </c>
      <c r="C3928" s="2" t="s">
        <v>26</v>
      </c>
      <c r="D3928" s="2" t="s">
        <v>27</v>
      </c>
      <c r="E3928" s="4">
        <v>-32850</v>
      </c>
      <c r="F3928" s="3" t="s">
        <v>7996</v>
      </c>
      <c r="G3928" s="3" t="s">
        <v>29</v>
      </c>
      <c r="H3928" s="2" t="s">
        <v>74</v>
      </c>
      <c r="I3928" s="2" t="s">
        <v>10598</v>
      </c>
      <c r="J3928" s="3" t="str">
        <f>HYPERLINK("https://www.boe.es/gazeta/dias/1810/01/21/pdfs/GMD-1810-21.pdf#page=2","Abrir facsímil")</f>
        <v>Abrir facsímil</v>
      </c>
      <c r="K3928" s="3" t="s">
        <v>76</v>
      </c>
    </row>
    <row r="3929" spans="1:11" ht="42" customHeight="1">
      <c r="A3929" s="2" t="s">
        <v>10599</v>
      </c>
      <c r="B3929" s="2" t="s">
        <v>10599</v>
      </c>
      <c r="C3929" s="2" t="s">
        <v>26</v>
      </c>
      <c r="D3929" s="2" t="s">
        <v>18</v>
      </c>
      <c r="E3929" s="4">
        <v>-32850</v>
      </c>
      <c r="F3929" s="3" t="s">
        <v>7996</v>
      </c>
      <c r="G3929" s="3" t="s">
        <v>213</v>
      </c>
      <c r="H3929" s="2" t="s">
        <v>74</v>
      </c>
      <c r="I3929" s="2" t="s">
        <v>10600</v>
      </c>
      <c r="J3929" s="3" t="str">
        <f>HYPERLINK("https://www.boe.es/gazeta/dias/1810/01/21/pdfs/GMD-1810-21.pdf#page=1","Abrir facsímil")</f>
        <v>Abrir facsímil</v>
      </c>
      <c r="K3929" s="3" t="s">
        <v>76</v>
      </c>
    </row>
    <row r="3930" spans="1:11" ht="42" customHeight="1">
      <c r="A3930" s="2" t="s">
        <v>10599</v>
      </c>
      <c r="B3930" s="2" t="s">
        <v>10599</v>
      </c>
      <c r="C3930" s="2" t="s">
        <v>26</v>
      </c>
      <c r="D3930" s="2" t="s">
        <v>27</v>
      </c>
      <c r="E3930" s="4">
        <v>-32850</v>
      </c>
      <c r="F3930" s="3" t="s">
        <v>7996</v>
      </c>
      <c r="G3930" s="3" t="s">
        <v>29</v>
      </c>
      <c r="H3930" s="2" t="s">
        <v>74</v>
      </c>
      <c r="I3930" s="2" t="s">
        <v>10601</v>
      </c>
      <c r="J3930" s="3" t="str">
        <f>HYPERLINK("https://www.boe.es/gazeta/dias/1810/01/21/pdfs/GMD-1810-21.pdf#page=2","Abrir facsímil")</f>
        <v>Abrir facsímil</v>
      </c>
      <c r="K3930" s="3" t="s">
        <v>76</v>
      </c>
    </row>
    <row r="3931" spans="1:11" ht="42" customHeight="1">
      <c r="A3931" s="2" t="s">
        <v>10599</v>
      </c>
      <c r="B3931" s="2" t="s">
        <v>10599</v>
      </c>
      <c r="C3931" s="2" t="s">
        <v>26</v>
      </c>
      <c r="D3931" s="2" t="s">
        <v>27</v>
      </c>
      <c r="E3931" s="4">
        <v>-32843</v>
      </c>
      <c r="F3931" s="3" t="s">
        <v>10602</v>
      </c>
      <c r="G3931" s="3" t="s">
        <v>641</v>
      </c>
      <c r="H3931" s="2" t="s">
        <v>74</v>
      </c>
      <c r="I3931" s="2" t="s">
        <v>10603</v>
      </c>
      <c r="J3931" s="3" t="str">
        <f>HYPERLINK("https://www.boe.es/gazeta/dias/1810/01/28/pdfs/GMD-1810-28.pdf#page=2","Abrir facsímil")</f>
        <v>Abrir facsímil</v>
      </c>
      <c r="K3931" s="3" t="s">
        <v>76</v>
      </c>
    </row>
    <row r="3932" spans="1:11" ht="42" customHeight="1">
      <c r="A3932" s="2" t="s">
        <v>10599</v>
      </c>
      <c r="B3932" s="2" t="s">
        <v>10599</v>
      </c>
      <c r="C3932" s="2" t="s">
        <v>26</v>
      </c>
      <c r="D3932" s="2" t="s">
        <v>27</v>
      </c>
      <c r="E3932" s="4">
        <v>-32842</v>
      </c>
      <c r="F3932" s="3" t="s">
        <v>1291</v>
      </c>
      <c r="G3932" s="3" t="s">
        <v>35</v>
      </c>
      <c r="H3932" s="2" t="s">
        <v>74</v>
      </c>
      <c r="I3932" s="2" t="s">
        <v>10604</v>
      </c>
      <c r="J3932" s="3" t="str">
        <f>HYPERLINK("https://www.boe.es/gazeta/dias/1810/01/29/pdfs/GMD-1810-29.pdf#page=2","Abrir facsímil")</f>
        <v>Abrir facsímil</v>
      </c>
      <c r="K3932" s="3" t="s">
        <v>76</v>
      </c>
    </row>
    <row r="3933" spans="1:11" ht="42" customHeight="1">
      <c r="A3933" s="2" t="s">
        <v>10599</v>
      </c>
      <c r="B3933" s="2" t="s">
        <v>10599</v>
      </c>
      <c r="C3933" s="2" t="s">
        <v>26</v>
      </c>
      <c r="D3933" s="2" t="s">
        <v>27</v>
      </c>
      <c r="E3933" s="4">
        <v>-32826</v>
      </c>
      <c r="F3933" s="3" t="s">
        <v>1252</v>
      </c>
      <c r="G3933" s="3" t="s">
        <v>227</v>
      </c>
      <c r="H3933" s="2" t="s">
        <v>74</v>
      </c>
      <c r="I3933" s="2" t="s">
        <v>10605</v>
      </c>
      <c r="J3933" s="3" t="str">
        <f>HYPERLINK("https://www.boe.es/gazeta/dias/1810/02/14/pdfs/GMD-1810-45.pdf#page=4","Abrir facsímil")</f>
        <v>Abrir facsímil</v>
      </c>
      <c r="K3933" s="3" t="s">
        <v>76</v>
      </c>
    </row>
    <row r="3934" spans="1:11" ht="42" customHeight="1">
      <c r="A3934" s="2" t="s">
        <v>10599</v>
      </c>
      <c r="B3934" s="2" t="s">
        <v>10599</v>
      </c>
      <c r="C3934" s="2" t="s">
        <v>111</v>
      </c>
      <c r="D3934" s="2" t="s">
        <v>27</v>
      </c>
      <c r="E3934" s="4">
        <v>-32825</v>
      </c>
      <c r="F3934" s="3" t="s">
        <v>10594</v>
      </c>
      <c r="G3934" s="3" t="s">
        <v>20</v>
      </c>
      <c r="H3934" s="2" t="s">
        <v>74</v>
      </c>
      <c r="I3934" s="2" t="s">
        <v>10606</v>
      </c>
      <c r="J3934" s="3" t="str">
        <f>HYPERLINK("https://www.boe.es/gazeta/dias/1810/02/15/pdfs/GMD-1810-46.pdf#page=4","Abrir facsímil")</f>
        <v>Abrir facsímil</v>
      </c>
      <c r="K3934" s="3" t="s">
        <v>76</v>
      </c>
    </row>
    <row r="3935" spans="1:11" ht="42" customHeight="1">
      <c r="A3935" s="2" t="s">
        <v>10599</v>
      </c>
      <c r="B3935" s="2" t="s">
        <v>10599</v>
      </c>
      <c r="C3935" s="2" t="s">
        <v>26</v>
      </c>
      <c r="D3935" s="2" t="s">
        <v>27</v>
      </c>
      <c r="E3935" s="4">
        <v>-32822</v>
      </c>
      <c r="F3935" s="3" t="s">
        <v>1197</v>
      </c>
      <c r="G3935" s="3" t="s">
        <v>151</v>
      </c>
      <c r="H3935" s="2" t="s">
        <v>74</v>
      </c>
      <c r="I3935" s="2" t="s">
        <v>10607</v>
      </c>
      <c r="J3935" s="3" t="str">
        <f>HYPERLINK("https://www.boe.es/gazeta/dias/1810/02/18/pdfs/GMD-1810-49.pdf#page=2","Abrir facsímil")</f>
        <v>Abrir facsímil</v>
      </c>
      <c r="K3935" s="3" t="s">
        <v>76</v>
      </c>
    </row>
    <row r="3936" spans="1:11" ht="42" customHeight="1">
      <c r="A3936" s="2" t="s">
        <v>10599</v>
      </c>
      <c r="B3936" s="2" t="s">
        <v>10599</v>
      </c>
      <c r="C3936" s="2" t="s">
        <v>26</v>
      </c>
      <c r="D3936" s="2" t="s">
        <v>27</v>
      </c>
      <c r="E3936" s="4">
        <v>-32816</v>
      </c>
      <c r="F3936" s="3" t="s">
        <v>10608</v>
      </c>
      <c r="G3936" s="3" t="s">
        <v>90</v>
      </c>
      <c r="H3936" s="2" t="s">
        <v>74</v>
      </c>
      <c r="I3936" s="2" t="s">
        <v>10609</v>
      </c>
      <c r="J3936" s="3" t="str">
        <f>HYPERLINK("https://www.boe.es/gazeta/dias/1810/02/24/pdfs/GMD-1810-55.pdf#page=4","Abrir facsímil")</f>
        <v>Abrir facsímil</v>
      </c>
      <c r="K3936" s="3" t="s">
        <v>76</v>
      </c>
    </row>
    <row r="3937" spans="1:11" ht="42" customHeight="1">
      <c r="A3937" s="2" t="s">
        <v>10599</v>
      </c>
      <c r="B3937" s="2" t="s">
        <v>10599</v>
      </c>
      <c r="C3937" s="2" t="s">
        <v>88</v>
      </c>
      <c r="D3937" s="2" t="s">
        <v>27</v>
      </c>
      <c r="E3937" s="4">
        <v>-32700</v>
      </c>
      <c r="F3937" s="3" t="s">
        <v>89</v>
      </c>
      <c r="G3937" s="3" t="s">
        <v>29</v>
      </c>
      <c r="H3937" s="2" t="s">
        <v>74</v>
      </c>
      <c r="I3937" s="2" t="s">
        <v>10610</v>
      </c>
      <c r="J3937" s="3" t="str">
        <f>HYPERLINK("https://www.boe.es/gazeta/dias/1810/06/20/pdfs/GMD-1810-171.pdf#page=3","Abrir facsímil")</f>
        <v>Abrir facsímil</v>
      </c>
      <c r="K3937" s="3" t="s">
        <v>76</v>
      </c>
    </row>
    <row r="3938" spans="1:11" ht="42" customHeight="1">
      <c r="A3938" s="2" t="s">
        <v>10599</v>
      </c>
      <c r="B3938" s="2" t="s">
        <v>10599</v>
      </c>
      <c r="C3938" s="2" t="s">
        <v>111</v>
      </c>
      <c r="D3938" s="2" t="s">
        <v>27</v>
      </c>
      <c r="E3938" s="4">
        <v>-32607</v>
      </c>
      <c r="F3938" s="3" t="s">
        <v>6044</v>
      </c>
      <c r="G3938" s="3" t="s">
        <v>99</v>
      </c>
      <c r="H3938" s="2" t="s">
        <v>74</v>
      </c>
      <c r="I3938" s="2" t="s">
        <v>10611</v>
      </c>
      <c r="J3938" s="3" t="str">
        <f>HYPERLINK("https://www.boe.es/gazeta/dias/1810/09/21/pdfs/GMD-1810-264.pdf#page=3","Abrir facsímil")</f>
        <v>Abrir facsímil</v>
      </c>
      <c r="K3938" s="3" t="s">
        <v>76</v>
      </c>
    </row>
    <row r="3939" spans="1:11" ht="42" customHeight="1">
      <c r="A3939" s="2" t="s">
        <v>10599</v>
      </c>
      <c r="B3939" s="2" t="s">
        <v>10599</v>
      </c>
      <c r="C3939" s="2" t="s">
        <v>88</v>
      </c>
      <c r="D3939" s="2" t="s">
        <v>27</v>
      </c>
      <c r="E3939" s="4">
        <v>-32566</v>
      </c>
      <c r="F3939" s="3" t="s">
        <v>405</v>
      </c>
      <c r="G3939" s="3" t="s">
        <v>469</v>
      </c>
      <c r="H3939" s="2" t="s">
        <v>74</v>
      </c>
      <c r="I3939" s="2" t="s">
        <v>10612</v>
      </c>
      <c r="J3939" s="3" t="str">
        <f>HYPERLINK("https://www.boe.es/gazeta/dias/1810/11/01/pdfs/GMD-1810-305.pdf#page=2","Abrir facsímil")</f>
        <v>Abrir facsímil</v>
      </c>
      <c r="K3939" s="3" t="s">
        <v>76</v>
      </c>
    </row>
    <row r="3940" spans="1:11" ht="42" customHeight="1">
      <c r="A3940" s="2" t="s">
        <v>10613</v>
      </c>
      <c r="B3940" s="2" t="s">
        <v>10613</v>
      </c>
      <c r="C3940" s="2" t="s">
        <v>26</v>
      </c>
      <c r="D3940" s="2" t="s">
        <v>27</v>
      </c>
      <c r="E3940" s="4">
        <v>-32795</v>
      </c>
      <c r="F3940" s="3" t="s">
        <v>690</v>
      </c>
      <c r="G3940" s="3" t="s">
        <v>113</v>
      </c>
      <c r="H3940" s="2" t="s">
        <v>74</v>
      </c>
      <c r="I3940" s="2" t="s">
        <v>10614</v>
      </c>
      <c r="J3940" s="3" t="str">
        <f>HYPERLINK("https://www.boe.es/gazeta/dias/1810/03/17/pdfs/GMD-1810-76.pdf#page=2","Abrir facsímil")</f>
        <v>Abrir facsímil</v>
      </c>
      <c r="K3940" s="3" t="s">
        <v>76</v>
      </c>
    </row>
    <row r="3941" spans="1:11" ht="42" customHeight="1">
      <c r="A3941" s="2" t="s">
        <v>10613</v>
      </c>
      <c r="B3941" s="2" t="s">
        <v>10613</v>
      </c>
      <c r="C3941" s="2" t="s">
        <v>33</v>
      </c>
      <c r="D3941" s="2" t="s">
        <v>27</v>
      </c>
      <c r="E3941" s="4">
        <v>-32791</v>
      </c>
      <c r="F3941" s="3" t="s">
        <v>4314</v>
      </c>
      <c r="G3941" s="3" t="s">
        <v>35</v>
      </c>
      <c r="H3941" s="2" t="s">
        <v>74</v>
      </c>
      <c r="I3941" s="2" t="s">
        <v>10615</v>
      </c>
      <c r="J3941" s="3" t="str">
        <f>HYPERLINK("https://www.boe.es/gazeta/dias/1810/03/21/pdfs/GMD-1810-80.pdf#page=2","Abrir facsímil")</f>
        <v>Abrir facsímil</v>
      </c>
      <c r="K3941" s="3" t="s">
        <v>76</v>
      </c>
    </row>
    <row r="3942" spans="1:11" ht="42" customHeight="1">
      <c r="A3942" s="2" t="s">
        <v>10613</v>
      </c>
      <c r="B3942" s="2" t="s">
        <v>10613</v>
      </c>
      <c r="C3942" s="2" t="s">
        <v>26</v>
      </c>
      <c r="D3942" s="2" t="s">
        <v>220</v>
      </c>
      <c r="E3942" s="4">
        <v>-32788</v>
      </c>
      <c r="F3942" s="3" t="s">
        <v>1254</v>
      </c>
      <c r="G3942" s="3" t="s">
        <v>29</v>
      </c>
      <c r="H3942" s="2" t="s">
        <v>74</v>
      </c>
      <c r="I3942" s="2" t="s">
        <v>10616</v>
      </c>
      <c r="J3942" s="3" t="str">
        <f>HYPERLINK("https://www.boe.es/gazeta/dias/1810/03/24/pdfs/GMD-1810-83.pdf#page=2","Abrir facsímil")</f>
        <v>Abrir facsímil</v>
      </c>
      <c r="K3942" s="3" t="s">
        <v>76</v>
      </c>
    </row>
    <row r="3943" spans="1:11" ht="42" customHeight="1">
      <c r="A3943" s="2" t="s">
        <v>10617</v>
      </c>
      <c r="B3943" s="2" t="s">
        <v>10617</v>
      </c>
      <c r="C3943" s="2" t="s">
        <v>88</v>
      </c>
      <c r="D3943" s="2" t="s">
        <v>220</v>
      </c>
      <c r="E3943" s="4">
        <v>-32652</v>
      </c>
      <c r="F3943" s="3" t="s">
        <v>731</v>
      </c>
      <c r="G3943" s="3" t="s">
        <v>140</v>
      </c>
      <c r="H3943" s="2" t="s">
        <v>74</v>
      </c>
      <c r="I3943" s="2" t="s">
        <v>10618</v>
      </c>
      <c r="J3943" s="3" t="str">
        <f>HYPERLINK("https://www.boe.es/gazeta/dias/1810/08/07/pdfs/GMD-1810-219.pdf#page=3","Abrir facsímil")</f>
        <v>Abrir facsímil</v>
      </c>
      <c r="K3943" s="3" t="s">
        <v>76</v>
      </c>
    </row>
    <row r="3944" spans="1:11" ht="42" customHeight="1">
      <c r="A3944" s="2" t="s">
        <v>10619</v>
      </c>
      <c r="B3944" s="2" t="s">
        <v>10620</v>
      </c>
      <c r="C3944" s="2" t="s">
        <v>26</v>
      </c>
      <c r="D3944" s="2" t="s">
        <v>27</v>
      </c>
      <c r="E3944" s="4">
        <v>-32684</v>
      </c>
      <c r="F3944" s="3" t="s">
        <v>1373</v>
      </c>
      <c r="G3944" s="3" t="s">
        <v>1374</v>
      </c>
      <c r="H3944" s="2" t="s">
        <v>74</v>
      </c>
      <c r="I3944" s="2" t="s">
        <v>10621</v>
      </c>
      <c r="J3944" s="3" t="str">
        <f>HYPERLINK("https://www.boe.es/gazeta/dias/1810/07/06/pdfs/GEI-1810-42.pdf#page=8","Abrir facsímil")</f>
        <v>Abrir facsímil</v>
      </c>
      <c r="K3944" s="3" t="s">
        <v>76</v>
      </c>
    </row>
    <row r="3945" spans="1:11" ht="42" customHeight="1">
      <c r="A3945" s="2" t="s">
        <v>10622</v>
      </c>
      <c r="B3945" s="2" t="s">
        <v>10623</v>
      </c>
      <c r="C3945" s="2" t="s">
        <v>26</v>
      </c>
      <c r="D3945" s="2" t="s">
        <v>27</v>
      </c>
      <c r="E3945" s="4">
        <v>-32684</v>
      </c>
      <c r="F3945" s="3" t="s">
        <v>1373</v>
      </c>
      <c r="G3945" s="3" t="s">
        <v>1374</v>
      </c>
      <c r="H3945" s="2" t="s">
        <v>74</v>
      </c>
      <c r="I3945" s="2" t="s">
        <v>10624</v>
      </c>
      <c r="J3945" s="3" t="str">
        <f>HYPERLINK("https://www.boe.es/gazeta/dias/1810/07/06/pdfs/GEI-1810-42.pdf#page=8","Abrir facsímil")</f>
        <v>Abrir facsímil</v>
      </c>
      <c r="K3945" s="3" t="s">
        <v>76</v>
      </c>
    </row>
    <row r="3946" spans="1:11" ht="42" customHeight="1">
      <c r="A3946" s="2" t="s">
        <v>10622</v>
      </c>
      <c r="B3946" s="2" t="s">
        <v>10623</v>
      </c>
      <c r="C3946" s="2" t="s">
        <v>111</v>
      </c>
      <c r="D3946" s="2" t="s">
        <v>27</v>
      </c>
      <c r="E3946" s="4">
        <v>-32666</v>
      </c>
      <c r="F3946" s="3" t="s">
        <v>346</v>
      </c>
      <c r="G3946" s="3" t="s">
        <v>90</v>
      </c>
      <c r="H3946" s="2" t="s">
        <v>74</v>
      </c>
      <c r="I3946" s="2" t="s">
        <v>10625</v>
      </c>
      <c r="J3946" s="3" t="str">
        <f>HYPERLINK("https://www.boe.es/gazeta/dias/1810/07/24/pdfs/GEI-1810-47.pdf#page=10","Abrir facsímil")</f>
        <v>Abrir facsímil</v>
      </c>
      <c r="K3946" s="3" t="s">
        <v>76</v>
      </c>
    </row>
    <row r="3947" spans="1:11" ht="42" customHeight="1">
      <c r="A3947" s="2" t="s">
        <v>10622</v>
      </c>
      <c r="B3947" s="2" t="s">
        <v>10623</v>
      </c>
      <c r="C3947" s="2" t="s">
        <v>26</v>
      </c>
      <c r="D3947" s="2" t="s">
        <v>18</v>
      </c>
      <c r="E3947" s="4">
        <v>-32666</v>
      </c>
      <c r="F3947" s="3" t="s">
        <v>346</v>
      </c>
      <c r="G3947" s="3" t="s">
        <v>465</v>
      </c>
      <c r="H3947" s="2" t="s">
        <v>74</v>
      </c>
      <c r="I3947" s="2" t="s">
        <v>10626</v>
      </c>
      <c r="J3947" s="3" t="str">
        <f>HYPERLINK("https://www.boe.es/gazeta/dias/1810/07/24/pdfs/GEI-1810-47.pdf#page=12","Abrir facsímil")</f>
        <v>Abrir facsímil</v>
      </c>
      <c r="K3947" s="3" t="s">
        <v>76</v>
      </c>
    </row>
    <row r="3948" spans="1:11" ht="42" customHeight="1">
      <c r="A3948" s="2" t="s">
        <v>10622</v>
      </c>
      <c r="B3948" s="2" t="s">
        <v>10623</v>
      </c>
      <c r="C3948" s="2" t="s">
        <v>26</v>
      </c>
      <c r="D3948" s="2" t="s">
        <v>27</v>
      </c>
      <c r="E3948" s="4">
        <v>-32659</v>
      </c>
      <c r="F3948" s="3" t="s">
        <v>328</v>
      </c>
      <c r="G3948" s="3" t="s">
        <v>119</v>
      </c>
      <c r="H3948" s="2" t="s">
        <v>74</v>
      </c>
      <c r="I3948" s="2" t="s">
        <v>10627</v>
      </c>
      <c r="J3948" s="3" t="str">
        <f>HYPERLINK("https://www.boe.es/gazeta/dias/1810/07/31/pdfs/GEI-1810-49.pdf#page=8","Abrir facsímil")</f>
        <v>Abrir facsímil</v>
      </c>
      <c r="K3948" s="3" t="s">
        <v>76</v>
      </c>
    </row>
    <row r="3949" spans="1:11" ht="42" customHeight="1">
      <c r="A3949" s="2" t="s">
        <v>10628</v>
      </c>
      <c r="B3949" s="2" t="s">
        <v>10628</v>
      </c>
      <c r="C3949" s="2" t="s">
        <v>88</v>
      </c>
      <c r="D3949" s="2" t="s">
        <v>117</v>
      </c>
      <c r="E3949" s="4">
        <v>-32515</v>
      </c>
      <c r="F3949" s="3" t="s">
        <v>351</v>
      </c>
      <c r="G3949" s="3" t="s">
        <v>3475</v>
      </c>
      <c r="H3949" s="2" t="s">
        <v>74</v>
      </c>
      <c r="I3949" s="2" t="s">
        <v>10629</v>
      </c>
      <c r="J3949" s="3" t="str">
        <f>HYPERLINK("https://www.boe.es/gazeta/dias/1810/12/22/pdfs/GEI-1810-111.pdf#page=2","Abrir facsímil")</f>
        <v>Abrir facsímil</v>
      </c>
      <c r="K3949" s="3" t="s">
        <v>76</v>
      </c>
    </row>
    <row r="3950" spans="1:11" ht="42" customHeight="1">
      <c r="A3950" s="2" t="s">
        <v>10630</v>
      </c>
      <c r="B3950" s="2" t="s">
        <v>10631</v>
      </c>
      <c r="C3950" s="2" t="s">
        <v>26</v>
      </c>
      <c r="D3950" s="2" t="s">
        <v>39</v>
      </c>
      <c r="E3950" s="4">
        <v>-32702</v>
      </c>
      <c r="F3950" s="3" t="s">
        <v>179</v>
      </c>
      <c r="G3950" s="3" t="s">
        <v>180</v>
      </c>
      <c r="H3950" s="2" t="s">
        <v>74</v>
      </c>
      <c r="I3950" s="2" t="s">
        <v>10632</v>
      </c>
      <c r="J3950" s="3" t="str">
        <f>HYPERLINK("https://www.boe.es/gazeta/dias/1810/06/18/pdfs/GMD-C-1810-169.pdf#page=2","Abrir facsímil")</f>
        <v>Abrir facsímil</v>
      </c>
      <c r="K3950" s="3" t="s">
        <v>76</v>
      </c>
    </row>
    <row r="3951" spans="1:11" ht="42" customHeight="1">
      <c r="A3951" s="2" t="s">
        <v>10633</v>
      </c>
      <c r="B3951" s="2" t="s">
        <v>10634</v>
      </c>
      <c r="C3951" s="2" t="s">
        <v>26</v>
      </c>
      <c r="D3951" s="2" t="s">
        <v>27</v>
      </c>
      <c r="E3951" s="4">
        <v>-32700</v>
      </c>
      <c r="F3951" s="3" t="s">
        <v>89</v>
      </c>
      <c r="G3951" s="3" t="s">
        <v>70</v>
      </c>
      <c r="H3951" s="2" t="s">
        <v>74</v>
      </c>
      <c r="I3951" s="2" t="s">
        <v>10635</v>
      </c>
      <c r="J3951" s="3" t="str">
        <f>HYPERLINK("https://www.boe.es/gazeta/dias/1810/06/20/pdfs/GMD-1810-171.pdf#page=4","Abrir facsímil")</f>
        <v>Abrir facsímil</v>
      </c>
      <c r="K3951" s="3" t="s">
        <v>76</v>
      </c>
    </row>
    <row r="3952" spans="1:11" ht="42" customHeight="1">
      <c r="A3952" s="2" t="s">
        <v>10636</v>
      </c>
      <c r="B3952" s="2" t="s">
        <v>10637</v>
      </c>
      <c r="C3952" s="2" t="s">
        <v>26</v>
      </c>
      <c r="D3952" s="2" t="s">
        <v>27</v>
      </c>
      <c r="E3952" s="4">
        <v>-32761</v>
      </c>
      <c r="F3952" s="3" t="s">
        <v>811</v>
      </c>
      <c r="G3952" s="3" t="s">
        <v>140</v>
      </c>
      <c r="H3952" s="2" t="s">
        <v>74</v>
      </c>
      <c r="I3952" s="2" t="s">
        <v>10638</v>
      </c>
      <c r="J3952" s="3" t="str">
        <f>HYPERLINK("https://www.boe.es/gazeta/dias/1810/04/20/pdfs/GEI-1810-16.pdf#page=8","Abrir facsímil")</f>
        <v>Abrir facsímil</v>
      </c>
      <c r="K3952" s="3" t="s">
        <v>76</v>
      </c>
    </row>
    <row r="3953" spans="1:11" ht="42" customHeight="1">
      <c r="A3953" s="2" t="s">
        <v>10639</v>
      </c>
      <c r="B3953" s="2" t="s">
        <v>10640</v>
      </c>
      <c r="C3953" s="2" t="s">
        <v>88</v>
      </c>
      <c r="D3953" s="2" t="s">
        <v>117</v>
      </c>
      <c r="E3953" s="4">
        <v>-32781</v>
      </c>
      <c r="F3953" s="3" t="s">
        <v>5673</v>
      </c>
      <c r="G3953" s="3" t="s">
        <v>20</v>
      </c>
      <c r="H3953" s="2" t="s">
        <v>74</v>
      </c>
      <c r="I3953" s="2" t="s">
        <v>10641</v>
      </c>
      <c r="J3953" s="3" t="str">
        <f>HYPERLINK("https://www.boe.es/gazeta/dias/1810/03/31/pdfs/GMD-1810-90.pdf#page=4","Abrir facsímil")</f>
        <v>Abrir facsímil</v>
      </c>
      <c r="K3953" s="3" t="s">
        <v>76</v>
      </c>
    </row>
    <row r="3954" spans="1:11" ht="42" customHeight="1">
      <c r="A3954" s="2" t="s">
        <v>10642</v>
      </c>
      <c r="B3954" s="2" t="s">
        <v>10643</v>
      </c>
      <c r="C3954" s="2" t="s">
        <v>26</v>
      </c>
      <c r="D3954" s="2" t="s">
        <v>27</v>
      </c>
      <c r="E3954" s="4">
        <v>-32647</v>
      </c>
      <c r="F3954" s="3" t="s">
        <v>118</v>
      </c>
      <c r="G3954" s="3" t="s">
        <v>119</v>
      </c>
      <c r="H3954" s="2" t="s">
        <v>74</v>
      </c>
      <c r="I3954" s="2" t="s">
        <v>10644</v>
      </c>
      <c r="J3954" s="3" t="str">
        <f>HYPERLINK("https://www.boe.es/gazeta/dias/1810/08/12/pdfs/GMD-1810-224.pdf#page=3","Abrir facsímil")</f>
        <v>Abrir facsímil</v>
      </c>
      <c r="K3954" s="3" t="s">
        <v>76</v>
      </c>
    </row>
    <row r="3955" spans="1:11" ht="42" customHeight="1">
      <c r="A3955" s="2" t="s">
        <v>10645</v>
      </c>
      <c r="B3955" s="2" t="s">
        <v>10645</v>
      </c>
      <c r="C3955" s="2" t="s">
        <v>88</v>
      </c>
      <c r="D3955" s="2" t="s">
        <v>27</v>
      </c>
      <c r="E3955" s="4">
        <v>-32555</v>
      </c>
      <c r="F3955" s="3" t="s">
        <v>10237</v>
      </c>
      <c r="G3955" s="3" t="s">
        <v>140</v>
      </c>
      <c r="H3955" s="2" t="s">
        <v>74</v>
      </c>
      <c r="I3955" s="2" t="s">
        <v>10646</v>
      </c>
      <c r="J3955" s="3" t="str">
        <f>HYPERLINK("https://www.boe.es/gazeta/dias/1810/11/12/pdfs/GMD-1810-316.pdf#page=2","Abrir facsímil")</f>
        <v>Abrir facsímil</v>
      </c>
      <c r="K3955" s="3" t="s">
        <v>76</v>
      </c>
    </row>
    <row r="3956" spans="1:11" ht="42" customHeight="1">
      <c r="A3956" s="2" t="s">
        <v>10647</v>
      </c>
      <c r="B3956" s="2" t="s">
        <v>10647</v>
      </c>
      <c r="C3956" s="2" t="s">
        <v>88</v>
      </c>
      <c r="D3956" s="2" t="s">
        <v>117</v>
      </c>
      <c r="E3956" s="4">
        <v>-32794</v>
      </c>
      <c r="F3956" s="3" t="s">
        <v>10648</v>
      </c>
      <c r="G3956" s="3" t="s">
        <v>2577</v>
      </c>
      <c r="H3956" s="2" t="s">
        <v>74</v>
      </c>
      <c r="I3956" s="2" t="s">
        <v>10649</v>
      </c>
      <c r="J3956" s="3" t="str">
        <f>HYPERLINK("https://www.boe.es/gazeta/dias/1810/03/18/pdfs/GMD-1810-77.pdf#page=1","Abrir facsímil")</f>
        <v>Abrir facsímil</v>
      </c>
      <c r="K3956" s="3" t="s">
        <v>76</v>
      </c>
    </row>
    <row r="3957" spans="1:11" ht="42" customHeight="1">
      <c r="A3957" s="2" t="s">
        <v>10650</v>
      </c>
      <c r="B3957" s="2" t="s">
        <v>10650</v>
      </c>
      <c r="C3957" s="2" t="s">
        <v>26</v>
      </c>
      <c r="D3957" s="2" t="s">
        <v>27</v>
      </c>
      <c r="E3957" s="4">
        <v>-32616</v>
      </c>
      <c r="F3957" s="3" t="s">
        <v>4444</v>
      </c>
      <c r="G3957" s="3" t="s">
        <v>119</v>
      </c>
      <c r="H3957" s="2" t="s">
        <v>74</v>
      </c>
      <c r="I3957" s="2" t="s">
        <v>10651</v>
      </c>
      <c r="J3957" s="3" t="str">
        <f>HYPERLINK("https://www.boe.es/gazeta/dias/1810/09/12/pdfs/GMD-1810-255.pdf#page=1","Abrir facsímil")</f>
        <v>Abrir facsímil</v>
      </c>
      <c r="K3957" s="3" t="s">
        <v>76</v>
      </c>
    </row>
    <row r="3958" spans="1:11" ht="42" customHeight="1">
      <c r="A3958" s="2" t="s">
        <v>10652</v>
      </c>
      <c r="B3958" s="2" t="s">
        <v>10652</v>
      </c>
      <c r="C3958" s="2" t="s">
        <v>26</v>
      </c>
      <c r="D3958" s="2" t="s">
        <v>27</v>
      </c>
      <c r="E3958" s="4">
        <v>-32626</v>
      </c>
      <c r="F3958" s="3" t="s">
        <v>64</v>
      </c>
      <c r="G3958" s="3" t="s">
        <v>65</v>
      </c>
      <c r="H3958" s="2" t="s">
        <v>74</v>
      </c>
      <c r="I3958" s="2" t="s">
        <v>10653</v>
      </c>
      <c r="J3958" s="3" t="str">
        <f>HYPERLINK("https://www.boe.es/gazeta/dias/1810/09/02/pdfs/GMD-1810-245.pdf#page=3","Abrir facsímil")</f>
        <v>Abrir facsímil</v>
      </c>
      <c r="K3958" s="3" t="s">
        <v>76</v>
      </c>
    </row>
    <row r="3959" spans="1:11" ht="42" customHeight="1">
      <c r="A3959" s="2" t="s">
        <v>10654</v>
      </c>
      <c r="B3959" s="2" t="s">
        <v>10654</v>
      </c>
      <c r="C3959" s="2" t="s">
        <v>88</v>
      </c>
      <c r="D3959" s="2" t="s">
        <v>27</v>
      </c>
      <c r="E3959" s="4">
        <v>-32721</v>
      </c>
      <c r="F3959" s="3" t="s">
        <v>3437</v>
      </c>
      <c r="G3959" s="3" t="s">
        <v>213</v>
      </c>
      <c r="H3959" s="2" t="s">
        <v>74</v>
      </c>
      <c r="I3959" s="2" t="s">
        <v>10655</v>
      </c>
      <c r="J3959" s="3" t="str">
        <f>HYPERLINK("https://www.boe.es/gazeta/dias/1810/05/30/pdfs/GMD-1810-150.pdf#page=3","Abrir facsímil")</f>
        <v>Abrir facsímil</v>
      </c>
      <c r="K3959" s="3" t="s">
        <v>76</v>
      </c>
    </row>
    <row r="3960" spans="1:11" ht="42" customHeight="1">
      <c r="A3960" s="2" t="s">
        <v>10656</v>
      </c>
      <c r="B3960" s="2" t="s">
        <v>10657</v>
      </c>
      <c r="C3960" s="2" t="s">
        <v>111</v>
      </c>
      <c r="D3960" s="2" t="s">
        <v>27</v>
      </c>
      <c r="E3960" s="4">
        <v>-32705</v>
      </c>
      <c r="F3960" s="3" t="s">
        <v>678</v>
      </c>
      <c r="G3960" s="3" t="s">
        <v>2886</v>
      </c>
      <c r="H3960" s="2" t="s">
        <v>74</v>
      </c>
      <c r="I3960" s="2" t="s">
        <v>10658</v>
      </c>
      <c r="J3960" s="3" t="str">
        <f>HYPERLINK("https://www.boe.es/gazeta/dias/1810/06/15/pdfs/GEI-1810-36.pdf#page=7","Abrir facsímil")</f>
        <v>Abrir facsímil</v>
      </c>
      <c r="K3960" s="3" t="s">
        <v>76</v>
      </c>
    </row>
    <row r="3961" spans="1:11" ht="42" customHeight="1">
      <c r="A3961" s="2" t="s">
        <v>10659</v>
      </c>
      <c r="B3961" s="2" t="s">
        <v>10660</v>
      </c>
      <c r="C3961" s="2" t="s">
        <v>26</v>
      </c>
      <c r="D3961" s="2" t="s">
        <v>27</v>
      </c>
      <c r="E3961" s="4">
        <v>-32599</v>
      </c>
      <c r="F3961" s="3" t="s">
        <v>1586</v>
      </c>
      <c r="G3961" s="3" t="s">
        <v>140</v>
      </c>
      <c r="H3961" s="2" t="s">
        <v>74</v>
      </c>
      <c r="I3961" s="2" t="s">
        <v>10661</v>
      </c>
      <c r="J3961" s="3" t="str">
        <f>HYPERLINK("https://www.boe.es/gazeta/dias/1810/09/29/pdfs/GMD-1810-272.pdf#page=4","Abrir facsímil")</f>
        <v>Abrir facsímil</v>
      </c>
      <c r="K3961" s="3" t="s">
        <v>76</v>
      </c>
    </row>
    <row r="3962" spans="1:11" ht="42" customHeight="1">
      <c r="A3962" s="2" t="s">
        <v>10662</v>
      </c>
      <c r="B3962" s="2" t="s">
        <v>10663</v>
      </c>
      <c r="C3962" s="2" t="s">
        <v>26</v>
      </c>
      <c r="D3962" s="2" t="s">
        <v>39</v>
      </c>
      <c r="E3962" s="4">
        <v>-32710</v>
      </c>
      <c r="F3962" s="3" t="s">
        <v>1735</v>
      </c>
      <c r="G3962" s="3" t="s">
        <v>1736</v>
      </c>
      <c r="H3962" s="2" t="s">
        <v>74</v>
      </c>
      <c r="I3962" s="2" t="s">
        <v>10664</v>
      </c>
      <c r="J3962" s="3" t="str">
        <f>HYPERLINK("https://www.boe.es/gazeta/dias/1810/06/10/pdfs/GMD-C-1810-161.pdf#page=2","Abrir facsímil")</f>
        <v>Abrir facsímil</v>
      </c>
      <c r="K3962" s="3" t="s">
        <v>76</v>
      </c>
    </row>
    <row r="3963" spans="1:11" ht="42" customHeight="1">
      <c r="A3963" s="2" t="s">
        <v>10665</v>
      </c>
      <c r="B3963" s="2" t="s">
        <v>10666</v>
      </c>
      <c r="C3963" s="2" t="s">
        <v>225</v>
      </c>
      <c r="D3963" s="2" t="s">
        <v>27</v>
      </c>
      <c r="E3963" s="4">
        <v>-32761</v>
      </c>
      <c r="F3963" s="3" t="s">
        <v>811</v>
      </c>
      <c r="G3963" s="3" t="s">
        <v>140</v>
      </c>
      <c r="H3963" s="2" t="s">
        <v>74</v>
      </c>
      <c r="I3963" s="2" t="s">
        <v>10667</v>
      </c>
      <c r="J3963" s="3" t="str">
        <f>HYPERLINK("https://www.boe.es/gazeta/dias/1810/04/20/pdfs/GEI-1810-16.pdf#page=8","Abrir facsímil")</f>
        <v>Abrir facsímil</v>
      </c>
      <c r="K3963" s="3" t="s">
        <v>76</v>
      </c>
    </row>
    <row r="3964" spans="1:11" ht="42" customHeight="1">
      <c r="A3964" s="2" t="s">
        <v>10668</v>
      </c>
      <c r="B3964" s="2" t="s">
        <v>10669</v>
      </c>
      <c r="C3964" s="2" t="s">
        <v>88</v>
      </c>
      <c r="D3964" s="2" t="s">
        <v>27</v>
      </c>
      <c r="E3964" s="4">
        <v>-32520</v>
      </c>
      <c r="F3964" s="3" t="s">
        <v>2109</v>
      </c>
      <c r="G3964" s="3" t="s">
        <v>2110</v>
      </c>
      <c r="H3964" s="2" t="s">
        <v>74</v>
      </c>
      <c r="I3964" s="2" t="s">
        <v>10670</v>
      </c>
      <c r="J3964" s="3" t="str">
        <f>HYPERLINK("https://www.boe.es/gazeta/dias/1810/12/17/pdfs/GMD-1810-351.pdf#page=2","Abrir facsímil")</f>
        <v>Abrir facsímil</v>
      </c>
      <c r="K3964" s="3" t="s">
        <v>76</v>
      </c>
    </row>
    <row r="3965" spans="1:11" ht="42" customHeight="1">
      <c r="A3965" s="2" t="s">
        <v>10671</v>
      </c>
      <c r="B3965" s="2" t="s">
        <v>10672</v>
      </c>
      <c r="C3965" s="2" t="s">
        <v>26</v>
      </c>
      <c r="D3965" s="2" t="s">
        <v>27</v>
      </c>
      <c r="E3965" s="4">
        <v>-32729</v>
      </c>
      <c r="F3965" s="3" t="s">
        <v>174</v>
      </c>
      <c r="G3965" s="3" t="s">
        <v>70</v>
      </c>
      <c r="H3965" s="2" t="s">
        <v>74</v>
      </c>
      <c r="I3965" s="2" t="s">
        <v>10673</v>
      </c>
      <c r="J3965" s="3" t="str">
        <f>HYPERLINK("https://www.boe.es/gazeta/dias/1810/05/22/pdfs/GEI-1810-28.pdf#page=7","Abrir facsímil")</f>
        <v>Abrir facsímil</v>
      </c>
      <c r="K3965" s="3" t="s">
        <v>76</v>
      </c>
    </row>
    <row r="3966" spans="1:11" ht="42" customHeight="1">
      <c r="A3966" s="2" t="s">
        <v>10674</v>
      </c>
      <c r="B3966" s="2" t="s">
        <v>10675</v>
      </c>
      <c r="C3966" s="2" t="s">
        <v>88</v>
      </c>
      <c r="D3966" s="2" t="s">
        <v>117</v>
      </c>
      <c r="E3966" s="4">
        <v>-32666</v>
      </c>
      <c r="F3966" s="3" t="s">
        <v>1913</v>
      </c>
      <c r="G3966" s="3" t="s">
        <v>1914</v>
      </c>
      <c r="H3966" s="2" t="s">
        <v>74</v>
      </c>
      <c r="I3966" s="2" t="s">
        <v>10676</v>
      </c>
      <c r="J3966" s="3" t="str">
        <f>HYPERLINK("https://www.boe.es/gazeta/dias/1810/07/24/pdfs/GMD-1810-205.pdf#page=4","Abrir facsímil")</f>
        <v>Abrir facsímil</v>
      </c>
      <c r="K3966" s="3" t="s">
        <v>76</v>
      </c>
    </row>
    <row r="3967" spans="1:11" ht="42" customHeight="1">
      <c r="A3967" s="2" t="s">
        <v>10677</v>
      </c>
      <c r="B3967" s="2" t="s">
        <v>10678</v>
      </c>
      <c r="C3967" s="2" t="s">
        <v>26</v>
      </c>
      <c r="D3967" s="2" t="s">
        <v>27</v>
      </c>
      <c r="E3967" s="4">
        <v>-32528</v>
      </c>
      <c r="F3967" s="3" t="s">
        <v>3058</v>
      </c>
      <c r="G3967" s="3" t="s">
        <v>359</v>
      </c>
      <c r="H3967" s="2" t="s">
        <v>74</v>
      </c>
      <c r="I3967" s="2" t="s">
        <v>10679</v>
      </c>
      <c r="J3967" s="3" t="str">
        <f>HYPERLINK("https://www.boe.es/gazeta/dias/1810/12/09/pdfs/GMD-1810-343.pdf#page=3","Abrir facsímil")</f>
        <v>Abrir facsímil</v>
      </c>
      <c r="K3967" s="3" t="s">
        <v>76</v>
      </c>
    </row>
    <row r="3968" spans="1:11" ht="42" customHeight="1">
      <c r="A3968" s="2" t="s">
        <v>10680</v>
      </c>
      <c r="B3968" s="2" t="s">
        <v>10681</v>
      </c>
      <c r="C3968" s="2" t="s">
        <v>26</v>
      </c>
      <c r="D3968" s="2" t="s">
        <v>27</v>
      </c>
      <c r="E3968" s="4">
        <v>-32649</v>
      </c>
      <c r="F3968" s="3" t="s">
        <v>1988</v>
      </c>
      <c r="G3968" s="3" t="s">
        <v>227</v>
      </c>
      <c r="H3968" s="2" t="s">
        <v>74</v>
      </c>
      <c r="I3968" s="2" t="s">
        <v>10682</v>
      </c>
      <c r="J3968" s="3" t="str">
        <f>HYPERLINK("https://www.boe.es/gazeta/dias/1810/08/10/pdfs/GMD-1810-222.pdf#page=4","Abrir facsímil")</f>
        <v>Abrir facsímil</v>
      </c>
      <c r="K3968" s="3" t="s">
        <v>76</v>
      </c>
    </row>
    <row r="3969" spans="1:11" ht="42" customHeight="1">
      <c r="A3969" s="2" t="s">
        <v>10683</v>
      </c>
      <c r="B3969" s="2" t="s">
        <v>10684</v>
      </c>
      <c r="C3969" s="2" t="s">
        <v>26</v>
      </c>
      <c r="D3969" s="2" t="s">
        <v>27</v>
      </c>
      <c r="E3969" s="4">
        <v>-32526</v>
      </c>
      <c r="F3969" s="3" t="s">
        <v>530</v>
      </c>
      <c r="G3969" s="3" t="s">
        <v>531</v>
      </c>
      <c r="H3969" s="2" t="s">
        <v>74</v>
      </c>
      <c r="I3969" s="2" t="s">
        <v>10685</v>
      </c>
      <c r="J3969" s="3" t="str">
        <f>HYPERLINK("https://www.boe.es/gazeta/dias/1810/12/11/pdfs/GEI-1810-106.pdf#page=2","Abrir facsímil")</f>
        <v>Abrir facsímil</v>
      </c>
      <c r="K3969" s="3" t="s">
        <v>76</v>
      </c>
    </row>
    <row r="3970" spans="1:11" ht="42" customHeight="1">
      <c r="A3970" s="2" t="s">
        <v>10686</v>
      </c>
      <c r="B3970" s="2" t="s">
        <v>10687</v>
      </c>
      <c r="C3970" s="2" t="s">
        <v>88</v>
      </c>
      <c r="D3970" s="2" t="s">
        <v>27</v>
      </c>
      <c r="E3970" s="4">
        <v>-32729</v>
      </c>
      <c r="F3970" s="3" t="s">
        <v>174</v>
      </c>
      <c r="G3970" s="3" t="s">
        <v>886</v>
      </c>
      <c r="H3970" s="2" t="s">
        <v>74</v>
      </c>
      <c r="I3970" s="2" t="s">
        <v>10688</v>
      </c>
      <c r="J3970" s="3" t="str">
        <f>HYPERLINK("https://www.boe.es/gazeta/dias/1810/05/22/pdfs/GEI-1810-28.pdf#page=11","Abrir facsímil")</f>
        <v>Abrir facsímil</v>
      </c>
      <c r="K3970" s="3" t="s">
        <v>76</v>
      </c>
    </row>
    <row r="3971" spans="1:11" ht="42" customHeight="1">
      <c r="A3971" s="2" t="s">
        <v>10689</v>
      </c>
      <c r="B3971" s="2" t="s">
        <v>10690</v>
      </c>
      <c r="C3971" s="2" t="s">
        <v>111</v>
      </c>
      <c r="D3971" s="2" t="s">
        <v>27</v>
      </c>
      <c r="E3971" s="4">
        <v>-32617</v>
      </c>
      <c r="F3971" s="3" t="s">
        <v>1459</v>
      </c>
      <c r="G3971" s="3" t="s">
        <v>2771</v>
      </c>
      <c r="H3971" s="2" t="s">
        <v>74</v>
      </c>
      <c r="I3971" s="2" t="s">
        <v>10691</v>
      </c>
      <c r="J3971" s="3" t="str">
        <f>HYPERLINK("https://www.boe.es/gazeta/dias/1810/09/11/pdfs/GEI-1810-66.pdf#page=3","Abrir facsímil")</f>
        <v>Abrir facsímil</v>
      </c>
      <c r="K3971" s="3" t="s">
        <v>76</v>
      </c>
    </row>
    <row r="3972" spans="1:11" ht="42" customHeight="1">
      <c r="A3972" s="2" t="s">
        <v>10689</v>
      </c>
      <c r="B3972" s="2" t="s">
        <v>10690</v>
      </c>
      <c r="C3972" s="2" t="s">
        <v>225</v>
      </c>
      <c r="D3972" s="2" t="s">
        <v>27</v>
      </c>
      <c r="E3972" s="4">
        <v>-32531</v>
      </c>
      <c r="F3972" s="3" t="s">
        <v>2023</v>
      </c>
      <c r="G3972" s="3" t="s">
        <v>29</v>
      </c>
      <c r="H3972" s="2" t="s">
        <v>74</v>
      </c>
      <c r="I3972" s="2" t="s">
        <v>10692</v>
      </c>
      <c r="J3972" s="3" t="str">
        <f>HYPERLINK("https://www.boe.es/gazeta/dias/1810/12/06/pdfs/GMD-1810-340.pdf#page=4","Abrir facsímil")</f>
        <v>Abrir facsímil</v>
      </c>
      <c r="K3972" s="3" t="s">
        <v>76</v>
      </c>
    </row>
    <row r="3973" spans="1:11" ht="42" customHeight="1">
      <c r="A3973" s="2" t="s">
        <v>10693</v>
      </c>
      <c r="B3973" s="2" t="s">
        <v>10694</v>
      </c>
      <c r="C3973" s="2" t="s">
        <v>26</v>
      </c>
      <c r="D3973" s="2" t="s">
        <v>39</v>
      </c>
      <c r="E3973" s="4">
        <v>-32701</v>
      </c>
      <c r="F3973" s="3" t="s">
        <v>40</v>
      </c>
      <c r="G3973" s="3" t="s">
        <v>315</v>
      </c>
      <c r="H3973" s="2" t="s">
        <v>74</v>
      </c>
      <c r="I3973" s="2" t="s">
        <v>10695</v>
      </c>
      <c r="J3973" s="3" t="str">
        <f>HYPERLINK("https://www.boe.es/gazeta/dias/1810/06/19/pdfs/GMD-C-1810-170.pdf#page=2","Abrir facsímil")</f>
        <v>Abrir facsímil</v>
      </c>
      <c r="K3973" s="3" t="s">
        <v>76</v>
      </c>
    </row>
    <row r="3974" spans="1:11" ht="42" customHeight="1">
      <c r="A3974" s="2" t="s">
        <v>10696</v>
      </c>
      <c r="B3974" s="2" t="s">
        <v>10697</v>
      </c>
      <c r="C3974" s="2" t="s">
        <v>225</v>
      </c>
      <c r="D3974" s="2" t="s">
        <v>117</v>
      </c>
      <c r="E3974" s="4">
        <v>-32774</v>
      </c>
      <c r="F3974" s="3" t="s">
        <v>10556</v>
      </c>
      <c r="G3974" s="3" t="s">
        <v>20</v>
      </c>
      <c r="H3974" s="2" t="s">
        <v>74</v>
      </c>
      <c r="I3974" s="2" t="s">
        <v>10698</v>
      </c>
      <c r="J3974" s="3" t="str">
        <f>HYPERLINK("https://www.boe.es/gazeta/dias/1810/04/07/pdfs/GMD-1810-97.pdf#page=4","Abrir facsímil")</f>
        <v>Abrir facsímil</v>
      </c>
      <c r="K3974" s="3" t="s">
        <v>76</v>
      </c>
    </row>
    <row r="3975" spans="1:11" ht="42" customHeight="1">
      <c r="A3975" s="2" t="s">
        <v>10699</v>
      </c>
      <c r="B3975" s="2" t="s">
        <v>10700</v>
      </c>
      <c r="C3975" s="2" t="s">
        <v>111</v>
      </c>
      <c r="D3975" s="2" t="s">
        <v>27</v>
      </c>
      <c r="E3975" s="4">
        <v>-32738</v>
      </c>
      <c r="F3975" s="3" t="s">
        <v>321</v>
      </c>
      <c r="G3975" s="3" t="s">
        <v>140</v>
      </c>
      <c r="H3975" s="2" t="s">
        <v>74</v>
      </c>
      <c r="I3975" s="2" t="s">
        <v>10701</v>
      </c>
      <c r="J3975" s="3" t="str">
        <f>HYPERLINK("https://www.boe.es/gazeta/dias/1810/05/13/pdfs/GMD-1810-133.pdf#page=4","Abrir facsímil")</f>
        <v>Abrir facsímil</v>
      </c>
      <c r="K3975" s="3" t="s">
        <v>76</v>
      </c>
    </row>
    <row r="3976" spans="1:11" ht="42" customHeight="1">
      <c r="A3976" s="2" t="s">
        <v>10702</v>
      </c>
      <c r="B3976" s="2" t="s">
        <v>10703</v>
      </c>
      <c r="C3976" s="2" t="s">
        <v>26</v>
      </c>
      <c r="D3976" s="2" t="s">
        <v>27</v>
      </c>
      <c r="E3976" s="4">
        <v>-32688</v>
      </c>
      <c r="F3976" s="3" t="s">
        <v>997</v>
      </c>
      <c r="G3976" s="3" t="s">
        <v>749</v>
      </c>
      <c r="H3976" s="2" t="s">
        <v>74</v>
      </c>
      <c r="I3976" s="2" t="s">
        <v>10704</v>
      </c>
      <c r="J3976" s="3" t="str">
        <f>HYPERLINK("https://www.boe.es/gazeta/dias/1810/07/02/pdfs/GMD-1810-183.pdf#page=4","Abrir facsímil")</f>
        <v>Abrir facsímil</v>
      </c>
      <c r="K3976" s="3" t="s">
        <v>76</v>
      </c>
    </row>
    <row r="3977" spans="1:11" ht="42" customHeight="1">
      <c r="A3977" s="2" t="s">
        <v>10705</v>
      </c>
      <c r="B3977" s="2" t="s">
        <v>10706</v>
      </c>
      <c r="C3977" s="2" t="s">
        <v>26</v>
      </c>
      <c r="D3977" s="2" t="s">
        <v>27</v>
      </c>
      <c r="E3977" s="4">
        <v>-32618</v>
      </c>
      <c r="F3977" s="3" t="s">
        <v>1501</v>
      </c>
      <c r="G3977" s="3" t="s">
        <v>20</v>
      </c>
      <c r="H3977" s="2" t="s">
        <v>74</v>
      </c>
      <c r="I3977" s="2" t="s">
        <v>10707</v>
      </c>
      <c r="J3977" s="3" t="str">
        <f>HYPERLINK("https://www.boe.es/gazeta/dias/1810/09/10/pdfs/GMD-1810-253.pdf#page=4","Abrir facsímil")</f>
        <v>Abrir facsímil</v>
      </c>
      <c r="K3977" s="3" t="s">
        <v>76</v>
      </c>
    </row>
    <row r="3978" spans="1:11" ht="42" customHeight="1">
      <c r="A3978" s="2" t="s">
        <v>10708</v>
      </c>
      <c r="B3978" s="2" t="s">
        <v>10708</v>
      </c>
      <c r="C3978" s="2" t="s">
        <v>88</v>
      </c>
      <c r="D3978" s="2" t="s">
        <v>27</v>
      </c>
      <c r="E3978" s="4">
        <v>-32780</v>
      </c>
      <c r="F3978" s="3" t="s">
        <v>1295</v>
      </c>
      <c r="G3978" s="3" t="s">
        <v>213</v>
      </c>
      <c r="H3978" s="2" t="s">
        <v>74</v>
      </c>
      <c r="I3978" s="2" t="s">
        <v>10709</v>
      </c>
      <c r="J3978" s="3" t="str">
        <f>HYPERLINK("https://www.boe.es/gazeta/dias/1810/04/01/pdfs/GMD-1810-91.pdf#page=3","Abrir facsímil")</f>
        <v>Abrir facsímil</v>
      </c>
      <c r="K3978" s="3" t="s">
        <v>76</v>
      </c>
    </row>
    <row r="3979" spans="1:11" ht="42" customHeight="1">
      <c r="A3979" s="2" t="s">
        <v>10710</v>
      </c>
      <c r="B3979" s="2" t="s">
        <v>10710</v>
      </c>
      <c r="C3979" s="2" t="s">
        <v>88</v>
      </c>
      <c r="D3979" s="2" t="s">
        <v>117</v>
      </c>
      <c r="E3979" s="4">
        <v>-32717</v>
      </c>
      <c r="F3979" s="3" t="s">
        <v>10711</v>
      </c>
      <c r="G3979" s="3" t="s">
        <v>2577</v>
      </c>
      <c r="H3979" s="2" t="s">
        <v>74</v>
      </c>
      <c r="I3979" s="2" t="s">
        <v>10712</v>
      </c>
      <c r="J3979" s="3" t="str">
        <f>HYPERLINK("https://www.boe.es/gazeta/dias/1810/06/03/pdfs/GMD-1810-154.pdf#page=1","Abrir facsímil")</f>
        <v>Abrir facsímil</v>
      </c>
      <c r="K3979" s="3" t="s">
        <v>76</v>
      </c>
    </row>
    <row r="3980" spans="1:11" ht="42" customHeight="1">
      <c r="A3980" s="2" t="s">
        <v>10713</v>
      </c>
      <c r="B3980" s="2" t="s">
        <v>10714</v>
      </c>
      <c r="C3980" s="2" t="s">
        <v>26</v>
      </c>
      <c r="D3980" s="2" t="s">
        <v>27</v>
      </c>
      <c r="E3980" s="4">
        <v>-32720</v>
      </c>
      <c r="F3980" s="3" t="s">
        <v>3377</v>
      </c>
      <c r="G3980" s="3" t="s">
        <v>3378</v>
      </c>
      <c r="H3980" s="2" t="s">
        <v>74</v>
      </c>
      <c r="I3980" s="2" t="s">
        <v>10715</v>
      </c>
      <c r="J3980" s="3" t="str">
        <f>HYPERLINK("https://www.boe.es/gazeta/dias/1810/05/31/pdfs/GMD-1810-151.pdf#page=4","Abrir facsímil")</f>
        <v>Abrir facsímil</v>
      </c>
      <c r="K3980" s="3" t="s">
        <v>76</v>
      </c>
    </row>
    <row r="3981" spans="1:11" ht="42" customHeight="1">
      <c r="A3981" s="2" t="s">
        <v>10716</v>
      </c>
      <c r="B3981" s="2" t="s">
        <v>10717</v>
      </c>
      <c r="C3981" s="2" t="s">
        <v>26</v>
      </c>
      <c r="D3981" s="2" t="s">
        <v>220</v>
      </c>
      <c r="E3981" s="4">
        <v>-32713</v>
      </c>
      <c r="F3981" s="3" t="s">
        <v>959</v>
      </c>
      <c r="G3981" s="3" t="s">
        <v>960</v>
      </c>
      <c r="H3981" s="2" t="s">
        <v>74</v>
      </c>
      <c r="I3981" s="2" t="s">
        <v>10718</v>
      </c>
      <c r="J3981" s="3" t="str">
        <f>HYPERLINK("https://www.boe.es/gazeta/dias/1810/06/07/pdfs/GMD-1810-158.pdf#page=4","Abrir facsímil")</f>
        <v>Abrir facsímil</v>
      </c>
      <c r="K3981" s="3" t="s">
        <v>76</v>
      </c>
    </row>
    <row r="3982" spans="1:11" ht="42" customHeight="1">
      <c r="A3982" s="2" t="s">
        <v>10719</v>
      </c>
      <c r="B3982" s="2" t="s">
        <v>10719</v>
      </c>
      <c r="C3982" s="2" t="s">
        <v>26</v>
      </c>
      <c r="D3982" s="2" t="s">
        <v>39</v>
      </c>
      <c r="E3982" s="4">
        <v>-32702</v>
      </c>
      <c r="F3982" s="3" t="s">
        <v>179</v>
      </c>
      <c r="G3982" s="3" t="s">
        <v>517</v>
      </c>
      <c r="H3982" s="2" t="s">
        <v>74</v>
      </c>
      <c r="I3982" s="2" t="s">
        <v>10720</v>
      </c>
      <c r="J3982" s="3" t="str">
        <f>HYPERLINK("https://www.boe.es/gazeta/dias/1810/06/18/pdfs/GMD-C-1810-169.pdf#page=3","Abrir facsímil")</f>
        <v>Abrir facsímil</v>
      </c>
      <c r="K3982" s="3" t="s">
        <v>76</v>
      </c>
    </row>
    <row r="3983" spans="1:11" ht="42" customHeight="1">
      <c r="A3983" s="2" t="s">
        <v>10721</v>
      </c>
      <c r="B3983" s="2" t="s">
        <v>10721</v>
      </c>
      <c r="C3983" s="2" t="s">
        <v>17</v>
      </c>
      <c r="D3983" s="2" t="s">
        <v>220</v>
      </c>
      <c r="E3983" s="4">
        <v>-32670</v>
      </c>
      <c r="F3983" s="3" t="s">
        <v>2256</v>
      </c>
      <c r="G3983" s="3" t="s">
        <v>140</v>
      </c>
      <c r="H3983" s="2" t="s">
        <v>74</v>
      </c>
      <c r="I3983" s="2" t="s">
        <v>10722</v>
      </c>
      <c r="J3983" s="3" t="str">
        <f>HYPERLINK("https://www.boe.es/gazeta/dias/1810/07/20/pdfs/GMD-1810-201.pdf#page=2","Abrir facsímil")</f>
        <v>Abrir facsímil</v>
      </c>
      <c r="K3983" s="3" t="s">
        <v>76</v>
      </c>
    </row>
    <row r="3984" spans="1:11" ht="42" customHeight="1">
      <c r="A3984" s="2" t="s">
        <v>10723</v>
      </c>
      <c r="B3984" s="2" t="s">
        <v>10724</v>
      </c>
      <c r="C3984" s="2" t="s">
        <v>26</v>
      </c>
      <c r="D3984" s="2" t="s">
        <v>27</v>
      </c>
      <c r="E3984" s="4">
        <v>-32564</v>
      </c>
      <c r="F3984" s="3" t="s">
        <v>108</v>
      </c>
      <c r="G3984" s="3" t="s">
        <v>9477</v>
      </c>
      <c r="H3984" s="2" t="s">
        <v>74</v>
      </c>
      <c r="I3984" s="2" t="s">
        <v>10725</v>
      </c>
      <c r="J3984" s="3" t="str">
        <f>HYPERLINK("https://www.boe.es/gazeta/dias/1810/11/03/pdfs/GEI-1810-90.pdf#page=3","Abrir facsímil")</f>
        <v>Abrir facsímil</v>
      </c>
      <c r="K3984" s="3" t="s">
        <v>76</v>
      </c>
    </row>
    <row r="3985" spans="1:11" ht="42" customHeight="1">
      <c r="A3985" s="2" t="s">
        <v>10726</v>
      </c>
      <c r="B3985" s="2" t="s">
        <v>10726</v>
      </c>
      <c r="C3985" s="2" t="s">
        <v>88</v>
      </c>
      <c r="D3985" s="2" t="s">
        <v>27</v>
      </c>
      <c r="E3985" s="4">
        <v>-32716</v>
      </c>
      <c r="F3985" s="3" t="s">
        <v>624</v>
      </c>
      <c r="G3985" s="3" t="s">
        <v>140</v>
      </c>
      <c r="H3985" s="2" t="s">
        <v>74</v>
      </c>
      <c r="I3985" s="2" t="s">
        <v>10727</v>
      </c>
      <c r="J3985" s="3" t="str">
        <f>HYPERLINK("https://www.boe.es/gazeta/dias/1810/06/04/pdfs/GMD-1810-155.pdf#page=4","Abrir facsímil")</f>
        <v>Abrir facsímil</v>
      </c>
      <c r="K3985" s="3" t="s">
        <v>76</v>
      </c>
    </row>
    <row r="3986" spans="1:11" ht="42" customHeight="1">
      <c r="A3986" s="2" t="s">
        <v>10728</v>
      </c>
      <c r="B3986" s="2" t="s">
        <v>10728</v>
      </c>
      <c r="C3986" s="2" t="s">
        <v>88</v>
      </c>
      <c r="D3986" s="2" t="s">
        <v>27</v>
      </c>
      <c r="E3986" s="4">
        <v>-32780</v>
      </c>
      <c r="F3986" s="3" t="s">
        <v>1295</v>
      </c>
      <c r="G3986" s="3" t="s">
        <v>213</v>
      </c>
      <c r="H3986" s="2" t="s">
        <v>74</v>
      </c>
      <c r="I3986" s="2" t="s">
        <v>10729</v>
      </c>
      <c r="J3986" s="3" t="str">
        <f>HYPERLINK("https://www.boe.es/gazeta/dias/1810/04/01/pdfs/GMD-1810-91.pdf#page=3","Abrir facsímil")</f>
        <v>Abrir facsímil</v>
      </c>
      <c r="K3986" s="3" t="s">
        <v>76</v>
      </c>
    </row>
    <row r="3987" spans="1:11" ht="42" customHeight="1">
      <c r="A3987" s="2" t="s">
        <v>10730</v>
      </c>
      <c r="B3987" s="2" t="s">
        <v>10730</v>
      </c>
      <c r="C3987" s="2" t="s">
        <v>88</v>
      </c>
      <c r="D3987" s="2" t="s">
        <v>117</v>
      </c>
      <c r="E3987" s="4">
        <v>-32692</v>
      </c>
      <c r="F3987" s="3" t="s">
        <v>3698</v>
      </c>
      <c r="G3987" s="3" t="s">
        <v>465</v>
      </c>
      <c r="H3987" s="2" t="s">
        <v>74</v>
      </c>
      <c r="I3987" s="2" t="s">
        <v>10731</v>
      </c>
      <c r="J3987" s="3" t="str">
        <f>HYPERLINK("https://www.boe.es/gazeta/dias/1810/06/28/pdfs/GMD-1810-179.pdf#page=1","Abrir facsímil")</f>
        <v>Abrir facsímil</v>
      </c>
      <c r="K3987" s="3" t="s">
        <v>76</v>
      </c>
    </row>
    <row r="3988" spans="1:11" ht="42" customHeight="1">
      <c r="A3988" s="2" t="s">
        <v>10732</v>
      </c>
      <c r="B3988" s="2" t="s">
        <v>10732</v>
      </c>
      <c r="C3988" s="2" t="s">
        <v>26</v>
      </c>
      <c r="D3988" s="2" t="s">
        <v>220</v>
      </c>
      <c r="E3988" s="4">
        <v>-32723</v>
      </c>
      <c r="F3988" s="3" t="s">
        <v>464</v>
      </c>
      <c r="G3988" s="3" t="s">
        <v>113</v>
      </c>
      <c r="H3988" s="2" t="s">
        <v>74</v>
      </c>
      <c r="I3988" s="2" t="s">
        <v>10733</v>
      </c>
      <c r="J3988" s="3" t="str">
        <f>HYPERLINK("https://www.boe.es/gazeta/dias/1810/05/28/pdfs/GMD-1810-148.pdf#page=2","Abrir facsímil")</f>
        <v>Abrir facsímil</v>
      </c>
      <c r="K3988" s="3" t="s">
        <v>76</v>
      </c>
    </row>
    <row r="3989" spans="1:11" ht="42" customHeight="1">
      <c r="A3989" s="2" t="s">
        <v>10732</v>
      </c>
      <c r="B3989" s="2" t="s">
        <v>10732</v>
      </c>
      <c r="C3989" s="2" t="s">
        <v>26</v>
      </c>
      <c r="D3989" s="2" t="s">
        <v>220</v>
      </c>
      <c r="E3989" s="4">
        <v>-32625</v>
      </c>
      <c r="F3989" s="3" t="s">
        <v>4200</v>
      </c>
      <c r="G3989" s="3" t="s">
        <v>465</v>
      </c>
      <c r="H3989" s="2" t="s">
        <v>74</v>
      </c>
      <c r="I3989" s="2" t="s">
        <v>10734</v>
      </c>
      <c r="J3989" s="3" t="str">
        <f>HYPERLINK("https://www.boe.es/gazeta/dias/1810/09/03/pdfs/GMD-1810-246.pdf#page=1","Abrir facsímil")</f>
        <v>Abrir facsímil</v>
      </c>
      <c r="K3989" s="3" t="s">
        <v>76</v>
      </c>
    </row>
    <row r="3990" spans="1:11" ht="42" customHeight="1">
      <c r="A3990" s="2" t="s">
        <v>10735</v>
      </c>
      <c r="B3990" s="2" t="s">
        <v>10736</v>
      </c>
      <c r="C3990" s="2" t="s">
        <v>26</v>
      </c>
      <c r="D3990" s="2" t="s">
        <v>27</v>
      </c>
      <c r="E3990" s="4">
        <v>-32528</v>
      </c>
      <c r="F3990" s="3" t="s">
        <v>3058</v>
      </c>
      <c r="G3990" s="3" t="s">
        <v>2334</v>
      </c>
      <c r="H3990" s="2" t="s">
        <v>74</v>
      </c>
      <c r="I3990" s="2" t="s">
        <v>10737</v>
      </c>
      <c r="J3990" s="3" t="str">
        <f>HYPERLINK("https://www.boe.es/gazeta/dias/1810/12/09/pdfs/GMD-1810-343.pdf#page=1","Abrir facsímil")</f>
        <v>Abrir facsímil</v>
      </c>
      <c r="K3990" s="3" t="s">
        <v>76</v>
      </c>
    </row>
    <row r="3991" spans="1:11" ht="42" customHeight="1">
      <c r="A3991" s="2" t="s">
        <v>10738</v>
      </c>
      <c r="B3991" s="2" t="s">
        <v>10738</v>
      </c>
      <c r="C3991" s="2" t="s">
        <v>26</v>
      </c>
      <c r="D3991" s="2" t="s">
        <v>18</v>
      </c>
      <c r="E3991" s="4">
        <v>-32712</v>
      </c>
      <c r="F3991" s="3" t="s">
        <v>6411</v>
      </c>
      <c r="G3991" s="3" t="s">
        <v>180</v>
      </c>
      <c r="H3991" s="2" t="s">
        <v>74</v>
      </c>
      <c r="I3991" s="2" t="s">
        <v>10739</v>
      </c>
      <c r="J3991" s="3" t="str">
        <f>HYPERLINK("https://www.boe.es/gazeta/dias/1810/06/08/pdfs/GMD-1810-159.pdf#page=1","Abrir facsímil")</f>
        <v>Abrir facsímil</v>
      </c>
      <c r="K3991" s="3" t="s">
        <v>76</v>
      </c>
    </row>
    <row r="3992" spans="1:11" ht="42" customHeight="1">
      <c r="A3992" s="2" t="s">
        <v>10740</v>
      </c>
      <c r="B3992" s="2" t="s">
        <v>10741</v>
      </c>
      <c r="C3992" s="2" t="s">
        <v>930</v>
      </c>
      <c r="D3992" s="2" t="s">
        <v>27</v>
      </c>
      <c r="E3992" s="4">
        <v>-32580</v>
      </c>
      <c r="F3992" s="3" t="s">
        <v>2508</v>
      </c>
      <c r="G3992" s="3" t="s">
        <v>3559</v>
      </c>
      <c r="H3992" s="2" t="s">
        <v>74</v>
      </c>
      <c r="I3992" s="2" t="s">
        <v>10742</v>
      </c>
      <c r="J3992" s="3" t="str">
        <f>HYPERLINK("https://www.boe.es/gazeta/dias/1810/10/18/pdfs/GEI-1810-83.pdf#page=8","Abrir facsímil")</f>
        <v>Abrir facsímil</v>
      </c>
      <c r="K3992" s="3" t="s">
        <v>76</v>
      </c>
    </row>
    <row r="3993" spans="1:11" ht="42" customHeight="1">
      <c r="A3993" s="2" t="s">
        <v>10743</v>
      </c>
      <c r="B3993" s="2" t="s">
        <v>10744</v>
      </c>
      <c r="C3993" s="2" t="s">
        <v>26</v>
      </c>
      <c r="D3993" s="2" t="s">
        <v>39</v>
      </c>
      <c r="E3993" s="4">
        <v>-32702</v>
      </c>
      <c r="F3993" s="3" t="s">
        <v>179</v>
      </c>
      <c r="G3993" s="3" t="s">
        <v>213</v>
      </c>
      <c r="H3993" s="2" t="s">
        <v>74</v>
      </c>
      <c r="I3993" s="2" t="s">
        <v>10745</v>
      </c>
      <c r="J3993" s="3" t="str">
        <f>HYPERLINK("https://www.boe.es/gazeta/dias/1810/06/18/pdfs/GMD-C-1810-169.pdf#page=4","Abrir facsímil")</f>
        <v>Abrir facsímil</v>
      </c>
      <c r="K3993" s="3" t="s">
        <v>76</v>
      </c>
    </row>
    <row r="3994" spans="1:11" ht="42" customHeight="1">
      <c r="A3994" s="2" t="s">
        <v>10746</v>
      </c>
      <c r="B3994" s="2" t="s">
        <v>10747</v>
      </c>
      <c r="C3994" s="2" t="s">
        <v>225</v>
      </c>
      <c r="D3994" s="2" t="s">
        <v>27</v>
      </c>
      <c r="E3994" s="4">
        <v>-32820</v>
      </c>
      <c r="F3994" s="3" t="s">
        <v>226</v>
      </c>
      <c r="G3994" s="3" t="s">
        <v>356</v>
      </c>
      <c r="H3994" s="2" t="s">
        <v>74</v>
      </c>
      <c r="I3994" s="2" t="s">
        <v>10748</v>
      </c>
      <c r="J3994" s="3" t="str">
        <f>HYPERLINK("https://www.boe.es/gazeta/dias/1810/02/20/pdfs/GMD-1810-51.pdf#page=3","Abrir facsímil")</f>
        <v>Abrir facsímil</v>
      </c>
      <c r="K3994" s="3" t="s">
        <v>76</v>
      </c>
    </row>
    <row r="3995" spans="1:11" ht="42" customHeight="1">
      <c r="A3995" s="2" t="s">
        <v>10749</v>
      </c>
      <c r="B3995" s="2" t="s">
        <v>10750</v>
      </c>
      <c r="C3995" s="2" t="s">
        <v>33</v>
      </c>
      <c r="D3995" s="2" t="s">
        <v>27</v>
      </c>
      <c r="E3995" s="4">
        <v>-32654</v>
      </c>
      <c r="F3995" s="3" t="s">
        <v>1226</v>
      </c>
      <c r="G3995" s="3" t="s">
        <v>180</v>
      </c>
      <c r="H3995" s="2" t="s">
        <v>74</v>
      </c>
      <c r="I3995" s="2" t="s">
        <v>10751</v>
      </c>
      <c r="J3995" s="3" t="str">
        <f>HYPERLINK("https://www.boe.es/gazeta/dias/1810/08/05/pdfs/GMD-1810-217.pdf#page=4","Abrir facsímil")</f>
        <v>Abrir facsímil</v>
      </c>
      <c r="K3995" s="3" t="s">
        <v>76</v>
      </c>
    </row>
    <row r="3996" spans="1:11" ht="42" customHeight="1">
      <c r="A3996" s="2" t="s">
        <v>10752</v>
      </c>
      <c r="B3996" s="2" t="s">
        <v>10753</v>
      </c>
      <c r="C3996" s="2" t="s">
        <v>26</v>
      </c>
      <c r="D3996" s="2" t="s">
        <v>27</v>
      </c>
      <c r="E3996" s="4">
        <v>-32716</v>
      </c>
      <c r="F3996" s="3" t="s">
        <v>624</v>
      </c>
      <c r="G3996" s="3" t="s">
        <v>140</v>
      </c>
      <c r="H3996" s="2" t="s">
        <v>74</v>
      </c>
      <c r="I3996" s="2" t="s">
        <v>10754</v>
      </c>
      <c r="J3996" s="3" t="str">
        <f>HYPERLINK("https://www.boe.es/gazeta/dias/1810/06/04/pdfs/GMD-1810-155.pdf#page=4","Abrir facsímil")</f>
        <v>Abrir facsímil</v>
      </c>
      <c r="K3996" s="3" t="s">
        <v>76</v>
      </c>
    </row>
    <row r="3997" spans="1:11" ht="42" customHeight="1">
      <c r="A3997" s="2" t="s">
        <v>10755</v>
      </c>
      <c r="B3997" s="2" t="s">
        <v>10755</v>
      </c>
      <c r="C3997" s="2" t="s">
        <v>88</v>
      </c>
      <c r="D3997" s="2" t="s">
        <v>117</v>
      </c>
      <c r="E3997" s="4">
        <v>-32663</v>
      </c>
      <c r="F3997" s="3" t="s">
        <v>1615</v>
      </c>
      <c r="G3997" s="3" t="s">
        <v>29</v>
      </c>
      <c r="H3997" s="2" t="s">
        <v>74</v>
      </c>
      <c r="I3997" s="2" t="s">
        <v>10756</v>
      </c>
      <c r="J3997" s="3" t="str">
        <f>HYPERLINK("https://www.boe.es/gazeta/dias/1810/07/27/pdfs/GMD-1810-208.pdf#page=2","Abrir facsímil")</f>
        <v>Abrir facsímil</v>
      </c>
      <c r="K3997" s="3" t="s">
        <v>76</v>
      </c>
    </row>
    <row r="3998" spans="1:11" ht="42" customHeight="1">
      <c r="A3998" s="2" t="s">
        <v>10755</v>
      </c>
      <c r="B3998" s="2" t="s">
        <v>10755</v>
      </c>
      <c r="C3998" s="2" t="s">
        <v>88</v>
      </c>
      <c r="D3998" s="2" t="s">
        <v>27</v>
      </c>
      <c r="E3998" s="4">
        <v>-32641</v>
      </c>
      <c r="F3998" s="3" t="s">
        <v>10757</v>
      </c>
      <c r="G3998" s="3" t="s">
        <v>213</v>
      </c>
      <c r="H3998" s="2" t="s">
        <v>74</v>
      </c>
      <c r="I3998" s="2" t="s">
        <v>10758</v>
      </c>
      <c r="J3998" s="3" t="str">
        <f>HYPERLINK("https://www.boe.es/gazeta/dias/1810/08/18/pdfs/GMD-1810-230.pdf#page=2","Abrir facsímil")</f>
        <v>Abrir facsímil</v>
      </c>
      <c r="K3998" s="3" t="s">
        <v>76</v>
      </c>
    </row>
    <row r="3999" spans="1:11" ht="42" customHeight="1">
      <c r="A3999" s="2" t="s">
        <v>10759</v>
      </c>
      <c r="B3999" s="2" t="s">
        <v>10759</v>
      </c>
      <c r="C3999" s="2" t="s">
        <v>88</v>
      </c>
      <c r="D3999" s="2" t="s">
        <v>117</v>
      </c>
      <c r="E3999" s="4">
        <v>-32780</v>
      </c>
      <c r="F3999" s="3" t="s">
        <v>1295</v>
      </c>
      <c r="G3999" s="3" t="s">
        <v>213</v>
      </c>
      <c r="H3999" s="2" t="s">
        <v>74</v>
      </c>
      <c r="I3999" s="2" t="s">
        <v>10760</v>
      </c>
      <c r="J3999" s="3" t="str">
        <f>HYPERLINK("https://www.boe.es/gazeta/dias/1810/04/01/pdfs/GMD-1810-91.pdf#page=3","Abrir facsímil")</f>
        <v>Abrir facsímil</v>
      </c>
      <c r="K3999" s="3" t="s">
        <v>76</v>
      </c>
    </row>
    <row r="4000" spans="1:11" ht="42" customHeight="1">
      <c r="A4000" s="2" t="s">
        <v>10761</v>
      </c>
      <c r="B4000" s="2" t="s">
        <v>10762</v>
      </c>
      <c r="C4000" s="2" t="s">
        <v>26</v>
      </c>
      <c r="D4000" s="2" t="s">
        <v>27</v>
      </c>
      <c r="E4000" s="4">
        <v>-32629</v>
      </c>
      <c r="F4000" s="3" t="s">
        <v>1494</v>
      </c>
      <c r="G4000" s="3" t="s">
        <v>213</v>
      </c>
      <c r="H4000" s="2" t="s">
        <v>74</v>
      </c>
      <c r="I4000" s="2" t="s">
        <v>10763</v>
      </c>
      <c r="J4000" s="3" t="str">
        <f>HYPERLINK("https://www.boe.es/gazeta/dias/1810/08/30/pdfs/GMD-1810-242.pdf#page=4","Abrir facsímil")</f>
        <v>Abrir facsímil</v>
      </c>
      <c r="K4000" s="3" t="s">
        <v>76</v>
      </c>
    </row>
    <row r="4001" spans="1:11" ht="42" customHeight="1">
      <c r="A4001" s="2" t="s">
        <v>10764</v>
      </c>
      <c r="B4001" s="2" t="s">
        <v>10765</v>
      </c>
      <c r="C4001" s="2" t="s">
        <v>88</v>
      </c>
      <c r="D4001" s="2" t="s">
        <v>117</v>
      </c>
      <c r="E4001" s="4">
        <v>-32725</v>
      </c>
      <c r="F4001" s="3" t="s">
        <v>417</v>
      </c>
      <c r="G4001" s="3" t="s">
        <v>140</v>
      </c>
      <c r="H4001" s="2" t="s">
        <v>74</v>
      </c>
      <c r="I4001" s="2" t="s">
        <v>10766</v>
      </c>
      <c r="J4001" s="3" t="str">
        <f>HYPERLINK("https://www.boe.es/gazeta/dias/1810/05/26/pdfs/GMD-1810-146.pdf#page=4","Abrir facsímil")</f>
        <v>Abrir facsímil</v>
      </c>
      <c r="K4001" s="3" t="s">
        <v>76</v>
      </c>
    </row>
    <row r="4002" spans="1:11" ht="42" customHeight="1">
      <c r="A4002" s="2" t="s">
        <v>10767</v>
      </c>
      <c r="B4002" s="2" t="s">
        <v>10768</v>
      </c>
      <c r="C4002" s="2" t="s">
        <v>88</v>
      </c>
      <c r="D4002" s="2" t="s">
        <v>27</v>
      </c>
      <c r="E4002" s="4">
        <v>-32659</v>
      </c>
      <c r="F4002" s="3" t="s">
        <v>1684</v>
      </c>
      <c r="G4002" s="3" t="s">
        <v>29</v>
      </c>
      <c r="H4002" s="2" t="s">
        <v>74</v>
      </c>
      <c r="I4002" s="2" t="s">
        <v>10769</v>
      </c>
      <c r="J4002" s="3" t="str">
        <f>HYPERLINK("https://www.boe.es/gazeta/dias/1810/07/31/pdfs/GMD-1810-212.pdf#page=4","Abrir facsímil")</f>
        <v>Abrir facsímil</v>
      </c>
      <c r="K4002" s="3" t="s">
        <v>76</v>
      </c>
    </row>
    <row r="4003" spans="1:11" ht="42" customHeight="1">
      <c r="A4003" s="2" t="s">
        <v>10767</v>
      </c>
      <c r="B4003" s="2" t="s">
        <v>10768</v>
      </c>
      <c r="C4003" s="2" t="s">
        <v>17</v>
      </c>
      <c r="D4003" s="2" t="s">
        <v>27</v>
      </c>
      <c r="E4003" s="4">
        <v>-32607</v>
      </c>
      <c r="F4003" s="3" t="s">
        <v>6044</v>
      </c>
      <c r="G4003" s="3" t="s">
        <v>20</v>
      </c>
      <c r="H4003" s="2" t="s">
        <v>74</v>
      </c>
      <c r="I4003" s="2" t="s">
        <v>10770</v>
      </c>
      <c r="J4003" s="3" t="str">
        <f>HYPERLINK("https://www.boe.es/gazeta/dias/1810/09/21/pdfs/GMD-1810-264.pdf#page=4","Abrir facsímil")</f>
        <v>Abrir facsímil</v>
      </c>
      <c r="K4003" s="3" t="s">
        <v>76</v>
      </c>
    </row>
    <row r="4004" spans="1:11" ht="42" customHeight="1">
      <c r="A4004" s="2" t="s">
        <v>10767</v>
      </c>
      <c r="B4004" s="2" t="s">
        <v>10768</v>
      </c>
      <c r="C4004" s="2" t="s">
        <v>26</v>
      </c>
      <c r="D4004" s="2" t="s">
        <v>27</v>
      </c>
      <c r="E4004" s="4">
        <v>-32599</v>
      </c>
      <c r="F4004" s="3" t="s">
        <v>1586</v>
      </c>
      <c r="G4004" s="3" t="s">
        <v>140</v>
      </c>
      <c r="H4004" s="2" t="s">
        <v>74</v>
      </c>
      <c r="I4004" s="2" t="s">
        <v>10771</v>
      </c>
      <c r="J4004" s="3" t="str">
        <f>HYPERLINK("https://www.boe.es/gazeta/dias/1810/09/29/pdfs/GMD-1810-272.pdf#page=4","Abrir facsímil")</f>
        <v>Abrir facsímil</v>
      </c>
      <c r="K4004" s="3" t="s">
        <v>76</v>
      </c>
    </row>
    <row r="4005" spans="1:11" ht="42" customHeight="1">
      <c r="A4005" s="2" t="s">
        <v>10767</v>
      </c>
      <c r="B4005" s="2" t="s">
        <v>10768</v>
      </c>
      <c r="C4005" s="2" t="s">
        <v>26</v>
      </c>
      <c r="D4005" s="2" t="s">
        <v>27</v>
      </c>
      <c r="E4005" s="4">
        <v>-32587</v>
      </c>
      <c r="F4005" s="3" t="s">
        <v>1504</v>
      </c>
      <c r="G4005" s="3" t="s">
        <v>140</v>
      </c>
      <c r="H4005" s="2" t="s">
        <v>74</v>
      </c>
      <c r="I4005" s="2" t="s">
        <v>10772</v>
      </c>
      <c r="J4005" s="3" t="str">
        <f>HYPERLINK("https://www.boe.es/gazeta/dias/1810/10/11/pdfs/GMD-1810-284.pdf#page=4","Abrir facsímil")</f>
        <v>Abrir facsímil</v>
      </c>
      <c r="K4005" s="3" t="s">
        <v>76</v>
      </c>
    </row>
    <row r="4006" spans="1:11" ht="42" customHeight="1">
      <c r="A4006" s="2" t="s">
        <v>10767</v>
      </c>
      <c r="B4006" s="2" t="s">
        <v>10768</v>
      </c>
      <c r="C4006" s="2" t="s">
        <v>88</v>
      </c>
      <c r="D4006" s="2" t="s">
        <v>117</v>
      </c>
      <c r="E4006" s="4">
        <v>-32579</v>
      </c>
      <c r="F4006" s="3" t="s">
        <v>6949</v>
      </c>
      <c r="G4006" s="3" t="s">
        <v>20</v>
      </c>
      <c r="H4006" s="2" t="s">
        <v>74</v>
      </c>
      <c r="I4006" s="2" t="s">
        <v>10773</v>
      </c>
      <c r="J4006" s="3" t="str">
        <f>HYPERLINK("https://www.boe.es/gazeta/dias/1810/10/19/pdfs/GMD-1810-292.pdf#page=4","Abrir facsímil")</f>
        <v>Abrir facsímil</v>
      </c>
      <c r="K4006" s="3" t="s">
        <v>76</v>
      </c>
    </row>
    <row r="4007" spans="1:11" ht="42" customHeight="1">
      <c r="A4007" s="2" t="s">
        <v>10767</v>
      </c>
      <c r="B4007" s="2" t="s">
        <v>10768</v>
      </c>
      <c r="C4007" s="2" t="s">
        <v>317</v>
      </c>
      <c r="D4007" s="2" t="s">
        <v>27</v>
      </c>
      <c r="E4007" s="4">
        <v>-32533</v>
      </c>
      <c r="F4007" s="3" t="s">
        <v>4294</v>
      </c>
      <c r="G4007" s="3" t="s">
        <v>140</v>
      </c>
      <c r="H4007" s="2" t="s">
        <v>74</v>
      </c>
      <c r="I4007" s="2" t="s">
        <v>10774</v>
      </c>
      <c r="J4007" s="3" t="str">
        <f>HYPERLINK("https://www.boe.es/gazeta/dias/1810/12/04/pdfs/GMD-1810-338.pdf#page=4","Abrir facsímil")</f>
        <v>Abrir facsímil</v>
      </c>
      <c r="K4007" s="3" t="s">
        <v>76</v>
      </c>
    </row>
    <row r="4008" spans="1:11" ht="42" customHeight="1">
      <c r="A4008" s="2" t="s">
        <v>10767</v>
      </c>
      <c r="B4008" s="2" t="s">
        <v>10768</v>
      </c>
      <c r="C4008" s="2" t="s">
        <v>111</v>
      </c>
      <c r="D4008" s="2" t="s">
        <v>27</v>
      </c>
      <c r="E4008" s="4">
        <v>-32523</v>
      </c>
      <c r="F4008" s="3" t="s">
        <v>1484</v>
      </c>
      <c r="G4008" s="3" t="s">
        <v>29</v>
      </c>
      <c r="H4008" s="2" t="s">
        <v>74</v>
      </c>
      <c r="I4008" s="2" t="s">
        <v>10775</v>
      </c>
      <c r="J4008" s="3" t="str">
        <f>HYPERLINK("https://www.boe.es/gazeta/dias/1810/12/14/pdfs/GMD-1810-348.pdf#page=4","Abrir facsímil")</f>
        <v>Abrir facsímil</v>
      </c>
      <c r="K4008" s="3" t="s">
        <v>76</v>
      </c>
    </row>
    <row r="4009" spans="1:11" ht="42" customHeight="1">
      <c r="A4009" s="2" t="s">
        <v>10767</v>
      </c>
      <c r="B4009" s="2" t="s">
        <v>10768</v>
      </c>
      <c r="C4009" s="2" t="s">
        <v>17</v>
      </c>
      <c r="D4009" s="2" t="s">
        <v>27</v>
      </c>
      <c r="E4009" s="4">
        <v>-32514</v>
      </c>
      <c r="F4009" s="3" t="s">
        <v>3658</v>
      </c>
      <c r="G4009" s="3" t="s">
        <v>1222</v>
      </c>
      <c r="H4009" s="2" t="s">
        <v>74</v>
      </c>
      <c r="I4009" s="2" t="s">
        <v>10776</v>
      </c>
      <c r="J4009" s="3" t="str">
        <f>HYPERLINK("https://www.boe.es/gazeta/dias/1810/12/23/pdfs/GMD-1810-357.pdf#page=4","Abrir facsímil")</f>
        <v>Abrir facsímil</v>
      </c>
      <c r="K4009" s="3" t="s">
        <v>76</v>
      </c>
    </row>
    <row r="4010" spans="1:11" ht="42" customHeight="1">
      <c r="A4010" s="2" t="s">
        <v>10777</v>
      </c>
      <c r="B4010" s="2" t="s">
        <v>10778</v>
      </c>
      <c r="C4010" s="2" t="s">
        <v>88</v>
      </c>
      <c r="D4010" s="2" t="s">
        <v>117</v>
      </c>
      <c r="E4010" s="4">
        <v>-32803</v>
      </c>
      <c r="F4010" s="3" t="s">
        <v>4052</v>
      </c>
      <c r="G4010" s="3" t="s">
        <v>213</v>
      </c>
      <c r="H4010" s="2" t="s">
        <v>74</v>
      </c>
      <c r="I4010" s="2" t="s">
        <v>10779</v>
      </c>
      <c r="J4010" s="3" t="str">
        <f>HYPERLINK("https://www.boe.es/gazeta/dias/1810/03/09/pdfs/GMD-1810-68.pdf#page=2","Abrir facsímil")</f>
        <v>Abrir facsímil</v>
      </c>
      <c r="K4010" s="3" t="s">
        <v>76</v>
      </c>
    </row>
    <row r="4011" spans="1:11" ht="42" customHeight="1">
      <c r="A4011" s="2" t="s">
        <v>10780</v>
      </c>
      <c r="B4011" s="2" t="s">
        <v>10780</v>
      </c>
      <c r="C4011" s="2" t="s">
        <v>26</v>
      </c>
      <c r="D4011" s="2" t="s">
        <v>27</v>
      </c>
      <c r="E4011" s="4">
        <v>-32750</v>
      </c>
      <c r="F4011" s="3" t="s">
        <v>6507</v>
      </c>
      <c r="G4011" s="3" t="s">
        <v>140</v>
      </c>
      <c r="H4011" s="2" t="s">
        <v>74</v>
      </c>
      <c r="I4011" s="2" t="s">
        <v>10781</v>
      </c>
      <c r="J4011" s="3" t="str">
        <f>HYPERLINK("https://www.boe.es/gazeta/dias/1810/05/01/pdfs/GMD-1810-121.pdf#page=2","Abrir facsímil")</f>
        <v>Abrir facsímil</v>
      </c>
      <c r="K4011" s="3" t="s">
        <v>76</v>
      </c>
    </row>
    <row r="4012" spans="1:11" ht="42" customHeight="1">
      <c r="A4012" s="2" t="s">
        <v>10782</v>
      </c>
      <c r="B4012" s="2" t="s">
        <v>10783</v>
      </c>
      <c r="C4012" s="2" t="s">
        <v>88</v>
      </c>
      <c r="D4012" s="2" t="s">
        <v>117</v>
      </c>
      <c r="E4012" s="4">
        <v>-32647</v>
      </c>
      <c r="F4012" s="3" t="s">
        <v>118</v>
      </c>
      <c r="G4012" s="3" t="s">
        <v>119</v>
      </c>
      <c r="H4012" s="2" t="s">
        <v>74</v>
      </c>
      <c r="I4012" s="2" t="s">
        <v>10784</v>
      </c>
      <c r="J4012" s="3" t="str">
        <f>HYPERLINK("https://www.boe.es/gazeta/dias/1810/08/12/pdfs/GMD-1810-224.pdf#page=3","Abrir facsímil")</f>
        <v>Abrir facsímil</v>
      </c>
      <c r="K4012" s="3" t="s">
        <v>76</v>
      </c>
    </row>
    <row r="4013" spans="1:11" ht="42" customHeight="1">
      <c r="A4013" s="2" t="s">
        <v>10785</v>
      </c>
      <c r="B4013" s="2" t="s">
        <v>10785</v>
      </c>
      <c r="C4013" s="2" t="s">
        <v>88</v>
      </c>
      <c r="D4013" s="2" t="s">
        <v>117</v>
      </c>
      <c r="E4013" s="4">
        <v>-32797</v>
      </c>
      <c r="F4013" s="3" t="s">
        <v>3666</v>
      </c>
      <c r="G4013" s="3" t="s">
        <v>90</v>
      </c>
      <c r="H4013" s="2" t="s">
        <v>74</v>
      </c>
      <c r="I4013" s="2" t="s">
        <v>10786</v>
      </c>
      <c r="J4013" s="3" t="str">
        <f>HYPERLINK("https://www.boe.es/gazeta/dias/1810/03/15/pdfs/GMD-1810-74.pdf#page=2","Abrir facsímil")</f>
        <v>Abrir facsímil</v>
      </c>
      <c r="K4013" s="3" t="s">
        <v>76</v>
      </c>
    </row>
    <row r="4014" spans="1:11" ht="42" customHeight="1">
      <c r="A4014" s="2" t="s">
        <v>10787</v>
      </c>
      <c r="B4014" s="2" t="s">
        <v>10788</v>
      </c>
      <c r="C4014" s="2" t="s">
        <v>26</v>
      </c>
      <c r="D4014" s="2" t="s">
        <v>39</v>
      </c>
      <c r="E4014" s="4">
        <v>-32701</v>
      </c>
      <c r="F4014" s="3" t="s">
        <v>40</v>
      </c>
      <c r="G4014" s="3" t="s">
        <v>315</v>
      </c>
      <c r="H4014" s="2" t="s">
        <v>74</v>
      </c>
      <c r="I4014" s="2" t="s">
        <v>10789</v>
      </c>
      <c r="J4014" s="3" t="str">
        <f>HYPERLINK("https://www.boe.es/gazeta/dias/1810/06/19/pdfs/GMD-C-1810-170.pdf#page=2","Abrir facsímil")</f>
        <v>Abrir facsímil</v>
      </c>
      <c r="K4014" s="3" t="s">
        <v>76</v>
      </c>
    </row>
    <row r="4015" spans="1:11" ht="42" customHeight="1">
      <c r="A4015" s="2" t="s">
        <v>10790</v>
      </c>
      <c r="B4015" s="2" t="s">
        <v>10791</v>
      </c>
      <c r="C4015" s="2" t="s">
        <v>26</v>
      </c>
      <c r="D4015" s="2" t="s">
        <v>27</v>
      </c>
      <c r="E4015" s="4">
        <v>-32547</v>
      </c>
      <c r="F4015" s="3" t="s">
        <v>407</v>
      </c>
      <c r="G4015" s="3" t="s">
        <v>408</v>
      </c>
      <c r="H4015" s="2" t="s">
        <v>74</v>
      </c>
      <c r="I4015" s="2" t="s">
        <v>10792</v>
      </c>
      <c r="J4015" s="3" t="str">
        <f>HYPERLINK("https://www.boe.es/gazeta/dias/1810/11/20/pdfs/GEI-1810-97.pdf#page=8","Abrir facsímil")</f>
        <v>Abrir facsímil</v>
      </c>
      <c r="K4015" s="3" t="s">
        <v>76</v>
      </c>
    </row>
    <row r="4016" spans="1:11" ht="42" customHeight="1">
      <c r="A4016" s="2" t="s">
        <v>10793</v>
      </c>
      <c r="B4016" s="2" t="s">
        <v>10793</v>
      </c>
      <c r="C4016" s="2" t="s">
        <v>88</v>
      </c>
      <c r="D4016" s="2" t="s">
        <v>27</v>
      </c>
      <c r="E4016" s="4">
        <v>-32796</v>
      </c>
      <c r="F4016" s="3" t="s">
        <v>246</v>
      </c>
      <c r="G4016" s="3" t="s">
        <v>592</v>
      </c>
      <c r="H4016" s="2" t="s">
        <v>74</v>
      </c>
      <c r="I4016" s="2" t="s">
        <v>10794</v>
      </c>
      <c r="J4016" s="3" t="str">
        <f>HYPERLINK("https://www.boe.es/gazeta/dias/1810/03/16/pdfs/GEI-1810-2.pdf#page=1","Abrir facsímil")</f>
        <v>Abrir facsímil</v>
      </c>
      <c r="K4016" s="3" t="s">
        <v>76</v>
      </c>
    </row>
    <row r="4017" spans="1:11" ht="42" customHeight="1">
      <c r="A4017" s="2" t="s">
        <v>10793</v>
      </c>
      <c r="B4017" s="2" t="s">
        <v>10793</v>
      </c>
      <c r="C4017" s="2" t="s">
        <v>317</v>
      </c>
      <c r="D4017" s="2" t="s">
        <v>27</v>
      </c>
      <c r="E4017" s="4">
        <v>-32596</v>
      </c>
      <c r="F4017" s="3" t="s">
        <v>248</v>
      </c>
      <c r="G4017" s="3" t="s">
        <v>35</v>
      </c>
      <c r="H4017" s="2" t="s">
        <v>74</v>
      </c>
      <c r="I4017" s="2" t="s">
        <v>10795</v>
      </c>
      <c r="J4017" s="3" t="str">
        <f>HYPERLINK("https://www.boe.es/gazeta/dias/1810/10/02/pdfs/GEI-1810-76.pdf#page=2","Abrir facsímil")</f>
        <v>Abrir facsímil</v>
      </c>
      <c r="K4017" s="3" t="s">
        <v>76</v>
      </c>
    </row>
    <row r="4018" spans="1:11" ht="42" customHeight="1">
      <c r="A4018" s="2" t="s">
        <v>10796</v>
      </c>
      <c r="B4018" s="2" t="s">
        <v>10796</v>
      </c>
      <c r="C4018" s="2" t="s">
        <v>33</v>
      </c>
      <c r="D4018" s="2" t="s">
        <v>27</v>
      </c>
      <c r="E4018" s="4">
        <v>-32782</v>
      </c>
      <c r="F4018" s="3" t="s">
        <v>79</v>
      </c>
      <c r="G4018" s="3" t="s">
        <v>465</v>
      </c>
      <c r="H4018" s="2" t="s">
        <v>74</v>
      </c>
      <c r="I4018" s="2" t="s">
        <v>10797</v>
      </c>
      <c r="J4018" s="3" t="str">
        <f>HYPERLINK("https://www.boe.es/gazeta/dias/1810/03/30/pdfs/GEI-1810-9.pdf#page=5","Abrir facsímil")</f>
        <v>Abrir facsímil</v>
      </c>
      <c r="K4018" s="3" t="s">
        <v>76</v>
      </c>
    </row>
    <row r="4019" spans="1:11" ht="42" customHeight="1">
      <c r="A4019" s="2" t="s">
        <v>10796</v>
      </c>
      <c r="B4019" s="2" t="s">
        <v>10796</v>
      </c>
      <c r="C4019" s="2" t="s">
        <v>33</v>
      </c>
      <c r="D4019" s="2" t="s">
        <v>220</v>
      </c>
      <c r="E4019" s="4">
        <v>-32652</v>
      </c>
      <c r="F4019" s="3" t="s">
        <v>3295</v>
      </c>
      <c r="G4019" s="3" t="s">
        <v>60</v>
      </c>
      <c r="H4019" s="2" t="s">
        <v>74</v>
      </c>
      <c r="I4019" s="2" t="s">
        <v>10798</v>
      </c>
      <c r="J4019" s="3" t="str">
        <f>HYPERLINK("https://www.boe.es/gazeta/dias/1810/08/07/pdfs/GEI-1810-52.pdf#page=2","Abrir facsímil")</f>
        <v>Abrir facsímil</v>
      </c>
      <c r="K4019" s="3" t="s">
        <v>76</v>
      </c>
    </row>
    <row r="4020" spans="1:11" ht="42" customHeight="1">
      <c r="A4020" s="2" t="s">
        <v>10799</v>
      </c>
      <c r="B4020" s="2" t="s">
        <v>10800</v>
      </c>
      <c r="C4020" s="2" t="s">
        <v>88</v>
      </c>
      <c r="D4020" s="2" t="s">
        <v>58</v>
      </c>
      <c r="E4020" s="4">
        <v>-32651</v>
      </c>
      <c r="F4020" s="3" t="s">
        <v>59</v>
      </c>
      <c r="G4020" s="3" t="s">
        <v>60</v>
      </c>
      <c r="H4020" s="2" t="s">
        <v>74</v>
      </c>
      <c r="I4020" s="2" t="s">
        <v>10801</v>
      </c>
      <c r="J4020" s="3" t="str">
        <f>HYPERLINK("https://www.boe.es/gazeta/dias/1810/08/08/pdfs/GEI-1810-53E.pdf#page=3","Abrir facsímil")</f>
        <v>Abrir facsímil</v>
      </c>
      <c r="K4020" s="3" t="s">
        <v>76</v>
      </c>
    </row>
    <row r="4021" spans="1:11" ht="42" customHeight="1">
      <c r="A4021" s="2" t="s">
        <v>10802</v>
      </c>
      <c r="B4021" s="2" t="s">
        <v>10803</v>
      </c>
      <c r="C4021" s="2" t="s">
        <v>33</v>
      </c>
      <c r="D4021" s="2" t="s">
        <v>27</v>
      </c>
      <c r="E4021" s="4">
        <v>-32820</v>
      </c>
      <c r="F4021" s="3" t="s">
        <v>226</v>
      </c>
      <c r="G4021" s="3" t="s">
        <v>356</v>
      </c>
      <c r="H4021" s="2" t="s">
        <v>74</v>
      </c>
      <c r="I4021" s="2" t="s">
        <v>10804</v>
      </c>
      <c r="J4021" s="3" t="str">
        <f>HYPERLINK("https://www.boe.es/gazeta/dias/1810/02/20/pdfs/GMD-1810-51.pdf#page=3","Abrir facsímil")</f>
        <v>Abrir facsímil</v>
      </c>
      <c r="K4021" s="3" t="s">
        <v>76</v>
      </c>
    </row>
    <row r="4022" spans="1:11" ht="42" customHeight="1">
      <c r="A4022" s="2" t="s">
        <v>10805</v>
      </c>
      <c r="B4022" s="2" t="s">
        <v>10806</v>
      </c>
      <c r="C4022" s="2" t="s">
        <v>26</v>
      </c>
      <c r="D4022" s="2" t="s">
        <v>27</v>
      </c>
      <c r="E4022" s="4">
        <v>-32544</v>
      </c>
      <c r="F4022" s="3" t="s">
        <v>1239</v>
      </c>
      <c r="G4022" s="3" t="s">
        <v>99</v>
      </c>
      <c r="H4022" s="2" t="s">
        <v>74</v>
      </c>
      <c r="I4022" s="2" t="s">
        <v>10807</v>
      </c>
      <c r="J4022" s="3" t="str">
        <f>HYPERLINK("https://www.boe.es/gazeta/dias/1810/11/23/pdfs/GMD-1810-327.pdf#page=3","Abrir facsímil")</f>
        <v>Abrir facsímil</v>
      </c>
      <c r="K4022" s="3" t="s">
        <v>76</v>
      </c>
    </row>
    <row r="4023" spans="1:11" ht="42" customHeight="1">
      <c r="A4023" s="2" t="s">
        <v>10808</v>
      </c>
      <c r="B4023" s="2" t="s">
        <v>10809</v>
      </c>
      <c r="C4023" s="2" t="s">
        <v>33</v>
      </c>
      <c r="D4023" s="2" t="s">
        <v>27</v>
      </c>
      <c r="E4023" s="4">
        <v>-32543</v>
      </c>
      <c r="F4023" s="3" t="s">
        <v>69</v>
      </c>
      <c r="G4023" s="3" t="s">
        <v>84</v>
      </c>
      <c r="H4023" s="2" t="s">
        <v>74</v>
      </c>
      <c r="I4023" s="2" t="s">
        <v>10810</v>
      </c>
      <c r="J4023" s="3" t="str">
        <f>HYPERLINK("https://www.boe.es/gazeta/dias/1810/11/24/pdfs/GEI-1810-99.pdf#page=7","Abrir facsímil")</f>
        <v>Abrir facsímil</v>
      </c>
      <c r="K4023" s="3" t="s">
        <v>76</v>
      </c>
    </row>
    <row r="4024" spans="1:11" ht="42" customHeight="1">
      <c r="A4024" s="2" t="s">
        <v>10811</v>
      </c>
      <c r="B4024" s="2" t="s">
        <v>10812</v>
      </c>
      <c r="C4024" s="2" t="s">
        <v>26</v>
      </c>
      <c r="D4024" s="2" t="s">
        <v>27</v>
      </c>
      <c r="E4024" s="4">
        <v>-32595</v>
      </c>
      <c r="F4024" s="3" t="s">
        <v>700</v>
      </c>
      <c r="G4024" s="3" t="s">
        <v>701</v>
      </c>
      <c r="H4024" s="2" t="s">
        <v>74</v>
      </c>
      <c r="I4024" s="2" t="s">
        <v>10813</v>
      </c>
      <c r="J4024" s="3" t="str">
        <f>HYPERLINK("https://www.boe.es/gazeta/dias/1810/10/03/pdfs/GMD-1810-276.pdf#page=3","Abrir facsímil")</f>
        <v>Abrir facsímil</v>
      </c>
      <c r="K4024" s="3" t="s">
        <v>76</v>
      </c>
    </row>
    <row r="4025" spans="1:11" ht="42" customHeight="1">
      <c r="A4025" s="2" t="s">
        <v>10814</v>
      </c>
      <c r="B4025" s="2" t="s">
        <v>10815</v>
      </c>
      <c r="C4025" s="2" t="s">
        <v>26</v>
      </c>
      <c r="D4025" s="2" t="s">
        <v>27</v>
      </c>
      <c r="E4025" s="4">
        <v>-32710</v>
      </c>
      <c r="F4025" s="3" t="s">
        <v>126</v>
      </c>
      <c r="G4025" s="3" t="s">
        <v>184</v>
      </c>
      <c r="H4025" s="2" t="s">
        <v>74</v>
      </c>
      <c r="I4025" s="2" t="s">
        <v>10816</v>
      </c>
      <c r="J4025" s="3" t="str">
        <f>HYPERLINK("https://www.boe.es/gazeta/dias/1810/06/10/pdfs/GMD-1810-161.pdf#page=3","Abrir facsímil")</f>
        <v>Abrir facsímil</v>
      </c>
      <c r="K4025" s="3" t="s">
        <v>76</v>
      </c>
    </row>
    <row r="4026" spans="1:11" ht="42" customHeight="1">
      <c r="A4026" s="2" t="s">
        <v>10817</v>
      </c>
      <c r="B4026" s="2" t="s">
        <v>10818</v>
      </c>
      <c r="C4026" s="2" t="s">
        <v>88</v>
      </c>
      <c r="D4026" s="2" t="s">
        <v>27</v>
      </c>
      <c r="E4026" s="4">
        <v>-32775</v>
      </c>
      <c r="F4026" s="3" t="s">
        <v>308</v>
      </c>
      <c r="G4026" s="3" t="s">
        <v>140</v>
      </c>
      <c r="H4026" s="2" t="s">
        <v>74</v>
      </c>
      <c r="I4026" s="2" t="s">
        <v>10819</v>
      </c>
      <c r="J4026" s="3" t="str">
        <f>HYPERLINK("https://www.boe.es/gazeta/dias/1810/04/06/pdfs/GMD-1810-96.pdf#page=3","Abrir facsímil")</f>
        <v>Abrir facsímil</v>
      </c>
      <c r="K4026" s="3" t="s">
        <v>76</v>
      </c>
    </row>
    <row r="4027" spans="1:11" ht="42" customHeight="1">
      <c r="A4027" s="2" t="s">
        <v>10820</v>
      </c>
      <c r="B4027" s="2" t="s">
        <v>10821</v>
      </c>
      <c r="C4027" s="2" t="s">
        <v>26</v>
      </c>
      <c r="D4027" s="2" t="s">
        <v>18</v>
      </c>
      <c r="E4027" s="4">
        <v>-32669</v>
      </c>
      <c r="F4027" s="3" t="s">
        <v>1110</v>
      </c>
      <c r="G4027" s="3" t="s">
        <v>29</v>
      </c>
      <c r="H4027" s="2" t="s">
        <v>74</v>
      </c>
      <c r="I4027" s="2" t="s">
        <v>10822</v>
      </c>
      <c r="J4027" s="3" t="str">
        <f>HYPERLINK("https://www.boe.es/gazeta/dias/1810/07/21/pdfs/GMD-C-1810-202.pdf#page=4","Abrir facsímil")</f>
        <v>Abrir facsímil</v>
      </c>
      <c r="K4027" s="3" t="s">
        <v>76</v>
      </c>
    </row>
    <row r="4028" spans="1:11" ht="42" customHeight="1">
      <c r="A4028" s="2" t="s">
        <v>10820</v>
      </c>
      <c r="B4028" s="2" t="s">
        <v>10821</v>
      </c>
      <c r="C4028" s="2" t="s">
        <v>225</v>
      </c>
      <c r="D4028" s="2" t="s">
        <v>27</v>
      </c>
      <c r="E4028" s="4">
        <v>-32509</v>
      </c>
      <c r="F4028" s="3" t="s">
        <v>212</v>
      </c>
      <c r="G4028" s="3" t="s">
        <v>213</v>
      </c>
      <c r="H4028" s="2" t="s">
        <v>74</v>
      </c>
      <c r="I4028" s="2" t="s">
        <v>10823</v>
      </c>
      <c r="J4028" s="3" t="str">
        <f>HYPERLINK("https://www.boe.es/gazeta/dias/1810/12/28/pdfs/GMD-1810-362.pdf#page=4","Abrir facsímil")</f>
        <v>Abrir facsímil</v>
      </c>
      <c r="K4028" s="3" t="s">
        <v>76</v>
      </c>
    </row>
    <row r="4029" spans="1:11" ht="42" customHeight="1">
      <c r="A4029" s="2" t="s">
        <v>10824</v>
      </c>
      <c r="B4029" s="2" t="s">
        <v>10825</v>
      </c>
      <c r="C4029" s="2" t="s">
        <v>195</v>
      </c>
      <c r="D4029" s="2" t="s">
        <v>39</v>
      </c>
      <c r="E4029" s="4">
        <v>-32701</v>
      </c>
      <c r="F4029" s="3" t="s">
        <v>40</v>
      </c>
      <c r="G4029" s="3" t="s">
        <v>41</v>
      </c>
      <c r="H4029" s="2" t="s">
        <v>74</v>
      </c>
      <c r="I4029" s="2" t="s">
        <v>10826</v>
      </c>
      <c r="J4029" s="3" t="str">
        <f>HYPERLINK("https://www.boe.es/gazeta/dias/1810/06/19/pdfs/GMD-C-1810-170.pdf#page=3","Abrir facsímil")</f>
        <v>Abrir facsímil</v>
      </c>
      <c r="K4029" s="3" t="s">
        <v>76</v>
      </c>
    </row>
    <row r="4030" spans="1:11" ht="42" customHeight="1">
      <c r="A4030" s="2" t="s">
        <v>10827</v>
      </c>
      <c r="B4030" s="2" t="s">
        <v>10828</v>
      </c>
      <c r="C4030" s="2" t="s">
        <v>317</v>
      </c>
      <c r="D4030" s="2" t="s">
        <v>39</v>
      </c>
      <c r="E4030" s="4">
        <v>-32702</v>
      </c>
      <c r="F4030" s="3" t="s">
        <v>179</v>
      </c>
      <c r="G4030" s="3" t="s">
        <v>180</v>
      </c>
      <c r="H4030" s="2" t="s">
        <v>74</v>
      </c>
      <c r="I4030" s="2" t="s">
        <v>10829</v>
      </c>
      <c r="J4030" s="3" t="str">
        <f>HYPERLINK("https://www.boe.es/gazeta/dias/1810/06/18/pdfs/GMD-C-1810-169.pdf#page=2","Abrir facsímil")</f>
        <v>Abrir facsímil</v>
      </c>
      <c r="K4030" s="3" t="s">
        <v>76</v>
      </c>
    </row>
    <row r="4031" spans="1:11" ht="42" customHeight="1">
      <c r="A4031" s="2" t="s">
        <v>10830</v>
      </c>
      <c r="B4031" s="2" t="s">
        <v>10831</v>
      </c>
      <c r="C4031" s="2" t="s">
        <v>26</v>
      </c>
      <c r="D4031" s="2" t="s">
        <v>39</v>
      </c>
      <c r="E4031" s="4">
        <v>-32710</v>
      </c>
      <c r="F4031" s="3" t="s">
        <v>1735</v>
      </c>
      <c r="G4031" s="3" t="s">
        <v>1736</v>
      </c>
      <c r="H4031" s="2" t="s">
        <v>74</v>
      </c>
      <c r="I4031" s="2" t="s">
        <v>10832</v>
      </c>
      <c r="J4031" s="3" t="str">
        <f>HYPERLINK("https://www.boe.es/gazeta/dias/1810/06/10/pdfs/GMD-C-1810-161.pdf#page=2","Abrir facsímil")</f>
        <v>Abrir facsímil</v>
      </c>
      <c r="K4031" s="3" t="s">
        <v>76</v>
      </c>
    </row>
    <row r="4032" spans="1:11" ht="42" customHeight="1">
      <c r="A4032" s="2" t="s">
        <v>10833</v>
      </c>
      <c r="B4032" s="2" t="s">
        <v>10834</v>
      </c>
      <c r="C4032" s="2" t="s">
        <v>26</v>
      </c>
      <c r="D4032" s="2" t="s">
        <v>27</v>
      </c>
      <c r="E4032" s="4">
        <v>-32526</v>
      </c>
      <c r="F4032" s="3" t="s">
        <v>530</v>
      </c>
      <c r="G4032" s="3" t="s">
        <v>531</v>
      </c>
      <c r="H4032" s="2" t="s">
        <v>74</v>
      </c>
      <c r="I4032" s="2" t="s">
        <v>10835</v>
      </c>
      <c r="J4032" s="3" t="str">
        <f>HYPERLINK("https://www.boe.es/gazeta/dias/1810/12/11/pdfs/GEI-1810-106.pdf#page=2","Abrir facsímil")</f>
        <v>Abrir facsímil</v>
      </c>
      <c r="K4032" s="3" t="s">
        <v>76</v>
      </c>
    </row>
    <row r="4033" spans="1:11" ht="42" customHeight="1">
      <c r="A4033" s="2" t="s">
        <v>10836</v>
      </c>
      <c r="B4033" s="2" t="s">
        <v>10837</v>
      </c>
      <c r="C4033" s="2" t="s">
        <v>33</v>
      </c>
      <c r="D4033" s="2" t="s">
        <v>27</v>
      </c>
      <c r="E4033" s="4">
        <v>-32820</v>
      </c>
      <c r="F4033" s="3" t="s">
        <v>226</v>
      </c>
      <c r="G4033" s="3" t="s">
        <v>356</v>
      </c>
      <c r="H4033" s="2" t="s">
        <v>74</v>
      </c>
      <c r="I4033" s="2" t="s">
        <v>10838</v>
      </c>
      <c r="J4033" s="3" t="str">
        <f>HYPERLINK("https://www.boe.es/gazeta/dias/1810/02/20/pdfs/GMD-1810-51.pdf#page=3","Abrir facsímil")</f>
        <v>Abrir facsímil</v>
      </c>
      <c r="K4033" s="3" t="s">
        <v>76</v>
      </c>
    </row>
    <row r="4034" spans="1:11" ht="42" customHeight="1">
      <c r="A4034" s="2" t="s">
        <v>10839</v>
      </c>
      <c r="B4034" s="2" t="s">
        <v>10840</v>
      </c>
      <c r="C4034" s="2" t="s">
        <v>26</v>
      </c>
      <c r="D4034" s="2" t="s">
        <v>39</v>
      </c>
      <c r="E4034" s="4">
        <v>-32701</v>
      </c>
      <c r="F4034" s="3" t="s">
        <v>40</v>
      </c>
      <c r="G4034" s="3" t="s">
        <v>315</v>
      </c>
      <c r="H4034" s="2" t="s">
        <v>74</v>
      </c>
      <c r="I4034" s="2" t="s">
        <v>10841</v>
      </c>
      <c r="J4034" s="3" t="str">
        <f>HYPERLINK("https://www.boe.es/gazeta/dias/1810/06/19/pdfs/GMD-C-1810-170.pdf#page=2","Abrir facsímil")</f>
        <v>Abrir facsímil</v>
      </c>
      <c r="K4034" s="3" t="s">
        <v>76</v>
      </c>
    </row>
    <row r="4035" spans="1:11" ht="42" customHeight="1">
      <c r="A4035" s="2" t="s">
        <v>10839</v>
      </c>
      <c r="B4035" s="2" t="s">
        <v>10840</v>
      </c>
      <c r="C4035" s="2" t="s">
        <v>26</v>
      </c>
      <c r="D4035" s="2" t="s">
        <v>27</v>
      </c>
      <c r="E4035" s="4">
        <v>-32689</v>
      </c>
      <c r="F4035" s="3" t="s">
        <v>571</v>
      </c>
      <c r="G4035" s="3" t="s">
        <v>140</v>
      </c>
      <c r="H4035" s="2" t="s">
        <v>74</v>
      </c>
      <c r="I4035" s="2" t="s">
        <v>10842</v>
      </c>
      <c r="J4035" s="3" t="str">
        <f>HYPERLINK("https://www.boe.es/gazeta/dias/1810/07/01/pdfs/GMD-1810-182.pdf#page=4","Abrir facsímil")</f>
        <v>Abrir facsímil</v>
      </c>
      <c r="K4035" s="3" t="s">
        <v>76</v>
      </c>
    </row>
    <row r="4036" spans="1:11" ht="42" customHeight="1">
      <c r="A4036" s="2" t="s">
        <v>10843</v>
      </c>
      <c r="B4036" s="2" t="s">
        <v>10844</v>
      </c>
      <c r="C4036" s="2" t="s">
        <v>88</v>
      </c>
      <c r="D4036" s="2" t="s">
        <v>27</v>
      </c>
      <c r="E4036" s="4">
        <v>-32782</v>
      </c>
      <c r="F4036" s="3" t="s">
        <v>79</v>
      </c>
      <c r="G4036" s="3" t="s">
        <v>80</v>
      </c>
      <c r="H4036" s="2" t="s">
        <v>74</v>
      </c>
      <c r="I4036" s="2" t="s">
        <v>10845</v>
      </c>
      <c r="J4036" s="3" t="str">
        <f>HYPERLINK("https://www.boe.es/gazeta/dias/1810/03/30/pdfs/GEI-1810-9.pdf#page=7","Abrir facsímil")</f>
        <v>Abrir facsímil</v>
      </c>
      <c r="K4036" s="3" t="s">
        <v>76</v>
      </c>
    </row>
    <row r="4037" spans="1:11" ht="42" customHeight="1">
      <c r="A4037" s="2" t="s">
        <v>10846</v>
      </c>
      <c r="B4037" s="2" t="s">
        <v>10846</v>
      </c>
      <c r="C4037" s="2" t="s">
        <v>26</v>
      </c>
      <c r="D4037" s="2" t="s">
        <v>27</v>
      </c>
      <c r="E4037" s="4">
        <v>-32858</v>
      </c>
      <c r="F4037" s="3" t="s">
        <v>3069</v>
      </c>
      <c r="G4037" s="3" t="s">
        <v>592</v>
      </c>
      <c r="H4037" s="2" t="s">
        <v>74</v>
      </c>
      <c r="I4037" s="2" t="s">
        <v>10847</v>
      </c>
      <c r="J4037" s="3" t="str">
        <f>HYPERLINK("https://www.boe.es/gazeta/dias/1810/01/13/pdfs/GMD-1810-13.pdf#page=1","Abrir facsímil")</f>
        <v>Abrir facsímil</v>
      </c>
      <c r="K4037" s="3" t="s">
        <v>76</v>
      </c>
    </row>
    <row r="4038" spans="1:11" ht="42" customHeight="1">
      <c r="A4038" s="2" t="s">
        <v>10848</v>
      </c>
      <c r="B4038" s="2" t="s">
        <v>10849</v>
      </c>
      <c r="C4038" s="2" t="s">
        <v>88</v>
      </c>
      <c r="D4038" s="2" t="s">
        <v>117</v>
      </c>
      <c r="E4038" s="4">
        <v>-32851</v>
      </c>
      <c r="F4038" s="3" t="s">
        <v>4243</v>
      </c>
      <c r="G4038" s="3" t="s">
        <v>20</v>
      </c>
      <c r="H4038" s="2" t="s">
        <v>74</v>
      </c>
      <c r="I4038" s="2" t="s">
        <v>10850</v>
      </c>
      <c r="J4038" s="3" t="str">
        <f>HYPERLINK("https://www.boe.es/gazeta/dias/1810/01/20/pdfs/GMD-1810-20.pdf#page=4","Abrir facsímil")</f>
        <v>Abrir facsímil</v>
      </c>
      <c r="K4038" s="3" t="s">
        <v>76</v>
      </c>
    </row>
    <row r="4039" spans="1:11" ht="42" customHeight="1">
      <c r="A4039" s="2" t="s">
        <v>10851</v>
      </c>
      <c r="B4039" s="2" t="s">
        <v>10852</v>
      </c>
      <c r="C4039" s="2" t="s">
        <v>17</v>
      </c>
      <c r="D4039" s="2" t="s">
        <v>18</v>
      </c>
      <c r="E4039" s="4">
        <v>-32562</v>
      </c>
      <c r="F4039" s="3" t="s">
        <v>1186</v>
      </c>
      <c r="G4039" s="3" t="s">
        <v>29</v>
      </c>
      <c r="H4039" s="2" t="s">
        <v>21</v>
      </c>
      <c r="I4039" s="2" t="s">
        <v>10853</v>
      </c>
      <c r="J4039" s="3" t="str">
        <f>HYPERLINK("https://www.boe.es/gazeta/dias/1810/11/05/pdfs/GMD-1810-309.pdf#page=2","Abrir facsímil")</f>
        <v>Abrir facsímil</v>
      </c>
      <c r="K4039" s="3" t="s">
        <v>23</v>
      </c>
    </row>
    <row r="4040" spans="1:11" ht="42" customHeight="1">
      <c r="A4040" s="2" t="s">
        <v>10854</v>
      </c>
      <c r="B4040" s="2" t="s">
        <v>10855</v>
      </c>
      <c r="C4040" s="2" t="s">
        <v>33</v>
      </c>
      <c r="D4040" s="2" t="s">
        <v>27</v>
      </c>
      <c r="E4040" s="4">
        <v>-32515</v>
      </c>
      <c r="F4040" s="3" t="s">
        <v>351</v>
      </c>
      <c r="G4040" s="3" t="s">
        <v>352</v>
      </c>
      <c r="H4040" s="2" t="s">
        <v>21</v>
      </c>
      <c r="I4040" s="2" t="s">
        <v>10856</v>
      </c>
      <c r="J4040" s="3" t="str">
        <f>HYPERLINK("https://www.boe.es/gazeta/dias/1810/12/22/pdfs/GEI-1810-111.pdf#page=8","Abrir facsímil")</f>
        <v>Abrir facsímil</v>
      </c>
      <c r="K4040" s="3" t="s">
        <v>23</v>
      </c>
    </row>
    <row r="4041" spans="1:11" ht="42" customHeight="1">
      <c r="A4041" s="2" t="s">
        <v>10857</v>
      </c>
      <c r="B4041" s="2" t="s">
        <v>10858</v>
      </c>
      <c r="C4041" s="2" t="s">
        <v>88</v>
      </c>
      <c r="D4041" s="2" t="s">
        <v>27</v>
      </c>
      <c r="E4041" s="4">
        <v>-32568</v>
      </c>
      <c r="F4041" s="3" t="s">
        <v>1233</v>
      </c>
      <c r="G4041" s="3" t="s">
        <v>29</v>
      </c>
      <c r="H4041" s="2" t="s">
        <v>74</v>
      </c>
      <c r="I4041" s="2" t="s">
        <v>10859</v>
      </c>
      <c r="J4041" s="3" t="str">
        <f>HYPERLINK("https://www.boe.es/gazeta/dias/1810/10/30/pdfs/GMD-1810-303.pdf#page=2","Abrir facsímil")</f>
        <v>Abrir facsímil</v>
      </c>
      <c r="K4041" s="3" t="s">
        <v>76</v>
      </c>
    </row>
    <row r="4042" spans="1:11" ht="42" customHeight="1">
      <c r="A4042" s="2" t="s">
        <v>10860</v>
      </c>
      <c r="B4042" s="2" t="s">
        <v>10861</v>
      </c>
      <c r="C4042" s="2" t="s">
        <v>317</v>
      </c>
      <c r="D4042" s="2" t="s">
        <v>27</v>
      </c>
      <c r="E4042" s="4">
        <v>-32529</v>
      </c>
      <c r="F4042" s="3" t="s">
        <v>112</v>
      </c>
      <c r="G4042" s="3" t="s">
        <v>2169</v>
      </c>
      <c r="H4042" s="2" t="s">
        <v>74</v>
      </c>
      <c r="I4042" s="2" t="s">
        <v>10862</v>
      </c>
      <c r="J4042" s="3" t="str">
        <f>HYPERLINK("https://www.boe.es/gazeta/dias/1810/12/08/pdfs/GEI-1810-105.pdf#page=5","Abrir facsímil")</f>
        <v>Abrir facsímil</v>
      </c>
      <c r="K4042" s="3" t="s">
        <v>76</v>
      </c>
    </row>
    <row r="4043" spans="1:11" ht="42" customHeight="1">
      <c r="A4043" s="2" t="s">
        <v>10863</v>
      </c>
      <c r="B4043" s="2" t="s">
        <v>10863</v>
      </c>
      <c r="C4043" s="2" t="s">
        <v>88</v>
      </c>
      <c r="D4043" s="2" t="s">
        <v>117</v>
      </c>
      <c r="E4043" s="4">
        <v>-32842</v>
      </c>
      <c r="F4043" s="3" t="s">
        <v>1291</v>
      </c>
      <c r="G4043" s="3" t="s">
        <v>35</v>
      </c>
      <c r="H4043" s="2" t="s">
        <v>74</v>
      </c>
      <c r="I4043" s="2" t="s">
        <v>10864</v>
      </c>
      <c r="J4043" s="3" t="str">
        <f>HYPERLINK("https://www.boe.es/gazeta/dias/1810/01/29/pdfs/GMD-1810-29.pdf#page=2","Abrir facsímil")</f>
        <v>Abrir facsímil</v>
      </c>
      <c r="K4043" s="3" t="s">
        <v>76</v>
      </c>
    </row>
    <row r="4044" spans="1:11" ht="42" customHeight="1">
      <c r="A4044" s="2" t="s">
        <v>10865</v>
      </c>
      <c r="B4044" s="2" t="s">
        <v>10865</v>
      </c>
      <c r="C4044" s="2" t="s">
        <v>88</v>
      </c>
      <c r="D4044" s="2" t="s">
        <v>27</v>
      </c>
      <c r="E4044" s="4">
        <v>-32858</v>
      </c>
      <c r="F4044" s="3" t="s">
        <v>3069</v>
      </c>
      <c r="G4044" s="3" t="s">
        <v>35</v>
      </c>
      <c r="H4044" s="2" t="s">
        <v>74</v>
      </c>
      <c r="I4044" s="2" t="s">
        <v>10866</v>
      </c>
      <c r="J4044" s="3" t="str">
        <f>HYPERLINK("https://www.boe.es/gazeta/dias/1810/01/13/pdfs/GMD-1810-13.pdf#page=2","Abrir facsímil")</f>
        <v>Abrir facsímil</v>
      </c>
      <c r="K4044" s="3" t="s">
        <v>76</v>
      </c>
    </row>
    <row r="4045" spans="1:11" ht="42" customHeight="1">
      <c r="A4045" s="2" t="s">
        <v>10865</v>
      </c>
      <c r="B4045" s="2" t="s">
        <v>10865</v>
      </c>
      <c r="C4045" s="2" t="s">
        <v>88</v>
      </c>
      <c r="D4045" s="2" t="s">
        <v>27</v>
      </c>
      <c r="E4045" s="4">
        <v>-32696</v>
      </c>
      <c r="F4045" s="3" t="s">
        <v>1863</v>
      </c>
      <c r="G4045" s="3" t="s">
        <v>70</v>
      </c>
      <c r="H4045" s="2" t="s">
        <v>74</v>
      </c>
      <c r="I4045" s="2" t="s">
        <v>10867</v>
      </c>
      <c r="J4045" s="3" t="str">
        <f>HYPERLINK("https://www.boe.es/gazeta/dias/1810/06/24/pdfs/GMD-1810-175.pdf#page=3","Abrir facsímil")</f>
        <v>Abrir facsímil</v>
      </c>
      <c r="K4045" s="3" t="s">
        <v>76</v>
      </c>
    </row>
    <row r="4046" spans="1:11" ht="42" customHeight="1">
      <c r="A4046" s="2" t="s">
        <v>10865</v>
      </c>
      <c r="B4046" s="2" t="s">
        <v>10865</v>
      </c>
      <c r="C4046" s="2" t="s">
        <v>88</v>
      </c>
      <c r="D4046" s="2" t="s">
        <v>27</v>
      </c>
      <c r="E4046" s="4">
        <v>-32696</v>
      </c>
      <c r="F4046" s="3" t="s">
        <v>1863</v>
      </c>
      <c r="G4046" s="3" t="s">
        <v>701</v>
      </c>
      <c r="H4046" s="2" t="s">
        <v>74</v>
      </c>
      <c r="I4046" s="2" t="s">
        <v>10868</v>
      </c>
      <c r="J4046" s="3" t="str">
        <f>HYPERLINK("https://www.boe.es/gazeta/dias/1810/06/24/pdfs/GMD-1810-175.pdf#page=4","Abrir facsímil")</f>
        <v>Abrir facsímil</v>
      </c>
      <c r="K4046" s="3" t="s">
        <v>76</v>
      </c>
    </row>
    <row r="4047" spans="1:11" ht="42" customHeight="1">
      <c r="A4047" s="2" t="s">
        <v>10865</v>
      </c>
      <c r="B4047" s="2" t="s">
        <v>10865</v>
      </c>
      <c r="C4047" s="2" t="s">
        <v>88</v>
      </c>
      <c r="D4047" s="2" t="s">
        <v>27</v>
      </c>
      <c r="E4047" s="4">
        <v>-32596</v>
      </c>
      <c r="F4047" s="3" t="s">
        <v>248</v>
      </c>
      <c r="G4047" s="3" t="s">
        <v>1691</v>
      </c>
      <c r="H4047" s="2" t="s">
        <v>74</v>
      </c>
      <c r="I4047" s="2" t="s">
        <v>10869</v>
      </c>
      <c r="J4047" s="3" t="str">
        <f>HYPERLINK("https://www.boe.es/gazeta/dias/1810/10/02/pdfs/GEI-1810-76.pdf#page=5","Abrir facsímil")</f>
        <v>Abrir facsímil</v>
      </c>
      <c r="K4047" s="3" t="s">
        <v>76</v>
      </c>
    </row>
    <row r="4048" spans="1:11" ht="42" customHeight="1">
      <c r="A4048" s="2" t="s">
        <v>10870</v>
      </c>
      <c r="B4048" s="2" t="s">
        <v>10870</v>
      </c>
      <c r="C4048" s="2" t="s">
        <v>17</v>
      </c>
      <c r="D4048" s="2" t="s">
        <v>27</v>
      </c>
      <c r="E4048" s="4">
        <v>-32682</v>
      </c>
      <c r="F4048" s="3" t="s">
        <v>4623</v>
      </c>
      <c r="G4048" s="3" t="s">
        <v>113</v>
      </c>
      <c r="H4048" s="2" t="s">
        <v>74</v>
      </c>
      <c r="I4048" s="2" t="s">
        <v>10871</v>
      </c>
      <c r="J4048" s="3" t="str">
        <f>HYPERLINK("https://www.boe.es/gazeta/dias/1810/07/08/pdfs/GMD-1810-189.pdf#page=4","Abrir facsímil")</f>
        <v>Abrir facsímil</v>
      </c>
      <c r="K4048" s="3" t="s">
        <v>76</v>
      </c>
    </row>
    <row r="4049" spans="1:11" ht="42" customHeight="1">
      <c r="A4049" s="2" t="s">
        <v>10872</v>
      </c>
      <c r="B4049" s="2" t="s">
        <v>10872</v>
      </c>
      <c r="C4049" s="2" t="s">
        <v>26</v>
      </c>
      <c r="D4049" s="2" t="s">
        <v>27</v>
      </c>
      <c r="E4049" s="4">
        <v>-32822</v>
      </c>
      <c r="F4049" s="3" t="s">
        <v>1197</v>
      </c>
      <c r="G4049" s="3" t="s">
        <v>151</v>
      </c>
      <c r="H4049" s="2" t="s">
        <v>74</v>
      </c>
      <c r="I4049" s="2" t="s">
        <v>10873</v>
      </c>
      <c r="J4049" s="3" t="str">
        <f>HYPERLINK("https://www.boe.es/gazeta/dias/1810/02/18/pdfs/GMD-1810-49.pdf#page=2","Abrir facsímil")</f>
        <v>Abrir facsímil</v>
      </c>
      <c r="K4049" s="3" t="s">
        <v>76</v>
      </c>
    </row>
    <row r="4050" spans="1:11" ht="42" customHeight="1">
      <c r="A4050" s="2" t="s">
        <v>10874</v>
      </c>
      <c r="B4050" s="2" t="s">
        <v>10875</v>
      </c>
      <c r="C4050" s="2" t="s">
        <v>88</v>
      </c>
      <c r="D4050" s="2" t="s">
        <v>117</v>
      </c>
      <c r="E4050" s="4">
        <v>-32601</v>
      </c>
      <c r="F4050" s="3" t="s">
        <v>2181</v>
      </c>
      <c r="G4050" s="3" t="s">
        <v>2182</v>
      </c>
      <c r="H4050" s="2" t="s">
        <v>74</v>
      </c>
      <c r="I4050" s="2" t="s">
        <v>10876</v>
      </c>
      <c r="J4050" s="3" t="str">
        <f>HYPERLINK("https://www.boe.es/gazeta/dias/1810/09/27/pdfs/GEI-1810-73.pdf#page=4","Abrir facsímil")</f>
        <v>Abrir facsímil</v>
      </c>
      <c r="K4050" s="3" t="s">
        <v>76</v>
      </c>
    </row>
    <row r="4051" spans="1:11" ht="42" customHeight="1">
      <c r="A4051" s="2" t="s">
        <v>10877</v>
      </c>
      <c r="B4051" s="2" t="s">
        <v>10877</v>
      </c>
      <c r="C4051" s="2" t="s">
        <v>111</v>
      </c>
      <c r="D4051" s="2" t="s">
        <v>27</v>
      </c>
      <c r="E4051" s="4">
        <v>-32773</v>
      </c>
      <c r="F4051" s="3" t="s">
        <v>10878</v>
      </c>
      <c r="G4051" s="3" t="s">
        <v>140</v>
      </c>
      <c r="H4051" s="2" t="s">
        <v>74</v>
      </c>
      <c r="I4051" s="2" t="s">
        <v>10879</v>
      </c>
      <c r="J4051" s="3" t="str">
        <f>HYPERLINK("https://www.boe.es/gazeta/dias/1810/04/08/pdfs/GMD-1810-98.pdf#page=2","Abrir facsímil")</f>
        <v>Abrir facsímil</v>
      </c>
      <c r="K4051" s="3" t="s">
        <v>76</v>
      </c>
    </row>
    <row r="4052" spans="1:11" ht="42" customHeight="1">
      <c r="A4052" s="2" t="s">
        <v>10880</v>
      </c>
      <c r="B4052" s="2" t="s">
        <v>10880</v>
      </c>
      <c r="C4052" s="2" t="s">
        <v>26</v>
      </c>
      <c r="D4052" s="2" t="s">
        <v>27</v>
      </c>
      <c r="E4052" s="4">
        <v>-32686</v>
      </c>
      <c r="F4052" s="3" t="s">
        <v>2362</v>
      </c>
      <c r="G4052" s="3" t="s">
        <v>2514</v>
      </c>
      <c r="H4052" s="2" t="s">
        <v>74</v>
      </c>
      <c r="I4052" s="2" t="s">
        <v>10881</v>
      </c>
      <c r="J4052" s="3" t="str">
        <f>HYPERLINK("https://www.boe.es/gazeta/dias/1810/07/04/pdfs/GMD-1810-185.pdf#page=3","Abrir facsímil")</f>
        <v>Abrir facsímil</v>
      </c>
      <c r="K4052" s="3" t="s">
        <v>76</v>
      </c>
    </row>
    <row r="4053" spans="1:11" ht="42" customHeight="1">
      <c r="A4053" s="2" t="s">
        <v>10882</v>
      </c>
      <c r="B4053" s="2" t="s">
        <v>10882</v>
      </c>
      <c r="C4053" s="2" t="s">
        <v>88</v>
      </c>
      <c r="D4053" s="2" t="s">
        <v>117</v>
      </c>
      <c r="E4053" s="4">
        <v>-32864</v>
      </c>
      <c r="F4053" s="3" t="s">
        <v>10883</v>
      </c>
      <c r="G4053" s="3" t="s">
        <v>291</v>
      </c>
      <c r="H4053" s="2" t="s">
        <v>74</v>
      </c>
      <c r="I4053" s="2" t="s">
        <v>10884</v>
      </c>
      <c r="J4053" s="3" t="str">
        <f>HYPERLINK("https://www.boe.es/gazeta/dias/1810/01/07/pdfs/GMD-1810-7.pdf#page=2","Abrir facsímil")</f>
        <v>Abrir facsímil</v>
      </c>
      <c r="K4053" s="3" t="s">
        <v>76</v>
      </c>
    </row>
    <row r="4054" spans="1:11" ht="42" customHeight="1">
      <c r="A4054" s="2" t="s">
        <v>10885</v>
      </c>
      <c r="B4054" s="2" t="s">
        <v>10886</v>
      </c>
      <c r="C4054" s="2" t="s">
        <v>26</v>
      </c>
      <c r="D4054" s="2" t="s">
        <v>27</v>
      </c>
      <c r="E4054" s="4">
        <v>-32799</v>
      </c>
      <c r="F4054" s="3" t="s">
        <v>2252</v>
      </c>
      <c r="G4054" s="3" t="s">
        <v>2253</v>
      </c>
      <c r="H4054" s="2" t="s">
        <v>74</v>
      </c>
      <c r="I4054" s="2" t="s">
        <v>10887</v>
      </c>
      <c r="J4054" s="3" t="str">
        <f>HYPERLINK("https://www.boe.es/gazeta/dias/1810/03/13/pdfs/GMD-1810-72.pdf#page=4","Abrir facsímil")</f>
        <v>Abrir facsímil</v>
      </c>
      <c r="K4054" s="3" t="s">
        <v>76</v>
      </c>
    </row>
    <row r="4055" spans="1:11" ht="42" customHeight="1">
      <c r="A4055" s="2" t="s">
        <v>10888</v>
      </c>
      <c r="B4055" s="2" t="s">
        <v>10888</v>
      </c>
      <c r="C4055" s="2" t="s">
        <v>88</v>
      </c>
      <c r="D4055" s="2" t="s">
        <v>117</v>
      </c>
      <c r="E4055" s="4">
        <v>-32608</v>
      </c>
      <c r="F4055" s="3" t="s">
        <v>150</v>
      </c>
      <c r="G4055" s="3" t="s">
        <v>151</v>
      </c>
      <c r="H4055" s="2" t="s">
        <v>74</v>
      </c>
      <c r="I4055" s="2" t="s">
        <v>10889</v>
      </c>
      <c r="J4055" s="3" t="str">
        <f>HYPERLINK("https://www.boe.es/gazeta/dias/1810/09/20/pdfs/GMD-1810-263.pdf#page=3","Abrir facsímil")</f>
        <v>Abrir facsímil</v>
      </c>
      <c r="K4055" s="3" t="s">
        <v>76</v>
      </c>
    </row>
    <row r="4056" spans="1:11" ht="42" customHeight="1">
      <c r="A4056" s="2" t="s">
        <v>10888</v>
      </c>
      <c r="B4056" s="2" t="s">
        <v>10888</v>
      </c>
      <c r="C4056" s="2" t="s">
        <v>88</v>
      </c>
      <c r="D4056" s="2" t="s">
        <v>27</v>
      </c>
      <c r="E4056" s="4">
        <v>-32519</v>
      </c>
      <c r="F4056" s="3" t="s">
        <v>2299</v>
      </c>
      <c r="G4056" s="3" t="s">
        <v>10890</v>
      </c>
      <c r="H4056" s="2" t="s">
        <v>74</v>
      </c>
      <c r="I4056" s="2" t="s">
        <v>10891</v>
      </c>
      <c r="J4056" s="3" t="str">
        <f>HYPERLINK("https://www.boe.es/gazeta/dias/1810/12/18/pdfs/GEI-1810-109.pdf#page=1","Abrir facsímil")</f>
        <v>Abrir facsímil</v>
      </c>
      <c r="K4056" s="3" t="s">
        <v>76</v>
      </c>
    </row>
    <row r="4057" spans="1:11" ht="42" customHeight="1">
      <c r="A4057" s="2" t="s">
        <v>10892</v>
      </c>
      <c r="B4057" s="2" t="s">
        <v>10892</v>
      </c>
      <c r="C4057" s="2" t="s">
        <v>88</v>
      </c>
      <c r="D4057" s="2" t="s">
        <v>117</v>
      </c>
      <c r="E4057" s="4">
        <v>-32826</v>
      </c>
      <c r="F4057" s="3" t="s">
        <v>1252</v>
      </c>
      <c r="G4057" s="3" t="s">
        <v>140</v>
      </c>
      <c r="H4057" s="2" t="s">
        <v>74</v>
      </c>
      <c r="I4057" s="2" t="s">
        <v>10893</v>
      </c>
      <c r="J4057" s="3" t="str">
        <f>HYPERLINK("https://www.boe.es/gazeta/dias/1810/02/14/pdfs/GMD-1810-45.pdf#page=2","Abrir facsímil")</f>
        <v>Abrir facsímil</v>
      </c>
      <c r="K4057" s="3" t="s">
        <v>76</v>
      </c>
    </row>
    <row r="4058" spans="1:11" ht="42" customHeight="1">
      <c r="A4058" s="2" t="s">
        <v>10894</v>
      </c>
      <c r="B4058" s="2" t="s">
        <v>10894</v>
      </c>
      <c r="C4058" s="2" t="s">
        <v>88</v>
      </c>
      <c r="D4058" s="2" t="s">
        <v>117</v>
      </c>
      <c r="E4058" s="4">
        <v>-32645</v>
      </c>
      <c r="F4058" s="3" t="s">
        <v>2492</v>
      </c>
      <c r="G4058" s="3" t="s">
        <v>29</v>
      </c>
      <c r="H4058" s="2" t="s">
        <v>74</v>
      </c>
      <c r="I4058" s="2" t="s">
        <v>10895</v>
      </c>
      <c r="J4058" s="3" t="str">
        <f>HYPERLINK("https://www.boe.es/gazeta/dias/1810/08/14/pdfs/GEI-D-1810-56.pdf#page=1","Abrir facsímil")</f>
        <v>Abrir facsímil</v>
      </c>
      <c r="K4058" s="3" t="s">
        <v>76</v>
      </c>
    </row>
    <row r="4059" spans="1:11" ht="42" customHeight="1">
      <c r="A4059" s="2" t="s">
        <v>10896</v>
      </c>
      <c r="B4059" s="2" t="s">
        <v>10896</v>
      </c>
      <c r="C4059" s="2" t="s">
        <v>88</v>
      </c>
      <c r="D4059" s="2" t="s">
        <v>27</v>
      </c>
      <c r="E4059" s="4">
        <v>-32632</v>
      </c>
      <c r="F4059" s="3" t="s">
        <v>358</v>
      </c>
      <c r="G4059" s="3" t="s">
        <v>1691</v>
      </c>
      <c r="H4059" s="2" t="s">
        <v>74</v>
      </c>
      <c r="I4059" s="2" t="s">
        <v>10897</v>
      </c>
      <c r="J4059" s="3" t="str">
        <f>HYPERLINK("https://www.boe.es/gazeta/dias/1810/08/27/pdfs/GMD-1810-239.pdf#page=1","Abrir facsímil")</f>
        <v>Abrir facsímil</v>
      </c>
      <c r="K4059" s="3" t="s">
        <v>76</v>
      </c>
    </row>
    <row r="4060" spans="1:11" ht="42" customHeight="1">
      <c r="A4060" s="2" t="s">
        <v>10898</v>
      </c>
      <c r="B4060" s="2" t="s">
        <v>10899</v>
      </c>
      <c r="C4060" s="2" t="s">
        <v>26</v>
      </c>
      <c r="D4060" s="2" t="s">
        <v>220</v>
      </c>
      <c r="E4060" s="4">
        <v>-32781</v>
      </c>
      <c r="F4060" s="3" t="s">
        <v>5673</v>
      </c>
      <c r="G4060" s="3" t="s">
        <v>1590</v>
      </c>
      <c r="H4060" s="2" t="s">
        <v>74</v>
      </c>
      <c r="I4060" s="2" t="s">
        <v>10900</v>
      </c>
      <c r="J4060" s="3" t="str">
        <f>HYPERLINK("https://www.boe.es/gazeta/dias/1810/03/31/pdfs/GMD-1810-90.pdf#page=1","Abrir facsímil")</f>
        <v>Abrir facsímil</v>
      </c>
      <c r="K4060" s="3" t="s">
        <v>76</v>
      </c>
    </row>
    <row r="4061" spans="1:11" ht="42" customHeight="1">
      <c r="A4061" s="2" t="s">
        <v>10901</v>
      </c>
      <c r="B4061" s="2" t="s">
        <v>10901</v>
      </c>
      <c r="C4061" s="2" t="s">
        <v>88</v>
      </c>
      <c r="D4061" s="2" t="s">
        <v>27</v>
      </c>
      <c r="E4061" s="4">
        <v>-32756</v>
      </c>
      <c r="F4061" s="3" t="s">
        <v>203</v>
      </c>
      <c r="G4061" s="3" t="s">
        <v>60</v>
      </c>
      <c r="H4061" s="2" t="s">
        <v>74</v>
      </c>
      <c r="I4061" s="2" t="s">
        <v>10902</v>
      </c>
      <c r="J4061" s="3" t="str">
        <f>HYPERLINK("https://www.boe.es/gazeta/dias/1810/04/25/pdfs/GMD-1810-115.pdf#page=2","Abrir facsímil")</f>
        <v>Abrir facsímil</v>
      </c>
      <c r="K4061" s="3" t="s">
        <v>76</v>
      </c>
    </row>
    <row r="4062" spans="1:11" ht="42" customHeight="1">
      <c r="A4062" s="2" t="s">
        <v>10903</v>
      </c>
      <c r="B4062" s="2" t="s">
        <v>10903</v>
      </c>
      <c r="C4062" s="2" t="s">
        <v>88</v>
      </c>
      <c r="D4062" s="2" t="s">
        <v>117</v>
      </c>
      <c r="E4062" s="4">
        <v>-32612</v>
      </c>
      <c r="F4062" s="3" t="s">
        <v>7236</v>
      </c>
      <c r="G4062" s="3" t="s">
        <v>119</v>
      </c>
      <c r="H4062" s="2" t="s">
        <v>74</v>
      </c>
      <c r="I4062" s="2" t="s">
        <v>10904</v>
      </c>
      <c r="J4062" s="3" t="str">
        <f>HYPERLINK("https://www.boe.es/gazeta/dias/1810/09/16/pdfs/GMD-1810-259.pdf#page=2","Abrir facsímil")</f>
        <v>Abrir facsímil</v>
      </c>
      <c r="K4062" s="3" t="s">
        <v>76</v>
      </c>
    </row>
    <row r="4063" spans="1:11" ht="42" customHeight="1">
      <c r="A4063" s="2" t="s">
        <v>10905</v>
      </c>
      <c r="B4063" s="2" t="s">
        <v>10905</v>
      </c>
      <c r="C4063" s="2" t="s">
        <v>26</v>
      </c>
      <c r="D4063" s="2" t="s">
        <v>220</v>
      </c>
      <c r="E4063" s="4">
        <v>-32720</v>
      </c>
      <c r="F4063" s="3" t="s">
        <v>3377</v>
      </c>
      <c r="G4063" s="3" t="s">
        <v>210</v>
      </c>
      <c r="H4063" s="2" t="s">
        <v>74</v>
      </c>
      <c r="I4063" s="2" t="s">
        <v>10906</v>
      </c>
      <c r="J4063" s="3" t="str">
        <f>HYPERLINK("https://www.boe.es/gazeta/dias/1810/05/31/pdfs/GMD-1810-151.pdf#page=2","Abrir facsímil")</f>
        <v>Abrir facsímil</v>
      </c>
      <c r="K4063" s="3" t="s">
        <v>76</v>
      </c>
    </row>
    <row r="4064" spans="1:11" ht="42" customHeight="1">
      <c r="A4064" s="2" t="s">
        <v>10907</v>
      </c>
      <c r="B4064" s="2" t="s">
        <v>10907</v>
      </c>
      <c r="C4064" s="2" t="s">
        <v>88</v>
      </c>
      <c r="D4064" s="2" t="s">
        <v>220</v>
      </c>
      <c r="E4064" s="4">
        <v>-32537</v>
      </c>
      <c r="F4064" s="3" t="s">
        <v>1091</v>
      </c>
      <c r="G4064" s="3" t="s">
        <v>140</v>
      </c>
      <c r="H4064" s="2" t="s">
        <v>74</v>
      </c>
      <c r="I4064" s="2" t="s">
        <v>10908</v>
      </c>
      <c r="J4064" s="3" t="str">
        <f>HYPERLINK("https://www.boe.es/gazeta/dias/1810/11/30/pdfs/GMD-1810-334.pdf#page=3","Abrir facsímil")</f>
        <v>Abrir facsímil</v>
      </c>
      <c r="K4064" s="3" t="s">
        <v>76</v>
      </c>
    </row>
    <row r="4065" spans="1:11" ht="42" customHeight="1">
      <c r="A4065" s="2" t="s">
        <v>10909</v>
      </c>
      <c r="B4065" s="2" t="s">
        <v>10910</v>
      </c>
      <c r="C4065" s="2" t="s">
        <v>88</v>
      </c>
      <c r="D4065" s="2" t="s">
        <v>27</v>
      </c>
      <c r="E4065" s="4">
        <v>-32606</v>
      </c>
      <c r="F4065" s="3" t="s">
        <v>1676</v>
      </c>
      <c r="G4065" s="3" t="s">
        <v>7899</v>
      </c>
      <c r="H4065" s="2" t="s">
        <v>74</v>
      </c>
      <c r="I4065" s="2" t="s">
        <v>10911</v>
      </c>
      <c r="J4065" s="3" t="str">
        <f>HYPERLINK("https://www.boe.es/gazeta/dias/1810/09/22/pdfs/GMD-1810-265.pdf#page=4","Abrir facsímil")</f>
        <v>Abrir facsímil</v>
      </c>
      <c r="K4065" s="3" t="s">
        <v>76</v>
      </c>
    </row>
    <row r="4066" spans="1:11" ht="42" customHeight="1">
      <c r="A4066" s="2" t="s">
        <v>10912</v>
      </c>
      <c r="B4066" s="2" t="s">
        <v>10912</v>
      </c>
      <c r="C4066" s="2" t="s">
        <v>88</v>
      </c>
      <c r="D4066" s="2" t="s">
        <v>27</v>
      </c>
      <c r="E4066" s="4">
        <v>-32696</v>
      </c>
      <c r="F4066" s="3" t="s">
        <v>1863</v>
      </c>
      <c r="G4066" s="3" t="s">
        <v>701</v>
      </c>
      <c r="H4066" s="2" t="s">
        <v>74</v>
      </c>
      <c r="I4066" s="2" t="s">
        <v>10913</v>
      </c>
      <c r="J4066" s="3" t="str">
        <f>HYPERLINK("https://www.boe.es/gazeta/dias/1810/06/24/pdfs/GMD-1810-175.pdf#page=4","Abrir facsímil")</f>
        <v>Abrir facsímil</v>
      </c>
      <c r="K4066" s="3" t="s">
        <v>76</v>
      </c>
    </row>
    <row r="4067" spans="1:11" ht="42" customHeight="1">
      <c r="A4067" s="2" t="s">
        <v>10912</v>
      </c>
      <c r="B4067" s="2" t="s">
        <v>10912</v>
      </c>
      <c r="C4067" s="2" t="s">
        <v>88</v>
      </c>
      <c r="D4067" s="2" t="s">
        <v>27</v>
      </c>
      <c r="E4067" s="4">
        <v>-32638</v>
      </c>
      <c r="F4067" s="3" t="s">
        <v>2498</v>
      </c>
      <c r="G4067" s="3" t="s">
        <v>10914</v>
      </c>
      <c r="H4067" s="2" t="s">
        <v>74</v>
      </c>
      <c r="I4067" s="2" t="s">
        <v>10915</v>
      </c>
      <c r="J4067" s="3" t="str">
        <f>HYPERLINK("https://www.boe.es/gazeta/dias/1810/08/21/pdfs/GEI-1810-58.pdf#page=6","Abrir facsímil")</f>
        <v>Abrir facsímil</v>
      </c>
      <c r="K4067" s="3" t="s">
        <v>76</v>
      </c>
    </row>
    <row r="4068" spans="1:11" ht="42" customHeight="1">
      <c r="A4068" s="2" t="s">
        <v>10912</v>
      </c>
      <c r="B4068" s="2" t="s">
        <v>10912</v>
      </c>
      <c r="C4068" s="2" t="s">
        <v>88</v>
      </c>
      <c r="D4068" s="2" t="s">
        <v>27</v>
      </c>
      <c r="E4068" s="4">
        <v>-32601</v>
      </c>
      <c r="F4068" s="3" t="s">
        <v>10916</v>
      </c>
      <c r="G4068" s="3" t="s">
        <v>227</v>
      </c>
      <c r="H4068" s="2" t="s">
        <v>74</v>
      </c>
      <c r="I4068" s="2" t="s">
        <v>10917</v>
      </c>
      <c r="J4068" s="3" t="str">
        <f>HYPERLINK("https://www.boe.es/gazeta/dias/1810/09/27/pdfs/GMD-1810-270.pdf#page=4","Abrir facsímil")</f>
        <v>Abrir facsímil</v>
      </c>
      <c r="K4068" s="3" t="s">
        <v>76</v>
      </c>
    </row>
    <row r="4069" spans="1:11" ht="42" customHeight="1">
      <c r="A4069" s="2" t="s">
        <v>10918</v>
      </c>
      <c r="B4069" s="2" t="s">
        <v>10918</v>
      </c>
      <c r="C4069" s="2" t="s">
        <v>88</v>
      </c>
      <c r="D4069" s="2" t="s">
        <v>27</v>
      </c>
      <c r="E4069" s="4">
        <v>-32514</v>
      </c>
      <c r="F4069" s="3" t="s">
        <v>3658</v>
      </c>
      <c r="G4069" s="3" t="s">
        <v>735</v>
      </c>
      <c r="H4069" s="2" t="s">
        <v>74</v>
      </c>
      <c r="I4069" s="2" t="s">
        <v>10919</v>
      </c>
      <c r="J4069" s="3" t="str">
        <f>HYPERLINK("https://www.boe.es/gazeta/dias/1810/12/23/pdfs/GMD-1810-357.pdf#page=3","Abrir facsímil")</f>
        <v>Abrir facsímil</v>
      </c>
      <c r="K4069" s="3" t="s">
        <v>76</v>
      </c>
    </row>
    <row r="4070" spans="1:11" ht="42" customHeight="1">
      <c r="A4070" s="2" t="s">
        <v>10920</v>
      </c>
      <c r="B4070" s="2" t="s">
        <v>10921</v>
      </c>
      <c r="C4070" s="2" t="s">
        <v>88</v>
      </c>
      <c r="D4070" s="2" t="s">
        <v>27</v>
      </c>
      <c r="E4070" s="4">
        <v>-32721</v>
      </c>
      <c r="F4070" s="3" t="s">
        <v>3437</v>
      </c>
      <c r="G4070" s="3" t="s">
        <v>213</v>
      </c>
      <c r="H4070" s="2" t="s">
        <v>74</v>
      </c>
      <c r="I4070" s="2" t="s">
        <v>10922</v>
      </c>
      <c r="J4070" s="3" t="str">
        <f>HYPERLINK("https://www.boe.es/gazeta/dias/1810/05/30/pdfs/GMD-1810-150.pdf#page=3","Abrir facsímil")</f>
        <v>Abrir facsímil</v>
      </c>
      <c r="K4070" s="3" t="s">
        <v>76</v>
      </c>
    </row>
    <row r="4071" spans="1:11" ht="42" customHeight="1">
      <c r="A4071" s="2" t="s">
        <v>10923</v>
      </c>
      <c r="B4071" s="2" t="s">
        <v>10924</v>
      </c>
      <c r="C4071" s="2" t="s">
        <v>88</v>
      </c>
      <c r="D4071" s="2" t="s">
        <v>27</v>
      </c>
      <c r="E4071" s="4">
        <v>-32544</v>
      </c>
      <c r="F4071" s="3" t="s">
        <v>1239</v>
      </c>
      <c r="G4071" s="3" t="s">
        <v>99</v>
      </c>
      <c r="H4071" s="2" t="s">
        <v>74</v>
      </c>
      <c r="I4071" s="2" t="s">
        <v>10925</v>
      </c>
      <c r="J4071" s="3" t="str">
        <f>HYPERLINK("https://www.boe.es/gazeta/dias/1810/11/23/pdfs/GMD-1810-327.pdf#page=3","Abrir facsímil")</f>
        <v>Abrir facsímil</v>
      </c>
      <c r="K4071" s="3" t="s">
        <v>76</v>
      </c>
    </row>
    <row r="4072" spans="1:11" ht="42" customHeight="1">
      <c r="A4072" s="2" t="s">
        <v>10926</v>
      </c>
      <c r="B4072" s="2" t="s">
        <v>10926</v>
      </c>
      <c r="C4072" s="2" t="s">
        <v>88</v>
      </c>
      <c r="D4072" s="2" t="s">
        <v>27</v>
      </c>
      <c r="E4072" s="4">
        <v>-32651</v>
      </c>
      <c r="F4072" s="3" t="s">
        <v>10927</v>
      </c>
      <c r="G4072" s="3" t="s">
        <v>99</v>
      </c>
      <c r="H4072" s="2" t="s">
        <v>74</v>
      </c>
      <c r="I4072" s="2" t="s">
        <v>10928</v>
      </c>
      <c r="J4072" s="3" t="str">
        <f>HYPERLINK("https://www.boe.es/gazeta/dias/1810/08/08/pdfs/GMD-1810-220.pdf#page=3","Abrir facsímil")</f>
        <v>Abrir facsímil</v>
      </c>
      <c r="K4072" s="3" t="s">
        <v>76</v>
      </c>
    </row>
    <row r="4073" spans="1:11" ht="42" customHeight="1">
      <c r="A4073" s="2" t="s">
        <v>10929</v>
      </c>
      <c r="B4073" s="2" t="s">
        <v>10930</v>
      </c>
      <c r="C4073" s="2" t="s">
        <v>225</v>
      </c>
      <c r="D4073" s="2" t="s">
        <v>27</v>
      </c>
      <c r="E4073" s="4">
        <v>-32766</v>
      </c>
      <c r="F4073" s="3" t="s">
        <v>492</v>
      </c>
      <c r="G4073" s="3" t="s">
        <v>291</v>
      </c>
      <c r="H4073" s="2" t="s">
        <v>74</v>
      </c>
      <c r="I4073" s="2" t="s">
        <v>10931</v>
      </c>
      <c r="J4073" s="3" t="str">
        <f>HYPERLINK("https://www.boe.es/gazeta/dias/1810/04/15/pdfs/GMD-1810-105.pdf#page=2","Abrir facsímil")</f>
        <v>Abrir facsímil</v>
      </c>
      <c r="K4073" s="3" t="s">
        <v>76</v>
      </c>
    </row>
    <row r="4074" spans="1:11" ht="42" customHeight="1">
      <c r="A4074" s="2" t="s">
        <v>10932</v>
      </c>
      <c r="B4074" s="2" t="s">
        <v>10932</v>
      </c>
      <c r="C4074" s="2" t="s">
        <v>88</v>
      </c>
      <c r="D4074" s="2" t="s">
        <v>18</v>
      </c>
      <c r="E4074" s="4">
        <v>-32621</v>
      </c>
      <c r="F4074" s="3" t="s">
        <v>1897</v>
      </c>
      <c r="G4074" s="3" t="s">
        <v>213</v>
      </c>
      <c r="H4074" s="2" t="s">
        <v>74</v>
      </c>
      <c r="I4074" s="2" t="s">
        <v>10933</v>
      </c>
      <c r="J4074" s="3" t="str">
        <f>HYPERLINK("https://www.boe.es/gazeta/dias/1810/09/07/pdfs/GMD-1810-250.pdf#page=1","Abrir facsímil")</f>
        <v>Abrir facsímil</v>
      </c>
      <c r="K4074" s="3" t="s">
        <v>76</v>
      </c>
    </row>
    <row r="4075" spans="1:11" ht="42" customHeight="1">
      <c r="A4075" s="2" t="s">
        <v>10934</v>
      </c>
      <c r="B4075" s="2" t="s">
        <v>10934</v>
      </c>
      <c r="C4075" s="2" t="s">
        <v>88</v>
      </c>
      <c r="D4075" s="2" t="s">
        <v>27</v>
      </c>
      <c r="E4075" s="4">
        <v>-32671</v>
      </c>
      <c r="F4075" s="3" t="s">
        <v>3682</v>
      </c>
      <c r="G4075" s="3" t="s">
        <v>2864</v>
      </c>
      <c r="H4075" s="2" t="s">
        <v>74</v>
      </c>
      <c r="I4075" s="2" t="s">
        <v>10935</v>
      </c>
      <c r="J4075" s="3" t="str">
        <f>HYPERLINK("https://www.boe.es/gazeta/dias/1810/07/19/pdfs/GMD-1810-200.pdf#page=3","Abrir facsímil")</f>
        <v>Abrir facsímil</v>
      </c>
      <c r="K4075" s="3" t="s">
        <v>76</v>
      </c>
    </row>
    <row r="4076" spans="1:11" ht="42" customHeight="1">
      <c r="A4076" s="2" t="s">
        <v>10936</v>
      </c>
      <c r="B4076" s="2" t="s">
        <v>10937</v>
      </c>
      <c r="C4076" s="2" t="s">
        <v>17</v>
      </c>
      <c r="D4076" s="2" t="s">
        <v>27</v>
      </c>
      <c r="E4076" s="4">
        <v>-32522</v>
      </c>
      <c r="F4076" s="3" t="s">
        <v>1168</v>
      </c>
      <c r="G4076" s="3" t="s">
        <v>1928</v>
      </c>
      <c r="H4076" s="2" t="s">
        <v>74</v>
      </c>
      <c r="I4076" s="2" t="s">
        <v>10938</v>
      </c>
      <c r="J4076" s="3" t="str">
        <f>HYPERLINK("https://www.boe.es/gazeta/dias/1810/12/15/pdfs/GMD-1810-349.pdf#page=2","Abrir facsímil")</f>
        <v>Abrir facsímil</v>
      </c>
      <c r="K4076" s="3" t="s">
        <v>76</v>
      </c>
    </row>
    <row r="4077" spans="1:11" ht="42" customHeight="1">
      <c r="A4077" s="2" t="s">
        <v>10939</v>
      </c>
      <c r="B4077" s="2" t="s">
        <v>10940</v>
      </c>
      <c r="C4077" s="2" t="s">
        <v>317</v>
      </c>
      <c r="D4077" s="2" t="s">
        <v>27</v>
      </c>
      <c r="E4077" s="4">
        <v>-32533</v>
      </c>
      <c r="F4077" s="3" t="s">
        <v>4294</v>
      </c>
      <c r="G4077" s="3" t="s">
        <v>140</v>
      </c>
      <c r="H4077" s="2" t="s">
        <v>74</v>
      </c>
      <c r="I4077" s="2" t="s">
        <v>10941</v>
      </c>
      <c r="J4077" s="3" t="str">
        <f>HYPERLINK("https://www.boe.es/gazeta/dias/1810/12/04/pdfs/GMD-1810-338.pdf#page=4","Abrir facsímil")</f>
        <v>Abrir facsímil</v>
      </c>
      <c r="K4077" s="3" t="s">
        <v>76</v>
      </c>
    </row>
    <row r="4078" spans="1:11" ht="42" customHeight="1">
      <c r="A4078" s="2" t="s">
        <v>10942</v>
      </c>
      <c r="B4078" s="2" t="s">
        <v>10943</v>
      </c>
      <c r="C4078" s="2" t="s">
        <v>26</v>
      </c>
      <c r="D4078" s="2" t="s">
        <v>39</v>
      </c>
      <c r="E4078" s="4">
        <v>-32702</v>
      </c>
      <c r="F4078" s="3" t="s">
        <v>179</v>
      </c>
      <c r="G4078" s="3" t="s">
        <v>119</v>
      </c>
      <c r="H4078" s="2" t="s">
        <v>74</v>
      </c>
      <c r="I4078" s="2" t="s">
        <v>10944</v>
      </c>
      <c r="J4078" s="3" t="str">
        <f>HYPERLINK("https://www.boe.es/gazeta/dias/1810/06/18/pdfs/GMD-C-1810-169.pdf#page=1","Abrir facsímil")</f>
        <v>Abrir facsímil</v>
      </c>
      <c r="K4078" s="3" t="s">
        <v>76</v>
      </c>
    </row>
    <row r="4079" spans="1:11" ht="42" customHeight="1">
      <c r="A4079" s="2" t="s">
        <v>10945</v>
      </c>
      <c r="B4079" s="2" t="s">
        <v>10945</v>
      </c>
      <c r="C4079" s="2" t="s">
        <v>88</v>
      </c>
      <c r="D4079" s="2" t="s">
        <v>220</v>
      </c>
      <c r="E4079" s="4">
        <v>-32645</v>
      </c>
      <c r="F4079" s="3" t="s">
        <v>4819</v>
      </c>
      <c r="G4079" s="3" t="s">
        <v>4820</v>
      </c>
      <c r="H4079" s="2" t="s">
        <v>74</v>
      </c>
      <c r="I4079" s="2" t="s">
        <v>10946</v>
      </c>
      <c r="J4079" s="3" t="str">
        <f>HYPERLINK("https://www.boe.es/gazeta/dias/1810/08/14/pdfs/GMD-1810-226.pdf#page=1","Abrir facsímil")</f>
        <v>Abrir facsímil</v>
      </c>
      <c r="K4079" s="3" t="s">
        <v>76</v>
      </c>
    </row>
    <row r="4080" spans="1:11" ht="42" customHeight="1">
      <c r="A4080" s="2" t="s">
        <v>10947</v>
      </c>
      <c r="B4080" s="2" t="s">
        <v>10948</v>
      </c>
      <c r="C4080" s="2" t="s">
        <v>26</v>
      </c>
      <c r="D4080" s="2" t="s">
        <v>27</v>
      </c>
      <c r="E4080" s="4">
        <v>-32756</v>
      </c>
      <c r="F4080" s="3" t="s">
        <v>203</v>
      </c>
      <c r="G4080" s="3" t="s">
        <v>180</v>
      </c>
      <c r="H4080" s="2" t="s">
        <v>74</v>
      </c>
      <c r="I4080" s="2" t="s">
        <v>10949</v>
      </c>
      <c r="J4080" s="3" t="str">
        <f>HYPERLINK("https://www.boe.es/gazeta/dias/1810/04/25/pdfs/GMD-1810-115.pdf#page=4","Abrir facsímil")</f>
        <v>Abrir facsímil</v>
      </c>
      <c r="K4080" s="3" t="s">
        <v>76</v>
      </c>
    </row>
    <row r="4081" spans="1:11" ht="42" customHeight="1">
      <c r="A4081" s="2" t="s">
        <v>10950</v>
      </c>
      <c r="B4081" s="2" t="s">
        <v>10950</v>
      </c>
      <c r="C4081" s="2" t="s">
        <v>88</v>
      </c>
      <c r="D4081" s="2" t="s">
        <v>117</v>
      </c>
      <c r="E4081" s="4">
        <v>-32561</v>
      </c>
      <c r="F4081" s="3" t="s">
        <v>3469</v>
      </c>
      <c r="G4081" s="3" t="s">
        <v>70</v>
      </c>
      <c r="H4081" s="2" t="s">
        <v>74</v>
      </c>
      <c r="I4081" s="2" t="s">
        <v>10951</v>
      </c>
      <c r="J4081" s="3" t="str">
        <f>HYPERLINK("https://www.boe.es/gazeta/dias/1810/11/06/pdfs/GMD-1810-310.pdf#page=2","Abrir facsímil")</f>
        <v>Abrir facsímil</v>
      </c>
      <c r="K4081" s="3" t="s">
        <v>76</v>
      </c>
    </row>
    <row r="4082" spans="1:11" ht="42" customHeight="1">
      <c r="A4082" s="2" t="s">
        <v>10952</v>
      </c>
      <c r="B4082" s="2" t="s">
        <v>10952</v>
      </c>
      <c r="C4082" s="2" t="s">
        <v>88</v>
      </c>
      <c r="D4082" s="2" t="s">
        <v>117</v>
      </c>
      <c r="E4082" s="4">
        <v>-32628</v>
      </c>
      <c r="F4082" s="3" t="s">
        <v>3118</v>
      </c>
      <c r="G4082" s="3" t="s">
        <v>2277</v>
      </c>
      <c r="H4082" s="2" t="s">
        <v>74</v>
      </c>
      <c r="I4082" s="2" t="s">
        <v>10953</v>
      </c>
      <c r="J4082" s="3" t="str">
        <f>HYPERLINK("https://www.boe.es/gazeta/dias/1810/08/31/pdfs/GEI-1810-62.pdf#page=2","Abrir facsímil")</f>
        <v>Abrir facsímil</v>
      </c>
      <c r="K4082" s="3" t="s">
        <v>76</v>
      </c>
    </row>
    <row r="4083" spans="1:11" ht="42" customHeight="1">
      <c r="A4083" s="2" t="s">
        <v>10954</v>
      </c>
      <c r="B4083" s="2" t="s">
        <v>10955</v>
      </c>
      <c r="C4083" s="2" t="s">
        <v>88</v>
      </c>
      <c r="D4083" s="2" t="s">
        <v>117</v>
      </c>
      <c r="E4083" s="4">
        <v>-32697</v>
      </c>
      <c r="F4083" s="3" t="s">
        <v>1859</v>
      </c>
      <c r="G4083" s="3" t="s">
        <v>70</v>
      </c>
      <c r="H4083" s="2" t="s">
        <v>74</v>
      </c>
      <c r="I4083" s="2" t="s">
        <v>10956</v>
      </c>
      <c r="J4083" s="3" t="str">
        <f>HYPERLINK("https://www.boe.es/gazeta/dias/1810/06/23/pdfs/GMD-1810-174.pdf#page=4","Abrir facsímil")</f>
        <v>Abrir facsímil</v>
      </c>
      <c r="K4083" s="3" t="s">
        <v>76</v>
      </c>
    </row>
    <row r="4084" spans="1:11" ht="42" customHeight="1">
      <c r="A4084" s="2" t="s">
        <v>10957</v>
      </c>
      <c r="B4084" s="2" t="s">
        <v>10957</v>
      </c>
      <c r="C4084" s="2" t="s">
        <v>88</v>
      </c>
      <c r="D4084" s="2" t="s">
        <v>220</v>
      </c>
      <c r="E4084" s="4">
        <v>-32751</v>
      </c>
      <c r="F4084" s="3" t="s">
        <v>1205</v>
      </c>
      <c r="G4084" s="3" t="s">
        <v>90</v>
      </c>
      <c r="H4084" s="2" t="s">
        <v>74</v>
      </c>
      <c r="I4084" s="2" t="s">
        <v>10958</v>
      </c>
      <c r="J4084" s="3" t="str">
        <f>HYPERLINK("https://www.boe.es/gazeta/dias/1810/04/30/pdfs/GMD-1810-120.pdf#page=1","Abrir facsímil")</f>
        <v>Abrir facsímil</v>
      </c>
      <c r="K4084" s="3" t="s">
        <v>76</v>
      </c>
    </row>
    <row r="4085" spans="1:11" ht="42" customHeight="1">
      <c r="A4085" s="2" t="s">
        <v>10959</v>
      </c>
      <c r="B4085" s="2" t="s">
        <v>10959</v>
      </c>
      <c r="C4085" s="2" t="s">
        <v>225</v>
      </c>
      <c r="D4085" s="2" t="s">
        <v>27</v>
      </c>
      <c r="E4085" s="4">
        <v>-32544</v>
      </c>
      <c r="F4085" s="3" t="s">
        <v>1239</v>
      </c>
      <c r="G4085" s="3" t="s">
        <v>35</v>
      </c>
      <c r="H4085" s="2" t="s">
        <v>74</v>
      </c>
      <c r="I4085" s="2" t="s">
        <v>10960</v>
      </c>
      <c r="J4085" s="3" t="str">
        <f>HYPERLINK("https://www.boe.es/gazeta/dias/1810/11/23/pdfs/GMD-1810-327.pdf#page=2","Abrir facsímil")</f>
        <v>Abrir facsímil</v>
      </c>
      <c r="K4085" s="3" t="s">
        <v>76</v>
      </c>
    </row>
    <row r="4086" spans="1:11" ht="42" customHeight="1">
      <c r="A4086" s="2" t="s">
        <v>10961</v>
      </c>
      <c r="B4086" s="2" t="s">
        <v>10961</v>
      </c>
      <c r="C4086" s="2" t="s">
        <v>225</v>
      </c>
      <c r="D4086" s="2" t="s">
        <v>27</v>
      </c>
      <c r="E4086" s="4">
        <v>-32561</v>
      </c>
      <c r="F4086" s="3" t="s">
        <v>3469</v>
      </c>
      <c r="G4086" s="3" t="s">
        <v>10962</v>
      </c>
      <c r="H4086" s="2" t="s">
        <v>74</v>
      </c>
      <c r="I4086" s="2" t="s">
        <v>10963</v>
      </c>
      <c r="J4086" s="3" t="str">
        <f>HYPERLINK("https://www.boe.es/gazeta/dias/1810/11/06/pdfs/GMD-1810-310.pdf#page=1","Abrir facsímil")</f>
        <v>Abrir facsímil</v>
      </c>
      <c r="K4086" s="3" t="s">
        <v>76</v>
      </c>
    </row>
    <row r="4087" spans="1:11" ht="42" customHeight="1">
      <c r="A4087" s="2" t="s">
        <v>10964</v>
      </c>
      <c r="B4087" s="2" t="s">
        <v>10964</v>
      </c>
      <c r="C4087" s="2" t="s">
        <v>33</v>
      </c>
      <c r="D4087" s="2" t="s">
        <v>27</v>
      </c>
      <c r="E4087" s="4">
        <v>-32687</v>
      </c>
      <c r="F4087" s="3" t="s">
        <v>221</v>
      </c>
      <c r="G4087" s="3" t="s">
        <v>20</v>
      </c>
      <c r="H4087" s="2" t="s">
        <v>74</v>
      </c>
      <c r="I4087" s="2" t="s">
        <v>10965</v>
      </c>
      <c r="J4087" s="3" t="str">
        <f>HYPERLINK("https://www.boe.es/gazeta/dias/1810/07/03/pdfs/GMD-1810-184.pdf#page=4","Abrir facsímil")</f>
        <v>Abrir facsímil</v>
      </c>
      <c r="K4087" s="3" t="s">
        <v>76</v>
      </c>
    </row>
    <row r="4088" spans="1:11" ht="42" customHeight="1">
      <c r="A4088" s="2" t="s">
        <v>10966</v>
      </c>
      <c r="B4088" s="2" t="s">
        <v>10967</v>
      </c>
      <c r="C4088" s="2" t="s">
        <v>225</v>
      </c>
      <c r="D4088" s="2" t="s">
        <v>27</v>
      </c>
      <c r="E4088" s="4">
        <v>-32820</v>
      </c>
      <c r="F4088" s="3" t="s">
        <v>226</v>
      </c>
      <c r="G4088" s="3" t="s">
        <v>356</v>
      </c>
      <c r="H4088" s="2" t="s">
        <v>74</v>
      </c>
      <c r="I4088" s="2" t="s">
        <v>10968</v>
      </c>
      <c r="J4088" s="3" t="str">
        <f>HYPERLINK("https://www.boe.es/gazeta/dias/1810/02/20/pdfs/GMD-1810-51.pdf#page=3","Abrir facsímil")</f>
        <v>Abrir facsímil</v>
      </c>
      <c r="K4088" s="3" t="s">
        <v>76</v>
      </c>
    </row>
    <row r="4089" spans="1:11" ht="42" customHeight="1">
      <c r="A4089" s="2" t="s">
        <v>10969</v>
      </c>
      <c r="B4089" s="2" t="s">
        <v>10970</v>
      </c>
      <c r="C4089" s="2" t="s">
        <v>225</v>
      </c>
      <c r="D4089" s="2" t="s">
        <v>27</v>
      </c>
      <c r="E4089" s="4">
        <v>-32775</v>
      </c>
      <c r="F4089" s="3" t="s">
        <v>553</v>
      </c>
      <c r="G4089" s="3" t="s">
        <v>554</v>
      </c>
      <c r="H4089" s="2" t="s">
        <v>74</v>
      </c>
      <c r="I4089" s="2" t="s">
        <v>10971</v>
      </c>
      <c r="J4089" s="3" t="str">
        <f>HYPERLINK("https://www.boe.es/gazeta/dias/1810/04/06/pdfs/GEI-1810-12.pdf#page=12","Abrir facsímil")</f>
        <v>Abrir facsímil</v>
      </c>
      <c r="K4089" s="3" t="s">
        <v>76</v>
      </c>
    </row>
    <row r="4090" spans="1:11" ht="42" customHeight="1">
      <c r="A4090" s="2" t="s">
        <v>10972</v>
      </c>
      <c r="B4090" s="2" t="s">
        <v>10973</v>
      </c>
      <c r="C4090" s="2" t="s">
        <v>195</v>
      </c>
      <c r="D4090" s="2" t="s">
        <v>27</v>
      </c>
      <c r="E4090" s="4">
        <v>-32839</v>
      </c>
      <c r="F4090" s="3" t="s">
        <v>28</v>
      </c>
      <c r="G4090" s="3" t="s">
        <v>29</v>
      </c>
      <c r="H4090" s="2" t="s">
        <v>74</v>
      </c>
      <c r="I4090" s="2" t="s">
        <v>10974</v>
      </c>
      <c r="J4090" s="3" t="str">
        <f>HYPERLINK("https://www.boe.es/gazeta/dias/1810/02/01/pdfs/GMD-1810-32.pdf#page=3","Abrir facsímil")</f>
        <v>Abrir facsímil</v>
      </c>
      <c r="K4090" s="3" t="s">
        <v>76</v>
      </c>
    </row>
    <row r="4091" spans="1:11" ht="42" customHeight="1">
      <c r="A4091" s="2" t="s">
        <v>10975</v>
      </c>
      <c r="B4091" s="2" t="s">
        <v>10975</v>
      </c>
      <c r="C4091" s="2" t="s">
        <v>88</v>
      </c>
      <c r="D4091" s="2" t="s">
        <v>27</v>
      </c>
      <c r="E4091" s="4">
        <v>-32855</v>
      </c>
      <c r="F4091" s="3" t="s">
        <v>4239</v>
      </c>
      <c r="G4091" s="3" t="s">
        <v>227</v>
      </c>
      <c r="H4091" s="2" t="s">
        <v>74</v>
      </c>
      <c r="I4091" s="2" t="s">
        <v>10976</v>
      </c>
      <c r="J4091" s="3" t="str">
        <f>HYPERLINK("https://www.boe.es/gazeta/dias/1810/01/16/pdfs/GMD-1810-16.pdf#page=3","Abrir facsímil")</f>
        <v>Abrir facsímil</v>
      </c>
      <c r="K4091" s="3" t="s">
        <v>76</v>
      </c>
    </row>
    <row r="4092" spans="1:11" ht="42" customHeight="1">
      <c r="A4092" s="2" t="s">
        <v>10977</v>
      </c>
      <c r="B4092" s="2" t="s">
        <v>10978</v>
      </c>
      <c r="C4092" s="2" t="s">
        <v>88</v>
      </c>
      <c r="D4092" s="2" t="s">
        <v>117</v>
      </c>
      <c r="E4092" s="4">
        <v>-32729</v>
      </c>
      <c r="F4092" s="3" t="s">
        <v>2427</v>
      </c>
      <c r="G4092" s="3" t="s">
        <v>10979</v>
      </c>
      <c r="H4092" s="2" t="s">
        <v>74</v>
      </c>
      <c r="I4092" s="2" t="s">
        <v>10980</v>
      </c>
      <c r="J4092" s="3" t="str">
        <f>HYPERLINK("https://www.boe.es/gazeta/dias/1810/05/22/pdfs/GEI-1810-29E.pdf#page=1","Abrir facsímil")</f>
        <v>Abrir facsímil</v>
      </c>
      <c r="K4092" s="3" t="s">
        <v>76</v>
      </c>
    </row>
    <row r="4093" spans="1:11" ht="42" customHeight="1">
      <c r="A4093" s="2" t="s">
        <v>10981</v>
      </c>
      <c r="B4093" s="2" t="s">
        <v>10981</v>
      </c>
      <c r="C4093" s="2" t="s">
        <v>33</v>
      </c>
      <c r="D4093" s="2" t="s">
        <v>220</v>
      </c>
      <c r="E4093" s="4">
        <v>-32678</v>
      </c>
      <c r="F4093" s="3" t="s">
        <v>3679</v>
      </c>
      <c r="G4093" s="3" t="s">
        <v>971</v>
      </c>
      <c r="H4093" s="2" t="s">
        <v>74</v>
      </c>
      <c r="I4093" s="2" t="s">
        <v>10982</v>
      </c>
      <c r="J4093" s="3" t="str">
        <f>HYPERLINK("https://www.boe.es/gazeta/dias/1810/07/12/pdfs/GMD-1810-193.pdf#page=1","Abrir facsímil")</f>
        <v>Abrir facsímil</v>
      </c>
      <c r="K4093" s="3" t="s">
        <v>76</v>
      </c>
    </row>
    <row r="4094" spans="1:11" ht="42" customHeight="1">
      <c r="A4094" s="2" t="s">
        <v>10983</v>
      </c>
      <c r="B4094" s="2" t="s">
        <v>10984</v>
      </c>
      <c r="C4094" s="2" t="s">
        <v>225</v>
      </c>
      <c r="D4094" s="2" t="s">
        <v>27</v>
      </c>
      <c r="E4094" s="4">
        <v>-32764</v>
      </c>
      <c r="F4094" s="3" t="s">
        <v>718</v>
      </c>
      <c r="G4094" s="3" t="s">
        <v>29</v>
      </c>
      <c r="H4094" s="2" t="s">
        <v>74</v>
      </c>
      <c r="I4094" s="2" t="s">
        <v>10985</v>
      </c>
      <c r="J4094" s="3" t="str">
        <f>HYPERLINK("https://www.boe.es/gazeta/dias/1810/04/17/pdfs/GMD-1810-107.pdf#page=4","Abrir facsímil")</f>
        <v>Abrir facsímil</v>
      </c>
      <c r="K4094" s="3" t="s">
        <v>76</v>
      </c>
    </row>
    <row r="4095" spans="1:11" ht="42" customHeight="1">
      <c r="A4095" s="2" t="s">
        <v>10986</v>
      </c>
      <c r="B4095" s="2" t="s">
        <v>10986</v>
      </c>
      <c r="C4095" s="2" t="s">
        <v>225</v>
      </c>
      <c r="D4095" s="2" t="s">
        <v>27</v>
      </c>
      <c r="E4095" s="4">
        <v>-32652</v>
      </c>
      <c r="F4095" s="3" t="s">
        <v>731</v>
      </c>
      <c r="G4095" s="3" t="s">
        <v>732</v>
      </c>
      <c r="H4095" s="2" t="s">
        <v>74</v>
      </c>
      <c r="I4095" s="2" t="s">
        <v>10987</v>
      </c>
      <c r="J4095" s="3" t="str">
        <f>HYPERLINK("https://www.boe.es/gazeta/dias/1810/08/07/pdfs/GMD-1810-219.pdf#page=2","Abrir facsímil")</f>
        <v>Abrir facsímil</v>
      </c>
      <c r="K4095" s="3" t="s">
        <v>76</v>
      </c>
    </row>
    <row r="4096" spans="1:11" ht="42" customHeight="1">
      <c r="A4096" s="2" t="s">
        <v>10988</v>
      </c>
      <c r="B4096" s="2" t="s">
        <v>10989</v>
      </c>
      <c r="C4096" s="2" t="s">
        <v>88</v>
      </c>
      <c r="D4096" s="2" t="s">
        <v>27</v>
      </c>
      <c r="E4096" s="4">
        <v>-32798</v>
      </c>
      <c r="F4096" s="3" t="s">
        <v>2002</v>
      </c>
      <c r="G4096" s="3" t="s">
        <v>90</v>
      </c>
      <c r="H4096" s="2" t="s">
        <v>74</v>
      </c>
      <c r="I4096" s="2" t="s">
        <v>10990</v>
      </c>
      <c r="J4096" s="3" t="str">
        <f>HYPERLINK("https://www.boe.es/gazeta/dias/1810/03/14/pdfs/GMD-1810-73.pdf#page=4","Abrir facsímil")</f>
        <v>Abrir facsímil</v>
      </c>
      <c r="K4096" s="3" t="s">
        <v>76</v>
      </c>
    </row>
    <row r="4097" spans="1:11" ht="42" customHeight="1">
      <c r="A4097" s="2" t="s">
        <v>10991</v>
      </c>
      <c r="B4097" s="2" t="s">
        <v>10991</v>
      </c>
      <c r="C4097" s="2" t="s">
        <v>88</v>
      </c>
      <c r="D4097" s="2" t="s">
        <v>117</v>
      </c>
      <c r="E4097" s="4">
        <v>-32861</v>
      </c>
      <c r="F4097" s="3" t="s">
        <v>796</v>
      </c>
      <c r="G4097" s="3" t="s">
        <v>99</v>
      </c>
      <c r="H4097" s="2" t="s">
        <v>74</v>
      </c>
      <c r="I4097" s="2" t="s">
        <v>10992</v>
      </c>
      <c r="J4097" s="3" t="str">
        <f>HYPERLINK("https://www.boe.es/gazeta/dias/1810/01/10/pdfs/GMD-1810-10.pdf#page=3","Abrir facsímil")</f>
        <v>Abrir facsímil</v>
      </c>
      <c r="K4097" s="3" t="s">
        <v>76</v>
      </c>
    </row>
    <row r="4098" spans="1:11" ht="42" customHeight="1">
      <c r="A4098" s="2" t="s">
        <v>10991</v>
      </c>
      <c r="B4098" s="2" t="s">
        <v>10991</v>
      </c>
      <c r="C4098" s="2" t="s">
        <v>26</v>
      </c>
      <c r="D4098" s="2" t="s">
        <v>27</v>
      </c>
      <c r="E4098" s="4">
        <v>-32858</v>
      </c>
      <c r="F4098" s="3" t="s">
        <v>3069</v>
      </c>
      <c r="G4098" s="3" t="s">
        <v>592</v>
      </c>
      <c r="H4098" s="2" t="s">
        <v>74</v>
      </c>
      <c r="I4098" s="2" t="s">
        <v>10993</v>
      </c>
      <c r="J4098" s="3" t="str">
        <f>HYPERLINK("https://www.boe.es/gazeta/dias/1810/01/13/pdfs/GMD-1810-13.pdf#page=1","Abrir facsímil")</f>
        <v>Abrir facsímil</v>
      </c>
      <c r="K4098" s="3" t="s">
        <v>76</v>
      </c>
    </row>
    <row r="4099" spans="1:11" ht="42" customHeight="1">
      <c r="A4099" s="2" t="s">
        <v>10991</v>
      </c>
      <c r="B4099" s="2" t="s">
        <v>10991</v>
      </c>
      <c r="C4099" s="2" t="s">
        <v>26</v>
      </c>
      <c r="D4099" s="2" t="s">
        <v>27</v>
      </c>
      <c r="E4099" s="4">
        <v>-32678</v>
      </c>
      <c r="F4099" s="3" t="s">
        <v>3679</v>
      </c>
      <c r="G4099" s="3" t="s">
        <v>971</v>
      </c>
      <c r="H4099" s="2" t="s">
        <v>74</v>
      </c>
      <c r="I4099" s="2" t="s">
        <v>10994</v>
      </c>
      <c r="J4099" s="3" t="str">
        <f>HYPERLINK("https://www.boe.es/gazeta/dias/1810/07/12/pdfs/GMD-1810-193.pdf#page=1","Abrir facsímil")</f>
        <v>Abrir facsímil</v>
      </c>
      <c r="K4099" s="3" t="s">
        <v>76</v>
      </c>
    </row>
    <row r="4100" spans="1:11" ht="42" customHeight="1">
      <c r="A4100" s="2" t="s">
        <v>10991</v>
      </c>
      <c r="B4100" s="2" t="s">
        <v>10991</v>
      </c>
      <c r="C4100" s="2" t="s">
        <v>111</v>
      </c>
      <c r="D4100" s="2" t="s">
        <v>27</v>
      </c>
      <c r="E4100" s="4">
        <v>-32677</v>
      </c>
      <c r="F4100" s="3" t="s">
        <v>209</v>
      </c>
      <c r="G4100" s="3" t="s">
        <v>210</v>
      </c>
      <c r="H4100" s="2" t="s">
        <v>74</v>
      </c>
      <c r="I4100" s="2" t="s">
        <v>10995</v>
      </c>
      <c r="J4100" s="3" t="str">
        <f>HYPERLINK("https://www.boe.es/gazeta/dias/1810/07/13/pdfs/GMD-1810-194.pdf#page=3","Abrir facsímil")</f>
        <v>Abrir facsímil</v>
      </c>
      <c r="K4100" s="3" t="s">
        <v>76</v>
      </c>
    </row>
    <row r="4101" spans="1:11" ht="42" customHeight="1">
      <c r="A4101" s="2" t="s">
        <v>10991</v>
      </c>
      <c r="B4101" s="2" t="s">
        <v>10991</v>
      </c>
      <c r="C4101" s="2" t="s">
        <v>26</v>
      </c>
      <c r="D4101" s="2" t="s">
        <v>27</v>
      </c>
      <c r="E4101" s="4">
        <v>-32591</v>
      </c>
      <c r="F4101" s="3" t="s">
        <v>377</v>
      </c>
      <c r="G4101" s="3" t="s">
        <v>886</v>
      </c>
      <c r="H4101" s="2" t="s">
        <v>74</v>
      </c>
      <c r="I4101" s="2" t="s">
        <v>10996</v>
      </c>
      <c r="J4101" s="3" t="str">
        <f>HYPERLINK("https://www.boe.es/gazeta/dias/1810/10/07/pdfs/GMD-1810-280.pdf#page=1","Abrir facsímil")</f>
        <v>Abrir facsímil</v>
      </c>
      <c r="K4101" s="3" t="s">
        <v>76</v>
      </c>
    </row>
    <row r="4102" spans="1:11" ht="42" customHeight="1">
      <c r="A4102" s="2" t="s">
        <v>10991</v>
      </c>
      <c r="B4102" s="2" t="s">
        <v>10991</v>
      </c>
      <c r="C4102" s="2" t="s">
        <v>88</v>
      </c>
      <c r="D4102" s="2" t="s">
        <v>117</v>
      </c>
      <c r="E4102" s="4">
        <v>-32585</v>
      </c>
      <c r="F4102" s="3" t="s">
        <v>10997</v>
      </c>
      <c r="G4102" s="3" t="s">
        <v>35</v>
      </c>
      <c r="H4102" s="2" t="s">
        <v>74</v>
      </c>
      <c r="I4102" s="2" t="s">
        <v>10998</v>
      </c>
      <c r="J4102" s="3" t="str">
        <f>HYPERLINK("https://www.boe.es/gazeta/dias/1810/10/13/pdfs/GMD-1810-286.pdf#page=2","Abrir facsímil")</f>
        <v>Abrir facsímil</v>
      </c>
      <c r="K4102" s="3" t="s">
        <v>76</v>
      </c>
    </row>
    <row r="4103" spans="1:11" ht="42" customHeight="1">
      <c r="A4103" s="2" t="s">
        <v>10991</v>
      </c>
      <c r="B4103" s="2" t="s">
        <v>10991</v>
      </c>
      <c r="C4103" s="2" t="s">
        <v>17</v>
      </c>
      <c r="D4103" s="2" t="s">
        <v>27</v>
      </c>
      <c r="E4103" s="4">
        <v>-32575</v>
      </c>
      <c r="F4103" s="3" t="s">
        <v>734</v>
      </c>
      <c r="G4103" s="3" t="s">
        <v>735</v>
      </c>
      <c r="H4103" s="2" t="s">
        <v>74</v>
      </c>
      <c r="I4103" s="2" t="s">
        <v>10999</v>
      </c>
      <c r="J4103" s="3" t="str">
        <f>HYPERLINK("https://www.boe.es/gazeta/dias/1810/10/23/pdfs/GMD-1810-296.pdf#page=3","Abrir facsímil")</f>
        <v>Abrir facsímil</v>
      </c>
      <c r="K4103" s="3" t="s">
        <v>76</v>
      </c>
    </row>
    <row r="4104" spans="1:11" ht="42" customHeight="1">
      <c r="A4104" s="2" t="s">
        <v>11000</v>
      </c>
      <c r="B4104" s="2" t="s">
        <v>11001</v>
      </c>
      <c r="C4104" s="2" t="s">
        <v>26</v>
      </c>
      <c r="D4104" s="2" t="s">
        <v>27</v>
      </c>
      <c r="E4104" s="4">
        <v>-32771</v>
      </c>
      <c r="F4104" s="3" t="s">
        <v>543</v>
      </c>
      <c r="G4104" s="3" t="s">
        <v>65</v>
      </c>
      <c r="H4104" s="2" t="s">
        <v>74</v>
      </c>
      <c r="I4104" s="2" t="s">
        <v>11002</v>
      </c>
      <c r="J4104" s="3" t="str">
        <f>HYPERLINK("https://www.boe.es/gazeta/dias/1810/04/10/pdfs/GEI-1810-13.pdf#page=7","Abrir facsímil")</f>
        <v>Abrir facsímil</v>
      </c>
      <c r="K4104" s="3" t="s">
        <v>76</v>
      </c>
    </row>
    <row r="4105" spans="1:11" ht="42" customHeight="1">
      <c r="A4105" s="2" t="s">
        <v>11003</v>
      </c>
      <c r="B4105" s="2" t="s">
        <v>11004</v>
      </c>
      <c r="C4105" s="2" t="s">
        <v>26</v>
      </c>
      <c r="D4105" s="2" t="s">
        <v>27</v>
      </c>
      <c r="E4105" s="4">
        <v>-32802</v>
      </c>
      <c r="F4105" s="3" t="s">
        <v>1075</v>
      </c>
      <c r="G4105" s="3" t="s">
        <v>90</v>
      </c>
      <c r="H4105" s="2" t="s">
        <v>74</v>
      </c>
      <c r="I4105" s="2" t="s">
        <v>11005</v>
      </c>
      <c r="J4105" s="3" t="str">
        <f>HYPERLINK("https://www.boe.es/gazeta/dias/1810/03/10/pdfs/GMD-1810-69.pdf#page=3","Abrir facsímil")</f>
        <v>Abrir facsímil</v>
      </c>
      <c r="K4105" s="3" t="s">
        <v>76</v>
      </c>
    </row>
    <row r="4106" spans="1:11" ht="42" customHeight="1">
      <c r="A4106" s="2" t="s">
        <v>11006</v>
      </c>
      <c r="B4106" s="2" t="s">
        <v>11006</v>
      </c>
      <c r="C4106" s="2" t="s">
        <v>111</v>
      </c>
      <c r="D4106" s="2" t="s">
        <v>220</v>
      </c>
      <c r="E4106" s="4">
        <v>-32805</v>
      </c>
      <c r="F4106" s="3" t="s">
        <v>2068</v>
      </c>
      <c r="G4106" s="3" t="s">
        <v>29</v>
      </c>
      <c r="H4106" s="2" t="s">
        <v>74</v>
      </c>
      <c r="I4106" s="2" t="s">
        <v>11007</v>
      </c>
      <c r="J4106" s="3" t="str">
        <f>HYPERLINK("https://www.boe.es/gazeta/dias/1810/03/07/pdfs/GMD-1810-66.pdf#page=4","Abrir facsímil")</f>
        <v>Abrir facsímil</v>
      </c>
      <c r="K4106" s="3" t="s">
        <v>76</v>
      </c>
    </row>
    <row r="4107" spans="1:11" ht="42" customHeight="1">
      <c r="A4107" s="2" t="s">
        <v>11008</v>
      </c>
      <c r="B4107" s="2" t="s">
        <v>11009</v>
      </c>
      <c r="C4107" s="2" t="s">
        <v>26</v>
      </c>
      <c r="D4107" s="2" t="s">
        <v>27</v>
      </c>
      <c r="E4107" s="4">
        <v>-32710</v>
      </c>
      <c r="F4107" s="3" t="s">
        <v>126</v>
      </c>
      <c r="G4107" s="3" t="s">
        <v>20</v>
      </c>
      <c r="H4107" s="2" t="s">
        <v>74</v>
      </c>
      <c r="I4107" s="2" t="s">
        <v>11010</v>
      </c>
      <c r="J4107" s="3" t="str">
        <f>HYPERLINK("https://www.boe.es/gazeta/dias/1810/06/10/pdfs/GMD-1810-161.pdf#page=4","Abrir facsímil")</f>
        <v>Abrir facsímil</v>
      </c>
      <c r="K4107" s="3" t="s">
        <v>76</v>
      </c>
    </row>
    <row r="4108" spans="1:11" ht="42" customHeight="1">
      <c r="A4108" s="2" t="s">
        <v>11011</v>
      </c>
      <c r="B4108" s="2" t="s">
        <v>11012</v>
      </c>
      <c r="C4108" s="2" t="s">
        <v>26</v>
      </c>
      <c r="D4108" s="2" t="s">
        <v>27</v>
      </c>
      <c r="E4108" s="4">
        <v>-32543</v>
      </c>
      <c r="F4108" s="3" t="s">
        <v>69</v>
      </c>
      <c r="G4108" s="3" t="s">
        <v>70</v>
      </c>
      <c r="H4108" s="2" t="s">
        <v>74</v>
      </c>
      <c r="I4108" s="2" t="s">
        <v>11013</v>
      </c>
      <c r="J4108" s="3" t="str">
        <f>HYPERLINK("https://www.boe.es/gazeta/dias/1810/11/24/pdfs/GEI-1810-99.pdf#page=8","Abrir facsímil")</f>
        <v>Abrir facsímil</v>
      </c>
      <c r="K4108" s="3" t="s">
        <v>76</v>
      </c>
    </row>
    <row r="4109" spans="1:11" ht="42" customHeight="1">
      <c r="A4109" s="2" t="s">
        <v>11014</v>
      </c>
      <c r="B4109" s="2" t="s">
        <v>11015</v>
      </c>
      <c r="C4109" s="2" t="s">
        <v>225</v>
      </c>
      <c r="D4109" s="2" t="s">
        <v>27</v>
      </c>
      <c r="E4109" s="4">
        <v>-32764</v>
      </c>
      <c r="F4109" s="3" t="s">
        <v>640</v>
      </c>
      <c r="G4109" s="3" t="s">
        <v>641</v>
      </c>
      <c r="H4109" s="2" t="s">
        <v>74</v>
      </c>
      <c r="I4109" s="2" t="s">
        <v>11016</v>
      </c>
      <c r="J4109" s="3" t="str">
        <f>HYPERLINK("https://www.boe.es/gazeta/dias/1810/04/17/pdfs/GEI-1810-15.pdf#page=8","Abrir facsímil")</f>
        <v>Abrir facsímil</v>
      </c>
      <c r="K4109" s="3" t="s">
        <v>76</v>
      </c>
    </row>
    <row r="4110" spans="1:11" ht="42" customHeight="1">
      <c r="A4110" s="2" t="s">
        <v>11017</v>
      </c>
      <c r="B4110" s="2" t="s">
        <v>11018</v>
      </c>
      <c r="C4110" s="2" t="s">
        <v>88</v>
      </c>
      <c r="D4110" s="2" t="s">
        <v>27</v>
      </c>
      <c r="E4110" s="4">
        <v>-32710</v>
      </c>
      <c r="F4110" s="3" t="s">
        <v>126</v>
      </c>
      <c r="G4110" s="3" t="s">
        <v>35</v>
      </c>
      <c r="H4110" s="2" t="s">
        <v>74</v>
      </c>
      <c r="I4110" s="2" t="s">
        <v>11019</v>
      </c>
      <c r="J4110" s="3" t="str">
        <f>HYPERLINK("https://www.boe.es/gazeta/dias/1810/06/10/pdfs/GMD-1810-161.pdf#page=2","Abrir facsímil")</f>
        <v>Abrir facsímil</v>
      </c>
      <c r="K4110" s="3" t="s">
        <v>76</v>
      </c>
    </row>
    <row r="4111" spans="1:11" ht="42" customHeight="1">
      <c r="A4111" s="2" t="s">
        <v>11020</v>
      </c>
      <c r="B4111" s="2" t="s">
        <v>11021</v>
      </c>
      <c r="C4111" s="2" t="s">
        <v>88</v>
      </c>
      <c r="D4111" s="2" t="s">
        <v>27</v>
      </c>
      <c r="E4111" s="4">
        <v>-32575</v>
      </c>
      <c r="F4111" s="3" t="s">
        <v>135</v>
      </c>
      <c r="G4111" s="3" t="s">
        <v>7908</v>
      </c>
      <c r="H4111" s="2" t="s">
        <v>74</v>
      </c>
      <c r="I4111" s="2" t="s">
        <v>11022</v>
      </c>
      <c r="J4111" s="3" t="str">
        <f>HYPERLINK("https://www.boe.es/gazeta/dias/1810/10/23/pdfs/GEI-1810-85.pdf#page=7","Abrir facsímil")</f>
        <v>Abrir facsímil</v>
      </c>
      <c r="K4111" s="3" t="s">
        <v>76</v>
      </c>
    </row>
    <row r="4112" spans="1:11" ht="42" customHeight="1">
      <c r="A4112" s="2" t="s">
        <v>11023</v>
      </c>
      <c r="B4112" s="2" t="s">
        <v>11023</v>
      </c>
      <c r="C4112" s="2" t="s">
        <v>26</v>
      </c>
      <c r="D4112" s="2" t="s">
        <v>27</v>
      </c>
      <c r="E4112" s="4">
        <v>-32663</v>
      </c>
      <c r="F4112" s="3" t="s">
        <v>1615</v>
      </c>
      <c r="G4112" s="3" t="s">
        <v>29</v>
      </c>
      <c r="H4112" s="2" t="s">
        <v>74</v>
      </c>
      <c r="I4112" s="2" t="s">
        <v>11024</v>
      </c>
      <c r="J4112" s="3" t="str">
        <f>HYPERLINK("https://www.boe.es/gazeta/dias/1810/07/27/pdfs/GMD-1810-208.pdf#page=2","Abrir facsímil")</f>
        <v>Abrir facsímil</v>
      </c>
      <c r="K4112" s="3" t="s">
        <v>76</v>
      </c>
    </row>
    <row r="4113" spans="1:11" ht="42" customHeight="1">
      <c r="A4113" s="2" t="s">
        <v>11025</v>
      </c>
      <c r="B4113" s="2" t="s">
        <v>11025</v>
      </c>
      <c r="C4113" s="2" t="s">
        <v>26</v>
      </c>
      <c r="D4113" s="2" t="s">
        <v>27</v>
      </c>
      <c r="E4113" s="4">
        <v>-32508</v>
      </c>
      <c r="F4113" s="3" t="s">
        <v>864</v>
      </c>
      <c r="G4113" s="3" t="s">
        <v>691</v>
      </c>
      <c r="H4113" s="2" t="s">
        <v>74</v>
      </c>
      <c r="I4113" s="2" t="s">
        <v>11026</v>
      </c>
      <c r="J4113" s="3" t="str">
        <f>HYPERLINK("https://www.boe.es/gazeta/dias/1810/12/29/pdfs/GEI-1810-114.pdf#page=8","Abrir facsímil")</f>
        <v>Abrir facsímil</v>
      </c>
      <c r="K4113" s="3" t="s">
        <v>76</v>
      </c>
    </row>
    <row r="4114" spans="1:11" ht="42" customHeight="1">
      <c r="A4114" s="2" t="s">
        <v>11027</v>
      </c>
      <c r="B4114" s="2" t="s">
        <v>11027</v>
      </c>
      <c r="C4114" s="2" t="s">
        <v>26</v>
      </c>
      <c r="D4114" s="2" t="s">
        <v>27</v>
      </c>
      <c r="E4114" s="4">
        <v>-32815</v>
      </c>
      <c r="F4114" s="3" t="s">
        <v>1201</v>
      </c>
      <c r="G4114" s="3" t="s">
        <v>90</v>
      </c>
      <c r="H4114" s="2" t="s">
        <v>74</v>
      </c>
      <c r="I4114" s="2" t="s">
        <v>11028</v>
      </c>
      <c r="J4114" s="3" t="str">
        <f>HYPERLINK("https://www.boe.es/gazeta/dias/1810/02/25/pdfs/GMD-1810-56.pdf#page=2","Abrir facsímil")</f>
        <v>Abrir facsímil</v>
      </c>
      <c r="K4114" s="3" t="s">
        <v>76</v>
      </c>
    </row>
    <row r="4115" spans="1:11" ht="42" customHeight="1">
      <c r="A4115" s="2" t="s">
        <v>11029</v>
      </c>
      <c r="B4115" s="2" t="s">
        <v>11030</v>
      </c>
      <c r="C4115" s="2" t="s">
        <v>88</v>
      </c>
      <c r="D4115" s="2" t="s">
        <v>27</v>
      </c>
      <c r="E4115" s="4">
        <v>-32842</v>
      </c>
      <c r="F4115" s="3" t="s">
        <v>1291</v>
      </c>
      <c r="G4115" s="3" t="s">
        <v>1292</v>
      </c>
      <c r="H4115" s="2" t="s">
        <v>74</v>
      </c>
      <c r="I4115" s="2" t="s">
        <v>11031</v>
      </c>
      <c r="J4115" s="3" t="str">
        <f>HYPERLINK("https://www.boe.es/gazeta/dias/1810/01/29/pdfs/GMD-1810-29.pdf#page=3","Abrir facsímil")</f>
        <v>Abrir facsímil</v>
      </c>
      <c r="K4115" s="3" t="s">
        <v>76</v>
      </c>
    </row>
    <row r="4116" spans="1:11" ht="42" customHeight="1">
      <c r="A4116" s="2" t="s">
        <v>11032</v>
      </c>
      <c r="B4116" s="2" t="s">
        <v>11033</v>
      </c>
      <c r="C4116" s="2" t="s">
        <v>26</v>
      </c>
      <c r="D4116" s="2" t="s">
        <v>27</v>
      </c>
      <c r="E4116" s="4">
        <v>-32569</v>
      </c>
      <c r="F4116" s="3" t="s">
        <v>421</v>
      </c>
      <c r="G4116" s="3" t="s">
        <v>20</v>
      </c>
      <c r="H4116" s="2" t="s">
        <v>74</v>
      </c>
      <c r="I4116" s="2" t="s">
        <v>11034</v>
      </c>
      <c r="J4116" s="3" t="str">
        <f>HYPERLINK("https://www.boe.es/gazeta/dias/1810/10/29/pdfs/GMD-1810-302.pdf#page=4","Abrir facsímil")</f>
        <v>Abrir facsímil</v>
      </c>
      <c r="K4116" s="3" t="s">
        <v>76</v>
      </c>
    </row>
    <row r="4117" spans="1:11" ht="42" customHeight="1">
      <c r="A4117" s="2" t="s">
        <v>11035</v>
      </c>
      <c r="B4117" s="2" t="s">
        <v>11036</v>
      </c>
      <c r="C4117" s="2" t="s">
        <v>26</v>
      </c>
      <c r="D4117" s="2" t="s">
        <v>39</v>
      </c>
      <c r="E4117" s="4">
        <v>-32661</v>
      </c>
      <c r="F4117" s="3" t="s">
        <v>157</v>
      </c>
      <c r="G4117" s="3" t="s">
        <v>592</v>
      </c>
      <c r="H4117" s="2" t="s">
        <v>74</v>
      </c>
      <c r="I4117" s="2" t="s">
        <v>11037</v>
      </c>
      <c r="J4117" s="3" t="str">
        <f>HYPERLINK("https://www.boe.es/gazeta/dias/1810/07/29/pdfs/GMD-C-1810-210.pdf#page=2","Abrir facsímil")</f>
        <v>Abrir facsímil</v>
      </c>
      <c r="K4117" s="3" t="s">
        <v>76</v>
      </c>
    </row>
    <row r="4118" spans="1:11" ht="42" customHeight="1">
      <c r="A4118" s="2" t="s">
        <v>11038</v>
      </c>
      <c r="B4118" s="2" t="s">
        <v>11039</v>
      </c>
      <c r="C4118" s="2" t="s">
        <v>26</v>
      </c>
      <c r="D4118" s="2" t="s">
        <v>27</v>
      </c>
      <c r="E4118" s="4">
        <v>-32710</v>
      </c>
      <c r="F4118" s="3" t="s">
        <v>126</v>
      </c>
      <c r="G4118" s="3" t="s">
        <v>184</v>
      </c>
      <c r="H4118" s="2" t="s">
        <v>74</v>
      </c>
      <c r="I4118" s="2" t="s">
        <v>11040</v>
      </c>
      <c r="J4118" s="3" t="str">
        <f>HYPERLINK("https://www.boe.es/gazeta/dias/1810/06/10/pdfs/GMD-1810-161.pdf#page=3","Abrir facsímil")</f>
        <v>Abrir facsímil</v>
      </c>
      <c r="K4118" s="3" t="s">
        <v>76</v>
      </c>
    </row>
    <row r="4119" spans="1:11" ht="42" customHeight="1">
      <c r="A4119" s="2" t="s">
        <v>11041</v>
      </c>
      <c r="B4119" s="2" t="s">
        <v>11042</v>
      </c>
      <c r="C4119" s="2" t="s">
        <v>26</v>
      </c>
      <c r="D4119" s="2" t="s">
        <v>58</v>
      </c>
      <c r="E4119" s="4">
        <v>-32651</v>
      </c>
      <c r="F4119" s="3" t="s">
        <v>59</v>
      </c>
      <c r="G4119" s="3" t="s">
        <v>2327</v>
      </c>
      <c r="H4119" s="2" t="s">
        <v>74</v>
      </c>
      <c r="I4119" s="2" t="s">
        <v>11043</v>
      </c>
      <c r="J4119" s="3" t="str">
        <f>HYPERLINK("https://www.boe.es/gazeta/dias/1810/08/08/pdfs/GEI-1810-53E.pdf#page=11","Abrir facsímil")</f>
        <v>Abrir facsímil</v>
      </c>
      <c r="K4119" s="3" t="s">
        <v>76</v>
      </c>
    </row>
    <row r="4120" spans="1:11" ht="42" customHeight="1">
      <c r="A4120" s="2" t="s">
        <v>11044</v>
      </c>
      <c r="B4120" s="2" t="s">
        <v>11045</v>
      </c>
      <c r="C4120" s="2" t="s">
        <v>26</v>
      </c>
      <c r="D4120" s="2" t="s">
        <v>27</v>
      </c>
      <c r="E4120" s="4">
        <v>-32869</v>
      </c>
      <c r="F4120" s="3" t="s">
        <v>5318</v>
      </c>
      <c r="G4120" s="3" t="s">
        <v>227</v>
      </c>
      <c r="H4120" s="2" t="s">
        <v>74</v>
      </c>
      <c r="I4120" s="2" t="s">
        <v>11046</v>
      </c>
      <c r="J4120" s="3" t="str">
        <f>HYPERLINK("https://www.boe.es/gazeta/dias/1810/01/02/pdfs/GGB-1810-1.pdf#page=6","Abrir facsímil")</f>
        <v>Abrir facsímil</v>
      </c>
      <c r="K4120" s="3" t="s">
        <v>76</v>
      </c>
    </row>
    <row r="4121" spans="1:11" ht="42" customHeight="1">
      <c r="A4121" s="2" t="s">
        <v>11047</v>
      </c>
      <c r="B4121" s="2" t="s">
        <v>11048</v>
      </c>
      <c r="C4121" s="2" t="s">
        <v>317</v>
      </c>
      <c r="D4121" s="2" t="s">
        <v>27</v>
      </c>
      <c r="E4121" s="4">
        <v>-32649</v>
      </c>
      <c r="F4121" s="3" t="s">
        <v>1988</v>
      </c>
      <c r="G4121" s="3" t="s">
        <v>227</v>
      </c>
      <c r="H4121" s="2" t="s">
        <v>74</v>
      </c>
      <c r="I4121" s="2" t="s">
        <v>11049</v>
      </c>
      <c r="J4121" s="3" t="str">
        <f>HYPERLINK("https://www.boe.es/gazeta/dias/1810/08/10/pdfs/GMD-1810-222.pdf#page=4","Abrir facsímil")</f>
        <v>Abrir facsímil</v>
      </c>
      <c r="K4121" s="3" t="s">
        <v>76</v>
      </c>
    </row>
    <row r="4122" spans="1:11" ht="42" customHeight="1">
      <c r="A4122" s="2" t="s">
        <v>11050</v>
      </c>
      <c r="B4122" s="2" t="s">
        <v>11051</v>
      </c>
      <c r="C4122" s="2" t="s">
        <v>88</v>
      </c>
      <c r="D4122" s="2" t="s">
        <v>27</v>
      </c>
      <c r="E4122" s="4">
        <v>-32517</v>
      </c>
      <c r="F4122" s="3" t="s">
        <v>566</v>
      </c>
      <c r="G4122" s="3" t="s">
        <v>762</v>
      </c>
      <c r="H4122" s="2" t="s">
        <v>74</v>
      </c>
      <c r="I4122" s="2" t="s">
        <v>11052</v>
      </c>
      <c r="J4122" s="3" t="str">
        <f>HYPERLINK("https://www.boe.es/gazeta/dias/1810/12/20/pdfs/GEI-1810-110.pdf#page=8","Abrir facsímil")</f>
        <v>Abrir facsímil</v>
      </c>
      <c r="K4122" s="3" t="s">
        <v>76</v>
      </c>
    </row>
    <row r="4123" spans="1:11" ht="42" customHeight="1">
      <c r="A4123" s="2" t="s">
        <v>11053</v>
      </c>
      <c r="B4123" s="2" t="s">
        <v>11054</v>
      </c>
      <c r="C4123" s="2" t="s">
        <v>26</v>
      </c>
      <c r="D4123" s="2" t="s">
        <v>27</v>
      </c>
      <c r="E4123" s="4">
        <v>-32842</v>
      </c>
      <c r="F4123" s="3" t="s">
        <v>1291</v>
      </c>
      <c r="G4123" s="3" t="s">
        <v>70</v>
      </c>
      <c r="H4123" s="2" t="s">
        <v>74</v>
      </c>
      <c r="I4123" s="2" t="s">
        <v>11055</v>
      </c>
      <c r="J4123" s="3" t="str">
        <f>HYPERLINK("https://www.boe.es/gazeta/dias/1810/01/29/pdfs/GMD-1810-29.pdf#page=4","Abrir facsímil")</f>
        <v>Abrir facsímil</v>
      </c>
      <c r="K4123" s="3" t="s">
        <v>76</v>
      </c>
    </row>
    <row r="4124" spans="1:11" ht="42" customHeight="1">
      <c r="A4124" s="2" t="s">
        <v>11053</v>
      </c>
      <c r="B4124" s="2" t="s">
        <v>11054</v>
      </c>
      <c r="C4124" s="2" t="s">
        <v>225</v>
      </c>
      <c r="D4124" s="2" t="s">
        <v>27</v>
      </c>
      <c r="E4124" s="4">
        <v>-32743</v>
      </c>
      <c r="F4124" s="3" t="s">
        <v>2265</v>
      </c>
      <c r="G4124" s="3" t="s">
        <v>9425</v>
      </c>
      <c r="H4124" s="2" t="s">
        <v>74</v>
      </c>
      <c r="I4124" s="2" t="s">
        <v>11056</v>
      </c>
      <c r="J4124" s="3" t="str">
        <f>HYPERLINK("https://www.boe.es/gazeta/dias/1810/05/08/pdfs/GEI-1810-22.pdf#page=2","Abrir facsímil")</f>
        <v>Abrir facsímil</v>
      </c>
      <c r="K4124" s="3" t="s">
        <v>76</v>
      </c>
    </row>
    <row r="4125" spans="1:11" ht="42" customHeight="1">
      <c r="A4125" s="2" t="s">
        <v>11053</v>
      </c>
      <c r="B4125" s="2" t="s">
        <v>11054</v>
      </c>
      <c r="C4125" s="2" t="s">
        <v>26</v>
      </c>
      <c r="D4125" s="2" t="s">
        <v>27</v>
      </c>
      <c r="E4125" s="4">
        <v>-32708</v>
      </c>
      <c r="F4125" s="3" t="s">
        <v>654</v>
      </c>
      <c r="G4125" s="3" t="s">
        <v>8120</v>
      </c>
      <c r="H4125" s="2" t="s">
        <v>74</v>
      </c>
      <c r="I4125" s="2" t="s">
        <v>11057</v>
      </c>
      <c r="J4125" s="3" t="str">
        <f>HYPERLINK("https://www.boe.es/gazeta/dias/1810/06/12/pdfs/GEI-1810-35.pdf#page=7","Abrir facsímil")</f>
        <v>Abrir facsímil</v>
      </c>
      <c r="K4125" s="3" t="s">
        <v>76</v>
      </c>
    </row>
    <row r="4126" spans="1:11" ht="42" customHeight="1">
      <c r="A4126" s="2" t="s">
        <v>11053</v>
      </c>
      <c r="B4126" s="2" t="s">
        <v>11054</v>
      </c>
      <c r="C4126" s="2" t="s">
        <v>26</v>
      </c>
      <c r="D4126" s="2" t="s">
        <v>39</v>
      </c>
      <c r="E4126" s="4">
        <v>-32702</v>
      </c>
      <c r="F4126" s="3" t="s">
        <v>179</v>
      </c>
      <c r="G4126" s="3" t="s">
        <v>119</v>
      </c>
      <c r="H4126" s="2" t="s">
        <v>74</v>
      </c>
      <c r="I4126" s="2" t="s">
        <v>11058</v>
      </c>
      <c r="J4126" s="3" t="str">
        <f>HYPERLINK("https://www.boe.es/gazeta/dias/1810/06/18/pdfs/GMD-C-1810-169.pdf#page=1","Abrir facsímil")</f>
        <v>Abrir facsímil</v>
      </c>
      <c r="K4126" s="3" t="s">
        <v>76</v>
      </c>
    </row>
    <row r="4127" spans="1:11" ht="42" customHeight="1">
      <c r="A4127" s="2" t="s">
        <v>11053</v>
      </c>
      <c r="B4127" s="2" t="s">
        <v>11054</v>
      </c>
      <c r="C4127" s="2" t="s">
        <v>26</v>
      </c>
      <c r="D4127" s="2" t="s">
        <v>39</v>
      </c>
      <c r="E4127" s="4">
        <v>-32702</v>
      </c>
      <c r="F4127" s="3" t="s">
        <v>179</v>
      </c>
      <c r="G4127" s="3" t="s">
        <v>213</v>
      </c>
      <c r="H4127" s="2" t="s">
        <v>74</v>
      </c>
      <c r="I4127" s="2" t="s">
        <v>11059</v>
      </c>
      <c r="J4127" s="3" t="str">
        <f>HYPERLINK("https://www.boe.es/gazeta/dias/1810/06/18/pdfs/GMD-C-1810-169.pdf#page=4","Abrir facsímil")</f>
        <v>Abrir facsímil</v>
      </c>
      <c r="K4127" s="3" t="s">
        <v>76</v>
      </c>
    </row>
    <row r="4128" spans="1:11" ht="42" customHeight="1">
      <c r="A4128" s="2" t="s">
        <v>11053</v>
      </c>
      <c r="B4128" s="2" t="s">
        <v>11054</v>
      </c>
      <c r="C4128" s="2" t="s">
        <v>88</v>
      </c>
      <c r="D4128" s="2" t="s">
        <v>27</v>
      </c>
      <c r="E4128" s="4">
        <v>-32687</v>
      </c>
      <c r="F4128" s="3" t="s">
        <v>221</v>
      </c>
      <c r="G4128" s="3" t="s">
        <v>20</v>
      </c>
      <c r="H4128" s="2" t="s">
        <v>74</v>
      </c>
      <c r="I4128" s="2" t="s">
        <v>11060</v>
      </c>
      <c r="J4128" s="3" t="str">
        <f>HYPERLINK("https://www.boe.es/gazeta/dias/1810/07/03/pdfs/GMD-1810-184.pdf#page=4","Abrir facsímil")</f>
        <v>Abrir facsímil</v>
      </c>
      <c r="K4128" s="3" t="s">
        <v>76</v>
      </c>
    </row>
    <row r="4129" spans="1:11" ht="42" customHeight="1">
      <c r="A4129" s="2" t="s">
        <v>11053</v>
      </c>
      <c r="B4129" s="2" t="s">
        <v>11054</v>
      </c>
      <c r="C4129" s="2" t="s">
        <v>26</v>
      </c>
      <c r="D4129" s="2" t="s">
        <v>39</v>
      </c>
      <c r="E4129" s="4">
        <v>-32661</v>
      </c>
      <c r="F4129" s="3" t="s">
        <v>157</v>
      </c>
      <c r="G4129" s="3" t="s">
        <v>592</v>
      </c>
      <c r="H4129" s="2" t="s">
        <v>74</v>
      </c>
      <c r="I4129" s="2" t="s">
        <v>11061</v>
      </c>
      <c r="J4129" s="3" t="str">
        <f>HYPERLINK("https://www.boe.es/gazeta/dias/1810/07/29/pdfs/GMD-C-1810-210.pdf#page=2","Abrir facsímil")</f>
        <v>Abrir facsímil</v>
      </c>
      <c r="K4129" s="3" t="s">
        <v>76</v>
      </c>
    </row>
    <row r="4130" spans="1:11" ht="42" customHeight="1">
      <c r="A4130" s="2" t="s">
        <v>11053</v>
      </c>
      <c r="B4130" s="2" t="s">
        <v>11054</v>
      </c>
      <c r="C4130" s="2" t="s">
        <v>26</v>
      </c>
      <c r="D4130" s="2" t="s">
        <v>27</v>
      </c>
      <c r="E4130" s="4">
        <v>-32659</v>
      </c>
      <c r="F4130" s="3" t="s">
        <v>1684</v>
      </c>
      <c r="G4130" s="3" t="s">
        <v>29</v>
      </c>
      <c r="H4130" s="2" t="s">
        <v>74</v>
      </c>
      <c r="I4130" s="2" t="s">
        <v>11062</v>
      </c>
      <c r="J4130" s="3" t="str">
        <f>HYPERLINK("https://www.boe.es/gazeta/dias/1810/07/31/pdfs/GMD-1810-212.pdf#page=4","Abrir facsímil")</f>
        <v>Abrir facsímil</v>
      </c>
      <c r="K4130" s="3" t="s">
        <v>76</v>
      </c>
    </row>
    <row r="4131" spans="1:11" ht="42" customHeight="1">
      <c r="A4131" s="2" t="s">
        <v>11063</v>
      </c>
      <c r="B4131" s="2" t="s">
        <v>11064</v>
      </c>
      <c r="C4131" s="2" t="s">
        <v>33</v>
      </c>
      <c r="D4131" s="2" t="s">
        <v>18</v>
      </c>
      <c r="E4131" s="4">
        <v>-32725</v>
      </c>
      <c r="F4131" s="3" t="s">
        <v>417</v>
      </c>
      <c r="G4131" s="3" t="s">
        <v>140</v>
      </c>
      <c r="H4131" s="2" t="s">
        <v>74</v>
      </c>
      <c r="I4131" s="2" t="s">
        <v>11065</v>
      </c>
      <c r="J4131" s="3" t="str">
        <f>HYPERLINK("https://www.boe.es/gazeta/dias/1810/05/26/pdfs/GMD-1810-146.pdf#page=4","Abrir facsímil")</f>
        <v>Abrir facsímil</v>
      </c>
      <c r="K4131" s="3" t="s">
        <v>76</v>
      </c>
    </row>
    <row r="4132" spans="1:11" ht="42" customHeight="1">
      <c r="A4132" s="2" t="s">
        <v>11066</v>
      </c>
      <c r="B4132" s="2" t="s">
        <v>11067</v>
      </c>
      <c r="C4132" s="2" t="s">
        <v>26</v>
      </c>
      <c r="D4132" s="2" t="s">
        <v>27</v>
      </c>
      <c r="E4132" s="4">
        <v>-32569</v>
      </c>
      <c r="F4132" s="3" t="s">
        <v>421</v>
      </c>
      <c r="G4132" s="3" t="s">
        <v>20</v>
      </c>
      <c r="H4132" s="2" t="s">
        <v>74</v>
      </c>
      <c r="I4132" s="2" t="s">
        <v>11068</v>
      </c>
      <c r="J4132" s="3" t="str">
        <f>HYPERLINK("https://www.boe.es/gazeta/dias/1810/10/29/pdfs/GMD-1810-302.pdf#page=4","Abrir facsímil")</f>
        <v>Abrir facsímil</v>
      </c>
      <c r="K4132" s="3" t="s">
        <v>76</v>
      </c>
    </row>
    <row r="4133" spans="1:11" ht="42" customHeight="1">
      <c r="A4133" s="2" t="s">
        <v>11069</v>
      </c>
      <c r="B4133" s="2" t="s">
        <v>11070</v>
      </c>
      <c r="C4133" s="2" t="s">
        <v>26</v>
      </c>
      <c r="D4133" s="2" t="s">
        <v>27</v>
      </c>
      <c r="E4133" s="4">
        <v>-32689</v>
      </c>
      <c r="F4133" s="3" t="s">
        <v>571</v>
      </c>
      <c r="G4133" s="3" t="s">
        <v>140</v>
      </c>
      <c r="H4133" s="2" t="s">
        <v>74</v>
      </c>
      <c r="I4133" s="2" t="s">
        <v>11071</v>
      </c>
      <c r="J4133" s="3" t="str">
        <f>HYPERLINK("https://www.boe.es/gazeta/dias/1810/07/01/pdfs/GMD-1810-182.pdf#page=4","Abrir facsímil")</f>
        <v>Abrir facsímil</v>
      </c>
      <c r="K4133" s="3" t="s">
        <v>76</v>
      </c>
    </row>
    <row r="4134" spans="1:11" ht="42" customHeight="1">
      <c r="A4134" s="2" t="s">
        <v>11072</v>
      </c>
      <c r="B4134" s="2" t="s">
        <v>11073</v>
      </c>
      <c r="C4134" s="2" t="s">
        <v>195</v>
      </c>
      <c r="D4134" s="2" t="s">
        <v>27</v>
      </c>
      <c r="E4134" s="4">
        <v>-32563</v>
      </c>
      <c r="F4134" s="3" t="s">
        <v>535</v>
      </c>
      <c r="G4134" s="3" t="s">
        <v>5594</v>
      </c>
      <c r="H4134" s="2" t="s">
        <v>74</v>
      </c>
      <c r="I4134" s="2" t="s">
        <v>11074</v>
      </c>
      <c r="J4134" s="3" t="str">
        <f>HYPERLINK("https://www.boe.es/gazeta/dias/1810/11/04/pdfs/GMD-1810-308.pdf#page=10","Abrir facsímil")</f>
        <v>Abrir facsímil</v>
      </c>
      <c r="K4134" s="3" t="s">
        <v>76</v>
      </c>
    </row>
    <row r="4135" spans="1:11" ht="42" customHeight="1">
      <c r="A4135" s="2" t="s">
        <v>11075</v>
      </c>
      <c r="B4135" s="2" t="s">
        <v>11076</v>
      </c>
      <c r="C4135" s="2" t="s">
        <v>26</v>
      </c>
      <c r="D4135" s="2" t="s">
        <v>27</v>
      </c>
      <c r="E4135" s="4">
        <v>-32669</v>
      </c>
      <c r="F4135" s="3" t="s">
        <v>217</v>
      </c>
      <c r="G4135" s="3" t="s">
        <v>20</v>
      </c>
      <c r="H4135" s="2" t="s">
        <v>74</v>
      </c>
      <c r="I4135" s="2" t="s">
        <v>11077</v>
      </c>
      <c r="J4135" s="3" t="str">
        <f>HYPERLINK("https://www.boe.es/gazeta/dias/1810/07/21/pdfs/GMD-1810-202.pdf#page=4","Abrir facsímil")</f>
        <v>Abrir facsímil</v>
      </c>
      <c r="K4135" s="3" t="s">
        <v>76</v>
      </c>
    </row>
    <row r="4136" spans="1:11" ht="42" customHeight="1">
      <c r="A4136" s="2" t="s">
        <v>11078</v>
      </c>
      <c r="B4136" s="2" t="s">
        <v>11079</v>
      </c>
      <c r="C4136" s="2" t="s">
        <v>88</v>
      </c>
      <c r="D4136" s="2" t="s">
        <v>27</v>
      </c>
      <c r="E4136" s="4">
        <v>-32566</v>
      </c>
      <c r="F4136" s="3" t="s">
        <v>649</v>
      </c>
      <c r="G4136" s="3" t="s">
        <v>11080</v>
      </c>
      <c r="H4136" s="2" t="s">
        <v>74</v>
      </c>
      <c r="I4136" s="2" t="s">
        <v>11081</v>
      </c>
      <c r="J4136" s="3" t="str">
        <f>HYPERLINK("https://www.boe.es/gazeta/dias/1810/11/01/pdfs/GEI-1810-89.pdf#page=8","Abrir facsímil")</f>
        <v>Abrir facsímil</v>
      </c>
      <c r="K4136" s="3" t="s">
        <v>76</v>
      </c>
    </row>
    <row r="4137" spans="1:11" ht="42" customHeight="1">
      <c r="A4137" s="2" t="s">
        <v>11082</v>
      </c>
      <c r="B4137" s="2" t="s">
        <v>11083</v>
      </c>
      <c r="C4137" s="2" t="s">
        <v>26</v>
      </c>
      <c r="D4137" s="2" t="s">
        <v>27</v>
      </c>
      <c r="E4137" s="4">
        <v>-32842</v>
      </c>
      <c r="F4137" s="3" t="s">
        <v>1291</v>
      </c>
      <c r="G4137" s="3" t="s">
        <v>70</v>
      </c>
      <c r="H4137" s="2" t="s">
        <v>74</v>
      </c>
      <c r="I4137" s="2" t="s">
        <v>11084</v>
      </c>
      <c r="J4137" s="3" t="str">
        <f>HYPERLINK("https://www.boe.es/gazeta/dias/1810/01/29/pdfs/GMD-1810-29.pdf#page=4","Abrir facsímil")</f>
        <v>Abrir facsímil</v>
      </c>
      <c r="K4137" s="3" t="s">
        <v>76</v>
      </c>
    </row>
    <row r="4138" spans="1:11" ht="42" customHeight="1">
      <c r="A4138" s="2" t="s">
        <v>11085</v>
      </c>
      <c r="B4138" s="2" t="s">
        <v>11086</v>
      </c>
      <c r="C4138" s="2" t="s">
        <v>88</v>
      </c>
      <c r="D4138" s="2" t="s">
        <v>117</v>
      </c>
      <c r="E4138" s="4">
        <v>-32827</v>
      </c>
      <c r="F4138" s="3" t="s">
        <v>290</v>
      </c>
      <c r="G4138" s="3" t="s">
        <v>291</v>
      </c>
      <c r="H4138" s="2" t="s">
        <v>74</v>
      </c>
      <c r="I4138" s="2" t="s">
        <v>11087</v>
      </c>
      <c r="J4138" s="3" t="str">
        <f>HYPERLINK("https://www.boe.es/gazeta/dias/1810/02/13/pdfs/GMD-1810-44.pdf#page=4","Abrir facsímil")</f>
        <v>Abrir facsímil</v>
      </c>
      <c r="K4138" s="3" t="s">
        <v>76</v>
      </c>
    </row>
    <row r="4139" spans="1:11" ht="42" customHeight="1">
      <c r="A4139" s="2" t="s">
        <v>11088</v>
      </c>
      <c r="B4139" s="2" t="s">
        <v>11089</v>
      </c>
      <c r="C4139" s="2" t="s">
        <v>88</v>
      </c>
      <c r="D4139" s="2" t="s">
        <v>117</v>
      </c>
      <c r="E4139" s="4">
        <v>-32827</v>
      </c>
      <c r="F4139" s="3" t="s">
        <v>290</v>
      </c>
      <c r="G4139" s="3" t="s">
        <v>291</v>
      </c>
      <c r="H4139" s="2" t="s">
        <v>74</v>
      </c>
      <c r="I4139" s="2" t="s">
        <v>11090</v>
      </c>
      <c r="J4139" s="3" t="str">
        <f>HYPERLINK("https://www.boe.es/gazeta/dias/1810/02/13/pdfs/GMD-1810-44.pdf#page=4","Abrir facsímil")</f>
        <v>Abrir facsímil</v>
      </c>
      <c r="K4139" s="3" t="s">
        <v>76</v>
      </c>
    </row>
    <row r="4140" spans="1:11" ht="42" customHeight="1">
      <c r="A4140" s="2" t="s">
        <v>11091</v>
      </c>
      <c r="B4140" s="2" t="s">
        <v>11092</v>
      </c>
      <c r="C4140" s="2" t="s">
        <v>26</v>
      </c>
      <c r="D4140" s="2" t="s">
        <v>27</v>
      </c>
      <c r="E4140" s="4">
        <v>-32647</v>
      </c>
      <c r="F4140" s="3" t="s">
        <v>118</v>
      </c>
      <c r="G4140" s="3" t="s">
        <v>140</v>
      </c>
      <c r="H4140" s="2" t="s">
        <v>74</v>
      </c>
      <c r="I4140" s="2" t="s">
        <v>11093</v>
      </c>
      <c r="J4140" s="3" t="str">
        <f>HYPERLINK("https://www.boe.es/gazeta/dias/1810/08/12/pdfs/GMD-1810-224.pdf#page=2","Abrir facsímil")</f>
        <v>Abrir facsímil</v>
      </c>
      <c r="K4140" s="3" t="s">
        <v>76</v>
      </c>
    </row>
    <row r="4141" spans="1:11" ht="42" customHeight="1">
      <c r="A4141" s="2" t="s">
        <v>11094</v>
      </c>
      <c r="B4141" s="2" t="s">
        <v>11095</v>
      </c>
      <c r="C4141" s="2" t="s">
        <v>26</v>
      </c>
      <c r="D4141" s="2" t="s">
        <v>39</v>
      </c>
      <c r="E4141" s="4">
        <v>-32670</v>
      </c>
      <c r="F4141" s="3" t="s">
        <v>2457</v>
      </c>
      <c r="G4141" s="3" t="s">
        <v>473</v>
      </c>
      <c r="H4141" s="2" t="s">
        <v>74</v>
      </c>
      <c r="I4141" s="2" t="s">
        <v>11096</v>
      </c>
      <c r="J4141" s="3" t="str">
        <f>HYPERLINK("https://www.boe.es/gazeta/dias/1810/07/20/pdfs/GMD-C-1810-201.pdf#page=4","Abrir facsímil")</f>
        <v>Abrir facsímil</v>
      </c>
      <c r="K4141" s="3" t="s">
        <v>76</v>
      </c>
    </row>
    <row r="4142" spans="1:11" ht="42" customHeight="1">
      <c r="A4142" s="2" t="s">
        <v>11097</v>
      </c>
      <c r="B4142" s="2" t="s">
        <v>11098</v>
      </c>
      <c r="C4142" s="2" t="s">
        <v>88</v>
      </c>
      <c r="D4142" s="2" t="s">
        <v>18</v>
      </c>
      <c r="E4142" s="4">
        <v>-32730</v>
      </c>
      <c r="F4142" s="3" t="s">
        <v>50</v>
      </c>
      <c r="G4142" s="3" t="s">
        <v>20</v>
      </c>
      <c r="H4142" s="2" t="s">
        <v>74</v>
      </c>
      <c r="I4142" s="2" t="s">
        <v>11099</v>
      </c>
      <c r="J4142" s="3" t="str">
        <f>HYPERLINK("https://www.boe.es/gazeta/dias/1810/05/21/pdfs/GMD-1810-141.pdf#page=4","Abrir facsímil")</f>
        <v>Abrir facsímil</v>
      </c>
      <c r="K4142" s="3" t="s">
        <v>76</v>
      </c>
    </row>
    <row r="4143" spans="1:11" ht="42" customHeight="1">
      <c r="A4143" s="2" t="s">
        <v>11097</v>
      </c>
      <c r="B4143" s="2" t="s">
        <v>11098</v>
      </c>
      <c r="C4143" s="2" t="s">
        <v>26</v>
      </c>
      <c r="D4143" s="2" t="s">
        <v>27</v>
      </c>
      <c r="E4143" s="4">
        <v>-32687</v>
      </c>
      <c r="F4143" s="3" t="s">
        <v>221</v>
      </c>
      <c r="G4143" s="3" t="s">
        <v>20</v>
      </c>
      <c r="H4143" s="2" t="s">
        <v>74</v>
      </c>
      <c r="I4143" s="2" t="s">
        <v>11100</v>
      </c>
      <c r="J4143" s="3" t="str">
        <f>HYPERLINK("https://www.boe.es/gazeta/dias/1810/07/03/pdfs/GMD-1810-184.pdf#page=4","Abrir facsímil")</f>
        <v>Abrir facsímil</v>
      </c>
      <c r="K4143" s="3" t="s">
        <v>76</v>
      </c>
    </row>
    <row r="4144" spans="1:11" ht="42" customHeight="1">
      <c r="A4144" s="2" t="s">
        <v>11101</v>
      </c>
      <c r="B4144" s="2" t="s">
        <v>11102</v>
      </c>
      <c r="C4144" s="2" t="s">
        <v>317</v>
      </c>
      <c r="D4144" s="2" t="s">
        <v>39</v>
      </c>
      <c r="E4144" s="4">
        <v>-32670</v>
      </c>
      <c r="F4144" s="3" t="s">
        <v>2457</v>
      </c>
      <c r="G4144" s="3" t="s">
        <v>1464</v>
      </c>
      <c r="H4144" s="2" t="s">
        <v>74</v>
      </c>
      <c r="I4144" s="2" t="s">
        <v>11103</v>
      </c>
      <c r="J4144" s="3" t="str">
        <f>HYPERLINK("https://www.boe.es/gazeta/dias/1810/07/20/pdfs/GMD-C-1810-201.pdf#page=3","Abrir facsímil")</f>
        <v>Abrir facsímil</v>
      </c>
      <c r="K4144" s="3" t="s">
        <v>76</v>
      </c>
    </row>
    <row r="4145" spans="1:11" ht="42" customHeight="1">
      <c r="A4145" s="2" t="s">
        <v>11104</v>
      </c>
      <c r="B4145" s="2" t="s">
        <v>11105</v>
      </c>
      <c r="C4145" s="2" t="s">
        <v>26</v>
      </c>
      <c r="D4145" s="2" t="s">
        <v>39</v>
      </c>
      <c r="E4145" s="4">
        <v>-32670</v>
      </c>
      <c r="F4145" s="3" t="s">
        <v>2457</v>
      </c>
      <c r="G4145" s="3" t="s">
        <v>473</v>
      </c>
      <c r="H4145" s="2" t="s">
        <v>74</v>
      </c>
      <c r="I4145" s="2" t="s">
        <v>11106</v>
      </c>
      <c r="J4145" s="3" t="str">
        <f>HYPERLINK("https://www.boe.es/gazeta/dias/1810/07/20/pdfs/GMD-C-1810-201.pdf#page=4","Abrir facsímil")</f>
        <v>Abrir facsímil</v>
      </c>
      <c r="K4145" s="3" t="s">
        <v>76</v>
      </c>
    </row>
    <row r="4146" spans="1:11" ht="42" customHeight="1">
      <c r="A4146" s="2" t="s">
        <v>11107</v>
      </c>
      <c r="B4146" s="2" t="s">
        <v>11108</v>
      </c>
      <c r="C4146" s="2" t="s">
        <v>26</v>
      </c>
      <c r="D4146" s="2" t="s">
        <v>27</v>
      </c>
      <c r="E4146" s="4">
        <v>-32547</v>
      </c>
      <c r="F4146" s="3" t="s">
        <v>407</v>
      </c>
      <c r="G4146" s="3" t="s">
        <v>408</v>
      </c>
      <c r="H4146" s="2" t="s">
        <v>74</v>
      </c>
      <c r="I4146" s="2" t="s">
        <v>11109</v>
      </c>
      <c r="J4146" s="3" t="str">
        <f>HYPERLINK("https://www.boe.es/gazeta/dias/1810/11/20/pdfs/GEI-1810-97.pdf#page=8","Abrir facsímil")</f>
        <v>Abrir facsímil</v>
      </c>
      <c r="K4146" s="3" t="s">
        <v>76</v>
      </c>
    </row>
    <row r="4147" spans="1:11" ht="42" customHeight="1">
      <c r="A4147" s="2" t="s">
        <v>11110</v>
      </c>
      <c r="B4147" s="2" t="s">
        <v>11111</v>
      </c>
      <c r="C4147" s="2" t="s">
        <v>26</v>
      </c>
      <c r="D4147" s="2" t="s">
        <v>27</v>
      </c>
      <c r="E4147" s="4">
        <v>-32710</v>
      </c>
      <c r="F4147" s="3" t="s">
        <v>126</v>
      </c>
      <c r="G4147" s="3" t="s">
        <v>35</v>
      </c>
      <c r="H4147" s="2" t="s">
        <v>74</v>
      </c>
      <c r="I4147" s="2" t="s">
        <v>11112</v>
      </c>
      <c r="J4147" s="3" t="str">
        <f>HYPERLINK("https://www.boe.es/gazeta/dias/1810/06/10/pdfs/GMD-1810-161.pdf#page=2","Abrir facsímil")</f>
        <v>Abrir facsímil</v>
      </c>
      <c r="K4147" s="3" t="s">
        <v>76</v>
      </c>
    </row>
    <row r="4148" spans="1:11" ht="42" customHeight="1">
      <c r="A4148" s="2" t="s">
        <v>11113</v>
      </c>
      <c r="B4148" s="2" t="s">
        <v>11114</v>
      </c>
      <c r="C4148" s="2" t="s">
        <v>111</v>
      </c>
      <c r="D4148" s="2" t="s">
        <v>27</v>
      </c>
      <c r="E4148" s="4">
        <v>-32575</v>
      </c>
      <c r="F4148" s="3" t="s">
        <v>135</v>
      </c>
      <c r="G4148" s="3" t="s">
        <v>140</v>
      </c>
      <c r="H4148" s="2" t="s">
        <v>74</v>
      </c>
      <c r="I4148" s="2" t="s">
        <v>11115</v>
      </c>
      <c r="J4148" s="3" t="str">
        <f>HYPERLINK("https://www.boe.es/gazeta/dias/1810/10/23/pdfs/GEI-1810-85.pdf#page=10","Abrir facsímil")</f>
        <v>Abrir facsímil</v>
      </c>
      <c r="K4148" s="3" t="s">
        <v>76</v>
      </c>
    </row>
    <row r="4149" spans="1:11" ht="42" customHeight="1">
      <c r="A4149" s="2" t="s">
        <v>11116</v>
      </c>
      <c r="B4149" s="2" t="s">
        <v>11117</v>
      </c>
      <c r="C4149" s="2" t="s">
        <v>33</v>
      </c>
      <c r="D4149" s="2" t="s">
        <v>18</v>
      </c>
      <c r="E4149" s="4">
        <v>-32698</v>
      </c>
      <c r="F4149" s="3" t="s">
        <v>2705</v>
      </c>
      <c r="G4149" s="3" t="s">
        <v>2706</v>
      </c>
      <c r="H4149" s="2" t="s">
        <v>74</v>
      </c>
      <c r="I4149" s="2" t="s">
        <v>11118</v>
      </c>
      <c r="J4149" s="3" t="str">
        <f>HYPERLINK("https://www.boe.es/gazeta/dias/1810/06/22/pdfs/GEI-1810-38.pdf#page=8","Abrir facsímil")</f>
        <v>Abrir facsímil</v>
      </c>
      <c r="K4149" s="3" t="s">
        <v>76</v>
      </c>
    </row>
    <row r="4150" spans="1:11" ht="42" customHeight="1">
      <c r="A4150" s="2" t="s">
        <v>11119</v>
      </c>
      <c r="B4150" s="2" t="s">
        <v>11120</v>
      </c>
      <c r="C4150" s="2" t="s">
        <v>26</v>
      </c>
      <c r="D4150" s="2" t="s">
        <v>27</v>
      </c>
      <c r="E4150" s="4">
        <v>-32761</v>
      </c>
      <c r="F4150" s="3" t="s">
        <v>811</v>
      </c>
      <c r="G4150" s="3" t="s">
        <v>140</v>
      </c>
      <c r="H4150" s="2" t="s">
        <v>74</v>
      </c>
      <c r="I4150" s="2" t="s">
        <v>11121</v>
      </c>
      <c r="J4150" s="3" t="str">
        <f>HYPERLINK("https://www.boe.es/gazeta/dias/1810/04/20/pdfs/GEI-1810-16.pdf#page=8","Abrir facsímil")</f>
        <v>Abrir facsímil</v>
      </c>
      <c r="K4150" s="3" t="s">
        <v>76</v>
      </c>
    </row>
    <row r="4151" spans="1:11" ht="42" customHeight="1">
      <c r="A4151" s="2" t="s">
        <v>11122</v>
      </c>
      <c r="B4151" s="2" t="s">
        <v>11123</v>
      </c>
      <c r="C4151" s="2" t="s">
        <v>26</v>
      </c>
      <c r="D4151" s="2" t="s">
        <v>58</v>
      </c>
      <c r="E4151" s="4">
        <v>-32601</v>
      </c>
      <c r="F4151" s="3" t="s">
        <v>392</v>
      </c>
      <c r="G4151" s="3" t="s">
        <v>35</v>
      </c>
      <c r="H4151" s="2" t="s">
        <v>74</v>
      </c>
      <c r="I4151" s="2" t="s">
        <v>11124</v>
      </c>
      <c r="J4151" s="3" t="str">
        <f>HYPERLINK("https://www.boe.es/gazeta/dias/1810/09/27/pdfs/GEI-1810-74E.pdf#page=2","Abrir facsímil")</f>
        <v>Abrir facsímil</v>
      </c>
      <c r="K4151" s="3" t="s">
        <v>76</v>
      </c>
    </row>
    <row r="4152" spans="1:11" ht="42" customHeight="1">
      <c r="A4152" s="2" t="s">
        <v>11125</v>
      </c>
      <c r="B4152" s="2" t="s">
        <v>11126</v>
      </c>
      <c r="C4152" s="2" t="s">
        <v>88</v>
      </c>
      <c r="D4152" s="2" t="s">
        <v>27</v>
      </c>
      <c r="E4152" s="4">
        <v>-32550</v>
      </c>
      <c r="F4152" s="3" t="s">
        <v>1472</v>
      </c>
      <c r="G4152" s="3" t="s">
        <v>1473</v>
      </c>
      <c r="H4152" s="2" t="s">
        <v>74</v>
      </c>
      <c r="I4152" s="2" t="s">
        <v>11127</v>
      </c>
      <c r="J4152" s="3" t="str">
        <f>HYPERLINK("https://www.boe.es/gazeta/dias/1810/11/17/pdfs/GEI-1810-96.pdf#page=8","Abrir facsímil")</f>
        <v>Abrir facsímil</v>
      </c>
      <c r="K4152" s="3" t="s">
        <v>76</v>
      </c>
    </row>
    <row r="4153" spans="1:11" ht="42" customHeight="1">
      <c r="A4153" s="2" t="s">
        <v>11128</v>
      </c>
      <c r="B4153" s="2" t="s">
        <v>11129</v>
      </c>
      <c r="C4153" s="2" t="s">
        <v>88</v>
      </c>
      <c r="D4153" s="2" t="s">
        <v>220</v>
      </c>
      <c r="E4153" s="4">
        <v>-32763</v>
      </c>
      <c r="F4153" s="3" t="s">
        <v>1146</v>
      </c>
      <c r="G4153" s="3" t="s">
        <v>140</v>
      </c>
      <c r="H4153" s="2" t="s">
        <v>74</v>
      </c>
      <c r="I4153" s="2" t="s">
        <v>11130</v>
      </c>
      <c r="J4153" s="3" t="str">
        <f>HYPERLINK("https://www.boe.es/gazeta/dias/1810/04/18/pdfs/GMD-1810-108.pdf#page=3","Abrir facsímil")</f>
        <v>Abrir facsímil</v>
      </c>
      <c r="K4153" s="3" t="s">
        <v>76</v>
      </c>
    </row>
    <row r="4154" spans="1:11" ht="42" customHeight="1">
      <c r="A4154" s="2" t="s">
        <v>11131</v>
      </c>
      <c r="B4154" s="2" t="s">
        <v>11132</v>
      </c>
      <c r="C4154" s="2" t="s">
        <v>26</v>
      </c>
      <c r="D4154" s="2" t="s">
        <v>27</v>
      </c>
      <c r="E4154" s="4">
        <v>-32526</v>
      </c>
      <c r="F4154" s="3" t="s">
        <v>530</v>
      </c>
      <c r="G4154" s="3" t="s">
        <v>636</v>
      </c>
      <c r="H4154" s="2" t="s">
        <v>74</v>
      </c>
      <c r="I4154" s="2" t="s">
        <v>11133</v>
      </c>
      <c r="J4154" s="3" t="str">
        <f>HYPERLINK("https://www.boe.es/gazeta/dias/1810/12/11/pdfs/GEI-1810-106.pdf#page=3","Abrir facsímil")</f>
        <v>Abrir facsímil</v>
      </c>
      <c r="K4154" s="3" t="s">
        <v>76</v>
      </c>
    </row>
    <row r="4155" spans="1:11" ht="42" customHeight="1">
      <c r="A4155" s="2" t="s">
        <v>11134</v>
      </c>
      <c r="B4155" s="2" t="s">
        <v>11135</v>
      </c>
      <c r="C4155" s="2" t="s">
        <v>88</v>
      </c>
      <c r="D4155" s="2" t="s">
        <v>27</v>
      </c>
      <c r="E4155" s="4">
        <v>-32700</v>
      </c>
      <c r="F4155" s="3" t="s">
        <v>89</v>
      </c>
      <c r="G4155" s="3" t="s">
        <v>70</v>
      </c>
      <c r="H4155" s="2" t="s">
        <v>74</v>
      </c>
      <c r="I4155" s="2" t="s">
        <v>11136</v>
      </c>
      <c r="J4155" s="3" t="str">
        <f>HYPERLINK("https://www.boe.es/gazeta/dias/1810/06/20/pdfs/GMD-1810-171.pdf#page=4","Abrir facsímil")</f>
        <v>Abrir facsímil</v>
      </c>
      <c r="K4155" s="3" t="s">
        <v>76</v>
      </c>
    </row>
    <row r="4156" spans="1:11" ht="42" customHeight="1">
      <c r="A4156" s="2" t="s">
        <v>11137</v>
      </c>
      <c r="B4156" s="2" t="s">
        <v>11138</v>
      </c>
      <c r="C4156" s="2" t="s">
        <v>26</v>
      </c>
      <c r="D4156" s="2" t="s">
        <v>27</v>
      </c>
      <c r="E4156" s="4">
        <v>-32591</v>
      </c>
      <c r="F4156" s="3" t="s">
        <v>377</v>
      </c>
      <c r="G4156" s="3" t="s">
        <v>140</v>
      </c>
      <c r="H4156" s="2" t="s">
        <v>74</v>
      </c>
      <c r="I4156" s="2" t="s">
        <v>11139</v>
      </c>
      <c r="J4156" s="3" t="str">
        <f>HYPERLINK("https://www.boe.es/gazeta/dias/1810/10/07/pdfs/GMD-1810-280.pdf#page=4","Abrir facsímil")</f>
        <v>Abrir facsímil</v>
      </c>
      <c r="K4156" s="3" t="s">
        <v>76</v>
      </c>
    </row>
    <row r="4157" spans="1:11" ht="42" customHeight="1">
      <c r="A4157" s="2" t="s">
        <v>11140</v>
      </c>
      <c r="B4157" s="2" t="s">
        <v>11141</v>
      </c>
      <c r="C4157" s="2" t="s">
        <v>88</v>
      </c>
      <c r="D4157" s="2" t="s">
        <v>27</v>
      </c>
      <c r="E4157" s="4">
        <v>-32533</v>
      </c>
      <c r="F4157" s="3" t="s">
        <v>1357</v>
      </c>
      <c r="G4157" s="3" t="s">
        <v>701</v>
      </c>
      <c r="H4157" s="2" t="s">
        <v>74</v>
      </c>
      <c r="I4157" s="2" t="s">
        <v>11142</v>
      </c>
      <c r="J4157" s="3" t="str">
        <f>HYPERLINK("https://www.boe.es/gazeta/dias/1810/12/04/pdfs/GEI-1810-103.pdf#page=8","Abrir facsímil")</f>
        <v>Abrir facsímil</v>
      </c>
      <c r="K4157" s="3" t="s">
        <v>76</v>
      </c>
    </row>
    <row r="4158" spans="1:11" ht="42" customHeight="1">
      <c r="A4158" s="2" t="s">
        <v>11143</v>
      </c>
      <c r="B4158" s="2" t="s">
        <v>11144</v>
      </c>
      <c r="C4158" s="2" t="s">
        <v>26</v>
      </c>
      <c r="D4158" s="2" t="s">
        <v>18</v>
      </c>
      <c r="E4158" s="4">
        <v>-32601</v>
      </c>
      <c r="F4158" s="3" t="s">
        <v>392</v>
      </c>
      <c r="G4158" s="3" t="s">
        <v>1430</v>
      </c>
      <c r="H4158" s="2" t="s">
        <v>74</v>
      </c>
      <c r="I4158" s="2" t="s">
        <v>11145</v>
      </c>
      <c r="J4158" s="3" t="str">
        <f>HYPERLINK("https://www.boe.es/gazeta/dias/1810/09/27/pdfs/GEI-1810-74E.pdf#page=3","Abrir facsímil")</f>
        <v>Abrir facsímil</v>
      </c>
      <c r="K4158" s="3" t="s">
        <v>76</v>
      </c>
    </row>
    <row r="4159" spans="1:11" ht="42" customHeight="1">
      <c r="A4159" s="2" t="s">
        <v>11146</v>
      </c>
      <c r="B4159" s="2" t="s">
        <v>11147</v>
      </c>
      <c r="C4159" s="2" t="s">
        <v>17</v>
      </c>
      <c r="D4159" s="2" t="s">
        <v>27</v>
      </c>
      <c r="E4159" s="4">
        <v>-32614</v>
      </c>
      <c r="F4159" s="3" t="s">
        <v>1083</v>
      </c>
      <c r="G4159" s="3" t="s">
        <v>5251</v>
      </c>
      <c r="H4159" s="2" t="s">
        <v>74</v>
      </c>
      <c r="I4159" s="2" t="s">
        <v>11148</v>
      </c>
      <c r="J4159" s="3" t="str">
        <f>HYPERLINK("https://www.boe.es/gazeta/dias/1810/09/14/pdfs/GEI-1810-67.pdf#page=4","Abrir facsímil")</f>
        <v>Abrir facsímil</v>
      </c>
      <c r="K4159" s="3" t="s">
        <v>76</v>
      </c>
    </row>
    <row r="4160" spans="1:11" ht="42" customHeight="1">
      <c r="A4160" s="2" t="s">
        <v>11149</v>
      </c>
      <c r="B4160" s="2" t="s">
        <v>11150</v>
      </c>
      <c r="C4160" s="2" t="s">
        <v>88</v>
      </c>
      <c r="D4160" s="2" t="s">
        <v>27</v>
      </c>
      <c r="E4160" s="4">
        <v>-32821</v>
      </c>
      <c r="F4160" s="3" t="s">
        <v>1743</v>
      </c>
      <c r="G4160" s="3" t="s">
        <v>99</v>
      </c>
      <c r="H4160" s="2" t="s">
        <v>74</v>
      </c>
      <c r="I4160" s="2" t="s">
        <v>11151</v>
      </c>
      <c r="J4160" s="3" t="str">
        <f>HYPERLINK("https://www.boe.es/gazeta/dias/1810/02/19/pdfs/GMD-1810-50.pdf#page=3","Abrir facsímil")</f>
        <v>Abrir facsímil</v>
      </c>
      <c r="K4160" s="3" t="s">
        <v>76</v>
      </c>
    </row>
    <row r="4161" spans="1:11" ht="42" customHeight="1">
      <c r="A4161" s="2" t="s">
        <v>11152</v>
      </c>
      <c r="B4161" s="2" t="s">
        <v>11153</v>
      </c>
      <c r="C4161" s="2" t="s">
        <v>88</v>
      </c>
      <c r="D4161" s="2" t="s">
        <v>117</v>
      </c>
      <c r="E4161" s="4">
        <v>-32687</v>
      </c>
      <c r="F4161" s="3" t="s">
        <v>263</v>
      </c>
      <c r="G4161" s="3" t="s">
        <v>90</v>
      </c>
      <c r="H4161" s="2" t="s">
        <v>74</v>
      </c>
      <c r="I4161" s="2" t="s">
        <v>11154</v>
      </c>
      <c r="J4161" s="3" t="str">
        <f>HYPERLINK("https://www.boe.es/gazeta/dias/1810/07/03/pdfs/GEI-1810-41.pdf#page=5","Abrir facsímil")</f>
        <v>Abrir facsímil</v>
      </c>
      <c r="K4161" s="3" t="s">
        <v>76</v>
      </c>
    </row>
    <row r="4162" spans="1:11" ht="42" customHeight="1">
      <c r="A4162" s="2" t="s">
        <v>11155</v>
      </c>
      <c r="B4162" s="2" t="s">
        <v>11155</v>
      </c>
      <c r="C4162" s="2" t="s">
        <v>88</v>
      </c>
      <c r="D4162" s="2" t="s">
        <v>117</v>
      </c>
      <c r="E4162" s="4">
        <v>-32571</v>
      </c>
      <c r="F4162" s="3" t="s">
        <v>737</v>
      </c>
      <c r="G4162" s="3" t="s">
        <v>1985</v>
      </c>
      <c r="H4162" s="2" t="s">
        <v>74</v>
      </c>
      <c r="I4162" s="2" t="s">
        <v>11156</v>
      </c>
      <c r="J4162" s="3" t="str">
        <f>HYPERLINK("https://www.boe.es/gazeta/dias/1810/10/27/pdfs/GEI-1810-87.pdf#page=2","Abrir facsímil")</f>
        <v>Abrir facsímil</v>
      </c>
      <c r="K4162" s="3" t="s">
        <v>76</v>
      </c>
    </row>
    <row r="4163" spans="1:11" ht="42" customHeight="1">
      <c r="A4163" s="2" t="s">
        <v>11157</v>
      </c>
      <c r="B4163" s="2" t="s">
        <v>11157</v>
      </c>
      <c r="C4163" s="2" t="s">
        <v>17</v>
      </c>
      <c r="D4163" s="2" t="s">
        <v>220</v>
      </c>
      <c r="E4163" s="4">
        <v>-32601</v>
      </c>
      <c r="F4163" s="3" t="s">
        <v>10916</v>
      </c>
      <c r="G4163" s="3" t="s">
        <v>11158</v>
      </c>
      <c r="H4163" s="2" t="s">
        <v>74</v>
      </c>
      <c r="I4163" s="2" t="s">
        <v>11159</v>
      </c>
      <c r="J4163" s="3" t="str">
        <f>HYPERLINK("https://www.boe.es/gazeta/dias/1810/09/27/pdfs/GMD-1810-270.pdf#page=2","Abrir facsímil")</f>
        <v>Abrir facsímil</v>
      </c>
      <c r="K4163" s="3" t="s">
        <v>76</v>
      </c>
    </row>
    <row r="4164" spans="1:11" ht="42" customHeight="1">
      <c r="A4164" s="2" t="s">
        <v>11160</v>
      </c>
      <c r="B4164" s="2" t="s">
        <v>11160</v>
      </c>
      <c r="C4164" s="2" t="s">
        <v>26</v>
      </c>
      <c r="D4164" s="2" t="s">
        <v>27</v>
      </c>
      <c r="E4164" s="4">
        <v>-32532</v>
      </c>
      <c r="F4164" s="3" t="s">
        <v>4481</v>
      </c>
      <c r="G4164" s="3" t="s">
        <v>180</v>
      </c>
      <c r="H4164" s="2" t="s">
        <v>74</v>
      </c>
      <c r="I4164" s="2" t="s">
        <v>11161</v>
      </c>
      <c r="J4164" s="3" t="str">
        <f>HYPERLINK("https://www.boe.es/gazeta/dias/1810/12/05/pdfs/GMD-1810-339.pdf#page=2","Abrir facsímil")</f>
        <v>Abrir facsímil</v>
      </c>
      <c r="K4164" s="3" t="s">
        <v>76</v>
      </c>
    </row>
    <row r="4165" spans="1:11" ht="42" customHeight="1">
      <c r="A4165" s="2" t="s">
        <v>11162</v>
      </c>
      <c r="B4165" s="2" t="s">
        <v>11162</v>
      </c>
      <c r="C4165" s="2" t="s">
        <v>88</v>
      </c>
      <c r="D4165" s="2" t="s">
        <v>117</v>
      </c>
      <c r="E4165" s="4">
        <v>-32687</v>
      </c>
      <c r="F4165" s="3" t="s">
        <v>263</v>
      </c>
      <c r="G4165" s="3" t="s">
        <v>20</v>
      </c>
      <c r="H4165" s="2" t="s">
        <v>74</v>
      </c>
      <c r="I4165" s="2" t="s">
        <v>11163</v>
      </c>
      <c r="J4165" s="3" t="str">
        <f>HYPERLINK("https://www.boe.es/gazeta/dias/1810/07/03/pdfs/GEI-1810-41.pdf#page=4","Abrir facsímil")</f>
        <v>Abrir facsímil</v>
      </c>
      <c r="K4165" s="3" t="s">
        <v>76</v>
      </c>
    </row>
    <row r="4166" spans="1:11" ht="42" customHeight="1">
      <c r="A4166" s="2" t="s">
        <v>11164</v>
      </c>
      <c r="B4166" s="2" t="s">
        <v>11165</v>
      </c>
      <c r="C4166" s="2" t="s">
        <v>317</v>
      </c>
      <c r="D4166" s="2" t="s">
        <v>18</v>
      </c>
      <c r="E4166" s="4">
        <v>-32732</v>
      </c>
      <c r="F4166" s="3" t="s">
        <v>545</v>
      </c>
      <c r="G4166" s="3" t="s">
        <v>90</v>
      </c>
      <c r="H4166" s="2" t="s">
        <v>74</v>
      </c>
      <c r="I4166" s="2" t="s">
        <v>11166</v>
      </c>
      <c r="J4166" s="3" t="str">
        <f>HYPERLINK("https://www.boe.es/gazeta/dias/1810/05/19/pdfs/GMD-1810-139.pdf#page=4","Abrir facsímil")</f>
        <v>Abrir facsímil</v>
      </c>
      <c r="K4166" s="3" t="s">
        <v>76</v>
      </c>
    </row>
    <row r="4167" spans="1:11" ht="42" customHeight="1">
      <c r="A4167" s="2" t="s">
        <v>11167</v>
      </c>
      <c r="B4167" s="2" t="s">
        <v>11168</v>
      </c>
      <c r="C4167" s="2" t="s">
        <v>111</v>
      </c>
      <c r="D4167" s="2" t="s">
        <v>27</v>
      </c>
      <c r="E4167" s="4">
        <v>-32583</v>
      </c>
      <c r="F4167" s="3" t="s">
        <v>45</v>
      </c>
      <c r="G4167" s="3" t="s">
        <v>99</v>
      </c>
      <c r="H4167" s="2" t="s">
        <v>74</v>
      </c>
      <c r="I4167" s="2" t="s">
        <v>11169</v>
      </c>
      <c r="J4167" s="3" t="str">
        <f>HYPERLINK("https://www.boe.es/gazeta/dias/1810/10/15/pdfs/GMD-1810-288.pdf#page=3","Abrir facsímil")</f>
        <v>Abrir facsímil</v>
      </c>
      <c r="K4167" s="3" t="s">
        <v>76</v>
      </c>
    </row>
    <row r="4168" spans="1:11" ht="42" customHeight="1">
      <c r="A4168" s="2" t="s">
        <v>11170</v>
      </c>
      <c r="B4168" s="2" t="s">
        <v>11171</v>
      </c>
      <c r="C4168" s="2" t="s">
        <v>111</v>
      </c>
      <c r="D4168" s="2" t="s">
        <v>18</v>
      </c>
      <c r="E4168" s="4">
        <v>-32826</v>
      </c>
      <c r="F4168" s="3" t="s">
        <v>1252</v>
      </c>
      <c r="G4168" s="3" t="s">
        <v>227</v>
      </c>
      <c r="H4168" s="2" t="s">
        <v>74</v>
      </c>
      <c r="I4168" s="2" t="s">
        <v>11172</v>
      </c>
      <c r="J4168" s="3" t="str">
        <f>HYPERLINK("https://www.boe.es/gazeta/dias/1810/02/14/pdfs/GMD-1810-45.pdf#page=4","Abrir facsímil")</f>
        <v>Abrir facsímil</v>
      </c>
      <c r="K4168" s="3" t="s">
        <v>76</v>
      </c>
    </row>
    <row r="4169" spans="1:11" ht="42" customHeight="1">
      <c r="A4169" s="2" t="s">
        <v>11173</v>
      </c>
      <c r="B4169" s="2" t="s">
        <v>11174</v>
      </c>
      <c r="C4169" s="2" t="s">
        <v>26</v>
      </c>
      <c r="D4169" s="2" t="s">
        <v>27</v>
      </c>
      <c r="E4169" s="4">
        <v>-32782</v>
      </c>
      <c r="F4169" s="3" t="s">
        <v>79</v>
      </c>
      <c r="G4169" s="3" t="s">
        <v>80</v>
      </c>
      <c r="H4169" s="2" t="s">
        <v>74</v>
      </c>
      <c r="I4169" s="2" t="s">
        <v>11175</v>
      </c>
      <c r="J4169" s="3" t="str">
        <f>HYPERLINK("https://www.boe.es/gazeta/dias/1810/03/30/pdfs/GEI-1810-9.pdf#page=7","Abrir facsímil")</f>
        <v>Abrir facsímil</v>
      </c>
      <c r="K4169" s="3" t="s">
        <v>76</v>
      </c>
    </row>
    <row r="4170" spans="1:11" ht="42" customHeight="1">
      <c r="A4170" s="2" t="s">
        <v>11176</v>
      </c>
      <c r="B4170" s="2" t="s">
        <v>11177</v>
      </c>
      <c r="C4170" s="2" t="s">
        <v>26</v>
      </c>
      <c r="D4170" s="2" t="s">
        <v>27</v>
      </c>
      <c r="E4170" s="4">
        <v>-32782</v>
      </c>
      <c r="F4170" s="3" t="s">
        <v>79</v>
      </c>
      <c r="G4170" s="3" t="s">
        <v>80</v>
      </c>
      <c r="H4170" s="2" t="s">
        <v>74</v>
      </c>
      <c r="I4170" s="2" t="s">
        <v>11178</v>
      </c>
      <c r="J4170" s="3" t="str">
        <f>HYPERLINK("https://www.boe.es/gazeta/dias/1810/03/30/pdfs/GEI-1810-9.pdf#page=7","Abrir facsímil")</f>
        <v>Abrir facsímil</v>
      </c>
      <c r="K4170" s="3" t="s">
        <v>76</v>
      </c>
    </row>
    <row r="4171" spans="1:11" ht="42" customHeight="1">
      <c r="A4171" s="2" t="s">
        <v>11179</v>
      </c>
      <c r="B4171" s="2" t="s">
        <v>11180</v>
      </c>
      <c r="C4171" s="2" t="s">
        <v>317</v>
      </c>
      <c r="D4171" s="2" t="s">
        <v>27</v>
      </c>
      <c r="E4171" s="4">
        <v>-32639</v>
      </c>
      <c r="F4171" s="3" t="s">
        <v>3411</v>
      </c>
      <c r="G4171" s="3" t="s">
        <v>3412</v>
      </c>
      <c r="H4171" s="2" t="s">
        <v>74</v>
      </c>
      <c r="I4171" s="2" t="s">
        <v>11181</v>
      </c>
      <c r="J4171" s="3" t="str">
        <f>HYPERLINK("https://www.boe.es/gazeta/dias/1810/08/20/pdfs/GMD-1810-232.pdf#page=4","Abrir facsímil")</f>
        <v>Abrir facsímil</v>
      </c>
      <c r="K4171" s="3" t="s">
        <v>76</v>
      </c>
    </row>
    <row r="4172" spans="1:11" ht="42" customHeight="1">
      <c r="A4172" s="2" t="s">
        <v>11182</v>
      </c>
      <c r="B4172" s="2" t="s">
        <v>11183</v>
      </c>
      <c r="C4172" s="2" t="s">
        <v>88</v>
      </c>
      <c r="D4172" s="2" t="s">
        <v>27</v>
      </c>
      <c r="E4172" s="4">
        <v>-32763</v>
      </c>
      <c r="F4172" s="3" t="s">
        <v>1146</v>
      </c>
      <c r="G4172" s="3" t="s">
        <v>140</v>
      </c>
      <c r="H4172" s="2" t="s">
        <v>74</v>
      </c>
      <c r="I4172" s="2" t="s">
        <v>11184</v>
      </c>
      <c r="J4172" s="3" t="str">
        <f>HYPERLINK("https://www.boe.es/gazeta/dias/1810/04/18/pdfs/GMD-1810-108.pdf#page=3","Abrir facsímil")</f>
        <v>Abrir facsímil</v>
      </c>
      <c r="K4172" s="3" t="s">
        <v>76</v>
      </c>
    </row>
    <row r="4173" spans="1:11" ht="42" customHeight="1">
      <c r="A4173" s="2" t="s">
        <v>11185</v>
      </c>
      <c r="B4173" s="2" t="s">
        <v>11186</v>
      </c>
      <c r="C4173" s="2" t="s">
        <v>317</v>
      </c>
      <c r="D4173" s="2" t="s">
        <v>18</v>
      </c>
      <c r="E4173" s="4">
        <v>-32684</v>
      </c>
      <c r="F4173" s="3" t="s">
        <v>295</v>
      </c>
      <c r="G4173" s="3" t="s">
        <v>213</v>
      </c>
      <c r="H4173" s="2" t="s">
        <v>74</v>
      </c>
      <c r="I4173" s="2" t="s">
        <v>11187</v>
      </c>
      <c r="J4173" s="3" t="str">
        <f>HYPERLINK("https://www.boe.es/gazeta/dias/1810/07/06/pdfs/GMD-C-1810-187.pdf#page=2","Abrir facsímil")</f>
        <v>Abrir facsímil</v>
      </c>
      <c r="K4173" s="3" t="s">
        <v>76</v>
      </c>
    </row>
    <row r="4174" spans="1:11" ht="42" customHeight="1">
      <c r="A4174" s="2" t="s">
        <v>11188</v>
      </c>
      <c r="B4174" s="2" t="s">
        <v>11189</v>
      </c>
      <c r="C4174" s="2" t="s">
        <v>26</v>
      </c>
      <c r="D4174" s="2" t="s">
        <v>27</v>
      </c>
      <c r="E4174" s="4">
        <v>-32647</v>
      </c>
      <c r="F4174" s="3" t="s">
        <v>118</v>
      </c>
      <c r="G4174" s="3" t="s">
        <v>119</v>
      </c>
      <c r="H4174" s="2" t="s">
        <v>74</v>
      </c>
      <c r="I4174" s="2" t="s">
        <v>11190</v>
      </c>
      <c r="J4174" s="3" t="str">
        <f>HYPERLINK("https://www.boe.es/gazeta/dias/1810/08/12/pdfs/GMD-1810-224.pdf#page=3","Abrir facsímil")</f>
        <v>Abrir facsímil</v>
      </c>
      <c r="K4174" s="3" t="s">
        <v>76</v>
      </c>
    </row>
    <row r="4175" spans="1:11" ht="42" customHeight="1">
      <c r="A4175" s="2" t="s">
        <v>11191</v>
      </c>
      <c r="B4175" s="2" t="s">
        <v>11192</v>
      </c>
      <c r="C4175" s="2" t="s">
        <v>26</v>
      </c>
      <c r="D4175" s="2" t="s">
        <v>39</v>
      </c>
      <c r="E4175" s="4">
        <v>-32684</v>
      </c>
      <c r="F4175" s="3" t="s">
        <v>372</v>
      </c>
      <c r="G4175" s="3" t="s">
        <v>2049</v>
      </c>
      <c r="H4175" s="2" t="s">
        <v>74</v>
      </c>
      <c r="I4175" s="2" t="s">
        <v>11193</v>
      </c>
      <c r="J4175" s="3" t="str">
        <f>HYPERLINK("https://www.boe.es/gazeta/dias/1810/07/06/pdfs/GEI-D-1810-42.pdf#page=7","Abrir facsímil")</f>
        <v>Abrir facsímil</v>
      </c>
      <c r="K4175" s="3" t="s">
        <v>76</v>
      </c>
    </row>
    <row r="4176" spans="1:11" ht="42" customHeight="1">
      <c r="A4176" s="2" t="s">
        <v>11194</v>
      </c>
      <c r="B4176" s="2" t="s">
        <v>11194</v>
      </c>
      <c r="C4176" s="2" t="s">
        <v>317</v>
      </c>
      <c r="D4176" s="2" t="s">
        <v>27</v>
      </c>
      <c r="E4176" s="4">
        <v>-32635</v>
      </c>
      <c r="F4176" s="3" t="s">
        <v>8979</v>
      </c>
      <c r="G4176" s="3" t="s">
        <v>119</v>
      </c>
      <c r="H4176" s="2" t="s">
        <v>74</v>
      </c>
      <c r="I4176" s="2" t="s">
        <v>11195</v>
      </c>
      <c r="J4176" s="3" t="str">
        <f>HYPERLINK("https://www.boe.es/gazeta/dias/1810/08/24/pdfs/GMD-1810-236.pdf#page=3","Abrir facsímil")</f>
        <v>Abrir facsímil</v>
      </c>
      <c r="K4176" s="3" t="s">
        <v>76</v>
      </c>
    </row>
    <row r="4177" spans="1:11" ht="42" customHeight="1">
      <c r="A4177" s="2" t="s">
        <v>11196</v>
      </c>
      <c r="B4177" s="2" t="s">
        <v>11196</v>
      </c>
      <c r="C4177" s="2" t="s">
        <v>317</v>
      </c>
      <c r="D4177" s="2" t="s">
        <v>27</v>
      </c>
      <c r="E4177" s="4">
        <v>-32635</v>
      </c>
      <c r="F4177" s="3" t="s">
        <v>8979</v>
      </c>
      <c r="G4177" s="3" t="s">
        <v>90</v>
      </c>
      <c r="H4177" s="2" t="s">
        <v>74</v>
      </c>
      <c r="I4177" s="2" t="s">
        <v>11197</v>
      </c>
      <c r="J4177" s="3" t="str">
        <f>HYPERLINK("https://www.boe.es/gazeta/dias/1810/08/24/pdfs/GMD-1810-236.pdf#page=1","Abrir facsímil")</f>
        <v>Abrir facsímil</v>
      </c>
      <c r="K4177" s="3" t="s">
        <v>76</v>
      </c>
    </row>
    <row r="4178" spans="1:11" ht="42" customHeight="1">
      <c r="A4178" s="2" t="s">
        <v>11198</v>
      </c>
      <c r="B4178" s="2" t="s">
        <v>11199</v>
      </c>
      <c r="C4178" s="2" t="s">
        <v>26</v>
      </c>
      <c r="D4178" s="2" t="s">
        <v>27</v>
      </c>
      <c r="E4178" s="4">
        <v>-32553</v>
      </c>
      <c r="F4178" s="3" t="s">
        <v>2276</v>
      </c>
      <c r="G4178" s="3" t="s">
        <v>140</v>
      </c>
      <c r="H4178" s="2" t="s">
        <v>74</v>
      </c>
      <c r="I4178" s="2" t="s">
        <v>11200</v>
      </c>
      <c r="J4178" s="3" t="str">
        <f>HYPERLINK("https://www.boe.es/gazeta/dias/1810/11/14/pdfs/GMD-1810-318.pdf#page=2","Abrir facsímil")</f>
        <v>Abrir facsímil</v>
      </c>
      <c r="K4178" s="3" t="s">
        <v>76</v>
      </c>
    </row>
    <row r="4179" spans="1:11" ht="42" customHeight="1">
      <c r="A4179" s="2" t="s">
        <v>11201</v>
      </c>
      <c r="B4179" s="2" t="s">
        <v>11202</v>
      </c>
      <c r="C4179" s="2" t="s">
        <v>26</v>
      </c>
      <c r="D4179" s="2" t="s">
        <v>220</v>
      </c>
      <c r="E4179" s="4">
        <v>-32693</v>
      </c>
      <c r="F4179" s="3" t="s">
        <v>54</v>
      </c>
      <c r="G4179" s="3" t="s">
        <v>90</v>
      </c>
      <c r="H4179" s="2" t="s">
        <v>74</v>
      </c>
      <c r="I4179" s="2" t="s">
        <v>11203</v>
      </c>
      <c r="J4179" s="3" t="str">
        <f>HYPERLINK("https://www.boe.es/gazeta/dias/1810/06/27/pdfs/GMD-1810-178.pdf#page=2","Abrir facsímil")</f>
        <v>Abrir facsímil</v>
      </c>
      <c r="K4179" s="3" t="s">
        <v>76</v>
      </c>
    </row>
    <row r="4180" spans="1:11" ht="42" customHeight="1">
      <c r="A4180" s="2" t="s">
        <v>11204</v>
      </c>
      <c r="B4180" s="2" t="s">
        <v>11204</v>
      </c>
      <c r="C4180" s="2" t="s">
        <v>88</v>
      </c>
      <c r="D4180" s="2" t="s">
        <v>117</v>
      </c>
      <c r="E4180" s="4">
        <v>-32507</v>
      </c>
      <c r="F4180" s="3" t="s">
        <v>11205</v>
      </c>
      <c r="G4180" s="3" t="s">
        <v>140</v>
      </c>
      <c r="H4180" s="2" t="s">
        <v>74</v>
      </c>
      <c r="I4180" s="2" t="s">
        <v>11206</v>
      </c>
      <c r="J4180" s="3" t="str">
        <f>HYPERLINK("https://www.boe.es/gazeta/dias/1810/12/30/pdfs/GMD-1810-364.pdf#page=2","Abrir facsímil")</f>
        <v>Abrir facsímil</v>
      </c>
      <c r="K4180" s="3" t="s">
        <v>76</v>
      </c>
    </row>
    <row r="4181" spans="1:11" ht="42" customHeight="1">
      <c r="A4181" s="2" t="s">
        <v>11207</v>
      </c>
      <c r="B4181" s="2" t="s">
        <v>11207</v>
      </c>
      <c r="C4181" s="2" t="s">
        <v>88</v>
      </c>
      <c r="D4181" s="2" t="s">
        <v>117</v>
      </c>
      <c r="E4181" s="4">
        <v>-32644</v>
      </c>
      <c r="F4181" s="3" t="s">
        <v>457</v>
      </c>
      <c r="G4181" s="3" t="s">
        <v>90</v>
      </c>
      <c r="H4181" s="2" t="s">
        <v>74</v>
      </c>
      <c r="I4181" s="2" t="s">
        <v>11208</v>
      </c>
      <c r="J4181" s="3" t="str">
        <f>HYPERLINK("https://www.boe.es/gazeta/dias/1810/08/15/pdfs/GMD-1810-227.pdf#page=2","Abrir facsímil")</f>
        <v>Abrir facsímil</v>
      </c>
      <c r="K4181" s="3" t="s">
        <v>76</v>
      </c>
    </row>
    <row r="4182" spans="1:11" ht="42" customHeight="1">
      <c r="A4182" s="2" t="s">
        <v>11207</v>
      </c>
      <c r="B4182" s="2" t="s">
        <v>11207</v>
      </c>
      <c r="C4182" s="2" t="s">
        <v>88</v>
      </c>
      <c r="D4182" s="2" t="s">
        <v>117</v>
      </c>
      <c r="E4182" s="4">
        <v>-32638</v>
      </c>
      <c r="F4182" s="3" t="s">
        <v>2498</v>
      </c>
      <c r="G4182" s="3" t="s">
        <v>119</v>
      </c>
      <c r="H4182" s="2" t="s">
        <v>74</v>
      </c>
      <c r="I4182" s="2" t="s">
        <v>11209</v>
      </c>
      <c r="J4182" s="3" t="str">
        <f>HYPERLINK("https://www.boe.es/gazeta/dias/1810/08/21/pdfs/GEI-1810-58.pdf#page=2","Abrir facsímil")</f>
        <v>Abrir facsímil</v>
      </c>
      <c r="K4182" s="3" t="s">
        <v>76</v>
      </c>
    </row>
    <row r="4183" spans="1:11" ht="42" customHeight="1">
      <c r="A4183" s="2" t="s">
        <v>11207</v>
      </c>
      <c r="B4183" s="2" t="s">
        <v>11207</v>
      </c>
      <c r="C4183" s="2" t="s">
        <v>225</v>
      </c>
      <c r="D4183" s="2" t="s">
        <v>27</v>
      </c>
      <c r="E4183" s="4">
        <v>-32606</v>
      </c>
      <c r="F4183" s="3" t="s">
        <v>1676</v>
      </c>
      <c r="G4183" s="3" t="s">
        <v>227</v>
      </c>
      <c r="H4183" s="2" t="s">
        <v>74</v>
      </c>
      <c r="I4183" s="2" t="s">
        <v>11210</v>
      </c>
      <c r="J4183" s="3" t="str">
        <f>HYPERLINK("https://www.boe.es/gazeta/dias/1810/09/22/pdfs/GMD-1810-265.pdf#page=3","Abrir facsímil")</f>
        <v>Abrir facsímil</v>
      </c>
      <c r="K4183" s="3" t="s">
        <v>76</v>
      </c>
    </row>
    <row r="4184" spans="1:11" ht="42" customHeight="1">
      <c r="A4184" s="2" t="s">
        <v>11207</v>
      </c>
      <c r="B4184" s="2" t="s">
        <v>11207</v>
      </c>
      <c r="C4184" s="2" t="s">
        <v>88</v>
      </c>
      <c r="D4184" s="2" t="s">
        <v>117</v>
      </c>
      <c r="E4184" s="4">
        <v>-32596</v>
      </c>
      <c r="F4184" s="3" t="s">
        <v>1311</v>
      </c>
      <c r="G4184" s="3" t="s">
        <v>29</v>
      </c>
      <c r="H4184" s="2" t="s">
        <v>74</v>
      </c>
      <c r="I4184" s="2" t="s">
        <v>11211</v>
      </c>
      <c r="J4184" s="3" t="str">
        <f>HYPERLINK("https://www.boe.es/gazeta/dias/1810/10/02/pdfs/GMD-1810-275.pdf#page=3","Abrir facsímil")</f>
        <v>Abrir facsímil</v>
      </c>
      <c r="K4184" s="3" t="s">
        <v>76</v>
      </c>
    </row>
    <row r="4185" spans="1:11" ht="42" customHeight="1">
      <c r="A4185" s="2" t="s">
        <v>11207</v>
      </c>
      <c r="B4185" s="2" t="s">
        <v>11207</v>
      </c>
      <c r="C4185" s="2" t="s">
        <v>88</v>
      </c>
      <c r="D4185" s="2" t="s">
        <v>117</v>
      </c>
      <c r="E4185" s="4">
        <v>-32579</v>
      </c>
      <c r="F4185" s="3" t="s">
        <v>6949</v>
      </c>
      <c r="G4185" s="3" t="s">
        <v>20</v>
      </c>
      <c r="H4185" s="2" t="s">
        <v>74</v>
      </c>
      <c r="I4185" s="2" t="s">
        <v>11212</v>
      </c>
      <c r="J4185" s="3" t="str">
        <f>HYPERLINK("https://www.boe.es/gazeta/dias/1810/10/19/pdfs/GMD-1810-292.pdf#page=4","Abrir facsímil")</f>
        <v>Abrir facsímil</v>
      </c>
      <c r="K4185" s="3" t="s">
        <v>76</v>
      </c>
    </row>
    <row r="4186" spans="1:11" ht="42" customHeight="1">
      <c r="A4186" s="2" t="s">
        <v>11207</v>
      </c>
      <c r="B4186" s="2" t="s">
        <v>11207</v>
      </c>
      <c r="C4186" s="2" t="s">
        <v>88</v>
      </c>
      <c r="D4186" s="2" t="s">
        <v>27</v>
      </c>
      <c r="E4186" s="4">
        <v>-32578</v>
      </c>
      <c r="F4186" s="3" t="s">
        <v>2333</v>
      </c>
      <c r="G4186" s="3" t="s">
        <v>645</v>
      </c>
      <c r="H4186" s="2" t="s">
        <v>74</v>
      </c>
      <c r="I4186" s="2" t="s">
        <v>11213</v>
      </c>
      <c r="J4186" s="3" t="str">
        <f>HYPERLINK("https://www.boe.es/gazeta/dias/1810/10/20/pdfs/GEI-1810-84.pdf#page=7","Abrir facsímil")</f>
        <v>Abrir facsímil</v>
      </c>
      <c r="K4186" s="3" t="s">
        <v>76</v>
      </c>
    </row>
    <row r="4187" spans="1:11" ht="42" customHeight="1">
      <c r="A4187" s="2" t="s">
        <v>11207</v>
      </c>
      <c r="B4187" s="2" t="s">
        <v>11207</v>
      </c>
      <c r="C4187" s="2" t="s">
        <v>88</v>
      </c>
      <c r="D4187" s="2" t="s">
        <v>117</v>
      </c>
      <c r="E4187" s="4">
        <v>-32571</v>
      </c>
      <c r="F4187" s="3" t="s">
        <v>737</v>
      </c>
      <c r="G4187" s="3" t="s">
        <v>9361</v>
      </c>
      <c r="H4187" s="2" t="s">
        <v>74</v>
      </c>
      <c r="I4187" s="2" t="s">
        <v>11214</v>
      </c>
      <c r="J4187" s="3" t="str">
        <f>HYPERLINK("https://www.boe.es/gazeta/dias/1810/10/27/pdfs/GEI-1810-87.pdf#page=1","Abrir facsímil")</f>
        <v>Abrir facsímil</v>
      </c>
      <c r="K4187" s="3" t="s">
        <v>76</v>
      </c>
    </row>
    <row r="4188" spans="1:11" ht="42" customHeight="1">
      <c r="A4188" s="2" t="s">
        <v>11215</v>
      </c>
      <c r="B4188" s="2" t="s">
        <v>11215</v>
      </c>
      <c r="C4188" s="2" t="s">
        <v>88</v>
      </c>
      <c r="D4188" s="2" t="s">
        <v>117</v>
      </c>
      <c r="E4188" s="4">
        <v>-32539</v>
      </c>
      <c r="F4188" s="3" t="s">
        <v>11216</v>
      </c>
      <c r="G4188" s="3" t="s">
        <v>473</v>
      </c>
      <c r="H4188" s="2" t="s">
        <v>74</v>
      </c>
      <c r="I4188" s="2" t="s">
        <v>11217</v>
      </c>
      <c r="J4188" s="3" t="str">
        <f>HYPERLINK("https://www.boe.es/gazeta/dias/1810/11/28/pdfs/GMD-1810-332.pdf#page=3","Abrir facsímil")</f>
        <v>Abrir facsímil</v>
      </c>
      <c r="K4188" s="3" t="s">
        <v>76</v>
      </c>
    </row>
    <row r="4189" spans="1:11" ht="42" customHeight="1">
      <c r="A4189" s="2" t="s">
        <v>11218</v>
      </c>
      <c r="B4189" s="2" t="s">
        <v>11219</v>
      </c>
      <c r="C4189" s="2" t="s">
        <v>88</v>
      </c>
      <c r="D4189" s="2" t="s">
        <v>27</v>
      </c>
      <c r="E4189" s="4">
        <v>-32550</v>
      </c>
      <c r="F4189" s="3" t="s">
        <v>1472</v>
      </c>
      <c r="G4189" s="3" t="s">
        <v>1473</v>
      </c>
      <c r="H4189" s="2" t="s">
        <v>74</v>
      </c>
      <c r="I4189" s="2" t="s">
        <v>11220</v>
      </c>
      <c r="J4189" s="3" t="str">
        <f>HYPERLINK("https://www.boe.es/gazeta/dias/1810/11/17/pdfs/GEI-1810-96.pdf#page=8","Abrir facsímil")</f>
        <v>Abrir facsímil</v>
      </c>
      <c r="K4189" s="3" t="s">
        <v>76</v>
      </c>
    </row>
    <row r="4190" spans="1:11" ht="42" customHeight="1">
      <c r="A4190" s="2" t="s">
        <v>11221</v>
      </c>
      <c r="B4190" s="2" t="s">
        <v>11221</v>
      </c>
      <c r="C4190" s="2" t="s">
        <v>88</v>
      </c>
      <c r="D4190" s="2" t="s">
        <v>117</v>
      </c>
      <c r="E4190" s="4">
        <v>-32747</v>
      </c>
      <c r="F4190" s="3" t="s">
        <v>2337</v>
      </c>
      <c r="G4190" s="3" t="s">
        <v>8892</v>
      </c>
      <c r="H4190" s="2" t="s">
        <v>74</v>
      </c>
      <c r="I4190" s="2" t="s">
        <v>11222</v>
      </c>
      <c r="J4190" s="3" t="str">
        <f>HYPERLINK("https://www.boe.es/gazeta/dias/1810/05/04/pdfs/GEI-1810-21.pdf#page=2","Abrir facsímil")</f>
        <v>Abrir facsímil</v>
      </c>
      <c r="K4190" s="3" t="s">
        <v>76</v>
      </c>
    </row>
    <row r="4191" spans="1:11" ht="42" customHeight="1">
      <c r="A4191" s="2" t="s">
        <v>11223</v>
      </c>
      <c r="B4191" s="2" t="s">
        <v>11223</v>
      </c>
      <c r="C4191" s="2" t="s">
        <v>88</v>
      </c>
      <c r="D4191" s="2" t="s">
        <v>27</v>
      </c>
      <c r="E4191" s="4">
        <v>-32671</v>
      </c>
      <c r="F4191" s="3" t="s">
        <v>3682</v>
      </c>
      <c r="G4191" s="3" t="s">
        <v>90</v>
      </c>
      <c r="H4191" s="2" t="s">
        <v>74</v>
      </c>
      <c r="I4191" s="2" t="s">
        <v>11224</v>
      </c>
      <c r="J4191" s="3" t="str">
        <f>HYPERLINK("https://www.boe.es/gazeta/dias/1810/07/19/pdfs/GMD-1810-200.pdf#page=2","Abrir facsímil")</f>
        <v>Abrir facsímil</v>
      </c>
      <c r="K4191" s="3" t="s">
        <v>76</v>
      </c>
    </row>
    <row r="4192" spans="1:11" ht="42" customHeight="1">
      <c r="A4192" s="2" t="s">
        <v>11225</v>
      </c>
      <c r="B4192" s="2" t="s">
        <v>11226</v>
      </c>
      <c r="C4192" s="2" t="s">
        <v>26</v>
      </c>
      <c r="D4192" s="2" t="s">
        <v>27</v>
      </c>
      <c r="E4192" s="4">
        <v>-32700</v>
      </c>
      <c r="F4192" s="3" t="s">
        <v>89</v>
      </c>
      <c r="G4192" s="3" t="s">
        <v>70</v>
      </c>
      <c r="H4192" s="2" t="s">
        <v>74</v>
      </c>
      <c r="I4192" s="2" t="s">
        <v>11227</v>
      </c>
      <c r="J4192" s="3" t="str">
        <f>HYPERLINK("https://www.boe.es/gazeta/dias/1810/06/20/pdfs/GMD-1810-171.pdf#page=4","Abrir facsímil")</f>
        <v>Abrir facsímil</v>
      </c>
      <c r="K4192" s="3" t="s">
        <v>76</v>
      </c>
    </row>
    <row r="4193" spans="1:11" ht="42" customHeight="1">
      <c r="A4193" s="2" t="s">
        <v>11228</v>
      </c>
      <c r="B4193" s="2" t="s">
        <v>11228</v>
      </c>
      <c r="C4193" s="2" t="s">
        <v>88</v>
      </c>
      <c r="D4193" s="2" t="s">
        <v>27</v>
      </c>
      <c r="E4193" s="4">
        <v>-32719</v>
      </c>
      <c r="F4193" s="3" t="s">
        <v>965</v>
      </c>
      <c r="G4193" s="3" t="s">
        <v>7142</v>
      </c>
      <c r="H4193" s="2" t="s">
        <v>74</v>
      </c>
      <c r="I4193" s="2" t="s">
        <v>11229</v>
      </c>
      <c r="J4193" s="3" t="str">
        <f>HYPERLINK("https://www.boe.es/gazeta/dias/1810/06/01/pdfs/GMD-1810-152.pdf#page=1","Abrir facsímil")</f>
        <v>Abrir facsímil</v>
      </c>
      <c r="K4193" s="3" t="s">
        <v>76</v>
      </c>
    </row>
    <row r="4194" spans="1:11" ht="42" customHeight="1">
      <c r="A4194" s="2" t="s">
        <v>11230</v>
      </c>
      <c r="B4194" s="2" t="s">
        <v>11230</v>
      </c>
      <c r="C4194" s="2" t="s">
        <v>317</v>
      </c>
      <c r="D4194" s="2" t="s">
        <v>117</v>
      </c>
      <c r="E4194" s="4">
        <v>-32831</v>
      </c>
      <c r="F4194" s="3" t="s">
        <v>3316</v>
      </c>
      <c r="G4194" s="3" t="s">
        <v>29</v>
      </c>
      <c r="H4194" s="2" t="s">
        <v>74</v>
      </c>
      <c r="I4194" s="2" t="s">
        <v>11231</v>
      </c>
      <c r="J4194" s="3" t="str">
        <f>HYPERLINK("https://www.boe.es/gazeta/dias/1810/02/09/pdfs/GMD-1810-40.pdf#page=2","Abrir facsímil")</f>
        <v>Abrir facsímil</v>
      </c>
      <c r="K4194" s="3" t="s">
        <v>76</v>
      </c>
    </row>
    <row r="4195" spans="1:11" ht="42" customHeight="1">
      <c r="A4195" s="2" t="s">
        <v>11232</v>
      </c>
      <c r="B4195" s="2" t="s">
        <v>11232</v>
      </c>
      <c r="C4195" s="2" t="s">
        <v>225</v>
      </c>
      <c r="D4195" s="2" t="s">
        <v>117</v>
      </c>
      <c r="E4195" s="4">
        <v>-32804</v>
      </c>
      <c r="F4195" s="3" t="s">
        <v>583</v>
      </c>
      <c r="G4195" s="3" t="s">
        <v>584</v>
      </c>
      <c r="H4195" s="2" t="s">
        <v>74</v>
      </c>
      <c r="I4195" s="2" t="s">
        <v>11233</v>
      </c>
      <c r="J4195" s="3" t="str">
        <f>HYPERLINK("https://www.boe.es/gazeta/dias/1810/03/08/pdfs/GMD-1810-67.pdf#page=1","Abrir facsímil")</f>
        <v>Abrir facsímil</v>
      </c>
      <c r="K4195" s="3" t="s">
        <v>76</v>
      </c>
    </row>
    <row r="4196" spans="1:11" ht="42" customHeight="1">
      <c r="A4196" s="2" t="s">
        <v>11234</v>
      </c>
      <c r="B4196" s="2" t="s">
        <v>11234</v>
      </c>
      <c r="C4196" s="2" t="s">
        <v>88</v>
      </c>
      <c r="D4196" s="2" t="s">
        <v>220</v>
      </c>
      <c r="E4196" s="4">
        <v>-32679</v>
      </c>
      <c r="F4196" s="3" t="s">
        <v>616</v>
      </c>
      <c r="G4196" s="3" t="s">
        <v>213</v>
      </c>
      <c r="H4196" s="2" t="s">
        <v>74</v>
      </c>
      <c r="I4196" s="2" t="s">
        <v>11235</v>
      </c>
      <c r="J4196" s="3" t="str">
        <f>HYPERLINK("https://www.boe.es/gazeta/dias/1810/07/11/pdfs/GMD-1810-192.pdf#page=2","Abrir facsímil")</f>
        <v>Abrir facsímil</v>
      </c>
      <c r="K4196" s="3" t="s">
        <v>76</v>
      </c>
    </row>
    <row r="4197" spans="1:11" ht="42" customHeight="1">
      <c r="A4197" s="2" t="s">
        <v>11236</v>
      </c>
      <c r="B4197" s="2" t="s">
        <v>11237</v>
      </c>
      <c r="C4197" s="2" t="s">
        <v>88</v>
      </c>
      <c r="D4197" s="2" t="s">
        <v>117</v>
      </c>
      <c r="E4197" s="4">
        <v>-32658</v>
      </c>
      <c r="F4197" s="3" t="s">
        <v>1224</v>
      </c>
      <c r="G4197" s="3" t="s">
        <v>140</v>
      </c>
      <c r="H4197" s="2" t="s">
        <v>74</v>
      </c>
      <c r="I4197" s="2" t="s">
        <v>11238</v>
      </c>
      <c r="J4197" s="3" t="str">
        <f>HYPERLINK("https://www.boe.es/gazeta/dias/1810/08/01/pdfs/GMD-1810-213.pdf#page=4","Abrir facsímil")</f>
        <v>Abrir facsímil</v>
      </c>
      <c r="K4197" s="3" t="s">
        <v>76</v>
      </c>
    </row>
    <row r="4198" spans="1:11" ht="42" customHeight="1">
      <c r="A4198" s="2" t="s">
        <v>11239</v>
      </c>
      <c r="B4198" s="2" t="s">
        <v>11239</v>
      </c>
      <c r="C4198" s="2" t="s">
        <v>88</v>
      </c>
      <c r="D4198" s="2" t="s">
        <v>220</v>
      </c>
      <c r="E4198" s="4">
        <v>-32627</v>
      </c>
      <c r="F4198" s="3" t="s">
        <v>1496</v>
      </c>
      <c r="G4198" s="3" t="s">
        <v>1497</v>
      </c>
      <c r="H4198" s="2" t="s">
        <v>74</v>
      </c>
      <c r="I4198" s="2" t="s">
        <v>11240</v>
      </c>
      <c r="J4198" s="3" t="str">
        <f>HYPERLINK("https://www.boe.es/gazeta/dias/1810/09/01/pdfs/GMD-1810-244.pdf#page=1","Abrir facsímil")</f>
        <v>Abrir facsímil</v>
      </c>
      <c r="K4198" s="3" t="s">
        <v>76</v>
      </c>
    </row>
    <row r="4199" spans="1:11" ht="42" customHeight="1">
      <c r="A4199" s="2" t="s">
        <v>11239</v>
      </c>
      <c r="B4199" s="2" t="s">
        <v>11239</v>
      </c>
      <c r="C4199" s="2" t="s">
        <v>88</v>
      </c>
      <c r="D4199" s="2" t="s">
        <v>27</v>
      </c>
      <c r="E4199" s="4">
        <v>-32511</v>
      </c>
      <c r="F4199" s="3" t="s">
        <v>482</v>
      </c>
      <c r="G4199" s="3" t="s">
        <v>140</v>
      </c>
      <c r="H4199" s="2" t="s">
        <v>74</v>
      </c>
      <c r="I4199" s="2" t="s">
        <v>11241</v>
      </c>
      <c r="J4199" s="3" t="str">
        <f>HYPERLINK("https://www.boe.es/gazeta/dias/1810/12/26/pdfs/GMD-1810-360.pdf#page=1","Abrir facsímil")</f>
        <v>Abrir facsímil</v>
      </c>
      <c r="K4199" s="3" t="s">
        <v>76</v>
      </c>
    </row>
    <row r="4200" spans="1:11" ht="42" customHeight="1">
      <c r="A4200" s="2" t="s">
        <v>11242</v>
      </c>
      <c r="B4200" s="2" t="s">
        <v>11243</v>
      </c>
      <c r="C4200" s="2" t="s">
        <v>88</v>
      </c>
      <c r="D4200" s="2" t="s">
        <v>18</v>
      </c>
      <c r="E4200" s="4">
        <v>-32698</v>
      </c>
      <c r="F4200" s="3" t="s">
        <v>2705</v>
      </c>
      <c r="G4200" s="3" t="s">
        <v>2706</v>
      </c>
      <c r="H4200" s="2" t="s">
        <v>74</v>
      </c>
      <c r="I4200" s="2" t="s">
        <v>11244</v>
      </c>
      <c r="J4200" s="3" t="str">
        <f>HYPERLINK("https://www.boe.es/gazeta/dias/1810/06/22/pdfs/GEI-1810-38.pdf#page=8","Abrir facsímil")</f>
        <v>Abrir facsímil</v>
      </c>
      <c r="K4200" s="3" t="s">
        <v>76</v>
      </c>
    </row>
    <row r="4201" spans="1:11" ht="42" customHeight="1">
      <c r="A4201" s="2" t="s">
        <v>11245</v>
      </c>
      <c r="B4201" s="2" t="s">
        <v>11246</v>
      </c>
      <c r="C4201" s="2" t="s">
        <v>225</v>
      </c>
      <c r="D4201" s="2" t="s">
        <v>27</v>
      </c>
      <c r="E4201" s="4">
        <v>-32533</v>
      </c>
      <c r="F4201" s="3" t="s">
        <v>1357</v>
      </c>
      <c r="G4201" s="3" t="s">
        <v>11247</v>
      </c>
      <c r="H4201" s="2" t="s">
        <v>74</v>
      </c>
      <c r="I4201" s="2" t="s">
        <v>11248</v>
      </c>
      <c r="J4201" s="3" t="str">
        <f>HYPERLINK("https://www.boe.es/gazeta/dias/1810/12/04/pdfs/GEI-1810-103.pdf#page=2","Abrir facsímil")</f>
        <v>Abrir facsímil</v>
      </c>
      <c r="K4201" s="3" t="s">
        <v>76</v>
      </c>
    </row>
    <row r="4202" spans="1:11" ht="42" customHeight="1">
      <c r="A4202" s="2" t="s">
        <v>11249</v>
      </c>
      <c r="B4202" s="2" t="s">
        <v>11250</v>
      </c>
      <c r="C4202" s="2" t="s">
        <v>26</v>
      </c>
      <c r="D4202" s="2" t="s">
        <v>27</v>
      </c>
      <c r="E4202" s="4">
        <v>-32543</v>
      </c>
      <c r="F4202" s="3" t="s">
        <v>69</v>
      </c>
      <c r="G4202" s="3" t="s">
        <v>70</v>
      </c>
      <c r="H4202" s="2" t="s">
        <v>74</v>
      </c>
      <c r="I4202" s="2" t="s">
        <v>11251</v>
      </c>
      <c r="J4202" s="3" t="str">
        <f>HYPERLINK("https://www.boe.es/gazeta/dias/1810/11/24/pdfs/GEI-1810-99.pdf#page=8","Abrir facsímil")</f>
        <v>Abrir facsímil</v>
      </c>
      <c r="K4202" s="3" t="s">
        <v>76</v>
      </c>
    </row>
    <row r="4203" spans="1:11" ht="42" customHeight="1">
      <c r="A4203" s="2" t="s">
        <v>11252</v>
      </c>
      <c r="B4203" s="2" t="s">
        <v>11253</v>
      </c>
      <c r="C4203" s="2" t="s">
        <v>26</v>
      </c>
      <c r="D4203" s="2" t="s">
        <v>27</v>
      </c>
      <c r="E4203" s="4">
        <v>-32845</v>
      </c>
      <c r="F4203" s="3" t="s">
        <v>1454</v>
      </c>
      <c r="G4203" s="3" t="s">
        <v>35</v>
      </c>
      <c r="H4203" s="2" t="s">
        <v>74</v>
      </c>
      <c r="I4203" s="2" t="s">
        <v>11254</v>
      </c>
      <c r="J4203" s="3" t="str">
        <f>HYPERLINK("https://www.boe.es/gazeta/dias/1810/01/26/pdfs/GMD-1810-26.pdf#page=2","Abrir facsímil")</f>
        <v>Abrir facsímil</v>
      </c>
      <c r="K4203" s="3" t="s">
        <v>76</v>
      </c>
    </row>
    <row r="4204" spans="1:11" ht="42" customHeight="1">
      <c r="A4204" s="2" t="s">
        <v>11255</v>
      </c>
      <c r="B4204" s="2" t="s">
        <v>11255</v>
      </c>
      <c r="C4204" s="2" t="s">
        <v>111</v>
      </c>
      <c r="D4204" s="2" t="s">
        <v>27</v>
      </c>
      <c r="E4204" s="4">
        <v>-32754</v>
      </c>
      <c r="F4204" s="3" t="s">
        <v>34</v>
      </c>
      <c r="G4204" s="3" t="s">
        <v>35</v>
      </c>
      <c r="H4204" s="2" t="s">
        <v>74</v>
      </c>
      <c r="I4204" s="2" t="s">
        <v>11256</v>
      </c>
      <c r="J4204" s="3" t="str">
        <f>HYPERLINK("https://www.boe.es/gazeta/dias/1810/04/27/pdfs/GMD-1810-117.pdf#page=2","Abrir facsímil")</f>
        <v>Abrir facsímil</v>
      </c>
      <c r="K4204" s="3" t="s">
        <v>76</v>
      </c>
    </row>
    <row r="4205" spans="1:11" ht="42" customHeight="1">
      <c r="A4205" s="2" t="s">
        <v>11257</v>
      </c>
      <c r="B4205" s="2" t="s">
        <v>11257</v>
      </c>
      <c r="C4205" s="2" t="s">
        <v>111</v>
      </c>
      <c r="D4205" s="2" t="s">
        <v>27</v>
      </c>
      <c r="E4205" s="4">
        <v>-32817</v>
      </c>
      <c r="F4205" s="3" t="s">
        <v>450</v>
      </c>
      <c r="G4205" s="3" t="s">
        <v>1638</v>
      </c>
      <c r="H4205" s="2" t="s">
        <v>74</v>
      </c>
      <c r="I4205" s="2" t="s">
        <v>11258</v>
      </c>
      <c r="J4205" s="3" t="str">
        <f>HYPERLINK("https://www.boe.es/gazeta/dias/1810/02/23/pdfs/GMD-1810-54.pdf#page=2","Abrir facsímil")</f>
        <v>Abrir facsímil</v>
      </c>
      <c r="K4205" s="3" t="s">
        <v>76</v>
      </c>
    </row>
    <row r="4206" spans="1:11" ht="42" customHeight="1">
      <c r="A4206" s="2" t="s">
        <v>11259</v>
      </c>
      <c r="B4206" s="2" t="s">
        <v>11259</v>
      </c>
      <c r="C4206" s="2" t="s">
        <v>88</v>
      </c>
      <c r="D4206" s="2" t="s">
        <v>27</v>
      </c>
      <c r="E4206" s="4">
        <v>-32655</v>
      </c>
      <c r="F4206" s="3" t="s">
        <v>1040</v>
      </c>
      <c r="G4206" s="3" t="s">
        <v>104</v>
      </c>
      <c r="H4206" s="2" t="s">
        <v>74</v>
      </c>
      <c r="I4206" s="2" t="s">
        <v>11260</v>
      </c>
      <c r="J4206" s="3" t="str">
        <f>HYPERLINK("https://www.boe.es/gazeta/dias/1810/08/04/pdfs/GMD-1810-216.pdf#page=2","Abrir facsímil")</f>
        <v>Abrir facsímil</v>
      </c>
      <c r="K4206" s="3" t="s">
        <v>76</v>
      </c>
    </row>
    <row r="4207" spans="1:11" ht="42" customHeight="1">
      <c r="A4207" s="2" t="s">
        <v>11261</v>
      </c>
      <c r="B4207" s="2" t="s">
        <v>11262</v>
      </c>
      <c r="C4207" s="2" t="s">
        <v>26</v>
      </c>
      <c r="D4207" s="2" t="s">
        <v>27</v>
      </c>
      <c r="E4207" s="4">
        <v>-32700</v>
      </c>
      <c r="F4207" s="3" t="s">
        <v>89</v>
      </c>
      <c r="G4207" s="3" t="s">
        <v>70</v>
      </c>
      <c r="H4207" s="2" t="s">
        <v>74</v>
      </c>
      <c r="I4207" s="2" t="s">
        <v>11263</v>
      </c>
      <c r="J4207" s="3" t="str">
        <f>HYPERLINK("https://www.boe.es/gazeta/dias/1810/06/20/pdfs/GMD-1810-171.pdf#page=4","Abrir facsímil")</f>
        <v>Abrir facsímil</v>
      </c>
      <c r="K4207" s="3" t="s">
        <v>76</v>
      </c>
    </row>
    <row r="4208" spans="1:11" ht="42" customHeight="1">
      <c r="A4208" s="2" t="s">
        <v>11264</v>
      </c>
      <c r="B4208" s="2" t="s">
        <v>11264</v>
      </c>
      <c r="C4208" s="2" t="s">
        <v>17</v>
      </c>
      <c r="D4208" s="2" t="s">
        <v>27</v>
      </c>
      <c r="E4208" s="4">
        <v>-32857</v>
      </c>
      <c r="F4208" s="3" t="s">
        <v>1100</v>
      </c>
      <c r="G4208" s="3" t="s">
        <v>180</v>
      </c>
      <c r="H4208" s="2" t="s">
        <v>74</v>
      </c>
      <c r="I4208" s="2" t="s">
        <v>11265</v>
      </c>
      <c r="J4208" s="3" t="str">
        <f>HYPERLINK("https://www.boe.es/gazeta/dias/1810/01/14/pdfs/GMD-1810-14.pdf#page=1","Abrir facsímil")</f>
        <v>Abrir facsímil</v>
      </c>
      <c r="K4208" s="3" t="s">
        <v>76</v>
      </c>
    </row>
    <row r="4209" spans="1:11" ht="42" customHeight="1">
      <c r="A4209" s="2" t="s">
        <v>11266</v>
      </c>
      <c r="B4209" s="2" t="s">
        <v>11266</v>
      </c>
      <c r="C4209" s="2" t="s">
        <v>88</v>
      </c>
      <c r="D4209" s="2" t="s">
        <v>27</v>
      </c>
      <c r="E4209" s="4">
        <v>-32700</v>
      </c>
      <c r="F4209" s="3" t="s">
        <v>89</v>
      </c>
      <c r="G4209" s="3" t="s">
        <v>70</v>
      </c>
      <c r="H4209" s="2" t="s">
        <v>74</v>
      </c>
      <c r="I4209" s="2" t="s">
        <v>11267</v>
      </c>
      <c r="J4209" s="3" t="str">
        <f>HYPERLINK("https://www.boe.es/gazeta/dias/1810/06/20/pdfs/GMD-1810-171.pdf#page=4","Abrir facsímil")</f>
        <v>Abrir facsímil</v>
      </c>
      <c r="K4209" s="3" t="s">
        <v>76</v>
      </c>
    </row>
    <row r="4210" spans="1:11" ht="42" customHeight="1">
      <c r="A4210" s="2" t="s">
        <v>11268</v>
      </c>
      <c r="B4210" s="2" t="s">
        <v>11269</v>
      </c>
      <c r="C4210" s="2" t="s">
        <v>26</v>
      </c>
      <c r="D4210" s="2" t="s">
        <v>220</v>
      </c>
      <c r="E4210" s="4">
        <v>-32641</v>
      </c>
      <c r="F4210" s="3" t="s">
        <v>10757</v>
      </c>
      <c r="G4210" s="3" t="s">
        <v>210</v>
      </c>
      <c r="H4210" s="2" t="s">
        <v>74</v>
      </c>
      <c r="I4210" s="2" t="s">
        <v>11270</v>
      </c>
      <c r="J4210" s="3" t="str">
        <f>HYPERLINK("https://www.boe.es/gazeta/dias/1810/08/18/pdfs/GMD-1810-230.pdf#page=1","Abrir facsímil")</f>
        <v>Abrir facsímil</v>
      </c>
      <c r="K4210" s="3" t="s">
        <v>76</v>
      </c>
    </row>
    <row r="4211" spans="1:11" ht="42" customHeight="1">
      <c r="A4211" s="2" t="s">
        <v>11271</v>
      </c>
      <c r="B4211" s="2" t="s">
        <v>11271</v>
      </c>
      <c r="C4211" s="2" t="s">
        <v>88</v>
      </c>
      <c r="D4211" s="2" t="s">
        <v>220</v>
      </c>
      <c r="E4211" s="4">
        <v>-32528</v>
      </c>
      <c r="F4211" s="3" t="s">
        <v>3058</v>
      </c>
      <c r="G4211" s="3" t="s">
        <v>35</v>
      </c>
      <c r="H4211" s="2" t="s">
        <v>74</v>
      </c>
      <c r="I4211" s="2" t="s">
        <v>11272</v>
      </c>
      <c r="J4211" s="3" t="str">
        <f>HYPERLINK("https://www.boe.es/gazeta/dias/1810/12/09/pdfs/GMD-1810-343.pdf#page=2","Abrir facsímil")</f>
        <v>Abrir facsímil</v>
      </c>
      <c r="K4211" s="3" t="s">
        <v>76</v>
      </c>
    </row>
    <row r="4212" spans="1:11" ht="42" customHeight="1">
      <c r="A4212" s="2" t="s">
        <v>11273</v>
      </c>
      <c r="B4212" s="2" t="s">
        <v>11274</v>
      </c>
      <c r="C4212" s="2" t="s">
        <v>88</v>
      </c>
      <c r="D4212" s="2" t="s">
        <v>27</v>
      </c>
      <c r="E4212" s="4">
        <v>-32764</v>
      </c>
      <c r="F4212" s="3" t="s">
        <v>640</v>
      </c>
      <c r="G4212" s="3" t="s">
        <v>641</v>
      </c>
      <c r="H4212" s="2" t="s">
        <v>74</v>
      </c>
      <c r="I4212" s="2" t="s">
        <v>11275</v>
      </c>
      <c r="J4212" s="3" t="str">
        <f>HYPERLINK("https://www.boe.es/gazeta/dias/1810/04/17/pdfs/GEI-1810-15.pdf#page=8","Abrir facsímil")</f>
        <v>Abrir facsímil</v>
      </c>
      <c r="K4212" s="3" t="s">
        <v>76</v>
      </c>
    </row>
    <row r="4213" spans="1:11" ht="42" customHeight="1">
      <c r="A4213" s="2" t="s">
        <v>11276</v>
      </c>
      <c r="B4213" s="2" t="s">
        <v>11276</v>
      </c>
      <c r="C4213" s="2" t="s">
        <v>26</v>
      </c>
      <c r="D4213" s="2" t="s">
        <v>27</v>
      </c>
      <c r="E4213" s="4">
        <v>-32667</v>
      </c>
      <c r="F4213" s="3" t="s">
        <v>381</v>
      </c>
      <c r="G4213" s="3" t="s">
        <v>1222</v>
      </c>
      <c r="H4213" s="2" t="s">
        <v>74</v>
      </c>
      <c r="I4213" s="2" t="s">
        <v>11277</v>
      </c>
      <c r="J4213" s="3" t="str">
        <f>HYPERLINK("https://www.boe.es/gazeta/dias/1810/07/23/pdfs/GMD-1810-204.pdf#page=1","Abrir facsímil")</f>
        <v>Abrir facsímil</v>
      </c>
      <c r="K4213" s="3" t="s">
        <v>76</v>
      </c>
    </row>
    <row r="4214" spans="1:11" ht="42" customHeight="1">
      <c r="A4214" s="2" t="s">
        <v>11278</v>
      </c>
      <c r="B4214" s="2" t="s">
        <v>11279</v>
      </c>
      <c r="C4214" s="2" t="s">
        <v>26</v>
      </c>
      <c r="D4214" s="2" t="s">
        <v>27</v>
      </c>
      <c r="E4214" s="4">
        <v>-32575</v>
      </c>
      <c r="F4214" s="3" t="s">
        <v>135</v>
      </c>
      <c r="G4214" s="3" t="s">
        <v>140</v>
      </c>
      <c r="H4214" s="2" t="s">
        <v>74</v>
      </c>
      <c r="I4214" s="2" t="s">
        <v>11280</v>
      </c>
      <c r="J4214" s="3" t="str">
        <f>HYPERLINK("https://www.boe.es/gazeta/dias/1810/10/23/pdfs/GEI-1810-85.pdf#page=10","Abrir facsímil")</f>
        <v>Abrir facsímil</v>
      </c>
      <c r="K4214" s="3" t="s">
        <v>76</v>
      </c>
    </row>
    <row r="4215" spans="1:11" ht="42" customHeight="1">
      <c r="A4215" s="2" t="s">
        <v>11281</v>
      </c>
      <c r="B4215" s="2" t="s">
        <v>11282</v>
      </c>
      <c r="C4215" s="2" t="s">
        <v>26</v>
      </c>
      <c r="D4215" s="2" t="s">
        <v>27</v>
      </c>
      <c r="E4215" s="4">
        <v>-32771</v>
      </c>
      <c r="F4215" s="3" t="s">
        <v>543</v>
      </c>
      <c r="G4215" s="3" t="s">
        <v>65</v>
      </c>
      <c r="H4215" s="2" t="s">
        <v>74</v>
      </c>
      <c r="I4215" s="2" t="s">
        <v>11283</v>
      </c>
      <c r="J4215" s="3" t="str">
        <f>HYPERLINK("https://www.boe.es/gazeta/dias/1810/04/10/pdfs/GEI-1810-13.pdf#page=7","Abrir facsímil")</f>
        <v>Abrir facsímil</v>
      </c>
      <c r="K4215" s="3" t="s">
        <v>76</v>
      </c>
    </row>
    <row r="4216" spans="1:11" ht="42" customHeight="1">
      <c r="A4216" s="2" t="s">
        <v>11284</v>
      </c>
      <c r="B4216" s="2" t="s">
        <v>11284</v>
      </c>
      <c r="C4216" s="2" t="s">
        <v>26</v>
      </c>
      <c r="D4216" s="2" t="s">
        <v>27</v>
      </c>
      <c r="E4216" s="4">
        <v>-32691</v>
      </c>
      <c r="F4216" s="3" t="s">
        <v>727</v>
      </c>
      <c r="G4216" s="3" t="s">
        <v>140</v>
      </c>
      <c r="H4216" s="2" t="s">
        <v>74</v>
      </c>
      <c r="I4216" s="2" t="s">
        <v>11285</v>
      </c>
      <c r="J4216" s="3" t="str">
        <f>HYPERLINK("https://www.boe.es/gazeta/dias/1810/06/29/pdfs/GMD-1810-180.pdf#page=2","Abrir facsímil")</f>
        <v>Abrir facsímil</v>
      </c>
      <c r="K4216" s="3" t="s">
        <v>76</v>
      </c>
    </row>
    <row r="4217" spans="1:11" ht="42" customHeight="1">
      <c r="A4217" s="2" t="s">
        <v>11286</v>
      </c>
      <c r="B4217" s="2" t="s">
        <v>11287</v>
      </c>
      <c r="C4217" s="2" t="s">
        <v>26</v>
      </c>
      <c r="D4217" s="2" t="s">
        <v>27</v>
      </c>
      <c r="E4217" s="4">
        <v>-32711</v>
      </c>
      <c r="F4217" s="3" t="s">
        <v>1888</v>
      </c>
      <c r="G4217" s="3" t="s">
        <v>29</v>
      </c>
      <c r="H4217" s="2" t="s">
        <v>74</v>
      </c>
      <c r="I4217" s="2" t="s">
        <v>11288</v>
      </c>
      <c r="J4217" s="3" t="str">
        <f>HYPERLINK("https://www.boe.es/gazeta/dias/1810/06/09/pdfs/GMD-1810-160.pdf#page=4","Abrir facsímil")</f>
        <v>Abrir facsímil</v>
      </c>
      <c r="K4217" s="3" t="s">
        <v>76</v>
      </c>
    </row>
    <row r="4218" spans="1:11" ht="42" customHeight="1">
      <c r="A4218" s="2" t="s">
        <v>11289</v>
      </c>
      <c r="B4218" s="2" t="s">
        <v>11289</v>
      </c>
      <c r="C4218" s="2" t="s">
        <v>88</v>
      </c>
      <c r="D4218" s="2" t="s">
        <v>27</v>
      </c>
      <c r="E4218" s="4">
        <v>-32721</v>
      </c>
      <c r="F4218" s="3" t="s">
        <v>3437</v>
      </c>
      <c r="G4218" s="3" t="s">
        <v>20</v>
      </c>
      <c r="H4218" s="2" t="s">
        <v>74</v>
      </c>
      <c r="I4218" s="2" t="s">
        <v>11290</v>
      </c>
      <c r="J4218" s="3" t="str">
        <f>HYPERLINK("https://www.boe.es/gazeta/dias/1810/05/30/pdfs/GMD-1810-150.pdf#page=4","Abrir facsímil")</f>
        <v>Abrir facsímil</v>
      </c>
      <c r="K4218" s="3" t="s">
        <v>76</v>
      </c>
    </row>
    <row r="4219" spans="1:11" ht="42" customHeight="1">
      <c r="A4219" s="2" t="s">
        <v>11289</v>
      </c>
      <c r="B4219" s="2" t="s">
        <v>11289</v>
      </c>
      <c r="C4219" s="2" t="s">
        <v>88</v>
      </c>
      <c r="D4219" s="2" t="s">
        <v>117</v>
      </c>
      <c r="E4219" s="4">
        <v>-32618</v>
      </c>
      <c r="F4219" s="3" t="s">
        <v>1501</v>
      </c>
      <c r="G4219" s="3" t="s">
        <v>20</v>
      </c>
      <c r="H4219" s="2" t="s">
        <v>74</v>
      </c>
      <c r="I4219" s="2" t="s">
        <v>11291</v>
      </c>
      <c r="J4219" s="3" t="str">
        <f>HYPERLINK("https://www.boe.es/gazeta/dias/1810/09/10/pdfs/GMD-1810-253.pdf#page=4","Abrir facsímil")</f>
        <v>Abrir facsímil</v>
      </c>
      <c r="K4219" s="3" t="s">
        <v>76</v>
      </c>
    </row>
    <row r="4220" spans="1:11" ht="42" customHeight="1">
      <c r="A4220" s="2" t="s">
        <v>11289</v>
      </c>
      <c r="B4220" s="2" t="s">
        <v>11289</v>
      </c>
      <c r="C4220" s="2" t="s">
        <v>88</v>
      </c>
      <c r="D4220" s="2" t="s">
        <v>117</v>
      </c>
      <c r="E4220" s="4">
        <v>-32617</v>
      </c>
      <c r="F4220" s="3" t="s">
        <v>1459</v>
      </c>
      <c r="G4220" s="3" t="s">
        <v>1460</v>
      </c>
      <c r="H4220" s="2" t="s">
        <v>74</v>
      </c>
      <c r="I4220" s="2" t="s">
        <v>11292</v>
      </c>
      <c r="J4220" s="3" t="str">
        <f>HYPERLINK("https://www.boe.es/gazeta/dias/1810/09/11/pdfs/GEI-1810-66.pdf#page=5","Abrir facsímil")</f>
        <v>Abrir facsímil</v>
      </c>
      <c r="K4220" s="3" t="s">
        <v>76</v>
      </c>
    </row>
    <row r="4221" spans="1:11" ht="42" customHeight="1">
      <c r="A4221" s="2" t="s">
        <v>11289</v>
      </c>
      <c r="B4221" s="2" t="s">
        <v>11289</v>
      </c>
      <c r="C4221" s="2" t="s">
        <v>88</v>
      </c>
      <c r="D4221" s="2" t="s">
        <v>18</v>
      </c>
      <c r="E4221" s="4">
        <v>-32614</v>
      </c>
      <c r="F4221" s="3" t="s">
        <v>1083</v>
      </c>
      <c r="G4221" s="3" t="s">
        <v>5251</v>
      </c>
      <c r="H4221" s="2" t="s">
        <v>74</v>
      </c>
      <c r="I4221" s="2" t="s">
        <v>11293</v>
      </c>
      <c r="J4221" s="3" t="str">
        <f>HYPERLINK("https://www.boe.es/gazeta/dias/1810/09/14/pdfs/GEI-1810-67.pdf#page=4","Abrir facsímil")</f>
        <v>Abrir facsímil</v>
      </c>
      <c r="K4221" s="3" t="s">
        <v>76</v>
      </c>
    </row>
    <row r="4222" spans="1:11" ht="42" customHeight="1">
      <c r="A4222" s="2" t="s">
        <v>11289</v>
      </c>
      <c r="B4222" s="2" t="s">
        <v>11289</v>
      </c>
      <c r="C4222" s="2" t="s">
        <v>88</v>
      </c>
      <c r="D4222" s="2" t="s">
        <v>18</v>
      </c>
      <c r="E4222" s="4">
        <v>-32610</v>
      </c>
      <c r="F4222" s="3" t="s">
        <v>7879</v>
      </c>
      <c r="G4222" s="3" t="s">
        <v>227</v>
      </c>
      <c r="H4222" s="2" t="s">
        <v>74</v>
      </c>
      <c r="I4222" s="2" t="s">
        <v>11294</v>
      </c>
      <c r="J4222" s="3" t="str">
        <f>HYPERLINK("https://www.boe.es/gazeta/dias/1810/09/18/pdfs/GMD-1810-261.pdf#page=4","Abrir facsímil")</f>
        <v>Abrir facsímil</v>
      </c>
      <c r="K4222" s="3" t="s">
        <v>76</v>
      </c>
    </row>
    <row r="4223" spans="1:11" ht="42" customHeight="1">
      <c r="A4223" s="2" t="s">
        <v>11289</v>
      </c>
      <c r="B4223" s="2" t="s">
        <v>11289</v>
      </c>
      <c r="C4223" s="2" t="s">
        <v>88</v>
      </c>
      <c r="D4223" s="2" t="s">
        <v>18</v>
      </c>
      <c r="E4223" s="4">
        <v>-32592</v>
      </c>
      <c r="F4223" s="3" t="s">
        <v>771</v>
      </c>
      <c r="G4223" s="3" t="s">
        <v>35</v>
      </c>
      <c r="H4223" s="2" t="s">
        <v>74</v>
      </c>
      <c r="I4223" s="2" t="s">
        <v>11295</v>
      </c>
      <c r="J4223" s="3" t="str">
        <f>HYPERLINK("https://www.boe.es/gazeta/dias/1810/10/06/pdfs/GEI-1810-78.pdf#page=2","Abrir facsímil")</f>
        <v>Abrir facsímil</v>
      </c>
      <c r="K4223" s="3" t="s">
        <v>76</v>
      </c>
    </row>
    <row r="4224" spans="1:11" ht="42" customHeight="1">
      <c r="A4224" s="2" t="s">
        <v>11289</v>
      </c>
      <c r="B4224" s="2" t="s">
        <v>11289</v>
      </c>
      <c r="C4224" s="2" t="s">
        <v>88</v>
      </c>
      <c r="D4224" s="2" t="s">
        <v>117</v>
      </c>
      <c r="E4224" s="4">
        <v>-32581</v>
      </c>
      <c r="F4224" s="3" t="s">
        <v>6102</v>
      </c>
      <c r="G4224" s="3" t="s">
        <v>11296</v>
      </c>
      <c r="H4224" s="2" t="s">
        <v>74</v>
      </c>
      <c r="I4224" s="2" t="s">
        <v>11297</v>
      </c>
      <c r="J4224" s="3" t="str">
        <f>HYPERLINK("https://www.boe.es/gazeta/dias/1810/10/17/pdfs/GMD-1810-290.pdf#page=4","Abrir facsímil")</f>
        <v>Abrir facsímil</v>
      </c>
      <c r="K4224" s="3" t="s">
        <v>76</v>
      </c>
    </row>
    <row r="4225" spans="1:11" ht="42" customHeight="1">
      <c r="A4225" s="2" t="s">
        <v>11289</v>
      </c>
      <c r="B4225" s="2" t="s">
        <v>11289</v>
      </c>
      <c r="C4225" s="2" t="s">
        <v>88</v>
      </c>
      <c r="D4225" s="2" t="s">
        <v>18</v>
      </c>
      <c r="E4225" s="4">
        <v>-32578</v>
      </c>
      <c r="F4225" s="3" t="s">
        <v>7073</v>
      </c>
      <c r="G4225" s="3" t="s">
        <v>7074</v>
      </c>
      <c r="H4225" s="2" t="s">
        <v>74</v>
      </c>
      <c r="I4225" s="2" t="s">
        <v>11298</v>
      </c>
      <c r="J4225" s="3" t="str">
        <f>HYPERLINK("https://www.boe.es/gazeta/dias/1810/10/20/pdfs/GMD-1810-293.pdf#page=4","Abrir facsímil")</f>
        <v>Abrir facsímil</v>
      </c>
      <c r="K4225" s="3" t="s">
        <v>76</v>
      </c>
    </row>
    <row r="4226" spans="1:11" ht="42" customHeight="1">
      <c r="A4226" s="2" t="s">
        <v>11289</v>
      </c>
      <c r="B4226" s="2" t="s">
        <v>11289</v>
      </c>
      <c r="C4226" s="2" t="s">
        <v>88</v>
      </c>
      <c r="D4226" s="2" t="s">
        <v>117</v>
      </c>
      <c r="E4226" s="4">
        <v>-32566</v>
      </c>
      <c r="F4226" s="3" t="s">
        <v>649</v>
      </c>
      <c r="G4226" s="3" t="s">
        <v>11080</v>
      </c>
      <c r="H4226" s="2" t="s">
        <v>74</v>
      </c>
      <c r="I4226" s="2" t="s">
        <v>11299</v>
      </c>
      <c r="J4226" s="3" t="str">
        <f>HYPERLINK("https://www.boe.es/gazeta/dias/1810/11/01/pdfs/GEI-1810-89.pdf#page=8","Abrir facsímil")</f>
        <v>Abrir facsímil</v>
      </c>
      <c r="K4226" s="3" t="s">
        <v>76</v>
      </c>
    </row>
    <row r="4227" spans="1:11" ht="42" customHeight="1">
      <c r="A4227" s="2" t="s">
        <v>11289</v>
      </c>
      <c r="B4227" s="2" t="s">
        <v>11289</v>
      </c>
      <c r="C4227" s="2" t="s">
        <v>88</v>
      </c>
      <c r="D4227" s="2" t="s">
        <v>18</v>
      </c>
      <c r="E4227" s="4">
        <v>-32564</v>
      </c>
      <c r="F4227" s="3" t="s">
        <v>108</v>
      </c>
      <c r="G4227" s="3" t="s">
        <v>11300</v>
      </c>
      <c r="H4227" s="2" t="s">
        <v>74</v>
      </c>
      <c r="I4227" s="2" t="s">
        <v>11301</v>
      </c>
      <c r="J4227" s="3" t="str">
        <f>HYPERLINK("https://www.boe.es/gazeta/dias/1810/11/03/pdfs/GEI-1810-90.pdf#page=6","Abrir facsímil")</f>
        <v>Abrir facsímil</v>
      </c>
      <c r="K4227" s="3" t="s">
        <v>76</v>
      </c>
    </row>
    <row r="4228" spans="1:11" ht="42" customHeight="1">
      <c r="A4228" s="2" t="s">
        <v>11289</v>
      </c>
      <c r="B4228" s="2" t="s">
        <v>11289</v>
      </c>
      <c r="C4228" s="2" t="s">
        <v>88</v>
      </c>
      <c r="D4228" s="2" t="s">
        <v>27</v>
      </c>
      <c r="E4228" s="4">
        <v>-32523</v>
      </c>
      <c r="F4228" s="3" t="s">
        <v>1484</v>
      </c>
      <c r="G4228" s="3" t="s">
        <v>140</v>
      </c>
      <c r="H4228" s="2" t="s">
        <v>74</v>
      </c>
      <c r="I4228" s="2" t="s">
        <v>11302</v>
      </c>
      <c r="J4228" s="3" t="str">
        <f>HYPERLINK("https://www.boe.es/gazeta/dias/1810/12/14/pdfs/GMD-1810-348.pdf#page=3","Abrir facsímil")</f>
        <v>Abrir facsímil</v>
      </c>
      <c r="K4228" s="3" t="s">
        <v>76</v>
      </c>
    </row>
    <row r="4229" spans="1:11" ht="42" customHeight="1">
      <c r="A4229" s="2" t="s">
        <v>11303</v>
      </c>
      <c r="B4229" s="2" t="s">
        <v>11303</v>
      </c>
      <c r="C4229" s="2" t="s">
        <v>88</v>
      </c>
      <c r="D4229" s="2" t="s">
        <v>27</v>
      </c>
      <c r="E4229" s="4">
        <v>-32620</v>
      </c>
      <c r="F4229" s="3" t="s">
        <v>1499</v>
      </c>
      <c r="G4229" s="3" t="s">
        <v>695</v>
      </c>
      <c r="H4229" s="2" t="s">
        <v>74</v>
      </c>
      <c r="I4229" s="2" t="s">
        <v>11304</v>
      </c>
      <c r="J4229" s="3" t="str">
        <f>HYPERLINK("https://www.boe.es/gazeta/dias/1810/09/08/pdfs/GMD-1810-251.pdf#page=3","Abrir facsímil")</f>
        <v>Abrir facsímil</v>
      </c>
      <c r="K4229" s="3" t="s">
        <v>76</v>
      </c>
    </row>
    <row r="4230" spans="1:11" ht="42" customHeight="1">
      <c r="A4230" s="2" t="s">
        <v>11303</v>
      </c>
      <c r="B4230" s="2" t="s">
        <v>11303</v>
      </c>
      <c r="C4230" s="2" t="s">
        <v>88</v>
      </c>
      <c r="D4230" s="2" t="s">
        <v>27</v>
      </c>
      <c r="E4230" s="4">
        <v>-32596</v>
      </c>
      <c r="F4230" s="3" t="s">
        <v>1311</v>
      </c>
      <c r="G4230" s="3" t="s">
        <v>29</v>
      </c>
      <c r="H4230" s="2" t="s">
        <v>74</v>
      </c>
      <c r="I4230" s="2" t="s">
        <v>11305</v>
      </c>
      <c r="J4230" s="3" t="str">
        <f>HYPERLINK("https://www.boe.es/gazeta/dias/1810/10/02/pdfs/GMD-1810-275.pdf#page=3","Abrir facsímil")</f>
        <v>Abrir facsímil</v>
      </c>
      <c r="K4230" s="3" t="s">
        <v>76</v>
      </c>
    </row>
    <row r="4231" spans="1:11" ht="42" customHeight="1">
      <c r="A4231" s="2" t="s">
        <v>11303</v>
      </c>
      <c r="B4231" s="2" t="s">
        <v>11303</v>
      </c>
      <c r="C4231" s="2" t="s">
        <v>317</v>
      </c>
      <c r="D4231" s="2" t="s">
        <v>27</v>
      </c>
      <c r="E4231" s="4">
        <v>-32584</v>
      </c>
      <c r="F4231" s="3" t="s">
        <v>1560</v>
      </c>
      <c r="G4231" s="3" t="s">
        <v>971</v>
      </c>
      <c r="H4231" s="2" t="s">
        <v>74</v>
      </c>
      <c r="I4231" s="2" t="s">
        <v>11306</v>
      </c>
      <c r="J4231" s="3" t="str">
        <f>HYPERLINK("https://www.boe.es/gazeta/dias/1810/10/14/pdfs/GMD-1810-287.pdf#page=3","Abrir facsímil")</f>
        <v>Abrir facsímil</v>
      </c>
      <c r="K4231" s="3" t="s">
        <v>76</v>
      </c>
    </row>
    <row r="4232" spans="1:11" ht="42" customHeight="1">
      <c r="A4232" s="2" t="s">
        <v>11303</v>
      </c>
      <c r="B4232" s="2" t="s">
        <v>11303</v>
      </c>
      <c r="C4232" s="2" t="s">
        <v>88</v>
      </c>
      <c r="D4232" s="2" t="s">
        <v>220</v>
      </c>
      <c r="E4232" s="4">
        <v>-32531</v>
      </c>
      <c r="F4232" s="3" t="s">
        <v>2483</v>
      </c>
      <c r="G4232" s="3" t="s">
        <v>732</v>
      </c>
      <c r="H4232" s="2" t="s">
        <v>74</v>
      </c>
      <c r="I4232" s="2" t="s">
        <v>11307</v>
      </c>
      <c r="J4232" s="3" t="str">
        <f>HYPERLINK("https://www.boe.es/gazeta/dias/1810/12/06/pdfs/GEI-1810-104.pdf#page=1","Abrir facsímil")</f>
        <v>Abrir facsímil</v>
      </c>
      <c r="K4232" s="3" t="s">
        <v>76</v>
      </c>
    </row>
    <row r="4233" spans="1:11" ht="42" customHeight="1">
      <c r="A4233" s="2" t="s">
        <v>11308</v>
      </c>
      <c r="B4233" s="2" t="s">
        <v>11309</v>
      </c>
      <c r="C4233" s="2" t="s">
        <v>26</v>
      </c>
      <c r="D4233" s="2" t="s">
        <v>39</v>
      </c>
      <c r="E4233" s="4">
        <v>-32701</v>
      </c>
      <c r="F4233" s="3" t="s">
        <v>40</v>
      </c>
      <c r="G4233" s="3" t="s">
        <v>170</v>
      </c>
      <c r="H4233" s="2" t="s">
        <v>74</v>
      </c>
      <c r="I4233" s="2" t="s">
        <v>11310</v>
      </c>
      <c r="J4233" s="3" t="str">
        <f>HYPERLINK("https://www.boe.es/gazeta/dias/1810/06/19/pdfs/GMD-C-1810-170.pdf#page=1","Abrir facsímil")</f>
        <v>Abrir facsímil</v>
      </c>
      <c r="K4233" s="3" t="s">
        <v>76</v>
      </c>
    </row>
    <row r="4234" spans="1:11" ht="42" customHeight="1">
      <c r="A4234" s="2" t="s">
        <v>11311</v>
      </c>
      <c r="B4234" s="2" t="s">
        <v>11312</v>
      </c>
      <c r="C4234" s="2" t="s">
        <v>26</v>
      </c>
      <c r="D4234" s="2" t="s">
        <v>27</v>
      </c>
      <c r="E4234" s="4">
        <v>-32691</v>
      </c>
      <c r="F4234" s="3" t="s">
        <v>727</v>
      </c>
      <c r="G4234" s="3" t="s">
        <v>807</v>
      </c>
      <c r="H4234" s="2" t="s">
        <v>74</v>
      </c>
      <c r="I4234" s="2" t="s">
        <v>11313</v>
      </c>
      <c r="J4234" s="3" t="str">
        <f>HYPERLINK("https://www.boe.es/gazeta/dias/1810/06/29/pdfs/GMD-1810-180.pdf#page=3","Abrir facsímil")</f>
        <v>Abrir facsímil</v>
      </c>
      <c r="K4234" s="3" t="s">
        <v>76</v>
      </c>
    </row>
    <row r="4235" spans="1:11" ht="42" customHeight="1">
      <c r="A4235" s="2" t="s">
        <v>11314</v>
      </c>
      <c r="B4235" s="2" t="s">
        <v>11315</v>
      </c>
      <c r="C4235" s="2" t="s">
        <v>88</v>
      </c>
      <c r="D4235" s="2" t="s">
        <v>117</v>
      </c>
      <c r="E4235" s="4">
        <v>-32795</v>
      </c>
      <c r="F4235" s="3" t="s">
        <v>690</v>
      </c>
      <c r="G4235" s="3" t="s">
        <v>213</v>
      </c>
      <c r="H4235" s="2" t="s">
        <v>74</v>
      </c>
      <c r="I4235" s="2" t="s">
        <v>11316</v>
      </c>
      <c r="J4235" s="3" t="str">
        <f>HYPERLINK("https://www.boe.es/gazeta/dias/1810/03/17/pdfs/GMD-1810-76.pdf#page=4","Abrir facsímil")</f>
        <v>Abrir facsímil</v>
      </c>
      <c r="K4235" s="3" t="s">
        <v>76</v>
      </c>
    </row>
    <row r="4236" spans="1:11" ht="42" customHeight="1">
      <c r="A4236" s="2" t="s">
        <v>11317</v>
      </c>
      <c r="B4236" s="2" t="s">
        <v>11317</v>
      </c>
      <c r="C4236" s="2" t="s">
        <v>88</v>
      </c>
      <c r="D4236" s="2" t="s">
        <v>27</v>
      </c>
      <c r="E4236" s="4">
        <v>-32581</v>
      </c>
      <c r="F4236" s="3" t="s">
        <v>6102</v>
      </c>
      <c r="G4236" s="3" t="s">
        <v>6103</v>
      </c>
      <c r="H4236" s="2" t="s">
        <v>74</v>
      </c>
      <c r="I4236" s="2" t="s">
        <v>11318</v>
      </c>
      <c r="J4236" s="3" t="str">
        <f>HYPERLINK("https://www.boe.es/gazeta/dias/1810/10/17/pdfs/GMD-1810-290.pdf#page=3","Abrir facsímil")</f>
        <v>Abrir facsímil</v>
      </c>
      <c r="K4236" s="3" t="s">
        <v>76</v>
      </c>
    </row>
    <row r="4237" spans="1:11" ht="42" customHeight="1">
      <c r="A4237" s="2" t="s">
        <v>11319</v>
      </c>
      <c r="B4237" s="2" t="s">
        <v>11319</v>
      </c>
      <c r="C4237" s="2" t="s">
        <v>88</v>
      </c>
      <c r="D4237" s="2" t="s">
        <v>117</v>
      </c>
      <c r="E4237" s="4">
        <v>-32680</v>
      </c>
      <c r="F4237" s="3" t="s">
        <v>519</v>
      </c>
      <c r="G4237" s="3" t="s">
        <v>131</v>
      </c>
      <c r="H4237" s="2" t="s">
        <v>74</v>
      </c>
      <c r="I4237" s="2" t="s">
        <v>11320</v>
      </c>
      <c r="J4237" s="3" t="str">
        <f>HYPERLINK("https://www.boe.es/gazeta/dias/1810/07/10/pdfs/GEI-1810-43.pdf#page=1","Abrir facsímil")</f>
        <v>Abrir facsímil</v>
      </c>
      <c r="K4237" s="3" t="s">
        <v>76</v>
      </c>
    </row>
    <row r="4238" spans="1:11" ht="42" customHeight="1">
      <c r="A4238" s="2" t="s">
        <v>11321</v>
      </c>
      <c r="B4238" s="2" t="s">
        <v>11322</v>
      </c>
      <c r="C4238" s="2" t="s">
        <v>26</v>
      </c>
      <c r="D4238" s="2" t="s">
        <v>39</v>
      </c>
      <c r="E4238" s="4">
        <v>-32661</v>
      </c>
      <c r="F4238" s="3" t="s">
        <v>157</v>
      </c>
      <c r="G4238" s="3" t="s">
        <v>158</v>
      </c>
      <c r="H4238" s="2" t="s">
        <v>74</v>
      </c>
      <c r="I4238" s="2" t="s">
        <v>11323</v>
      </c>
      <c r="J4238" s="3" t="str">
        <f>HYPERLINK("https://www.boe.es/gazeta/dias/1810/07/29/pdfs/GMD-C-1810-210.pdf#page=1","Abrir facsímil")</f>
        <v>Abrir facsímil</v>
      </c>
      <c r="K4238" s="3" t="s">
        <v>76</v>
      </c>
    </row>
    <row r="4239" spans="1:11" ht="42" customHeight="1">
      <c r="A4239" s="2" t="s">
        <v>11324</v>
      </c>
      <c r="B4239" s="2" t="s">
        <v>11325</v>
      </c>
      <c r="C4239" s="2" t="s">
        <v>26</v>
      </c>
      <c r="D4239" s="2" t="s">
        <v>39</v>
      </c>
      <c r="E4239" s="4">
        <v>-32661</v>
      </c>
      <c r="F4239" s="3" t="s">
        <v>157</v>
      </c>
      <c r="G4239" s="3" t="s">
        <v>158</v>
      </c>
      <c r="H4239" s="2" t="s">
        <v>74</v>
      </c>
      <c r="I4239" s="2" t="s">
        <v>11326</v>
      </c>
      <c r="J4239" s="3" t="str">
        <f>HYPERLINK("https://www.boe.es/gazeta/dias/1810/07/29/pdfs/GMD-C-1810-210.pdf#page=1","Abrir facsímil")</f>
        <v>Abrir facsímil</v>
      </c>
      <c r="K4239" s="3" t="s">
        <v>76</v>
      </c>
    </row>
    <row r="4240" spans="1:11" ht="42" customHeight="1">
      <c r="A4240" s="2" t="s">
        <v>11327</v>
      </c>
      <c r="B4240" s="2" t="s">
        <v>11327</v>
      </c>
      <c r="C4240" s="2" t="s">
        <v>88</v>
      </c>
      <c r="D4240" s="2" t="s">
        <v>27</v>
      </c>
      <c r="E4240" s="4">
        <v>-32574</v>
      </c>
      <c r="F4240" s="3" t="s">
        <v>9540</v>
      </c>
      <c r="G4240" s="3" t="s">
        <v>227</v>
      </c>
      <c r="H4240" s="2" t="s">
        <v>74</v>
      </c>
      <c r="I4240" s="2" t="s">
        <v>11328</v>
      </c>
      <c r="J4240" s="3" t="str">
        <f>HYPERLINK("https://www.boe.es/gazeta/dias/1810/10/24/pdfs/GMD-1810-297.pdf#page=4","Abrir facsímil")</f>
        <v>Abrir facsímil</v>
      </c>
      <c r="K4240" s="3" t="s">
        <v>76</v>
      </c>
    </row>
    <row r="4241" spans="1:11" ht="42" customHeight="1">
      <c r="A4241" s="2" t="s">
        <v>11329</v>
      </c>
      <c r="B4241" s="2" t="s">
        <v>11329</v>
      </c>
      <c r="C4241" s="2" t="s">
        <v>26</v>
      </c>
      <c r="D4241" s="2" t="s">
        <v>27</v>
      </c>
      <c r="E4241" s="4">
        <v>-32549</v>
      </c>
      <c r="F4241" s="3" t="s">
        <v>1237</v>
      </c>
      <c r="G4241" s="3" t="s">
        <v>735</v>
      </c>
      <c r="H4241" s="2" t="s">
        <v>21</v>
      </c>
      <c r="I4241" s="2" t="s">
        <v>11330</v>
      </c>
      <c r="J4241" s="3" t="str">
        <f>HYPERLINK("https://www.boe.es/gazeta/dias/1810/11/18/pdfs/GMD-1810-322.pdf#page=1","Abrir facsímil")</f>
        <v>Abrir facsímil</v>
      </c>
      <c r="K4241" s="3" t="s">
        <v>23</v>
      </c>
    </row>
    <row r="4242" spans="1:11" ht="42" customHeight="1">
      <c r="A4242" s="2" t="s">
        <v>11331</v>
      </c>
      <c r="B4242" s="2" t="s">
        <v>11331</v>
      </c>
      <c r="C4242" s="2" t="s">
        <v>88</v>
      </c>
      <c r="D4242" s="2" t="s">
        <v>117</v>
      </c>
      <c r="E4242" s="4">
        <v>-32630</v>
      </c>
      <c r="F4242" s="3" t="s">
        <v>3542</v>
      </c>
      <c r="G4242" s="3" t="s">
        <v>1464</v>
      </c>
      <c r="H4242" s="2" t="s">
        <v>74</v>
      </c>
      <c r="I4242" s="2" t="s">
        <v>11332</v>
      </c>
      <c r="J4242" s="3" t="str">
        <f>HYPERLINK("https://www.boe.es/gazeta/dias/1810/08/29/pdfs/GMD-1810-241.pdf#page=1","Abrir facsímil")</f>
        <v>Abrir facsímil</v>
      </c>
      <c r="K4242" s="3" t="s">
        <v>76</v>
      </c>
    </row>
    <row r="4243" spans="1:11" ht="42" customHeight="1">
      <c r="A4243" s="2" t="s">
        <v>11333</v>
      </c>
      <c r="B4243" s="2" t="s">
        <v>11334</v>
      </c>
      <c r="C4243" s="2" t="s">
        <v>26</v>
      </c>
      <c r="D4243" s="2" t="s">
        <v>220</v>
      </c>
      <c r="E4243" s="4">
        <v>-32659</v>
      </c>
      <c r="F4243" s="3" t="s">
        <v>328</v>
      </c>
      <c r="G4243" s="3" t="s">
        <v>119</v>
      </c>
      <c r="H4243" s="2" t="s">
        <v>74</v>
      </c>
      <c r="I4243" s="2" t="s">
        <v>11335</v>
      </c>
      <c r="J4243" s="3" t="str">
        <f>HYPERLINK("https://www.boe.es/gazeta/dias/1810/07/31/pdfs/GEI-1810-49.pdf#page=8","Abrir facsímil")</f>
        <v>Abrir facsímil</v>
      </c>
      <c r="K4243" s="3" t="s">
        <v>76</v>
      </c>
    </row>
    <row r="4244" spans="1:11" ht="42" customHeight="1">
      <c r="A4244" s="2" t="s">
        <v>11336</v>
      </c>
      <c r="B4244" s="2" t="s">
        <v>11336</v>
      </c>
      <c r="C4244" s="2" t="s">
        <v>88</v>
      </c>
      <c r="D4244" s="2" t="s">
        <v>27</v>
      </c>
      <c r="E4244" s="4">
        <v>-32541</v>
      </c>
      <c r="F4244" s="3" t="s">
        <v>748</v>
      </c>
      <c r="G4244" s="3" t="s">
        <v>3125</v>
      </c>
      <c r="H4244" s="2" t="s">
        <v>74</v>
      </c>
      <c r="I4244" s="2" t="s">
        <v>11337</v>
      </c>
      <c r="J4244" s="3" t="str">
        <f>HYPERLINK("https://www.boe.es/gazeta/dias/1810/11/26/pdfs/GMD-1810-330.pdf#page=3","Abrir facsímil")</f>
        <v>Abrir facsímil</v>
      </c>
      <c r="K4244" s="3" t="s">
        <v>76</v>
      </c>
    </row>
    <row r="4245" spans="1:11" ht="42" customHeight="1">
      <c r="A4245" s="2" t="s">
        <v>11338</v>
      </c>
      <c r="B4245" s="2" t="s">
        <v>11339</v>
      </c>
      <c r="C4245" s="2" t="s">
        <v>26</v>
      </c>
      <c r="D4245" s="2" t="s">
        <v>39</v>
      </c>
      <c r="E4245" s="4">
        <v>-32686</v>
      </c>
      <c r="F4245" s="3" t="s">
        <v>3230</v>
      </c>
      <c r="G4245" s="3" t="s">
        <v>735</v>
      </c>
      <c r="H4245" s="2" t="s">
        <v>74</v>
      </c>
      <c r="I4245" s="2" t="s">
        <v>11340</v>
      </c>
      <c r="J4245" s="3" t="str">
        <f>HYPERLINK("https://www.boe.es/gazeta/dias/1810/07/04/pdfs/GMD-C-1810-185.pdf#page=2","Abrir facsímil")</f>
        <v>Abrir facsímil</v>
      </c>
      <c r="K4245" s="3" t="s">
        <v>76</v>
      </c>
    </row>
    <row r="4246" spans="1:11" ht="42" customHeight="1">
      <c r="A4246" s="2" t="s">
        <v>11341</v>
      </c>
      <c r="B4246" s="2" t="s">
        <v>11342</v>
      </c>
      <c r="C4246" s="2" t="s">
        <v>26</v>
      </c>
      <c r="D4246" s="2" t="s">
        <v>27</v>
      </c>
      <c r="E4246" s="4">
        <v>-32584</v>
      </c>
      <c r="F4246" s="3" t="s">
        <v>1560</v>
      </c>
      <c r="G4246" s="3" t="s">
        <v>971</v>
      </c>
      <c r="H4246" s="2" t="s">
        <v>74</v>
      </c>
      <c r="I4246" s="2" t="s">
        <v>11343</v>
      </c>
      <c r="J4246" s="3" t="str">
        <f>HYPERLINK("https://www.boe.es/gazeta/dias/1810/10/14/pdfs/GMD-1810-287.pdf#page=3","Abrir facsímil")</f>
        <v>Abrir facsímil</v>
      </c>
      <c r="K4246" s="3" t="s">
        <v>76</v>
      </c>
    </row>
    <row r="4247" spans="1:11" ht="42" customHeight="1">
      <c r="A4247" s="2" t="s">
        <v>11344</v>
      </c>
      <c r="B4247" s="2" t="s">
        <v>11344</v>
      </c>
      <c r="C4247" s="2" t="s">
        <v>88</v>
      </c>
      <c r="D4247" s="2" t="s">
        <v>27</v>
      </c>
      <c r="E4247" s="4">
        <v>-32574</v>
      </c>
      <c r="F4247" s="3" t="s">
        <v>9540</v>
      </c>
      <c r="G4247" s="3" t="s">
        <v>99</v>
      </c>
      <c r="H4247" s="2" t="s">
        <v>74</v>
      </c>
      <c r="I4247" s="2" t="s">
        <v>11345</v>
      </c>
      <c r="J4247" s="3" t="str">
        <f>HYPERLINK("https://www.boe.es/gazeta/dias/1810/10/24/pdfs/GMD-1810-297.pdf#page=3","Abrir facsímil")</f>
        <v>Abrir facsímil</v>
      </c>
      <c r="K4247" s="3" t="s">
        <v>76</v>
      </c>
    </row>
    <row r="4248" spans="1:11" ht="42" customHeight="1">
      <c r="A4248" s="2" t="s">
        <v>11346</v>
      </c>
      <c r="B4248" s="2" t="s">
        <v>11346</v>
      </c>
      <c r="C4248" s="2" t="s">
        <v>88</v>
      </c>
      <c r="D4248" s="2" t="s">
        <v>27</v>
      </c>
      <c r="E4248" s="4">
        <v>-32678</v>
      </c>
      <c r="F4248" s="3" t="s">
        <v>3679</v>
      </c>
      <c r="G4248" s="3" t="s">
        <v>29</v>
      </c>
      <c r="H4248" s="2" t="s">
        <v>74</v>
      </c>
      <c r="I4248" s="2" t="s">
        <v>11347</v>
      </c>
      <c r="J4248" s="3" t="str">
        <f>HYPERLINK("https://www.boe.es/gazeta/dias/1810/07/12/pdfs/GMD-1810-193.pdf#page=2","Abrir facsímil")</f>
        <v>Abrir facsímil</v>
      </c>
      <c r="K4248" s="3" t="s">
        <v>76</v>
      </c>
    </row>
    <row r="4249" spans="1:11" ht="42" customHeight="1">
      <c r="A4249" s="2" t="s">
        <v>11348</v>
      </c>
      <c r="B4249" s="2" t="s">
        <v>11349</v>
      </c>
      <c r="C4249" s="2" t="s">
        <v>33</v>
      </c>
      <c r="D4249" s="2" t="s">
        <v>27</v>
      </c>
      <c r="E4249" s="4">
        <v>-32617</v>
      </c>
      <c r="F4249" s="3" t="s">
        <v>1459</v>
      </c>
      <c r="G4249" s="3" t="s">
        <v>9151</v>
      </c>
      <c r="H4249" s="2" t="s">
        <v>21</v>
      </c>
      <c r="I4249" s="2" t="s">
        <v>11350</v>
      </c>
      <c r="J4249" s="3" t="str">
        <f>HYPERLINK("https://www.boe.es/gazeta/dias/1810/09/11/pdfs/GEI-1810-66.pdf#page=6","Abrir facsímil")</f>
        <v>Abrir facsímil</v>
      </c>
      <c r="K4249" s="3" t="s">
        <v>23</v>
      </c>
    </row>
    <row r="4250" spans="1:11" ht="42" customHeight="1">
      <c r="A4250" s="2" t="s">
        <v>11351</v>
      </c>
      <c r="B4250" s="2" t="s">
        <v>11352</v>
      </c>
      <c r="C4250" s="2" t="s">
        <v>33</v>
      </c>
      <c r="D4250" s="2" t="s">
        <v>27</v>
      </c>
      <c r="E4250" s="4">
        <v>-32698</v>
      </c>
      <c r="F4250" s="3" t="s">
        <v>2705</v>
      </c>
      <c r="G4250" s="3" t="s">
        <v>2706</v>
      </c>
      <c r="H4250" s="2" t="s">
        <v>21</v>
      </c>
      <c r="I4250" s="2" t="s">
        <v>11353</v>
      </c>
      <c r="J4250" s="3" t="str">
        <f>HYPERLINK("https://www.boe.es/gazeta/dias/1810/06/22/pdfs/GEI-1810-38.pdf#page=8","Abrir facsímil")</f>
        <v>Abrir facsímil</v>
      </c>
      <c r="K4250" s="3" t="s">
        <v>23</v>
      </c>
    </row>
    <row r="4251" spans="1:11" ht="42" customHeight="1">
      <c r="A4251" s="2" t="s">
        <v>11354</v>
      </c>
      <c r="B4251" s="2" t="s">
        <v>11355</v>
      </c>
      <c r="C4251" s="2" t="s">
        <v>33</v>
      </c>
      <c r="D4251" s="2" t="s">
        <v>27</v>
      </c>
      <c r="E4251" s="4">
        <v>-32508</v>
      </c>
      <c r="F4251" s="3" t="s">
        <v>864</v>
      </c>
      <c r="G4251" s="3" t="s">
        <v>1764</v>
      </c>
      <c r="H4251" s="2" t="s">
        <v>21</v>
      </c>
      <c r="I4251" s="2" t="s">
        <v>11356</v>
      </c>
      <c r="J4251" s="3" t="str">
        <f>HYPERLINK("https://www.boe.es/gazeta/dias/1810/12/29/pdfs/GEI-1810-114.pdf#page=7","Abrir facsímil")</f>
        <v>Abrir facsímil</v>
      </c>
      <c r="K4251" s="3" t="s">
        <v>23</v>
      </c>
    </row>
    <row r="4252" spans="1:11" ht="42" customHeight="1">
      <c r="A4252" s="2" t="s">
        <v>11357</v>
      </c>
      <c r="B4252" s="2" t="s">
        <v>11358</v>
      </c>
      <c r="C4252" s="2" t="s">
        <v>26</v>
      </c>
      <c r="D4252" s="2" t="s">
        <v>27</v>
      </c>
      <c r="E4252" s="4">
        <v>-32712</v>
      </c>
      <c r="F4252" s="3" t="s">
        <v>667</v>
      </c>
      <c r="G4252" s="3" t="s">
        <v>180</v>
      </c>
      <c r="H4252" s="2" t="s">
        <v>21</v>
      </c>
      <c r="I4252" s="2" t="s">
        <v>11359</v>
      </c>
      <c r="J4252" s="3" t="str">
        <f>HYPERLINK("https://www.boe.es/gazeta/dias/1810/06/08/pdfs/GEI-1810-34.pdf#page=7","Abrir facsímil")</f>
        <v>Abrir facsímil</v>
      </c>
      <c r="K4252" s="3" t="s">
        <v>23</v>
      </c>
    </row>
    <row r="4253" spans="1:11" ht="42" customHeight="1">
      <c r="A4253" s="2" t="s">
        <v>11360</v>
      </c>
      <c r="B4253" s="2" t="s">
        <v>11361</v>
      </c>
      <c r="C4253" s="2" t="s">
        <v>26</v>
      </c>
      <c r="D4253" s="2" t="s">
        <v>27</v>
      </c>
      <c r="E4253" s="4">
        <v>-32770</v>
      </c>
      <c r="F4253" s="3" t="s">
        <v>7130</v>
      </c>
      <c r="G4253" s="3" t="s">
        <v>227</v>
      </c>
      <c r="H4253" s="2" t="s">
        <v>21</v>
      </c>
      <c r="I4253" s="2" t="s">
        <v>11362</v>
      </c>
      <c r="J4253" s="3" t="str">
        <f>HYPERLINK("https://www.boe.es/gazeta/dias/1810/04/11/pdfs/GMD-1810-101.pdf#page=4","Abrir facsímil")</f>
        <v>Abrir facsímil</v>
      </c>
      <c r="K4253" s="3" t="s">
        <v>23</v>
      </c>
    </row>
    <row r="4254" spans="1:11" ht="42" customHeight="1">
      <c r="A4254" s="2" t="s">
        <v>11360</v>
      </c>
      <c r="B4254" s="2" t="s">
        <v>11361</v>
      </c>
      <c r="C4254" s="2" t="s">
        <v>88</v>
      </c>
      <c r="D4254" s="2" t="s">
        <v>27</v>
      </c>
      <c r="E4254" s="4">
        <v>-32690</v>
      </c>
      <c r="F4254" s="3" t="s">
        <v>2142</v>
      </c>
      <c r="G4254" s="3" t="s">
        <v>29</v>
      </c>
      <c r="H4254" s="2" t="s">
        <v>21</v>
      </c>
      <c r="I4254" s="2" t="s">
        <v>11363</v>
      </c>
      <c r="J4254" s="3" t="str">
        <f>HYPERLINK("https://www.boe.es/gazeta/dias/1810/06/30/pdfs/GMD-1810-181.pdf#page=4","Abrir facsímil")</f>
        <v>Abrir facsímil</v>
      </c>
      <c r="K4254" s="3" t="s">
        <v>23</v>
      </c>
    </row>
    <row r="4255" spans="1:11" ht="42" customHeight="1">
      <c r="A4255" s="2" t="s">
        <v>11364</v>
      </c>
      <c r="B4255" s="2" t="s">
        <v>11365</v>
      </c>
      <c r="C4255" s="2" t="s">
        <v>26</v>
      </c>
      <c r="D4255" s="2" t="s">
        <v>39</v>
      </c>
      <c r="E4255" s="4">
        <v>-32702</v>
      </c>
      <c r="F4255" s="3" t="s">
        <v>179</v>
      </c>
      <c r="G4255" s="3" t="s">
        <v>119</v>
      </c>
      <c r="H4255" s="2" t="s">
        <v>21</v>
      </c>
      <c r="I4255" s="2" t="s">
        <v>11366</v>
      </c>
      <c r="J4255" s="3" t="str">
        <f>HYPERLINK("https://www.boe.es/gazeta/dias/1810/06/18/pdfs/GMD-C-1810-169.pdf#page=1","Abrir facsímil")</f>
        <v>Abrir facsímil</v>
      </c>
      <c r="K4255" s="3" t="s">
        <v>23</v>
      </c>
    </row>
    <row r="4256" spans="1:11" ht="42" customHeight="1">
      <c r="A4256" s="2" t="s">
        <v>11367</v>
      </c>
      <c r="B4256" s="2" t="s">
        <v>11368</v>
      </c>
      <c r="C4256" s="2" t="s">
        <v>26</v>
      </c>
      <c r="D4256" s="2" t="s">
        <v>27</v>
      </c>
      <c r="E4256" s="4">
        <v>-32722</v>
      </c>
      <c r="F4256" s="3" t="s">
        <v>2619</v>
      </c>
      <c r="G4256" s="3" t="s">
        <v>3066</v>
      </c>
      <c r="H4256" s="2" t="s">
        <v>21</v>
      </c>
      <c r="I4256" s="2" t="s">
        <v>11369</v>
      </c>
      <c r="J4256" s="3" t="str">
        <f>HYPERLINK("https://www.boe.es/gazeta/dias/1810/05/29/pdfs/GMD-1810-149.pdf#page=4","Abrir facsímil")</f>
        <v>Abrir facsímil</v>
      </c>
      <c r="K4256" s="3" t="s">
        <v>23</v>
      </c>
    </row>
    <row r="4257" spans="1:11" ht="42" customHeight="1">
      <c r="A4257" s="2" t="s">
        <v>11370</v>
      </c>
      <c r="B4257" s="2" t="s">
        <v>11371</v>
      </c>
      <c r="C4257" s="2" t="s">
        <v>33</v>
      </c>
      <c r="D4257" s="2" t="s">
        <v>220</v>
      </c>
      <c r="E4257" s="4">
        <v>-32867</v>
      </c>
      <c r="F4257" s="3" t="s">
        <v>712</v>
      </c>
      <c r="G4257" s="3" t="s">
        <v>291</v>
      </c>
      <c r="H4257" s="2" t="s">
        <v>21</v>
      </c>
      <c r="I4257" s="2" t="s">
        <v>11372</v>
      </c>
      <c r="J4257" s="3" t="str">
        <f>HYPERLINK("https://www.boe.es/gazeta/dias/1810/01/04/pdfs/GGB-1810-2.pdf#page=8","Abrir facsímil")</f>
        <v>Abrir facsímil</v>
      </c>
      <c r="K4257" s="3" t="s">
        <v>23</v>
      </c>
    </row>
    <row r="4258" spans="1:11" ht="42" customHeight="1">
      <c r="A4258" s="2" t="s">
        <v>11373</v>
      </c>
      <c r="B4258" s="2" t="s">
        <v>11374</v>
      </c>
      <c r="C4258" s="2" t="s">
        <v>195</v>
      </c>
      <c r="D4258" s="2" t="s">
        <v>27</v>
      </c>
      <c r="E4258" s="4">
        <v>-32729</v>
      </c>
      <c r="F4258" s="3" t="s">
        <v>174</v>
      </c>
      <c r="G4258" s="3" t="s">
        <v>151</v>
      </c>
      <c r="H4258" s="2" t="s">
        <v>74</v>
      </c>
      <c r="I4258" s="2" t="s">
        <v>11375</v>
      </c>
      <c r="J4258" s="3" t="str">
        <f>HYPERLINK("https://www.boe.es/gazeta/dias/1810/05/22/pdfs/GEI-1810-28.pdf#page=12","Abrir facsímil")</f>
        <v>Abrir facsímil</v>
      </c>
      <c r="K4258" s="3" t="s">
        <v>76</v>
      </c>
    </row>
    <row r="4259" spans="1:11" ht="42" customHeight="1">
      <c r="A4259" s="2" t="s">
        <v>11376</v>
      </c>
      <c r="B4259" s="2" t="s">
        <v>11377</v>
      </c>
      <c r="C4259" s="2" t="s">
        <v>26</v>
      </c>
      <c r="D4259" s="2" t="s">
        <v>27</v>
      </c>
      <c r="E4259" s="4">
        <v>-32647</v>
      </c>
      <c r="F4259" s="3" t="s">
        <v>118</v>
      </c>
      <c r="G4259" s="3" t="s">
        <v>20</v>
      </c>
      <c r="H4259" s="2" t="s">
        <v>74</v>
      </c>
      <c r="I4259" s="2" t="s">
        <v>11378</v>
      </c>
      <c r="J4259" s="3" t="str">
        <f>HYPERLINK("https://www.boe.es/gazeta/dias/1810/08/12/pdfs/GMD-1810-224.pdf#page=4","Abrir facsímil")</f>
        <v>Abrir facsímil</v>
      </c>
      <c r="K4259" s="3" t="s">
        <v>76</v>
      </c>
    </row>
    <row r="4260" spans="1:11" ht="42" customHeight="1">
      <c r="A4260" s="2" t="s">
        <v>11379</v>
      </c>
      <c r="B4260" s="2" t="s">
        <v>11380</v>
      </c>
      <c r="C4260" s="2" t="s">
        <v>26</v>
      </c>
      <c r="D4260" s="2" t="s">
        <v>39</v>
      </c>
      <c r="E4260" s="4">
        <v>-32702</v>
      </c>
      <c r="F4260" s="3" t="s">
        <v>179</v>
      </c>
      <c r="G4260" s="3" t="s">
        <v>180</v>
      </c>
      <c r="H4260" s="2" t="s">
        <v>74</v>
      </c>
      <c r="I4260" s="2" t="s">
        <v>11381</v>
      </c>
      <c r="J4260" s="3" t="str">
        <f>HYPERLINK("https://www.boe.es/gazeta/dias/1810/06/18/pdfs/GMD-C-1810-169.pdf#page=2","Abrir facsímil")</f>
        <v>Abrir facsímil</v>
      </c>
      <c r="K4260" s="3" t="s">
        <v>76</v>
      </c>
    </row>
    <row r="4261" spans="1:11" ht="42" customHeight="1">
      <c r="A4261" s="2" t="s">
        <v>11382</v>
      </c>
      <c r="B4261" s="2" t="s">
        <v>11383</v>
      </c>
      <c r="C4261" s="2" t="s">
        <v>26</v>
      </c>
      <c r="D4261" s="2" t="s">
        <v>27</v>
      </c>
      <c r="E4261" s="4">
        <v>-32710</v>
      </c>
      <c r="F4261" s="3" t="s">
        <v>126</v>
      </c>
      <c r="G4261" s="3" t="s">
        <v>35</v>
      </c>
      <c r="H4261" s="2" t="s">
        <v>74</v>
      </c>
      <c r="I4261" s="2" t="s">
        <v>11384</v>
      </c>
      <c r="J4261" s="3" t="str">
        <f>HYPERLINK("https://www.boe.es/gazeta/dias/1810/06/10/pdfs/GMD-1810-161.pdf#page=2","Abrir facsímil")</f>
        <v>Abrir facsímil</v>
      </c>
      <c r="K4261" s="3" t="s">
        <v>76</v>
      </c>
    </row>
    <row r="4262" spans="1:11" ht="42" customHeight="1">
      <c r="A4262" s="2" t="s">
        <v>11385</v>
      </c>
      <c r="B4262" s="2" t="s">
        <v>11386</v>
      </c>
      <c r="C4262" s="2" t="s">
        <v>26</v>
      </c>
      <c r="D4262" s="2" t="s">
        <v>27</v>
      </c>
      <c r="E4262" s="4">
        <v>-32710</v>
      </c>
      <c r="F4262" s="3" t="s">
        <v>126</v>
      </c>
      <c r="G4262" s="3" t="s">
        <v>20</v>
      </c>
      <c r="H4262" s="2" t="s">
        <v>74</v>
      </c>
      <c r="I4262" s="2" t="s">
        <v>11387</v>
      </c>
      <c r="J4262" s="3" t="str">
        <f>HYPERLINK("https://www.boe.es/gazeta/dias/1810/06/10/pdfs/GMD-1810-161.pdf#page=4","Abrir facsímil")</f>
        <v>Abrir facsímil</v>
      </c>
      <c r="K4262" s="3" t="s">
        <v>76</v>
      </c>
    </row>
    <row r="4263" spans="1:11" ht="42" customHeight="1">
      <c r="A4263" s="2" t="s">
        <v>11388</v>
      </c>
      <c r="B4263" s="2" t="s">
        <v>11389</v>
      </c>
      <c r="C4263" s="2" t="s">
        <v>88</v>
      </c>
      <c r="D4263" s="2" t="s">
        <v>117</v>
      </c>
      <c r="E4263" s="4">
        <v>-32697</v>
      </c>
      <c r="F4263" s="3" t="s">
        <v>1859</v>
      </c>
      <c r="G4263" s="3" t="s">
        <v>70</v>
      </c>
      <c r="H4263" s="2" t="s">
        <v>74</v>
      </c>
      <c r="I4263" s="2" t="s">
        <v>11390</v>
      </c>
      <c r="J4263" s="3" t="str">
        <f>HYPERLINK("https://www.boe.es/gazeta/dias/1810/06/23/pdfs/GMD-1810-174.pdf#page=4","Abrir facsímil")</f>
        <v>Abrir facsímil</v>
      </c>
      <c r="K4263" s="3" t="s">
        <v>76</v>
      </c>
    </row>
    <row r="4264" spans="1:11" ht="42" customHeight="1">
      <c r="A4264" s="2" t="s">
        <v>11391</v>
      </c>
      <c r="B4264" s="2" t="s">
        <v>11392</v>
      </c>
      <c r="C4264" s="2" t="s">
        <v>26</v>
      </c>
      <c r="D4264" s="2" t="s">
        <v>27</v>
      </c>
      <c r="E4264" s="4">
        <v>-32591</v>
      </c>
      <c r="F4264" s="3" t="s">
        <v>377</v>
      </c>
      <c r="G4264" s="3" t="s">
        <v>140</v>
      </c>
      <c r="H4264" s="2" t="s">
        <v>74</v>
      </c>
      <c r="I4264" s="2" t="s">
        <v>11393</v>
      </c>
      <c r="J4264" s="3" t="str">
        <f>HYPERLINK("https://www.boe.es/gazeta/dias/1810/10/07/pdfs/GMD-1810-280.pdf#page=4","Abrir facsímil")</f>
        <v>Abrir facsímil</v>
      </c>
      <c r="K4264" s="3" t="s">
        <v>76</v>
      </c>
    </row>
    <row r="4265" spans="1:11" ht="42" customHeight="1">
      <c r="A4265" s="2" t="s">
        <v>11394</v>
      </c>
      <c r="B4265" s="2" t="s">
        <v>11395</v>
      </c>
      <c r="C4265" s="2" t="s">
        <v>88</v>
      </c>
      <c r="D4265" s="2" t="s">
        <v>27</v>
      </c>
      <c r="E4265" s="4">
        <v>-32710</v>
      </c>
      <c r="F4265" s="3" t="s">
        <v>126</v>
      </c>
      <c r="G4265" s="3" t="s">
        <v>20</v>
      </c>
      <c r="H4265" s="2" t="s">
        <v>74</v>
      </c>
      <c r="I4265" s="2" t="s">
        <v>11396</v>
      </c>
      <c r="J4265" s="3" t="str">
        <f>HYPERLINK("https://www.boe.es/gazeta/dias/1810/06/10/pdfs/GMD-1810-161.pdf#page=4","Abrir facsímil")</f>
        <v>Abrir facsímil</v>
      </c>
      <c r="K4265" s="3" t="s">
        <v>76</v>
      </c>
    </row>
    <row r="4266" spans="1:11" ht="42" customHeight="1">
      <c r="A4266" s="2" t="s">
        <v>11397</v>
      </c>
      <c r="B4266" s="2" t="s">
        <v>11398</v>
      </c>
      <c r="C4266" s="2" t="s">
        <v>26</v>
      </c>
      <c r="D4266" s="2" t="s">
        <v>27</v>
      </c>
      <c r="E4266" s="4">
        <v>-32799</v>
      </c>
      <c r="F4266" s="3" t="s">
        <v>2252</v>
      </c>
      <c r="G4266" s="3" t="s">
        <v>2253</v>
      </c>
      <c r="H4266" s="2" t="s">
        <v>74</v>
      </c>
      <c r="I4266" s="2" t="s">
        <v>11399</v>
      </c>
      <c r="J4266" s="3" t="str">
        <f>HYPERLINK("https://www.boe.es/gazeta/dias/1810/03/13/pdfs/GMD-1810-72.pdf#page=4","Abrir facsímil")</f>
        <v>Abrir facsímil</v>
      </c>
      <c r="K4266" s="3" t="s">
        <v>76</v>
      </c>
    </row>
    <row r="4267" spans="1:11" ht="42" customHeight="1">
      <c r="A4267" s="2" t="s">
        <v>11400</v>
      </c>
      <c r="B4267" s="2" t="s">
        <v>11401</v>
      </c>
      <c r="C4267" s="2" t="s">
        <v>26</v>
      </c>
      <c r="D4267" s="2" t="s">
        <v>27</v>
      </c>
      <c r="E4267" s="4">
        <v>-32710</v>
      </c>
      <c r="F4267" s="3" t="s">
        <v>126</v>
      </c>
      <c r="G4267" s="3" t="s">
        <v>184</v>
      </c>
      <c r="H4267" s="2" t="s">
        <v>74</v>
      </c>
      <c r="I4267" s="2" t="s">
        <v>11402</v>
      </c>
      <c r="J4267" s="3" t="str">
        <f>HYPERLINK("https://www.boe.es/gazeta/dias/1810/06/10/pdfs/GMD-1810-161.pdf#page=3","Abrir facsímil")</f>
        <v>Abrir facsímil</v>
      </c>
      <c r="K4267" s="3" t="s">
        <v>76</v>
      </c>
    </row>
    <row r="4268" spans="1:11" ht="42" customHeight="1">
      <c r="A4268" s="2" t="s">
        <v>11403</v>
      </c>
      <c r="B4268" s="2" t="s">
        <v>11404</v>
      </c>
      <c r="C4268" s="2" t="s">
        <v>26</v>
      </c>
      <c r="D4268" s="2" t="s">
        <v>27</v>
      </c>
      <c r="E4268" s="4">
        <v>-32771</v>
      </c>
      <c r="F4268" s="3" t="s">
        <v>543</v>
      </c>
      <c r="G4268" s="3" t="s">
        <v>65</v>
      </c>
      <c r="H4268" s="2" t="s">
        <v>74</v>
      </c>
      <c r="I4268" s="2" t="s">
        <v>11405</v>
      </c>
      <c r="J4268" s="3" t="str">
        <f>HYPERLINK("https://www.boe.es/gazeta/dias/1810/04/10/pdfs/GEI-1810-13.pdf#page=7","Abrir facsímil")</f>
        <v>Abrir facsímil</v>
      </c>
      <c r="K4268" s="3" t="s">
        <v>76</v>
      </c>
    </row>
    <row r="4269" spans="1:11" ht="42" customHeight="1">
      <c r="A4269" s="2" t="s">
        <v>11406</v>
      </c>
      <c r="B4269" s="2" t="s">
        <v>11406</v>
      </c>
      <c r="C4269" s="2" t="s">
        <v>88</v>
      </c>
      <c r="D4269" s="2" t="s">
        <v>117</v>
      </c>
      <c r="E4269" s="4">
        <v>-32740</v>
      </c>
      <c r="F4269" s="3" t="s">
        <v>721</v>
      </c>
      <c r="G4269" s="3" t="s">
        <v>2441</v>
      </c>
      <c r="H4269" s="2" t="s">
        <v>74</v>
      </c>
      <c r="I4269" s="2" t="s">
        <v>11407</v>
      </c>
      <c r="J4269" s="3" t="str">
        <f>HYPERLINK("https://www.boe.es/gazeta/dias/1810/05/11/pdfs/GEI-1810-24.pdf#page=5","Abrir facsímil")</f>
        <v>Abrir facsímil</v>
      </c>
      <c r="K4269" s="3" t="s">
        <v>76</v>
      </c>
    </row>
    <row r="4270" spans="1:11" ht="42" customHeight="1">
      <c r="A4270" s="2" t="s">
        <v>11408</v>
      </c>
      <c r="B4270" s="2" t="s">
        <v>11408</v>
      </c>
      <c r="C4270" s="2" t="s">
        <v>88</v>
      </c>
      <c r="D4270" s="2" t="s">
        <v>27</v>
      </c>
      <c r="E4270" s="4">
        <v>-32610</v>
      </c>
      <c r="F4270" s="3" t="s">
        <v>4991</v>
      </c>
      <c r="G4270" s="3" t="s">
        <v>140</v>
      </c>
      <c r="H4270" s="2" t="s">
        <v>74</v>
      </c>
      <c r="I4270" s="2" t="s">
        <v>11409</v>
      </c>
      <c r="J4270" s="3" t="str">
        <f>HYPERLINK("https://www.boe.es/gazeta/dias/1810/09/18/pdfs/GEI-1810-69.pdf#page=8","Abrir facsímil")</f>
        <v>Abrir facsímil</v>
      </c>
      <c r="K4270" s="3" t="s">
        <v>76</v>
      </c>
    </row>
    <row r="4271" spans="1:11" ht="42" customHeight="1">
      <c r="A4271" s="2" t="s">
        <v>11406</v>
      </c>
      <c r="B4271" s="2" t="s">
        <v>11406</v>
      </c>
      <c r="C4271" s="2" t="s">
        <v>88</v>
      </c>
      <c r="D4271" s="2" t="s">
        <v>117</v>
      </c>
      <c r="E4271" s="4">
        <v>-32599</v>
      </c>
      <c r="F4271" s="3" t="s">
        <v>6642</v>
      </c>
      <c r="G4271" s="3" t="s">
        <v>11410</v>
      </c>
      <c r="H4271" s="2" t="s">
        <v>74</v>
      </c>
      <c r="I4271" s="2" t="s">
        <v>11411</v>
      </c>
      <c r="J4271" s="3" t="str">
        <f>HYPERLINK("https://www.boe.es/gazeta/dias/1810/09/29/pdfs/GEI-1810-75.pdf#page=4","Abrir facsímil")</f>
        <v>Abrir facsímil</v>
      </c>
      <c r="K4271" s="3" t="s">
        <v>76</v>
      </c>
    </row>
    <row r="4272" spans="1:11" ht="42" customHeight="1">
      <c r="A4272" s="2" t="s">
        <v>11412</v>
      </c>
      <c r="B4272" s="2" t="s">
        <v>11413</v>
      </c>
      <c r="C4272" s="2" t="s">
        <v>26</v>
      </c>
      <c r="D4272" s="2" t="s">
        <v>18</v>
      </c>
      <c r="E4272" s="4">
        <v>-32533</v>
      </c>
      <c r="F4272" s="3" t="s">
        <v>1357</v>
      </c>
      <c r="G4272" s="3" t="s">
        <v>1894</v>
      </c>
      <c r="H4272" s="2" t="s">
        <v>74</v>
      </c>
      <c r="I4272" s="2" t="s">
        <v>11414</v>
      </c>
      <c r="J4272" s="3" t="str">
        <f>HYPERLINK("https://www.boe.es/gazeta/dias/1810/12/04/pdfs/GEI-1810-103.pdf#page=7","Abrir facsímil")</f>
        <v>Abrir facsímil</v>
      </c>
      <c r="K4272" s="3" t="s">
        <v>76</v>
      </c>
    </row>
    <row r="4273" spans="1:11" ht="42" customHeight="1">
      <c r="A4273" s="2" t="s">
        <v>11415</v>
      </c>
      <c r="B4273" s="2" t="s">
        <v>11415</v>
      </c>
      <c r="C4273" s="2" t="s">
        <v>26</v>
      </c>
      <c r="D4273" s="2" t="s">
        <v>27</v>
      </c>
      <c r="E4273" s="4">
        <v>-32584</v>
      </c>
      <c r="F4273" s="3" t="s">
        <v>1560</v>
      </c>
      <c r="G4273" s="3" t="s">
        <v>70</v>
      </c>
      <c r="H4273" s="2" t="s">
        <v>74</v>
      </c>
      <c r="I4273" s="2" t="s">
        <v>11416</v>
      </c>
      <c r="J4273" s="3" t="str">
        <f>HYPERLINK("https://www.boe.es/gazeta/dias/1810/10/14/pdfs/GMD-1810-287.pdf#page=4","Abrir facsímil")</f>
        <v>Abrir facsímil</v>
      </c>
      <c r="K4273" s="3" t="s">
        <v>76</v>
      </c>
    </row>
    <row r="4274" spans="1:11" ht="42" customHeight="1">
      <c r="A4274" s="2" t="s">
        <v>11417</v>
      </c>
      <c r="B4274" s="2" t="s">
        <v>11417</v>
      </c>
      <c r="C4274" s="2" t="s">
        <v>26</v>
      </c>
      <c r="D4274" s="2" t="s">
        <v>27</v>
      </c>
      <c r="E4274" s="4">
        <v>-32799</v>
      </c>
      <c r="F4274" s="3" t="s">
        <v>874</v>
      </c>
      <c r="G4274" s="3" t="s">
        <v>29</v>
      </c>
      <c r="H4274" s="2" t="s">
        <v>74</v>
      </c>
      <c r="I4274" s="2" t="s">
        <v>11418</v>
      </c>
      <c r="J4274" s="3" t="str">
        <f>HYPERLINK("https://www.boe.es/gazeta/dias/1810/03/13/pdfs/GEI-1810-1.pdf#page=2","Abrir facsímil")</f>
        <v>Abrir facsímil</v>
      </c>
      <c r="K4274" s="3" t="s">
        <v>76</v>
      </c>
    </row>
    <row r="4275" spans="1:11" ht="42" customHeight="1">
      <c r="A4275" s="2" t="s">
        <v>11419</v>
      </c>
      <c r="B4275" s="2" t="s">
        <v>11419</v>
      </c>
      <c r="C4275" s="2" t="s">
        <v>88</v>
      </c>
      <c r="D4275" s="2" t="s">
        <v>27</v>
      </c>
      <c r="E4275" s="4">
        <v>-32560</v>
      </c>
      <c r="F4275" s="3" t="s">
        <v>4111</v>
      </c>
      <c r="G4275" s="3" t="s">
        <v>140</v>
      </c>
      <c r="H4275" s="2" t="s">
        <v>74</v>
      </c>
      <c r="I4275" s="2" t="s">
        <v>11420</v>
      </c>
      <c r="J4275" s="3" t="str">
        <f>HYPERLINK("https://www.boe.es/gazeta/dias/1810/11/07/pdfs/GMD-1810-311.pdf#page=2","Abrir facsímil")</f>
        <v>Abrir facsímil</v>
      </c>
      <c r="K4275" s="3" t="s">
        <v>76</v>
      </c>
    </row>
    <row r="4276" spans="1:11" ht="42" customHeight="1">
      <c r="A4276" s="2" t="s">
        <v>11421</v>
      </c>
      <c r="B4276" s="2" t="s">
        <v>11421</v>
      </c>
      <c r="C4276" s="2" t="s">
        <v>88</v>
      </c>
      <c r="D4276" s="2" t="s">
        <v>27</v>
      </c>
      <c r="E4276" s="4">
        <v>-32740</v>
      </c>
      <c r="F4276" s="3" t="s">
        <v>1207</v>
      </c>
      <c r="G4276" s="3" t="s">
        <v>29</v>
      </c>
      <c r="H4276" s="2" t="s">
        <v>74</v>
      </c>
      <c r="I4276" s="2" t="s">
        <v>11422</v>
      </c>
      <c r="J4276" s="3" t="str">
        <f>HYPERLINK("https://www.boe.es/gazeta/dias/1810/05/11/pdfs/GMD-1810-131.pdf#page=2","Abrir facsímil")</f>
        <v>Abrir facsímil</v>
      </c>
      <c r="K4276" s="3" t="s">
        <v>76</v>
      </c>
    </row>
    <row r="4277" spans="1:11" ht="42" customHeight="1">
      <c r="A4277" s="2" t="s">
        <v>11423</v>
      </c>
      <c r="B4277" s="2" t="s">
        <v>11424</v>
      </c>
      <c r="C4277" s="2" t="s">
        <v>88</v>
      </c>
      <c r="D4277" s="2" t="s">
        <v>27</v>
      </c>
      <c r="E4277" s="4">
        <v>-32568</v>
      </c>
      <c r="F4277" s="3" t="s">
        <v>683</v>
      </c>
      <c r="G4277" s="3" t="s">
        <v>5333</v>
      </c>
      <c r="H4277" s="2" t="s">
        <v>74</v>
      </c>
      <c r="I4277" s="2" t="s">
        <v>11425</v>
      </c>
      <c r="J4277" s="3" t="str">
        <f>HYPERLINK("https://www.boe.es/gazeta/dias/1810/10/30/pdfs/GEI-1810-88.pdf#page=7","Abrir facsímil")</f>
        <v>Abrir facsímil</v>
      </c>
      <c r="K4277" s="3" t="s">
        <v>76</v>
      </c>
    </row>
    <row r="4278" spans="1:11" ht="42" customHeight="1">
      <c r="A4278" s="2" t="s">
        <v>11426</v>
      </c>
      <c r="B4278" s="2" t="s">
        <v>11427</v>
      </c>
      <c r="C4278" s="2" t="s">
        <v>88</v>
      </c>
      <c r="D4278" s="2" t="s">
        <v>117</v>
      </c>
      <c r="E4278" s="4">
        <v>-32795</v>
      </c>
      <c r="F4278" s="3" t="s">
        <v>690</v>
      </c>
      <c r="G4278" s="3" t="s">
        <v>213</v>
      </c>
      <c r="H4278" s="2" t="s">
        <v>74</v>
      </c>
      <c r="I4278" s="2" t="s">
        <v>11428</v>
      </c>
      <c r="J4278" s="3" t="str">
        <f>HYPERLINK("https://www.boe.es/gazeta/dias/1810/03/17/pdfs/GMD-1810-76.pdf#page=4","Abrir facsímil")</f>
        <v>Abrir facsímil</v>
      </c>
      <c r="K4278" s="3" t="s">
        <v>76</v>
      </c>
    </row>
    <row r="4279" spans="1:11" ht="42" customHeight="1">
      <c r="A4279" s="2" t="s">
        <v>11429</v>
      </c>
      <c r="B4279" s="2" t="s">
        <v>11430</v>
      </c>
      <c r="C4279" s="2" t="s">
        <v>26</v>
      </c>
      <c r="D4279" s="2" t="s">
        <v>39</v>
      </c>
      <c r="E4279" s="4">
        <v>-32702</v>
      </c>
      <c r="F4279" s="3" t="s">
        <v>179</v>
      </c>
      <c r="G4279" s="3" t="s">
        <v>213</v>
      </c>
      <c r="H4279" s="2" t="s">
        <v>74</v>
      </c>
      <c r="I4279" s="2" t="s">
        <v>11431</v>
      </c>
      <c r="J4279" s="3" t="str">
        <f>HYPERLINK("https://www.boe.es/gazeta/dias/1810/06/18/pdfs/GMD-C-1810-169.pdf#page=4","Abrir facsímil")</f>
        <v>Abrir facsímil</v>
      </c>
      <c r="K4279" s="3" t="s">
        <v>76</v>
      </c>
    </row>
    <row r="4280" spans="1:11" ht="42" customHeight="1">
      <c r="A4280" s="2" t="s">
        <v>11432</v>
      </c>
      <c r="B4280" s="2" t="s">
        <v>11432</v>
      </c>
      <c r="C4280" s="2" t="s">
        <v>26</v>
      </c>
      <c r="D4280" s="2" t="s">
        <v>27</v>
      </c>
      <c r="E4280" s="4">
        <v>-32762</v>
      </c>
      <c r="F4280" s="3" t="s">
        <v>231</v>
      </c>
      <c r="G4280" s="3" t="s">
        <v>29</v>
      </c>
      <c r="H4280" s="2" t="s">
        <v>74</v>
      </c>
      <c r="I4280" s="2" t="s">
        <v>11433</v>
      </c>
      <c r="J4280" s="3" t="str">
        <f>HYPERLINK("https://www.boe.es/gazeta/dias/1810/04/19/pdfs/GMD-1810-109.pdf#page=2","Abrir facsímil")</f>
        <v>Abrir facsímil</v>
      </c>
      <c r="K4280" s="3" t="s">
        <v>76</v>
      </c>
    </row>
    <row r="4281" spans="1:11" ht="42" customHeight="1">
      <c r="A4281" s="2" t="s">
        <v>11432</v>
      </c>
      <c r="B4281" s="2" t="s">
        <v>11432</v>
      </c>
      <c r="C4281" s="2" t="s">
        <v>88</v>
      </c>
      <c r="D4281" s="2" t="s">
        <v>117</v>
      </c>
      <c r="E4281" s="4">
        <v>-32566</v>
      </c>
      <c r="F4281" s="3" t="s">
        <v>405</v>
      </c>
      <c r="G4281" s="3" t="s">
        <v>99</v>
      </c>
      <c r="H4281" s="2" t="s">
        <v>74</v>
      </c>
      <c r="I4281" s="2" t="s">
        <v>11434</v>
      </c>
      <c r="J4281" s="3" t="str">
        <f>HYPERLINK("https://www.boe.es/gazeta/dias/1810/11/01/pdfs/GMD-1810-305.pdf#page=3","Abrir facsímil")</f>
        <v>Abrir facsímil</v>
      </c>
      <c r="K4281" s="3" t="s">
        <v>76</v>
      </c>
    </row>
    <row r="4282" spans="1:11" ht="42" customHeight="1">
      <c r="A4282" s="2" t="s">
        <v>11432</v>
      </c>
      <c r="B4282" s="2" t="s">
        <v>11432</v>
      </c>
      <c r="C4282" s="2" t="s">
        <v>88</v>
      </c>
      <c r="D4282" s="2" t="s">
        <v>117</v>
      </c>
      <c r="E4282" s="4">
        <v>-32564</v>
      </c>
      <c r="F4282" s="3" t="s">
        <v>1604</v>
      </c>
      <c r="G4282" s="3" t="s">
        <v>1605</v>
      </c>
      <c r="H4282" s="2" t="s">
        <v>74</v>
      </c>
      <c r="I4282" s="2" t="s">
        <v>11435</v>
      </c>
      <c r="J4282" s="3" t="str">
        <f>HYPERLINK("https://www.boe.es/gazeta/dias/1810/11/03/pdfs/GMD-1810-307.pdf#page=2","Abrir facsímil")</f>
        <v>Abrir facsímil</v>
      </c>
      <c r="K4282" s="3" t="s">
        <v>76</v>
      </c>
    </row>
    <row r="4283" spans="1:11" ht="42" customHeight="1">
      <c r="A4283" s="2" t="s">
        <v>11432</v>
      </c>
      <c r="B4283" s="2" t="s">
        <v>11432</v>
      </c>
      <c r="C4283" s="2" t="s">
        <v>33</v>
      </c>
      <c r="D4283" s="2" t="s">
        <v>27</v>
      </c>
      <c r="E4283" s="4">
        <v>-32543</v>
      </c>
      <c r="F4283" s="3" t="s">
        <v>69</v>
      </c>
      <c r="G4283" s="3" t="s">
        <v>84</v>
      </c>
      <c r="H4283" s="2" t="s">
        <v>74</v>
      </c>
      <c r="I4283" s="2" t="s">
        <v>11436</v>
      </c>
      <c r="J4283" s="3" t="str">
        <f>HYPERLINK("https://www.boe.es/gazeta/dias/1810/11/24/pdfs/GEI-1810-99.pdf#page=7","Abrir facsímil")</f>
        <v>Abrir facsímil</v>
      </c>
      <c r="K4283" s="3" t="s">
        <v>76</v>
      </c>
    </row>
    <row r="4284" spans="1:11" ht="42" customHeight="1">
      <c r="A4284" s="2" t="s">
        <v>11437</v>
      </c>
      <c r="B4284" s="2" t="s">
        <v>11438</v>
      </c>
      <c r="C4284" s="2" t="s">
        <v>88</v>
      </c>
      <c r="D4284" s="2" t="s">
        <v>117</v>
      </c>
      <c r="E4284" s="4">
        <v>-32565</v>
      </c>
      <c r="F4284" s="3" t="s">
        <v>743</v>
      </c>
      <c r="G4284" s="3" t="s">
        <v>458</v>
      </c>
      <c r="H4284" s="2" t="s">
        <v>74</v>
      </c>
      <c r="I4284" s="2" t="s">
        <v>11439</v>
      </c>
      <c r="J4284" s="3" t="str">
        <f>HYPERLINK("https://www.boe.es/gazeta/dias/1810/11/02/pdfs/GMD-1810-306.pdf#page=2","Abrir facsímil")</f>
        <v>Abrir facsímil</v>
      </c>
      <c r="K4284" s="3" t="s">
        <v>76</v>
      </c>
    </row>
    <row r="4285" spans="1:11" ht="42" customHeight="1">
      <c r="A4285" s="2" t="s">
        <v>11440</v>
      </c>
      <c r="B4285" s="2" t="s">
        <v>11441</v>
      </c>
      <c r="C4285" s="2" t="s">
        <v>26</v>
      </c>
      <c r="D4285" s="2" t="s">
        <v>27</v>
      </c>
      <c r="E4285" s="4">
        <v>-32831</v>
      </c>
      <c r="F4285" s="3" t="s">
        <v>3316</v>
      </c>
      <c r="G4285" s="3" t="s">
        <v>20</v>
      </c>
      <c r="H4285" s="2" t="s">
        <v>74</v>
      </c>
      <c r="I4285" s="2" t="s">
        <v>11442</v>
      </c>
      <c r="J4285" s="3" t="str">
        <f>HYPERLINK("https://www.boe.es/gazeta/dias/1810/02/09/pdfs/GMD-1810-40.pdf#page=4","Abrir facsímil")</f>
        <v>Abrir facsímil</v>
      </c>
      <c r="K4285" s="3" t="s">
        <v>76</v>
      </c>
    </row>
    <row r="4286" spans="1:11" ht="42" customHeight="1">
      <c r="A4286" s="2" t="s">
        <v>11440</v>
      </c>
      <c r="B4286" s="2" t="s">
        <v>11441</v>
      </c>
      <c r="C4286" s="2" t="s">
        <v>88</v>
      </c>
      <c r="D4286" s="2" t="s">
        <v>117</v>
      </c>
      <c r="E4286" s="4">
        <v>-32739</v>
      </c>
      <c r="F4286" s="3" t="s">
        <v>724</v>
      </c>
      <c r="G4286" s="3" t="s">
        <v>20</v>
      </c>
      <c r="H4286" s="2" t="s">
        <v>74</v>
      </c>
      <c r="I4286" s="2" t="s">
        <v>11443</v>
      </c>
      <c r="J4286" s="3" t="str">
        <f>HYPERLINK("https://www.boe.es/gazeta/dias/1810/05/12/pdfs/GMD-1810-132.pdf#page=4","Abrir facsímil")</f>
        <v>Abrir facsímil</v>
      </c>
      <c r="K4286" s="3" t="s">
        <v>76</v>
      </c>
    </row>
    <row r="4287" spans="1:11" ht="42" customHeight="1">
      <c r="A4287" s="2" t="s">
        <v>11444</v>
      </c>
      <c r="B4287" s="2" t="s">
        <v>11445</v>
      </c>
      <c r="C4287" s="2" t="s">
        <v>88</v>
      </c>
      <c r="D4287" s="2" t="s">
        <v>27</v>
      </c>
      <c r="E4287" s="4">
        <v>-32611</v>
      </c>
      <c r="F4287" s="3" t="s">
        <v>604</v>
      </c>
      <c r="G4287" s="3" t="s">
        <v>99</v>
      </c>
      <c r="H4287" s="2" t="s">
        <v>21</v>
      </c>
      <c r="I4287" s="2" t="s">
        <v>11446</v>
      </c>
      <c r="J4287" s="3" t="str">
        <f>HYPERLINK("https://www.boe.es/gazeta/dias/1810/09/17/pdfs/GMD-1810-260.pdf#page=3","Abrir facsímil")</f>
        <v>Abrir facsímil</v>
      </c>
      <c r="K4287" s="3" t="s">
        <v>23</v>
      </c>
    </row>
    <row r="4288" spans="1:11" ht="42" customHeight="1">
      <c r="A4288" s="2" t="s">
        <v>11447</v>
      </c>
      <c r="B4288" s="2" t="s">
        <v>11448</v>
      </c>
      <c r="C4288" s="2" t="s">
        <v>317</v>
      </c>
      <c r="D4288" s="2" t="s">
        <v>39</v>
      </c>
      <c r="E4288" s="4">
        <v>-32701</v>
      </c>
      <c r="F4288" s="3" t="s">
        <v>40</v>
      </c>
      <c r="G4288" s="3" t="s">
        <v>41</v>
      </c>
      <c r="H4288" s="2" t="s">
        <v>74</v>
      </c>
      <c r="I4288" s="2" t="s">
        <v>11449</v>
      </c>
      <c r="J4288" s="3" t="str">
        <f>HYPERLINK("https://www.boe.es/gazeta/dias/1810/06/19/pdfs/GMD-C-1810-170.pdf#page=3","Abrir facsímil")</f>
        <v>Abrir facsímil</v>
      </c>
      <c r="K4288" s="3" t="s">
        <v>76</v>
      </c>
    </row>
    <row r="4289" spans="1:11" ht="42" customHeight="1">
      <c r="A4289" s="2" t="s">
        <v>11450</v>
      </c>
      <c r="B4289" s="2" t="s">
        <v>11451</v>
      </c>
      <c r="C4289" s="2" t="s">
        <v>88</v>
      </c>
      <c r="D4289" s="2" t="s">
        <v>117</v>
      </c>
      <c r="E4289" s="4">
        <v>-32858</v>
      </c>
      <c r="F4289" s="3" t="s">
        <v>3069</v>
      </c>
      <c r="G4289" s="3" t="s">
        <v>35</v>
      </c>
      <c r="H4289" s="2" t="s">
        <v>74</v>
      </c>
      <c r="I4289" s="2" t="s">
        <v>11452</v>
      </c>
      <c r="J4289" s="3" t="str">
        <f>HYPERLINK("https://www.boe.es/gazeta/dias/1810/01/13/pdfs/GMD-1810-13.pdf#page=2","Abrir facsímil")</f>
        <v>Abrir facsímil</v>
      </c>
      <c r="K4289" s="3" t="s">
        <v>76</v>
      </c>
    </row>
    <row r="4290" spans="1:11" ht="42" customHeight="1">
      <c r="A4290" s="2" t="s">
        <v>11453</v>
      </c>
      <c r="B4290" s="2" t="s">
        <v>11454</v>
      </c>
      <c r="C4290" s="2" t="s">
        <v>225</v>
      </c>
      <c r="D4290" s="2" t="s">
        <v>117</v>
      </c>
      <c r="E4290" s="4">
        <v>-32603</v>
      </c>
      <c r="F4290" s="3" t="s">
        <v>2163</v>
      </c>
      <c r="G4290" s="3" t="s">
        <v>140</v>
      </c>
      <c r="H4290" s="2" t="s">
        <v>74</v>
      </c>
      <c r="I4290" s="2" t="s">
        <v>11455</v>
      </c>
      <c r="J4290" s="3" t="str">
        <f>HYPERLINK("https://www.boe.es/gazeta/dias/1810/09/25/pdfs/GEI-1810-72.pdf#page=1","Abrir facsímil")</f>
        <v>Abrir facsímil</v>
      </c>
      <c r="K4290" s="3" t="s">
        <v>76</v>
      </c>
    </row>
    <row r="4291" spans="1:11" ht="42" customHeight="1">
      <c r="A4291" s="2" t="s">
        <v>11456</v>
      </c>
      <c r="B4291" s="2" t="s">
        <v>11456</v>
      </c>
      <c r="C4291" s="2" t="s">
        <v>26</v>
      </c>
      <c r="D4291" s="2" t="s">
        <v>27</v>
      </c>
      <c r="E4291" s="4">
        <v>-32596</v>
      </c>
      <c r="F4291" s="3" t="s">
        <v>1311</v>
      </c>
      <c r="G4291" s="3" t="s">
        <v>29</v>
      </c>
      <c r="H4291" s="2" t="s">
        <v>74</v>
      </c>
      <c r="I4291" s="2" t="s">
        <v>11457</v>
      </c>
      <c r="J4291" s="3" t="str">
        <f>HYPERLINK("https://www.boe.es/gazeta/dias/1810/10/02/pdfs/GMD-1810-275.pdf#page=3","Abrir facsímil")</f>
        <v>Abrir facsímil</v>
      </c>
      <c r="K4291" s="3" t="s">
        <v>76</v>
      </c>
    </row>
    <row r="4292" spans="1:11" ht="42" customHeight="1">
      <c r="A4292" s="2" t="s">
        <v>11458</v>
      </c>
      <c r="B4292" s="2" t="s">
        <v>11459</v>
      </c>
      <c r="C4292" s="2" t="s">
        <v>26</v>
      </c>
      <c r="D4292" s="2" t="s">
        <v>27</v>
      </c>
      <c r="E4292" s="4">
        <v>-32701</v>
      </c>
      <c r="F4292" s="3" t="s">
        <v>671</v>
      </c>
      <c r="G4292" s="3" t="s">
        <v>971</v>
      </c>
      <c r="H4292" s="2" t="s">
        <v>74</v>
      </c>
      <c r="I4292" s="2" t="s">
        <v>11460</v>
      </c>
      <c r="J4292" s="3" t="str">
        <f>HYPERLINK("https://www.boe.es/gazeta/dias/1810/06/19/pdfs/GEI-1810-37.pdf#page=8","Abrir facsímil")</f>
        <v>Abrir facsímil</v>
      </c>
      <c r="K4292" s="3" t="s">
        <v>76</v>
      </c>
    </row>
    <row r="4293" spans="1:11" ht="42" customHeight="1">
      <c r="A4293" s="2" t="s">
        <v>11461</v>
      </c>
      <c r="B4293" s="2" t="s">
        <v>11461</v>
      </c>
      <c r="C4293" s="2" t="s">
        <v>26</v>
      </c>
      <c r="D4293" s="2" t="s">
        <v>39</v>
      </c>
      <c r="E4293" s="4">
        <v>-32701</v>
      </c>
      <c r="F4293" s="3" t="s">
        <v>40</v>
      </c>
      <c r="G4293" s="3" t="s">
        <v>170</v>
      </c>
      <c r="H4293" s="2" t="s">
        <v>74</v>
      </c>
      <c r="I4293" s="2" t="s">
        <v>11462</v>
      </c>
      <c r="J4293" s="3" t="str">
        <f>HYPERLINK("https://www.boe.es/gazeta/dias/1810/06/19/pdfs/GMD-C-1810-170.pdf#page=1","Abrir facsímil")</f>
        <v>Abrir facsímil</v>
      </c>
      <c r="K4293" s="3" t="s">
        <v>76</v>
      </c>
    </row>
    <row r="4294" spans="1:11" ht="42" customHeight="1">
      <c r="A4294" s="2" t="s">
        <v>11463</v>
      </c>
      <c r="B4294" s="2" t="s">
        <v>11464</v>
      </c>
      <c r="C4294" s="2" t="s">
        <v>26</v>
      </c>
      <c r="D4294" s="2" t="s">
        <v>39</v>
      </c>
      <c r="E4294" s="4">
        <v>-32701</v>
      </c>
      <c r="F4294" s="3" t="s">
        <v>40</v>
      </c>
      <c r="G4294" s="3" t="s">
        <v>333</v>
      </c>
      <c r="H4294" s="2" t="s">
        <v>74</v>
      </c>
      <c r="I4294" s="2" t="s">
        <v>11465</v>
      </c>
      <c r="J4294" s="3" t="str">
        <f>HYPERLINK("https://www.boe.es/gazeta/dias/1810/06/19/pdfs/GMD-C-1810-170.pdf#page=4","Abrir facsímil")</f>
        <v>Abrir facsímil</v>
      </c>
      <c r="K4294" s="3" t="s">
        <v>76</v>
      </c>
    </row>
    <row r="4295" spans="1:11" ht="42" customHeight="1">
      <c r="A4295" s="2" t="s">
        <v>11466</v>
      </c>
      <c r="B4295" s="2" t="s">
        <v>11467</v>
      </c>
      <c r="C4295" s="2" t="s">
        <v>26</v>
      </c>
      <c r="D4295" s="2" t="s">
        <v>27</v>
      </c>
      <c r="E4295" s="4">
        <v>-32508</v>
      </c>
      <c r="F4295" s="3" t="s">
        <v>864</v>
      </c>
      <c r="G4295" s="3" t="s">
        <v>691</v>
      </c>
      <c r="H4295" s="2" t="s">
        <v>74</v>
      </c>
      <c r="I4295" s="2" t="s">
        <v>11468</v>
      </c>
      <c r="J4295" s="3" t="str">
        <f>HYPERLINK("https://www.boe.es/gazeta/dias/1810/12/29/pdfs/GEI-1810-114.pdf#page=8","Abrir facsímil")</f>
        <v>Abrir facsímil</v>
      </c>
      <c r="K4295" s="3" t="s">
        <v>76</v>
      </c>
    </row>
    <row r="4296" spans="1:11" ht="42" customHeight="1">
      <c r="A4296" s="2" t="s">
        <v>11469</v>
      </c>
      <c r="B4296" s="2" t="s">
        <v>11470</v>
      </c>
      <c r="C4296" s="2" t="s">
        <v>88</v>
      </c>
      <c r="D4296" s="2" t="s">
        <v>117</v>
      </c>
      <c r="E4296" s="4">
        <v>-32564</v>
      </c>
      <c r="F4296" s="3" t="s">
        <v>1604</v>
      </c>
      <c r="G4296" s="3" t="s">
        <v>1605</v>
      </c>
      <c r="H4296" s="2" t="s">
        <v>74</v>
      </c>
      <c r="I4296" s="2" t="s">
        <v>11471</v>
      </c>
      <c r="J4296" s="3" t="str">
        <f>HYPERLINK("https://www.boe.es/gazeta/dias/1810/11/03/pdfs/GMD-1810-307.pdf#page=2","Abrir facsímil")</f>
        <v>Abrir facsímil</v>
      </c>
      <c r="K4296" s="3" t="s">
        <v>76</v>
      </c>
    </row>
    <row r="4297" spans="1:11" ht="42" customHeight="1">
      <c r="A4297" s="2" t="s">
        <v>11472</v>
      </c>
      <c r="B4297" s="2" t="s">
        <v>11472</v>
      </c>
      <c r="C4297" s="2" t="s">
        <v>225</v>
      </c>
      <c r="D4297" s="2" t="s">
        <v>220</v>
      </c>
      <c r="E4297" s="4">
        <v>-32539</v>
      </c>
      <c r="F4297" s="3" t="s">
        <v>11216</v>
      </c>
      <c r="G4297" s="3" t="s">
        <v>11473</v>
      </c>
      <c r="H4297" s="2" t="s">
        <v>74</v>
      </c>
      <c r="I4297" s="2" t="s">
        <v>11474</v>
      </c>
      <c r="J4297" s="3" t="str">
        <f>HYPERLINK("https://www.boe.es/gazeta/dias/1810/11/28/pdfs/GMD-1810-332.pdf#page=1","Abrir facsímil")</f>
        <v>Abrir facsímil</v>
      </c>
      <c r="K4297" s="3" t="s">
        <v>76</v>
      </c>
    </row>
    <row r="4298" spans="1:11" ht="42" customHeight="1">
      <c r="A4298" s="2" t="s">
        <v>11475</v>
      </c>
      <c r="B4298" s="2" t="s">
        <v>11475</v>
      </c>
      <c r="C4298" s="2" t="s">
        <v>88</v>
      </c>
      <c r="D4298" s="2" t="s">
        <v>27</v>
      </c>
      <c r="E4298" s="4">
        <v>-32606</v>
      </c>
      <c r="F4298" s="3" t="s">
        <v>1676</v>
      </c>
      <c r="G4298" s="3" t="s">
        <v>227</v>
      </c>
      <c r="H4298" s="2" t="s">
        <v>74</v>
      </c>
      <c r="I4298" s="2" t="s">
        <v>11476</v>
      </c>
      <c r="J4298" s="3" t="str">
        <f>HYPERLINK("https://www.boe.es/gazeta/dias/1810/09/22/pdfs/GMD-1810-265.pdf#page=3","Abrir facsímil")</f>
        <v>Abrir facsímil</v>
      </c>
      <c r="K4298" s="3" t="s">
        <v>76</v>
      </c>
    </row>
    <row r="4299" spans="1:11" ht="42" customHeight="1">
      <c r="A4299" s="2" t="s">
        <v>11477</v>
      </c>
      <c r="B4299" s="2" t="s">
        <v>11478</v>
      </c>
      <c r="C4299" s="2" t="s">
        <v>88</v>
      </c>
      <c r="D4299" s="2" t="s">
        <v>27</v>
      </c>
      <c r="E4299" s="4">
        <v>-32837</v>
      </c>
      <c r="F4299" s="3" t="s">
        <v>196</v>
      </c>
      <c r="G4299" s="3" t="s">
        <v>140</v>
      </c>
      <c r="H4299" s="2" t="s">
        <v>74</v>
      </c>
      <c r="I4299" s="2" t="s">
        <v>11479</v>
      </c>
      <c r="J4299" s="3" t="str">
        <f>HYPERLINK("https://www.boe.es/gazeta/dias/1810/02/03/pdfs/GMD-1810-34.pdf#page=4","Abrir facsímil")</f>
        <v>Abrir facsímil</v>
      </c>
      <c r="K4299" s="3" t="s">
        <v>76</v>
      </c>
    </row>
    <row r="4300" spans="1:11" ht="42" customHeight="1">
      <c r="A4300" s="2" t="s">
        <v>11480</v>
      </c>
      <c r="B4300" s="2" t="s">
        <v>11480</v>
      </c>
      <c r="C4300" s="2" t="s">
        <v>88</v>
      </c>
      <c r="D4300" s="2" t="s">
        <v>117</v>
      </c>
      <c r="E4300" s="4">
        <v>-32684</v>
      </c>
      <c r="F4300" s="3" t="s">
        <v>1373</v>
      </c>
      <c r="G4300" s="3" t="s">
        <v>613</v>
      </c>
      <c r="H4300" s="2" t="s">
        <v>74</v>
      </c>
      <c r="I4300" s="2" t="s">
        <v>11481</v>
      </c>
      <c r="J4300" s="3" t="str">
        <f>HYPERLINK("https://www.boe.es/gazeta/dias/1810/07/06/pdfs/GEI-1810-42.pdf#page=4","Abrir facsímil")</f>
        <v>Abrir facsímil</v>
      </c>
      <c r="K4300" s="3" t="s">
        <v>76</v>
      </c>
    </row>
    <row r="4301" spans="1:11" ht="42" customHeight="1">
      <c r="A4301" s="2" t="s">
        <v>11480</v>
      </c>
      <c r="B4301" s="2" t="s">
        <v>11480</v>
      </c>
      <c r="C4301" s="2" t="s">
        <v>88</v>
      </c>
      <c r="D4301" s="2" t="s">
        <v>27</v>
      </c>
      <c r="E4301" s="4">
        <v>-32677</v>
      </c>
      <c r="F4301" s="3" t="s">
        <v>1940</v>
      </c>
      <c r="G4301" s="3" t="s">
        <v>213</v>
      </c>
      <c r="H4301" s="2" t="s">
        <v>74</v>
      </c>
      <c r="I4301" s="2" t="s">
        <v>11482</v>
      </c>
      <c r="J4301" s="3" t="str">
        <f>HYPERLINK("https://www.boe.es/gazeta/dias/1810/07/13/pdfs/GEI-1810-44.pdf#page=7","Abrir facsímil")</f>
        <v>Abrir facsímil</v>
      </c>
      <c r="K4301" s="3" t="s">
        <v>76</v>
      </c>
    </row>
    <row r="4302" spans="1:11" ht="42" customHeight="1">
      <c r="A4302" s="2" t="s">
        <v>11480</v>
      </c>
      <c r="B4302" s="2" t="s">
        <v>11480</v>
      </c>
      <c r="C4302" s="2" t="s">
        <v>88</v>
      </c>
      <c r="D4302" s="2" t="s">
        <v>27</v>
      </c>
      <c r="E4302" s="4">
        <v>-32670</v>
      </c>
      <c r="F4302" s="3" t="s">
        <v>1942</v>
      </c>
      <c r="G4302" s="3" t="s">
        <v>140</v>
      </c>
      <c r="H4302" s="2" t="s">
        <v>74</v>
      </c>
      <c r="I4302" s="2" t="s">
        <v>11483</v>
      </c>
      <c r="J4302" s="3" t="str">
        <f>HYPERLINK("https://www.boe.es/gazeta/dias/1810/07/20/pdfs/GEI-1810-46.pdf#page=6","Abrir facsímil")</f>
        <v>Abrir facsímil</v>
      </c>
      <c r="K4302" s="3" t="s">
        <v>76</v>
      </c>
    </row>
    <row r="4303" spans="1:11" ht="42" customHeight="1">
      <c r="A4303" s="2" t="s">
        <v>11484</v>
      </c>
      <c r="B4303" s="2" t="s">
        <v>11484</v>
      </c>
      <c r="C4303" s="2" t="s">
        <v>88</v>
      </c>
      <c r="D4303" s="2" t="s">
        <v>117</v>
      </c>
      <c r="E4303" s="4">
        <v>-32557</v>
      </c>
      <c r="F4303" s="3" t="s">
        <v>837</v>
      </c>
      <c r="G4303" s="3" t="s">
        <v>11485</v>
      </c>
      <c r="H4303" s="2" t="s">
        <v>74</v>
      </c>
      <c r="I4303" s="2" t="s">
        <v>11486</v>
      </c>
      <c r="J4303" s="3" t="str">
        <f>HYPERLINK("https://www.boe.es/gazeta/dias/1810/11/10/pdfs/GEI-1810-93.pdf#page=2","Abrir facsímil")</f>
        <v>Abrir facsímil</v>
      </c>
      <c r="K4303" s="3" t="s">
        <v>76</v>
      </c>
    </row>
    <row r="4304" spans="1:11" ht="42" customHeight="1">
      <c r="A4304" s="2" t="s">
        <v>11487</v>
      </c>
      <c r="B4304" s="2" t="s">
        <v>11488</v>
      </c>
      <c r="C4304" s="2" t="s">
        <v>88</v>
      </c>
      <c r="D4304" s="2" t="s">
        <v>27</v>
      </c>
      <c r="E4304" s="4">
        <v>-32517</v>
      </c>
      <c r="F4304" s="3" t="s">
        <v>566</v>
      </c>
      <c r="G4304" s="3" t="s">
        <v>762</v>
      </c>
      <c r="H4304" s="2" t="s">
        <v>74</v>
      </c>
      <c r="I4304" s="2" t="s">
        <v>11489</v>
      </c>
      <c r="J4304" s="3" t="str">
        <f>HYPERLINK("https://www.boe.es/gazeta/dias/1810/12/20/pdfs/GEI-1810-110.pdf#page=8","Abrir facsímil")</f>
        <v>Abrir facsímil</v>
      </c>
      <c r="K4304" s="3" t="s">
        <v>76</v>
      </c>
    </row>
    <row r="4305" spans="1:11" ht="42" customHeight="1">
      <c r="A4305" s="2" t="s">
        <v>11490</v>
      </c>
      <c r="B4305" s="2" t="s">
        <v>11490</v>
      </c>
      <c r="C4305" s="2" t="s">
        <v>111</v>
      </c>
      <c r="D4305" s="2" t="s">
        <v>27</v>
      </c>
      <c r="E4305" s="4">
        <v>-32805</v>
      </c>
      <c r="F4305" s="3" t="s">
        <v>2068</v>
      </c>
      <c r="G4305" s="3" t="s">
        <v>29</v>
      </c>
      <c r="H4305" s="2" t="s">
        <v>74</v>
      </c>
      <c r="I4305" s="2" t="s">
        <v>11491</v>
      </c>
      <c r="J4305" s="3" t="str">
        <f>HYPERLINK("https://www.boe.es/gazeta/dias/1810/03/07/pdfs/GMD-1810-66.pdf#page=4","Abrir facsímil")</f>
        <v>Abrir facsímil</v>
      </c>
      <c r="K4305" s="3" t="s">
        <v>76</v>
      </c>
    </row>
    <row r="4306" spans="1:11" ht="42" customHeight="1">
      <c r="A4306" s="2" t="s">
        <v>11492</v>
      </c>
      <c r="B4306" s="2" t="s">
        <v>11492</v>
      </c>
      <c r="C4306" s="2" t="s">
        <v>26</v>
      </c>
      <c r="D4306" s="2" t="s">
        <v>27</v>
      </c>
      <c r="E4306" s="4">
        <v>-32783</v>
      </c>
      <c r="F4306" s="3" t="s">
        <v>896</v>
      </c>
      <c r="G4306" s="3" t="s">
        <v>1222</v>
      </c>
      <c r="H4306" s="2" t="s">
        <v>74</v>
      </c>
      <c r="I4306" s="2" t="s">
        <v>11493</v>
      </c>
      <c r="J4306" s="3" t="str">
        <f>HYPERLINK("https://www.boe.es/gazeta/dias/1810/03/29/pdfs/GMD-1810-88.pdf#page=1","Abrir facsímil")</f>
        <v>Abrir facsímil</v>
      </c>
      <c r="K4306" s="3" t="s">
        <v>76</v>
      </c>
    </row>
    <row r="4307" spans="1:11" ht="42" customHeight="1">
      <c r="A4307" s="2" t="s">
        <v>11492</v>
      </c>
      <c r="B4307" s="2" t="s">
        <v>11492</v>
      </c>
      <c r="C4307" s="2" t="s">
        <v>26</v>
      </c>
      <c r="D4307" s="2" t="s">
        <v>27</v>
      </c>
      <c r="E4307" s="4">
        <v>-32720</v>
      </c>
      <c r="F4307" s="3" t="s">
        <v>3377</v>
      </c>
      <c r="G4307" s="3" t="s">
        <v>8994</v>
      </c>
      <c r="H4307" s="2" t="s">
        <v>74</v>
      </c>
      <c r="I4307" s="2" t="s">
        <v>11494</v>
      </c>
      <c r="J4307" s="3" t="str">
        <f>HYPERLINK("https://www.boe.es/gazeta/dias/1810/05/31/pdfs/GMD-1810-151.pdf#page=1","Abrir facsímil")</f>
        <v>Abrir facsímil</v>
      </c>
      <c r="K4307" s="3" t="s">
        <v>76</v>
      </c>
    </row>
    <row r="4308" spans="1:11" ht="42" customHeight="1">
      <c r="A4308" s="2" t="s">
        <v>11492</v>
      </c>
      <c r="B4308" s="2" t="s">
        <v>11492</v>
      </c>
      <c r="C4308" s="2" t="s">
        <v>26</v>
      </c>
      <c r="D4308" s="2" t="s">
        <v>27</v>
      </c>
      <c r="E4308" s="4">
        <v>-32716</v>
      </c>
      <c r="F4308" s="3" t="s">
        <v>624</v>
      </c>
      <c r="G4308" s="3" t="s">
        <v>90</v>
      </c>
      <c r="H4308" s="2" t="s">
        <v>74</v>
      </c>
      <c r="I4308" s="2" t="s">
        <v>11495</v>
      </c>
      <c r="J4308" s="3" t="str">
        <f>HYPERLINK("https://www.boe.es/gazeta/dias/1810/06/04/pdfs/GMD-1810-155.pdf#page=3","Abrir facsímil")</f>
        <v>Abrir facsímil</v>
      </c>
      <c r="K4308" s="3" t="s">
        <v>76</v>
      </c>
    </row>
    <row r="4309" spans="1:11" ht="42" customHeight="1">
      <c r="A4309" s="2" t="s">
        <v>11492</v>
      </c>
      <c r="B4309" s="2" t="s">
        <v>11492</v>
      </c>
      <c r="C4309" s="2" t="s">
        <v>26</v>
      </c>
      <c r="D4309" s="2" t="s">
        <v>27</v>
      </c>
      <c r="E4309" s="4">
        <v>-32716</v>
      </c>
      <c r="F4309" s="3" t="s">
        <v>624</v>
      </c>
      <c r="G4309" s="3" t="s">
        <v>140</v>
      </c>
      <c r="H4309" s="2" t="s">
        <v>74</v>
      </c>
      <c r="I4309" s="2" t="s">
        <v>11496</v>
      </c>
      <c r="J4309" s="3" t="str">
        <f>HYPERLINK("https://www.boe.es/gazeta/dias/1810/06/04/pdfs/GMD-1810-155.pdf#page=4","Abrir facsímil")</f>
        <v>Abrir facsímil</v>
      </c>
      <c r="K4309" s="3" t="s">
        <v>76</v>
      </c>
    </row>
    <row r="4310" spans="1:11" ht="42" customHeight="1">
      <c r="A4310" s="2" t="s">
        <v>11497</v>
      </c>
      <c r="B4310" s="2" t="s">
        <v>11498</v>
      </c>
      <c r="C4310" s="2" t="s">
        <v>26</v>
      </c>
      <c r="D4310" s="2" t="s">
        <v>27</v>
      </c>
      <c r="E4310" s="4">
        <v>-32820</v>
      </c>
      <c r="F4310" s="3" t="s">
        <v>226</v>
      </c>
      <c r="G4310" s="3" t="s">
        <v>356</v>
      </c>
      <c r="H4310" s="2" t="s">
        <v>74</v>
      </c>
      <c r="I4310" s="2" t="s">
        <v>11499</v>
      </c>
      <c r="J4310" s="3" t="str">
        <f>HYPERLINK("https://www.boe.es/gazeta/dias/1810/02/20/pdfs/GMD-1810-51.pdf#page=3","Abrir facsímil")</f>
        <v>Abrir facsímil</v>
      </c>
      <c r="K4310" s="3" t="s">
        <v>76</v>
      </c>
    </row>
    <row r="4311" spans="1:11" ht="42" customHeight="1">
      <c r="A4311" s="2" t="s">
        <v>11500</v>
      </c>
      <c r="B4311" s="2" t="s">
        <v>11501</v>
      </c>
      <c r="C4311" s="2" t="s">
        <v>111</v>
      </c>
      <c r="D4311" s="2" t="s">
        <v>27</v>
      </c>
      <c r="E4311" s="4">
        <v>-32729</v>
      </c>
      <c r="F4311" s="3" t="s">
        <v>174</v>
      </c>
      <c r="G4311" s="3" t="s">
        <v>151</v>
      </c>
      <c r="H4311" s="2" t="s">
        <v>74</v>
      </c>
      <c r="I4311" s="2" t="s">
        <v>11502</v>
      </c>
      <c r="J4311" s="3" t="str">
        <f>HYPERLINK("https://www.boe.es/gazeta/dias/1810/05/22/pdfs/GEI-1810-28.pdf#page=12","Abrir facsímil")</f>
        <v>Abrir facsímil</v>
      </c>
      <c r="K4311" s="3" t="s">
        <v>76</v>
      </c>
    </row>
    <row r="4312" spans="1:11" ht="42" customHeight="1">
      <c r="A4312" s="2" t="s">
        <v>11503</v>
      </c>
      <c r="B4312" s="2" t="s">
        <v>11504</v>
      </c>
      <c r="C4312" s="2" t="s">
        <v>317</v>
      </c>
      <c r="D4312" s="2" t="s">
        <v>27</v>
      </c>
      <c r="E4312" s="4">
        <v>-32649</v>
      </c>
      <c r="F4312" s="3" t="s">
        <v>1988</v>
      </c>
      <c r="G4312" s="3" t="s">
        <v>227</v>
      </c>
      <c r="H4312" s="2" t="s">
        <v>74</v>
      </c>
      <c r="I4312" s="2" t="s">
        <v>11505</v>
      </c>
      <c r="J4312" s="3" t="str">
        <f>HYPERLINK("https://www.boe.es/gazeta/dias/1810/08/10/pdfs/GMD-1810-222.pdf#page=4","Abrir facsímil")</f>
        <v>Abrir facsímil</v>
      </c>
      <c r="K4312" s="3" t="s">
        <v>76</v>
      </c>
    </row>
    <row r="4313" spans="1:11" ht="42" customHeight="1">
      <c r="A4313" s="2" t="s">
        <v>11506</v>
      </c>
      <c r="B4313" s="2" t="s">
        <v>11507</v>
      </c>
      <c r="C4313" s="2" t="s">
        <v>33</v>
      </c>
      <c r="D4313" s="2" t="s">
        <v>27</v>
      </c>
      <c r="E4313" s="4">
        <v>-32757</v>
      </c>
      <c r="F4313" s="3" t="s">
        <v>1136</v>
      </c>
      <c r="G4313" s="3" t="s">
        <v>1901</v>
      </c>
      <c r="H4313" s="2" t="s">
        <v>74</v>
      </c>
      <c r="I4313" s="2" t="s">
        <v>11508</v>
      </c>
      <c r="J4313" s="3" t="str">
        <f>HYPERLINK("https://www.boe.es/gazeta/dias/1810/04/24/pdfs/GEI-1810-17.pdf#page=8","Abrir facsímil")</f>
        <v>Abrir facsímil</v>
      </c>
      <c r="K4313" s="3" t="s">
        <v>76</v>
      </c>
    </row>
    <row r="4314" spans="1:11" ht="42" customHeight="1">
      <c r="A4314" s="2" t="s">
        <v>11509</v>
      </c>
      <c r="B4314" s="2" t="s">
        <v>11509</v>
      </c>
      <c r="C4314" s="2" t="s">
        <v>225</v>
      </c>
      <c r="D4314" s="2" t="s">
        <v>27</v>
      </c>
      <c r="E4314" s="4">
        <v>-32772</v>
      </c>
      <c r="F4314" s="3" t="s">
        <v>398</v>
      </c>
      <c r="G4314" s="3" t="s">
        <v>1638</v>
      </c>
      <c r="H4314" s="2" t="s">
        <v>74</v>
      </c>
      <c r="I4314" s="2" t="s">
        <v>11510</v>
      </c>
      <c r="J4314" s="3" t="str">
        <f>HYPERLINK("https://www.boe.es/gazeta/dias/1810/04/09/pdfs/GMD-1810-99.pdf#page=2","Abrir facsímil")</f>
        <v>Abrir facsímil</v>
      </c>
      <c r="K4314" s="3" t="s">
        <v>76</v>
      </c>
    </row>
    <row r="4315" spans="1:11" ht="42" customHeight="1">
      <c r="A4315" s="2" t="s">
        <v>11511</v>
      </c>
      <c r="B4315" s="2" t="s">
        <v>11511</v>
      </c>
      <c r="C4315" s="2" t="s">
        <v>26</v>
      </c>
      <c r="D4315" s="2" t="s">
        <v>27</v>
      </c>
      <c r="E4315" s="4">
        <v>-32535</v>
      </c>
      <c r="F4315" s="3" t="s">
        <v>3440</v>
      </c>
      <c r="G4315" s="3" t="s">
        <v>8507</v>
      </c>
      <c r="H4315" s="2" t="s">
        <v>74</v>
      </c>
      <c r="I4315" s="2" t="s">
        <v>11512</v>
      </c>
      <c r="J4315" s="3" t="str">
        <f>HYPERLINK("https://www.boe.es/gazeta/dias/1810/12/02/pdfs/GMD-1810-336.pdf#page=1","Abrir facsímil")</f>
        <v>Abrir facsímil</v>
      </c>
      <c r="K4315" s="3" t="s">
        <v>76</v>
      </c>
    </row>
    <row r="4316" spans="1:11" ht="42" customHeight="1">
      <c r="A4316" s="2" t="s">
        <v>11513</v>
      </c>
      <c r="B4316" s="2" t="s">
        <v>11513</v>
      </c>
      <c r="C4316" s="2" t="s">
        <v>33</v>
      </c>
      <c r="D4316" s="2" t="s">
        <v>27</v>
      </c>
      <c r="E4316" s="4">
        <v>-32585</v>
      </c>
      <c r="F4316" s="3" t="s">
        <v>10997</v>
      </c>
      <c r="G4316" s="3" t="s">
        <v>35</v>
      </c>
      <c r="H4316" s="2" t="s">
        <v>74</v>
      </c>
      <c r="I4316" s="2" t="s">
        <v>11514</v>
      </c>
      <c r="J4316" s="3" t="str">
        <f>HYPERLINK("https://www.boe.es/gazeta/dias/1810/10/13/pdfs/GMD-1810-286.pdf#page=2","Abrir facsímil")</f>
        <v>Abrir facsímil</v>
      </c>
      <c r="K4316" s="3" t="s">
        <v>76</v>
      </c>
    </row>
    <row r="4317" spans="1:11" ht="42" customHeight="1">
      <c r="A4317" s="2" t="s">
        <v>11515</v>
      </c>
      <c r="B4317" s="2" t="s">
        <v>11515</v>
      </c>
      <c r="C4317" s="2" t="s">
        <v>88</v>
      </c>
      <c r="D4317" s="2" t="s">
        <v>27</v>
      </c>
      <c r="E4317" s="4">
        <v>-32659</v>
      </c>
      <c r="F4317" s="3" t="s">
        <v>328</v>
      </c>
      <c r="G4317" s="3" t="s">
        <v>11516</v>
      </c>
      <c r="H4317" s="2" t="s">
        <v>74</v>
      </c>
      <c r="I4317" s="2" t="s">
        <v>11517</v>
      </c>
      <c r="J4317" s="3" t="str">
        <f>HYPERLINK("https://www.boe.es/gazeta/dias/1810/07/31/pdfs/GEI-1810-49.pdf#page=6","Abrir facsímil")</f>
        <v>Abrir facsímil</v>
      </c>
      <c r="K4317" s="3" t="s">
        <v>76</v>
      </c>
    </row>
    <row r="4318" spans="1:11" ht="42" customHeight="1">
      <c r="A4318" s="2" t="s">
        <v>11518</v>
      </c>
      <c r="B4318" s="2" t="s">
        <v>11519</v>
      </c>
      <c r="C4318" s="2" t="s">
        <v>26</v>
      </c>
      <c r="D4318" s="2" t="s">
        <v>18</v>
      </c>
      <c r="E4318" s="4">
        <v>-32827</v>
      </c>
      <c r="F4318" s="3" t="s">
        <v>290</v>
      </c>
      <c r="G4318" s="3" t="s">
        <v>291</v>
      </c>
      <c r="H4318" s="2" t="s">
        <v>74</v>
      </c>
      <c r="I4318" s="2" t="s">
        <v>11520</v>
      </c>
      <c r="J4318" s="3" t="str">
        <f>HYPERLINK("https://www.boe.es/gazeta/dias/1810/02/13/pdfs/GMD-1810-44.pdf#page=4","Abrir facsímil")</f>
        <v>Abrir facsímil</v>
      </c>
      <c r="K4318" s="3" t="s">
        <v>76</v>
      </c>
    </row>
    <row r="4319" spans="1:11" ht="42" customHeight="1">
      <c r="A4319" s="2" t="s">
        <v>11518</v>
      </c>
      <c r="B4319" s="2" t="s">
        <v>11519</v>
      </c>
      <c r="C4319" s="2" t="s">
        <v>26</v>
      </c>
      <c r="D4319" s="2" t="s">
        <v>39</v>
      </c>
      <c r="E4319" s="4">
        <v>-32701</v>
      </c>
      <c r="F4319" s="3" t="s">
        <v>40</v>
      </c>
      <c r="G4319" s="3" t="s">
        <v>170</v>
      </c>
      <c r="H4319" s="2" t="s">
        <v>74</v>
      </c>
      <c r="I4319" s="2" t="s">
        <v>11521</v>
      </c>
      <c r="J4319" s="3" t="str">
        <f>HYPERLINK("https://www.boe.es/gazeta/dias/1810/06/19/pdfs/GMD-C-1810-170.pdf#page=1","Abrir facsímil")</f>
        <v>Abrir facsímil</v>
      </c>
      <c r="K4319" s="3" t="s">
        <v>76</v>
      </c>
    </row>
    <row r="4320" spans="1:11" ht="42" customHeight="1">
      <c r="A4320" s="2" t="s">
        <v>11522</v>
      </c>
      <c r="B4320" s="2" t="s">
        <v>11523</v>
      </c>
      <c r="C4320" s="2" t="s">
        <v>26</v>
      </c>
      <c r="D4320" s="2" t="s">
        <v>27</v>
      </c>
      <c r="E4320" s="4">
        <v>-32575</v>
      </c>
      <c r="F4320" s="3" t="s">
        <v>135</v>
      </c>
      <c r="G4320" s="3" t="s">
        <v>11524</v>
      </c>
      <c r="H4320" s="2" t="s">
        <v>74</v>
      </c>
      <c r="I4320" s="2" t="s">
        <v>11525</v>
      </c>
      <c r="J4320" s="3" t="str">
        <f>HYPERLINK("https://www.boe.es/gazeta/dias/1810/10/23/pdfs/GEI-1810-85.pdf#page=12","Abrir facsímil")</f>
        <v>Abrir facsímil</v>
      </c>
      <c r="K4320" s="3" t="s">
        <v>76</v>
      </c>
    </row>
    <row r="4321" spans="1:11" ht="42" customHeight="1">
      <c r="A4321" s="2" t="s">
        <v>11526</v>
      </c>
      <c r="B4321" s="2" t="s">
        <v>11527</v>
      </c>
      <c r="C4321" s="2" t="s">
        <v>225</v>
      </c>
      <c r="D4321" s="2" t="s">
        <v>27</v>
      </c>
      <c r="E4321" s="4">
        <v>-32636</v>
      </c>
      <c r="F4321" s="3" t="s">
        <v>10232</v>
      </c>
      <c r="G4321" s="3" t="s">
        <v>20</v>
      </c>
      <c r="H4321" s="2" t="s">
        <v>74</v>
      </c>
      <c r="I4321" s="2" t="s">
        <v>11528</v>
      </c>
      <c r="J4321" s="3" t="str">
        <f>HYPERLINK("https://www.boe.es/gazeta/dias/1810/08/23/pdfs/GMD-1810-235.pdf#page=4","Abrir facsímil")</f>
        <v>Abrir facsímil</v>
      </c>
      <c r="K4321" s="3" t="s">
        <v>76</v>
      </c>
    </row>
    <row r="4322" spans="1:11" ht="42" customHeight="1">
      <c r="A4322" s="2" t="s">
        <v>11529</v>
      </c>
      <c r="B4322" s="2" t="s">
        <v>11530</v>
      </c>
      <c r="C4322" s="2" t="s">
        <v>88</v>
      </c>
      <c r="D4322" s="2" t="s">
        <v>27</v>
      </c>
      <c r="E4322" s="4">
        <v>-32608</v>
      </c>
      <c r="F4322" s="3" t="s">
        <v>781</v>
      </c>
      <c r="G4322" s="3" t="s">
        <v>782</v>
      </c>
      <c r="H4322" s="2" t="s">
        <v>74</v>
      </c>
      <c r="I4322" s="2" t="s">
        <v>11531</v>
      </c>
      <c r="J4322" s="3" t="str">
        <f>HYPERLINK("https://www.boe.es/gazeta/dias/1810/09/20/pdfs/GEI-1810-70.pdf#page=5","Abrir facsímil")</f>
        <v>Abrir facsímil</v>
      </c>
      <c r="K4322" s="3" t="s">
        <v>76</v>
      </c>
    </row>
    <row r="4323" spans="1:11" ht="42" customHeight="1">
      <c r="A4323" s="2" t="s">
        <v>11532</v>
      </c>
      <c r="B4323" s="2" t="s">
        <v>11533</v>
      </c>
      <c r="C4323" s="2" t="s">
        <v>88</v>
      </c>
      <c r="D4323" s="2" t="s">
        <v>18</v>
      </c>
      <c r="E4323" s="4">
        <v>-32728</v>
      </c>
      <c r="F4323" s="3" t="s">
        <v>269</v>
      </c>
      <c r="G4323" s="3" t="s">
        <v>119</v>
      </c>
      <c r="H4323" s="2" t="s">
        <v>74</v>
      </c>
      <c r="I4323" s="2" t="s">
        <v>11534</v>
      </c>
      <c r="J4323" s="3" t="str">
        <f>HYPERLINK("https://www.boe.es/gazeta/dias/1810/05/23/pdfs/GMD-1810-143.pdf#page=3","Abrir facsímil")</f>
        <v>Abrir facsímil</v>
      </c>
      <c r="K4323" s="3" t="s">
        <v>76</v>
      </c>
    </row>
    <row r="4324" spans="1:11" ht="42" customHeight="1">
      <c r="A4324" s="2" t="s">
        <v>11535</v>
      </c>
      <c r="B4324" s="2" t="s">
        <v>11536</v>
      </c>
      <c r="C4324" s="2" t="s">
        <v>26</v>
      </c>
      <c r="D4324" s="2" t="s">
        <v>27</v>
      </c>
      <c r="E4324" s="4">
        <v>-32545</v>
      </c>
      <c r="F4324" s="3" t="s">
        <v>165</v>
      </c>
      <c r="G4324" s="3" t="s">
        <v>166</v>
      </c>
      <c r="H4324" s="2" t="s">
        <v>74</v>
      </c>
      <c r="I4324" s="2" t="s">
        <v>11537</v>
      </c>
      <c r="J4324" s="3" t="str">
        <f>HYPERLINK("https://www.boe.es/gazeta/dias/1810/11/22/pdfs/GEI-1810-98.pdf#page=8","Abrir facsímil")</f>
        <v>Abrir facsímil</v>
      </c>
      <c r="K4324" s="3" t="s">
        <v>76</v>
      </c>
    </row>
    <row r="4325" spans="1:11" ht="42" customHeight="1">
      <c r="A4325" s="2" t="s">
        <v>11538</v>
      </c>
      <c r="B4325" s="2" t="s">
        <v>11539</v>
      </c>
      <c r="C4325" s="2" t="s">
        <v>225</v>
      </c>
      <c r="D4325" s="2" t="s">
        <v>27</v>
      </c>
      <c r="E4325" s="4">
        <v>-32610</v>
      </c>
      <c r="F4325" s="3" t="s">
        <v>4991</v>
      </c>
      <c r="G4325" s="3" t="s">
        <v>7510</v>
      </c>
      <c r="H4325" s="2" t="s">
        <v>74</v>
      </c>
      <c r="I4325" s="2" t="s">
        <v>11540</v>
      </c>
      <c r="J4325" s="3" t="str">
        <f>HYPERLINK("https://www.boe.es/gazeta/dias/1810/09/18/pdfs/GEI-1810-69.pdf#page=1","Abrir facsímil")</f>
        <v>Abrir facsímil</v>
      </c>
      <c r="K4325" s="3" t="s">
        <v>76</v>
      </c>
    </row>
    <row r="4326" spans="1:11" ht="42" customHeight="1">
      <c r="A4326" s="2" t="s">
        <v>11541</v>
      </c>
      <c r="B4326" s="2" t="s">
        <v>11541</v>
      </c>
      <c r="C4326" s="2" t="s">
        <v>17</v>
      </c>
      <c r="D4326" s="2" t="s">
        <v>18</v>
      </c>
      <c r="E4326" s="4">
        <v>-32712</v>
      </c>
      <c r="F4326" s="3" t="s">
        <v>6411</v>
      </c>
      <c r="G4326" s="3" t="s">
        <v>735</v>
      </c>
      <c r="H4326" s="2" t="s">
        <v>74</v>
      </c>
      <c r="I4326" s="2" t="s">
        <v>11542</v>
      </c>
      <c r="J4326" s="3" t="str">
        <f>HYPERLINK("https://www.boe.es/gazeta/dias/1810/06/08/pdfs/GMD-1810-159.pdf#page=4","Abrir facsímil")</f>
        <v>Abrir facsímil</v>
      </c>
      <c r="K4326" s="3" t="s">
        <v>76</v>
      </c>
    </row>
    <row r="4327" spans="1:11" ht="42" customHeight="1">
      <c r="A4327" s="2" t="s">
        <v>11543</v>
      </c>
      <c r="B4327" s="2" t="s">
        <v>11544</v>
      </c>
      <c r="C4327" s="2" t="s">
        <v>88</v>
      </c>
      <c r="D4327" s="2" t="s">
        <v>27</v>
      </c>
      <c r="E4327" s="4">
        <v>-32842</v>
      </c>
      <c r="F4327" s="3" t="s">
        <v>1291</v>
      </c>
      <c r="G4327" s="3" t="s">
        <v>1292</v>
      </c>
      <c r="H4327" s="2" t="s">
        <v>74</v>
      </c>
      <c r="I4327" s="2" t="s">
        <v>11545</v>
      </c>
      <c r="J4327" s="3" t="str">
        <f>HYPERLINK("https://www.boe.es/gazeta/dias/1810/01/29/pdfs/GMD-1810-29.pdf#page=3","Abrir facsímil")</f>
        <v>Abrir facsímil</v>
      </c>
      <c r="K4327" s="3" t="s">
        <v>76</v>
      </c>
    </row>
    <row r="4328" spans="1:11" ht="42" customHeight="1">
      <c r="A4328" s="2" t="s">
        <v>11546</v>
      </c>
      <c r="B4328" s="2" t="s">
        <v>11546</v>
      </c>
      <c r="C4328" s="2" t="s">
        <v>26</v>
      </c>
      <c r="D4328" s="2" t="s">
        <v>27</v>
      </c>
      <c r="E4328" s="4">
        <v>-32660</v>
      </c>
      <c r="F4328" s="3" t="s">
        <v>6216</v>
      </c>
      <c r="G4328" s="3" t="s">
        <v>65</v>
      </c>
      <c r="H4328" s="2" t="s">
        <v>74</v>
      </c>
      <c r="I4328" s="2" t="s">
        <v>11547</v>
      </c>
      <c r="J4328" s="3" t="str">
        <f>HYPERLINK("https://www.boe.es/gazeta/dias/1810/07/30/pdfs/GMD-1810-211.pdf#page=1","Abrir facsímil")</f>
        <v>Abrir facsímil</v>
      </c>
      <c r="K4328" s="3" t="s">
        <v>76</v>
      </c>
    </row>
    <row r="4329" spans="1:11" ht="42" customHeight="1">
      <c r="A4329" s="2" t="s">
        <v>11546</v>
      </c>
      <c r="B4329" s="2" t="s">
        <v>11546</v>
      </c>
      <c r="C4329" s="2" t="s">
        <v>88</v>
      </c>
      <c r="D4329" s="2" t="s">
        <v>27</v>
      </c>
      <c r="E4329" s="4">
        <v>-32580</v>
      </c>
      <c r="F4329" s="3" t="s">
        <v>833</v>
      </c>
      <c r="G4329" s="3" t="s">
        <v>465</v>
      </c>
      <c r="H4329" s="2" t="s">
        <v>74</v>
      </c>
      <c r="I4329" s="2" t="s">
        <v>11548</v>
      </c>
      <c r="J4329" s="3" t="str">
        <f>HYPERLINK("https://www.boe.es/gazeta/dias/1810/10/18/pdfs/GMD-1810-291.pdf#page=1","Abrir facsímil")</f>
        <v>Abrir facsímil</v>
      </c>
      <c r="K4329" s="3" t="s">
        <v>76</v>
      </c>
    </row>
    <row r="4330" spans="1:11" ht="42" customHeight="1">
      <c r="A4330" s="2" t="s">
        <v>11549</v>
      </c>
      <c r="B4330" s="2" t="s">
        <v>11549</v>
      </c>
      <c r="C4330" s="2" t="s">
        <v>317</v>
      </c>
      <c r="D4330" s="2" t="s">
        <v>27</v>
      </c>
      <c r="E4330" s="4">
        <v>-32711</v>
      </c>
      <c r="F4330" s="3" t="s">
        <v>1888</v>
      </c>
      <c r="G4330" s="3" t="s">
        <v>517</v>
      </c>
      <c r="H4330" s="2" t="s">
        <v>74</v>
      </c>
      <c r="I4330" s="2" t="s">
        <v>11550</v>
      </c>
      <c r="J4330" s="3" t="str">
        <f>HYPERLINK("https://www.boe.es/gazeta/dias/1810/06/09/pdfs/GMD-1810-160.pdf#page=1","Abrir facsímil")</f>
        <v>Abrir facsímil</v>
      </c>
      <c r="K4330" s="3" t="s">
        <v>76</v>
      </c>
    </row>
    <row r="4331" spans="1:11" ht="42" customHeight="1">
      <c r="A4331" s="2" t="s">
        <v>11551</v>
      </c>
      <c r="B4331" s="2" t="s">
        <v>11552</v>
      </c>
      <c r="C4331" s="2" t="s">
        <v>26</v>
      </c>
      <c r="D4331" s="2" t="s">
        <v>27</v>
      </c>
      <c r="E4331" s="4">
        <v>-32798</v>
      </c>
      <c r="F4331" s="3" t="s">
        <v>2002</v>
      </c>
      <c r="G4331" s="3" t="s">
        <v>90</v>
      </c>
      <c r="H4331" s="2" t="s">
        <v>74</v>
      </c>
      <c r="I4331" s="2" t="s">
        <v>11553</v>
      </c>
      <c r="J4331" s="3" t="str">
        <f>HYPERLINK("https://www.boe.es/gazeta/dias/1810/03/14/pdfs/GMD-1810-73.pdf#page=4","Abrir facsímil")</f>
        <v>Abrir facsímil</v>
      </c>
      <c r="K4331" s="3" t="s">
        <v>76</v>
      </c>
    </row>
    <row r="4332" spans="1:11" ht="42" customHeight="1">
      <c r="A4332" s="2" t="s">
        <v>11554</v>
      </c>
      <c r="B4332" s="2" t="s">
        <v>11554</v>
      </c>
      <c r="C4332" s="2" t="s">
        <v>88</v>
      </c>
      <c r="D4332" s="2" t="s">
        <v>27</v>
      </c>
      <c r="E4332" s="4">
        <v>-32722</v>
      </c>
      <c r="F4332" s="3" t="s">
        <v>2619</v>
      </c>
      <c r="G4332" s="3" t="s">
        <v>849</v>
      </c>
      <c r="H4332" s="2" t="s">
        <v>74</v>
      </c>
      <c r="I4332" s="2" t="s">
        <v>11555</v>
      </c>
      <c r="J4332" s="3" t="str">
        <f>HYPERLINK("https://www.boe.es/gazeta/dias/1810/05/29/pdfs/GMD-1810-149.pdf#page=1","Abrir facsímil")</f>
        <v>Abrir facsímil</v>
      </c>
      <c r="K4332" s="3" t="s">
        <v>76</v>
      </c>
    </row>
    <row r="4333" spans="1:11" ht="42" customHeight="1">
      <c r="A4333" s="2" t="s">
        <v>11556</v>
      </c>
      <c r="B4333" s="2" t="s">
        <v>11556</v>
      </c>
      <c r="C4333" s="2" t="s">
        <v>26</v>
      </c>
      <c r="D4333" s="2" t="s">
        <v>27</v>
      </c>
      <c r="E4333" s="4">
        <v>-32629</v>
      </c>
      <c r="F4333" s="3" t="s">
        <v>1494</v>
      </c>
      <c r="G4333" s="3" t="s">
        <v>213</v>
      </c>
      <c r="H4333" s="2" t="s">
        <v>74</v>
      </c>
      <c r="I4333" s="2" t="s">
        <v>11557</v>
      </c>
      <c r="J4333" s="3" t="str">
        <f>HYPERLINK("https://www.boe.es/gazeta/dias/1810/08/30/pdfs/GMD-1810-242.pdf#page=4","Abrir facsímil")</f>
        <v>Abrir facsímil</v>
      </c>
      <c r="K4333" s="3" t="s">
        <v>76</v>
      </c>
    </row>
    <row r="4334" spans="1:11" ht="42" customHeight="1">
      <c r="A4334" s="2" t="s">
        <v>11558</v>
      </c>
      <c r="B4334" s="2" t="s">
        <v>11558</v>
      </c>
      <c r="C4334" s="2" t="s">
        <v>88</v>
      </c>
      <c r="D4334" s="2" t="s">
        <v>27</v>
      </c>
      <c r="E4334" s="4">
        <v>-32715</v>
      </c>
      <c r="F4334" s="3" t="s">
        <v>11559</v>
      </c>
      <c r="G4334" s="3" t="s">
        <v>90</v>
      </c>
      <c r="H4334" s="2" t="s">
        <v>74</v>
      </c>
      <c r="I4334" s="2" t="s">
        <v>11560</v>
      </c>
      <c r="J4334" s="3" t="str">
        <f>HYPERLINK("https://www.boe.es/gazeta/dias/1810/06/05/pdfs/GMD-1810-156.pdf#page=1","Abrir facsímil")</f>
        <v>Abrir facsímil</v>
      </c>
      <c r="K4334" s="3" t="s">
        <v>76</v>
      </c>
    </row>
    <row r="4335" spans="1:11" ht="42" customHeight="1">
      <c r="A4335" s="2" t="s">
        <v>11561</v>
      </c>
      <c r="B4335" s="2" t="s">
        <v>11562</v>
      </c>
      <c r="C4335" s="2" t="s">
        <v>26</v>
      </c>
      <c r="D4335" s="2" t="s">
        <v>27</v>
      </c>
      <c r="E4335" s="4">
        <v>-32575</v>
      </c>
      <c r="F4335" s="3" t="s">
        <v>135</v>
      </c>
      <c r="G4335" s="3" t="s">
        <v>136</v>
      </c>
      <c r="H4335" s="2" t="s">
        <v>74</v>
      </c>
      <c r="I4335" s="2" t="s">
        <v>11563</v>
      </c>
      <c r="J4335" s="3" t="str">
        <f>HYPERLINK("https://www.boe.es/gazeta/dias/1810/10/23/pdfs/GEI-1810-85.pdf#page=11","Abrir facsímil")</f>
        <v>Abrir facsímil</v>
      </c>
      <c r="K4335" s="3" t="s">
        <v>76</v>
      </c>
    </row>
    <row r="4336" spans="1:11" ht="42" customHeight="1">
      <c r="A4336" s="2" t="s">
        <v>11564</v>
      </c>
      <c r="B4336" s="2" t="s">
        <v>11564</v>
      </c>
      <c r="C4336" s="2" t="s">
        <v>225</v>
      </c>
      <c r="D4336" s="2" t="s">
        <v>27</v>
      </c>
      <c r="E4336" s="4">
        <v>-32571</v>
      </c>
      <c r="F4336" s="3" t="s">
        <v>6811</v>
      </c>
      <c r="G4336" s="3" t="s">
        <v>735</v>
      </c>
      <c r="H4336" s="2" t="s">
        <v>74</v>
      </c>
      <c r="I4336" s="2" t="s">
        <v>11565</v>
      </c>
      <c r="J4336" s="3" t="str">
        <f>HYPERLINK("https://www.boe.es/gazeta/dias/1810/10/27/pdfs/GMD-1810-300.pdf#page=4","Abrir facsímil")</f>
        <v>Abrir facsímil</v>
      </c>
      <c r="K4336" s="3" t="s">
        <v>76</v>
      </c>
    </row>
    <row r="4337" spans="1:11" ht="42" customHeight="1">
      <c r="A4337" s="2" t="s">
        <v>11566</v>
      </c>
      <c r="B4337" s="2" t="s">
        <v>11567</v>
      </c>
      <c r="C4337" s="2" t="s">
        <v>26</v>
      </c>
      <c r="D4337" s="2" t="s">
        <v>27</v>
      </c>
      <c r="E4337" s="4">
        <v>-32543</v>
      </c>
      <c r="F4337" s="3" t="s">
        <v>69</v>
      </c>
      <c r="G4337" s="3" t="s">
        <v>84</v>
      </c>
      <c r="H4337" s="2" t="s">
        <v>74</v>
      </c>
      <c r="I4337" s="2" t="s">
        <v>11568</v>
      </c>
      <c r="J4337" s="3" t="str">
        <f>HYPERLINK("https://www.boe.es/gazeta/dias/1810/11/24/pdfs/GEI-1810-99.pdf#page=7","Abrir facsímil")</f>
        <v>Abrir facsímil</v>
      </c>
      <c r="K4337" s="3" t="s">
        <v>76</v>
      </c>
    </row>
    <row r="4338" spans="1:11" ht="42" customHeight="1">
      <c r="A4338" s="2" t="s">
        <v>11569</v>
      </c>
      <c r="B4338" s="2" t="s">
        <v>11570</v>
      </c>
      <c r="C4338" s="2" t="s">
        <v>33</v>
      </c>
      <c r="D4338" s="2" t="s">
        <v>27</v>
      </c>
      <c r="E4338" s="4">
        <v>-32785</v>
      </c>
      <c r="F4338" s="3" t="s">
        <v>7167</v>
      </c>
      <c r="G4338" s="3" t="s">
        <v>5985</v>
      </c>
      <c r="H4338" s="2" t="s">
        <v>74</v>
      </c>
      <c r="I4338" s="2" t="s">
        <v>11571</v>
      </c>
      <c r="J4338" s="3" t="str">
        <f>HYPERLINK("https://www.boe.es/gazeta/dias/1810/03/27/pdfs/GEI-1810-7.pdf#page=5","Abrir facsímil")</f>
        <v>Abrir facsímil</v>
      </c>
      <c r="K4338" s="3" t="s">
        <v>76</v>
      </c>
    </row>
    <row r="4339" spans="1:11" ht="42" customHeight="1">
      <c r="A4339" s="2" t="s">
        <v>11569</v>
      </c>
      <c r="B4339" s="2" t="s">
        <v>11570</v>
      </c>
      <c r="C4339" s="2" t="s">
        <v>317</v>
      </c>
      <c r="D4339" s="2" t="s">
        <v>39</v>
      </c>
      <c r="E4339" s="4">
        <v>-32642</v>
      </c>
      <c r="F4339" s="3" t="s">
        <v>2273</v>
      </c>
      <c r="G4339" s="3" t="s">
        <v>140</v>
      </c>
      <c r="H4339" s="2" t="s">
        <v>74</v>
      </c>
      <c r="I4339" s="2" t="s">
        <v>11572</v>
      </c>
      <c r="J4339" s="3" t="str">
        <f>HYPERLINK("https://www.boe.es/gazeta/dias/1810/08/17/pdfs/GEI-D-1810-57.pdf#page=1","Abrir facsímil")</f>
        <v>Abrir facsímil</v>
      </c>
      <c r="K4339" s="3" t="s">
        <v>76</v>
      </c>
    </row>
    <row r="4340" spans="1:11" ht="42" customHeight="1">
      <c r="A4340" s="2" t="s">
        <v>11573</v>
      </c>
      <c r="B4340" s="2" t="s">
        <v>11573</v>
      </c>
      <c r="C4340" s="2" t="s">
        <v>111</v>
      </c>
      <c r="D4340" s="2" t="s">
        <v>27</v>
      </c>
      <c r="E4340" s="4">
        <v>-32757</v>
      </c>
      <c r="F4340" s="3" t="s">
        <v>414</v>
      </c>
      <c r="G4340" s="3" t="s">
        <v>140</v>
      </c>
      <c r="H4340" s="2" t="s">
        <v>74</v>
      </c>
      <c r="I4340" s="2" t="s">
        <v>11574</v>
      </c>
      <c r="J4340" s="3" t="str">
        <f>HYPERLINK("https://www.boe.es/gazeta/dias/1810/04/24/pdfs/GMD-1810-114.pdf#page=2","Abrir facsímil")</f>
        <v>Abrir facsímil</v>
      </c>
      <c r="K4340" s="3" t="s">
        <v>76</v>
      </c>
    </row>
    <row r="4341" spans="1:11" ht="42" customHeight="1">
      <c r="A4341" s="2" t="s">
        <v>11575</v>
      </c>
      <c r="B4341" s="2" t="s">
        <v>11576</v>
      </c>
      <c r="C4341" s="2" t="s">
        <v>26</v>
      </c>
      <c r="D4341" s="2" t="s">
        <v>27</v>
      </c>
      <c r="E4341" s="4">
        <v>-32710</v>
      </c>
      <c r="F4341" s="3" t="s">
        <v>126</v>
      </c>
      <c r="G4341" s="3" t="s">
        <v>184</v>
      </c>
      <c r="H4341" s="2" t="s">
        <v>74</v>
      </c>
      <c r="I4341" s="2" t="s">
        <v>11577</v>
      </c>
      <c r="J4341" s="3" t="str">
        <f>HYPERLINK("https://www.boe.es/gazeta/dias/1810/06/10/pdfs/GMD-1810-161.pdf#page=3","Abrir facsímil")</f>
        <v>Abrir facsímil</v>
      </c>
      <c r="K4341" s="3" t="s">
        <v>76</v>
      </c>
    </row>
    <row r="4342" spans="1:11" ht="42" customHeight="1">
      <c r="A4342" s="2" t="s">
        <v>11578</v>
      </c>
      <c r="B4342" s="2" t="s">
        <v>11578</v>
      </c>
      <c r="C4342" s="2" t="s">
        <v>88</v>
      </c>
      <c r="D4342" s="2" t="s">
        <v>27</v>
      </c>
      <c r="E4342" s="4">
        <v>-32617</v>
      </c>
      <c r="F4342" s="3" t="s">
        <v>3861</v>
      </c>
      <c r="G4342" s="3" t="s">
        <v>140</v>
      </c>
      <c r="H4342" s="2" t="s">
        <v>74</v>
      </c>
      <c r="I4342" s="2" t="s">
        <v>11579</v>
      </c>
      <c r="J4342" s="3" t="str">
        <f>HYPERLINK("https://www.boe.es/gazeta/dias/1810/09/11/pdfs/GMD-1810-254.pdf#page=1","Abrir facsímil")</f>
        <v>Abrir facsímil</v>
      </c>
      <c r="K4342" s="3" t="s">
        <v>76</v>
      </c>
    </row>
    <row r="4343" spans="1:11" ht="42" customHeight="1">
      <c r="A4343" s="2" t="s">
        <v>11580</v>
      </c>
      <c r="B4343" s="2" t="s">
        <v>11581</v>
      </c>
      <c r="C4343" s="2" t="s">
        <v>225</v>
      </c>
      <c r="D4343" s="2" t="s">
        <v>27</v>
      </c>
      <c r="E4343" s="4">
        <v>-32509</v>
      </c>
      <c r="F4343" s="3" t="s">
        <v>212</v>
      </c>
      <c r="G4343" s="3" t="s">
        <v>213</v>
      </c>
      <c r="H4343" s="2" t="s">
        <v>74</v>
      </c>
      <c r="I4343" s="2" t="s">
        <v>11582</v>
      </c>
      <c r="J4343" s="3" t="str">
        <f>HYPERLINK("https://www.boe.es/gazeta/dias/1810/12/28/pdfs/GMD-1810-362.pdf#page=4","Abrir facsímil")</f>
        <v>Abrir facsímil</v>
      </c>
      <c r="K4343" s="3" t="s">
        <v>76</v>
      </c>
    </row>
    <row r="4344" spans="1:11" ht="42" customHeight="1">
      <c r="A4344" s="2" t="s">
        <v>11583</v>
      </c>
      <c r="B4344" s="2" t="s">
        <v>11584</v>
      </c>
      <c r="C4344" s="2" t="s">
        <v>26</v>
      </c>
      <c r="D4344" s="2" t="s">
        <v>18</v>
      </c>
      <c r="E4344" s="4">
        <v>-32867</v>
      </c>
      <c r="F4344" s="3" t="s">
        <v>3857</v>
      </c>
      <c r="G4344" s="3" t="s">
        <v>99</v>
      </c>
      <c r="H4344" s="2" t="s">
        <v>74</v>
      </c>
      <c r="I4344" s="2" t="s">
        <v>11585</v>
      </c>
      <c r="J4344" s="3" t="str">
        <f>HYPERLINK("https://www.boe.es/gazeta/dias/1810/01/04/pdfs/GMD-1810-4.pdf#page=3","Abrir facsímil")</f>
        <v>Abrir facsímil</v>
      </c>
      <c r="K4344" s="3" t="s">
        <v>76</v>
      </c>
    </row>
    <row r="4345" spans="1:11" ht="42" customHeight="1">
      <c r="A4345" s="2" t="s">
        <v>11586</v>
      </c>
      <c r="B4345" s="2" t="s">
        <v>11587</v>
      </c>
      <c r="C4345" s="2" t="s">
        <v>26</v>
      </c>
      <c r="D4345" s="2" t="s">
        <v>27</v>
      </c>
      <c r="E4345" s="4">
        <v>-32647</v>
      </c>
      <c r="F4345" s="3" t="s">
        <v>118</v>
      </c>
      <c r="G4345" s="3" t="s">
        <v>20</v>
      </c>
      <c r="H4345" s="2" t="s">
        <v>74</v>
      </c>
      <c r="I4345" s="2" t="s">
        <v>11588</v>
      </c>
      <c r="J4345" s="3" t="str">
        <f>HYPERLINK("https://www.boe.es/gazeta/dias/1810/08/12/pdfs/GMD-1810-224.pdf#page=4","Abrir facsímil")</f>
        <v>Abrir facsímil</v>
      </c>
      <c r="K4345" s="3" t="s">
        <v>76</v>
      </c>
    </row>
    <row r="4346" spans="1:11" ht="42" customHeight="1">
      <c r="A4346" s="2" t="s">
        <v>11586</v>
      </c>
      <c r="B4346" s="2" t="s">
        <v>11587</v>
      </c>
      <c r="C4346" s="2" t="s">
        <v>26</v>
      </c>
      <c r="D4346" s="2" t="s">
        <v>27</v>
      </c>
      <c r="E4346" s="4">
        <v>-32562</v>
      </c>
      <c r="F4346" s="3" t="s">
        <v>1186</v>
      </c>
      <c r="G4346" s="3" t="s">
        <v>90</v>
      </c>
      <c r="H4346" s="2" t="s">
        <v>74</v>
      </c>
      <c r="I4346" s="2" t="s">
        <v>11589</v>
      </c>
      <c r="J4346" s="3" t="str">
        <f>HYPERLINK("https://www.boe.es/gazeta/dias/1810/11/05/pdfs/GMD-1810-309.pdf#page=3","Abrir facsímil")</f>
        <v>Abrir facsímil</v>
      </c>
      <c r="K4346" s="3" t="s">
        <v>76</v>
      </c>
    </row>
    <row r="4347" spans="1:11" ht="42" customHeight="1">
      <c r="A4347" s="2" t="s">
        <v>11590</v>
      </c>
      <c r="B4347" s="2" t="s">
        <v>11591</v>
      </c>
      <c r="C4347" s="2" t="s">
        <v>88</v>
      </c>
      <c r="D4347" s="2" t="s">
        <v>27</v>
      </c>
      <c r="E4347" s="4">
        <v>-32710</v>
      </c>
      <c r="F4347" s="3" t="s">
        <v>126</v>
      </c>
      <c r="G4347" s="3" t="s">
        <v>35</v>
      </c>
      <c r="H4347" s="2" t="s">
        <v>74</v>
      </c>
      <c r="I4347" s="2" t="s">
        <v>11592</v>
      </c>
      <c r="J4347" s="3" t="str">
        <f>HYPERLINK("https://www.boe.es/gazeta/dias/1810/06/10/pdfs/GMD-1810-161.pdf#page=2","Abrir facsímil")</f>
        <v>Abrir facsímil</v>
      </c>
      <c r="K4347" s="3" t="s">
        <v>76</v>
      </c>
    </row>
    <row r="4348" spans="1:11" ht="42" customHeight="1">
      <c r="A4348" s="2" t="s">
        <v>11593</v>
      </c>
      <c r="B4348" s="2" t="s">
        <v>11594</v>
      </c>
      <c r="C4348" s="2" t="s">
        <v>26</v>
      </c>
      <c r="D4348" s="2" t="s">
        <v>27</v>
      </c>
      <c r="E4348" s="4">
        <v>-32547</v>
      </c>
      <c r="F4348" s="3" t="s">
        <v>407</v>
      </c>
      <c r="G4348" s="3" t="s">
        <v>408</v>
      </c>
      <c r="H4348" s="2" t="s">
        <v>74</v>
      </c>
      <c r="I4348" s="2" t="s">
        <v>11595</v>
      </c>
      <c r="J4348" s="3" t="str">
        <f>HYPERLINK("https://www.boe.es/gazeta/dias/1810/11/20/pdfs/GEI-1810-97.pdf#page=8","Abrir facsímil")</f>
        <v>Abrir facsímil</v>
      </c>
      <c r="K4348" s="3" t="s">
        <v>76</v>
      </c>
    </row>
    <row r="4349" spans="1:11" ht="42" customHeight="1">
      <c r="A4349" s="2" t="s">
        <v>11596</v>
      </c>
      <c r="B4349" s="2" t="s">
        <v>11597</v>
      </c>
      <c r="C4349" s="2" t="s">
        <v>26</v>
      </c>
      <c r="D4349" s="2" t="s">
        <v>27</v>
      </c>
      <c r="E4349" s="4">
        <v>-32654</v>
      </c>
      <c r="F4349" s="3" t="s">
        <v>1226</v>
      </c>
      <c r="G4349" s="3" t="s">
        <v>180</v>
      </c>
      <c r="H4349" s="2" t="s">
        <v>74</v>
      </c>
      <c r="I4349" s="2" t="s">
        <v>11598</v>
      </c>
      <c r="J4349" s="3" t="str">
        <f>HYPERLINK("https://www.boe.es/gazeta/dias/1810/08/05/pdfs/GMD-1810-217.pdf#page=4","Abrir facsímil")</f>
        <v>Abrir facsímil</v>
      </c>
      <c r="K4349" s="3" t="s">
        <v>76</v>
      </c>
    </row>
    <row r="4350" spans="1:11" ht="42" customHeight="1">
      <c r="A4350" s="2" t="s">
        <v>11599</v>
      </c>
      <c r="B4350" s="2" t="s">
        <v>11600</v>
      </c>
      <c r="C4350" s="2" t="s">
        <v>33</v>
      </c>
      <c r="D4350" s="2" t="s">
        <v>18</v>
      </c>
      <c r="E4350" s="4">
        <v>-32712</v>
      </c>
      <c r="F4350" s="3" t="s">
        <v>6411</v>
      </c>
      <c r="G4350" s="3" t="s">
        <v>735</v>
      </c>
      <c r="H4350" s="2" t="s">
        <v>21</v>
      </c>
      <c r="I4350" s="2" t="s">
        <v>11601</v>
      </c>
      <c r="J4350" s="3" t="str">
        <f>HYPERLINK("https://www.boe.es/gazeta/dias/1810/06/08/pdfs/GMD-1810-159.pdf#page=4","Abrir facsímil")</f>
        <v>Abrir facsímil</v>
      </c>
      <c r="K4350" s="3" t="s">
        <v>23</v>
      </c>
    </row>
    <row r="4351" spans="1:11" ht="42" customHeight="1">
      <c r="A4351" s="2" t="s">
        <v>11602</v>
      </c>
      <c r="B4351" s="2" t="s">
        <v>11603</v>
      </c>
      <c r="C4351" s="2" t="s">
        <v>26</v>
      </c>
      <c r="D4351" s="2" t="s">
        <v>27</v>
      </c>
      <c r="E4351" s="4">
        <v>-32545</v>
      </c>
      <c r="F4351" s="3" t="s">
        <v>165</v>
      </c>
      <c r="G4351" s="3" t="s">
        <v>166</v>
      </c>
      <c r="H4351" s="2" t="s">
        <v>21</v>
      </c>
      <c r="I4351" s="2" t="s">
        <v>11604</v>
      </c>
      <c r="J4351" s="3" t="str">
        <f>HYPERLINK("https://www.boe.es/gazeta/dias/1810/11/22/pdfs/GEI-1810-98.pdf#page=8","Abrir facsímil")</f>
        <v>Abrir facsímil</v>
      </c>
      <c r="K4351" s="3" t="s">
        <v>23</v>
      </c>
    </row>
    <row r="4352" spans="1:11" ht="42" customHeight="1">
      <c r="A4352" s="2" t="s">
        <v>11605</v>
      </c>
      <c r="B4352" s="2" t="s">
        <v>11606</v>
      </c>
      <c r="C4352" s="2" t="s">
        <v>88</v>
      </c>
      <c r="D4352" s="2" t="s">
        <v>27</v>
      </c>
      <c r="E4352" s="4">
        <v>-32763</v>
      </c>
      <c r="F4352" s="3" t="s">
        <v>1146</v>
      </c>
      <c r="G4352" s="3" t="s">
        <v>20</v>
      </c>
      <c r="H4352" s="2" t="s">
        <v>21</v>
      </c>
      <c r="I4352" s="2" t="s">
        <v>11607</v>
      </c>
      <c r="J4352" s="3" t="str">
        <f>HYPERLINK("https://www.boe.es/gazeta/dias/1810/04/18/pdfs/GMD-1810-108.pdf#page=4","Abrir facsímil")</f>
        <v>Abrir facsímil</v>
      </c>
      <c r="K4352" s="3" t="s">
        <v>23</v>
      </c>
    </row>
    <row r="4353" spans="1:11" ht="42" customHeight="1">
      <c r="A4353" s="2" t="s">
        <v>11608</v>
      </c>
      <c r="B4353" s="2" t="s">
        <v>11609</v>
      </c>
      <c r="C4353" s="2" t="s">
        <v>17</v>
      </c>
      <c r="D4353" s="2" t="s">
        <v>18</v>
      </c>
      <c r="E4353" s="4">
        <v>-32659</v>
      </c>
      <c r="F4353" s="3" t="s">
        <v>1684</v>
      </c>
      <c r="G4353" s="3" t="s">
        <v>29</v>
      </c>
      <c r="H4353" s="2" t="s">
        <v>21</v>
      </c>
      <c r="I4353" s="2" t="s">
        <v>11610</v>
      </c>
      <c r="J4353" s="3" t="str">
        <f>HYPERLINK("https://www.boe.es/gazeta/dias/1810/07/31/pdfs/GMD-1810-212.pdf#page=4","Abrir facsímil")</f>
        <v>Abrir facsímil</v>
      </c>
      <c r="K4353" s="3" t="s">
        <v>23</v>
      </c>
    </row>
    <row r="4354" spans="1:11" ht="42" customHeight="1">
      <c r="A4354" s="2" t="s">
        <v>11611</v>
      </c>
      <c r="B4354" s="2" t="s">
        <v>11612</v>
      </c>
      <c r="C4354" s="2" t="s">
        <v>88</v>
      </c>
      <c r="D4354" s="2" t="s">
        <v>27</v>
      </c>
      <c r="E4354" s="4">
        <v>-32562</v>
      </c>
      <c r="F4354" s="3" t="s">
        <v>1186</v>
      </c>
      <c r="G4354" s="3" t="s">
        <v>90</v>
      </c>
      <c r="H4354" s="2" t="s">
        <v>21</v>
      </c>
      <c r="I4354" s="2" t="s">
        <v>11613</v>
      </c>
      <c r="J4354" s="3" t="str">
        <f>HYPERLINK("https://www.boe.es/gazeta/dias/1810/11/05/pdfs/GMD-1810-309.pdf#page=3","Abrir facsímil")</f>
        <v>Abrir facsímil</v>
      </c>
      <c r="K4354" s="3" t="s">
        <v>23</v>
      </c>
    </row>
    <row r="4355" spans="1:11" ht="42" customHeight="1">
      <c r="A4355" s="2" t="s">
        <v>11614</v>
      </c>
      <c r="B4355" s="2" t="s">
        <v>11615</v>
      </c>
      <c r="C4355" s="2" t="s">
        <v>26</v>
      </c>
      <c r="D4355" s="2" t="s">
        <v>39</v>
      </c>
      <c r="E4355" s="4">
        <v>-32661</v>
      </c>
      <c r="F4355" s="3" t="s">
        <v>157</v>
      </c>
      <c r="G4355" s="3" t="s">
        <v>158</v>
      </c>
      <c r="H4355" s="2" t="s">
        <v>21</v>
      </c>
      <c r="I4355" s="2" t="s">
        <v>11616</v>
      </c>
      <c r="J4355" s="3" t="str">
        <f>HYPERLINK("https://www.boe.es/gazeta/dias/1810/07/29/pdfs/GMD-C-1810-210.pdf#page=1","Abrir facsímil")</f>
        <v>Abrir facsímil</v>
      </c>
      <c r="K4355" s="3" t="s">
        <v>23</v>
      </c>
    </row>
    <row r="4356" spans="1:11" ht="42" customHeight="1">
      <c r="A4356" s="2" t="s">
        <v>11617</v>
      </c>
      <c r="B4356" s="2" t="s">
        <v>11618</v>
      </c>
      <c r="C4356" s="2" t="s">
        <v>88</v>
      </c>
      <c r="D4356" s="2" t="s">
        <v>27</v>
      </c>
      <c r="E4356" s="4">
        <v>-32710</v>
      </c>
      <c r="F4356" s="3" t="s">
        <v>126</v>
      </c>
      <c r="G4356" s="3" t="s">
        <v>35</v>
      </c>
      <c r="H4356" s="2" t="s">
        <v>21</v>
      </c>
      <c r="I4356" s="2" t="s">
        <v>11619</v>
      </c>
      <c r="J4356" s="3" t="str">
        <f>HYPERLINK("https://www.boe.es/gazeta/dias/1810/06/10/pdfs/GMD-1810-161.pdf#page=2","Abrir facsímil")</f>
        <v>Abrir facsímil</v>
      </c>
      <c r="K4356" s="3" t="s">
        <v>23</v>
      </c>
    </row>
    <row r="4357" spans="1:11" ht="42" customHeight="1">
      <c r="A4357" s="2" t="s">
        <v>11620</v>
      </c>
      <c r="B4357" s="2" t="s">
        <v>11620</v>
      </c>
      <c r="C4357" s="2" t="s">
        <v>195</v>
      </c>
      <c r="D4357" s="2" t="s">
        <v>27</v>
      </c>
      <c r="E4357" s="4">
        <v>-32533</v>
      </c>
      <c r="F4357" s="3" t="s">
        <v>4294</v>
      </c>
      <c r="G4357" s="3" t="s">
        <v>1656</v>
      </c>
      <c r="H4357" s="2" t="s">
        <v>74</v>
      </c>
      <c r="I4357" s="2" t="s">
        <v>11621</v>
      </c>
      <c r="J4357" s="3" t="str">
        <f>HYPERLINK("https://www.boe.es/gazeta/dias/1810/12/04/pdfs/GMD-1810-338.pdf#page=2","Abrir facsímil")</f>
        <v>Abrir facsímil</v>
      </c>
      <c r="K4357" s="3" t="s">
        <v>76</v>
      </c>
    </row>
    <row r="4358" spans="1:11" ht="42" customHeight="1">
      <c r="A4358" s="2" t="s">
        <v>11622</v>
      </c>
      <c r="B4358" s="2" t="s">
        <v>11623</v>
      </c>
      <c r="C4358" s="2" t="s">
        <v>26</v>
      </c>
      <c r="D4358" s="2" t="s">
        <v>27</v>
      </c>
      <c r="E4358" s="4">
        <v>-32543</v>
      </c>
      <c r="F4358" s="3" t="s">
        <v>4082</v>
      </c>
      <c r="G4358" s="3" t="s">
        <v>5985</v>
      </c>
      <c r="H4358" s="2" t="s">
        <v>74</v>
      </c>
      <c r="I4358" s="2" t="s">
        <v>11624</v>
      </c>
      <c r="J4358" s="3" t="str">
        <f>HYPERLINK("https://www.boe.es/gazeta/dias/1810/11/24/pdfs/GMD-1810-328.pdf#page=8","Abrir facsímil")</f>
        <v>Abrir facsímil</v>
      </c>
      <c r="K4358" s="3" t="s">
        <v>76</v>
      </c>
    </row>
    <row r="4359" spans="1:11" ht="42" customHeight="1">
      <c r="A4359" s="2" t="s">
        <v>11625</v>
      </c>
      <c r="B4359" s="2" t="s">
        <v>11626</v>
      </c>
      <c r="C4359" s="2" t="s">
        <v>88</v>
      </c>
      <c r="D4359" s="2" t="s">
        <v>58</v>
      </c>
      <c r="E4359" s="4">
        <v>-32789</v>
      </c>
      <c r="F4359" s="3" t="s">
        <v>2531</v>
      </c>
      <c r="G4359" s="3" t="s">
        <v>35</v>
      </c>
      <c r="H4359" s="2" t="s">
        <v>74</v>
      </c>
      <c r="I4359" s="2" t="s">
        <v>11627</v>
      </c>
      <c r="J4359" s="3" t="str">
        <f>HYPERLINK("https://www.boe.es/gazeta/dias/1810/03/23/pdfs/GEI-1810-6E.pdf#page=2","Abrir facsímil")</f>
        <v>Abrir facsímil</v>
      </c>
      <c r="K4359" s="3" t="s">
        <v>76</v>
      </c>
    </row>
    <row r="4360" spans="1:11" ht="42" customHeight="1">
      <c r="A4360" s="2" t="s">
        <v>11628</v>
      </c>
      <c r="B4360" s="2" t="s">
        <v>11629</v>
      </c>
      <c r="C4360" s="2" t="s">
        <v>26</v>
      </c>
      <c r="D4360" s="2" t="s">
        <v>18</v>
      </c>
      <c r="E4360" s="4">
        <v>-32820</v>
      </c>
      <c r="F4360" s="3" t="s">
        <v>226</v>
      </c>
      <c r="G4360" s="3" t="s">
        <v>356</v>
      </c>
      <c r="H4360" s="2" t="s">
        <v>74</v>
      </c>
      <c r="I4360" s="2" t="s">
        <v>11630</v>
      </c>
      <c r="J4360" s="3" t="str">
        <f>HYPERLINK("https://www.boe.es/gazeta/dias/1810/02/20/pdfs/GMD-1810-51.pdf#page=3","Abrir facsímil")</f>
        <v>Abrir facsímil</v>
      </c>
      <c r="K4360" s="3" t="s">
        <v>76</v>
      </c>
    </row>
    <row r="4361" spans="1:11" ht="42" customHeight="1">
      <c r="A4361" s="2" t="s">
        <v>11631</v>
      </c>
      <c r="B4361" s="2" t="s">
        <v>11631</v>
      </c>
      <c r="C4361" s="2" t="s">
        <v>17</v>
      </c>
      <c r="D4361" s="2" t="s">
        <v>27</v>
      </c>
      <c r="E4361" s="4">
        <v>-32544</v>
      </c>
      <c r="F4361" s="3" t="s">
        <v>1239</v>
      </c>
      <c r="G4361" s="3" t="s">
        <v>35</v>
      </c>
      <c r="H4361" s="2" t="s">
        <v>74</v>
      </c>
      <c r="I4361" s="2" t="s">
        <v>11632</v>
      </c>
      <c r="J4361" s="3" t="str">
        <f>HYPERLINK("https://www.boe.es/gazeta/dias/1810/11/23/pdfs/GMD-1810-327.pdf#page=2","Abrir facsímil")</f>
        <v>Abrir facsímil</v>
      </c>
      <c r="K4361" s="3" t="s">
        <v>76</v>
      </c>
    </row>
    <row r="4362" spans="1:11" ht="42" customHeight="1">
      <c r="A4362" s="2" t="s">
        <v>11633</v>
      </c>
      <c r="B4362" s="2" t="s">
        <v>11634</v>
      </c>
      <c r="C4362" s="2" t="s">
        <v>111</v>
      </c>
      <c r="D4362" s="2" t="s">
        <v>18</v>
      </c>
      <c r="E4362" s="4">
        <v>-32789</v>
      </c>
      <c r="F4362" s="3" t="s">
        <v>2531</v>
      </c>
      <c r="G4362" s="3" t="s">
        <v>35</v>
      </c>
      <c r="H4362" s="2" t="s">
        <v>74</v>
      </c>
      <c r="I4362" s="2" t="s">
        <v>11635</v>
      </c>
      <c r="J4362" s="3" t="str">
        <f>HYPERLINK("https://www.boe.es/gazeta/dias/1810/03/23/pdfs/GEI-1810-6E.pdf#page=2","Abrir facsímil")</f>
        <v>Abrir facsímil</v>
      </c>
      <c r="K4362" s="3" t="s">
        <v>76</v>
      </c>
    </row>
    <row r="4363" spans="1:11" ht="42" customHeight="1">
      <c r="A4363" s="2" t="s">
        <v>11636</v>
      </c>
      <c r="B4363" s="2" t="s">
        <v>11637</v>
      </c>
      <c r="C4363" s="2" t="s">
        <v>26</v>
      </c>
      <c r="D4363" s="2" t="s">
        <v>27</v>
      </c>
      <c r="E4363" s="4">
        <v>-32747</v>
      </c>
      <c r="F4363" s="3" t="s">
        <v>2337</v>
      </c>
      <c r="G4363" s="3" t="s">
        <v>11638</v>
      </c>
      <c r="H4363" s="2" t="s">
        <v>74</v>
      </c>
      <c r="I4363" s="2" t="s">
        <v>11639</v>
      </c>
      <c r="J4363" s="3" t="str">
        <f>HYPERLINK("https://www.boe.es/gazeta/dias/1810/05/04/pdfs/GEI-1810-21.pdf#page=5","Abrir facsímil")</f>
        <v>Abrir facsímil</v>
      </c>
      <c r="K4363" s="3" t="s">
        <v>76</v>
      </c>
    </row>
    <row r="4364" spans="1:11" ht="42" customHeight="1">
      <c r="A4364" s="2" t="s">
        <v>11640</v>
      </c>
      <c r="B4364" s="2" t="s">
        <v>11640</v>
      </c>
      <c r="C4364" s="2" t="s">
        <v>33</v>
      </c>
      <c r="D4364" s="2" t="s">
        <v>27</v>
      </c>
      <c r="E4364" s="4">
        <v>-32543</v>
      </c>
      <c r="F4364" s="3" t="s">
        <v>69</v>
      </c>
      <c r="G4364" s="3" t="s">
        <v>84</v>
      </c>
      <c r="H4364" s="2" t="s">
        <v>74</v>
      </c>
      <c r="I4364" s="2" t="s">
        <v>11641</v>
      </c>
      <c r="J4364" s="3" t="str">
        <f>HYPERLINK("https://www.boe.es/gazeta/dias/1810/11/24/pdfs/GEI-1810-99.pdf#page=7","Abrir facsímil")</f>
        <v>Abrir facsímil</v>
      </c>
      <c r="K4364" s="3" t="s">
        <v>76</v>
      </c>
    </row>
    <row r="4365" spans="1:11" ht="42" customHeight="1">
      <c r="A4365" s="2" t="s">
        <v>11642</v>
      </c>
      <c r="B4365" s="2" t="s">
        <v>11643</v>
      </c>
      <c r="C4365" s="2" t="s">
        <v>26</v>
      </c>
      <c r="D4365" s="2" t="s">
        <v>27</v>
      </c>
      <c r="E4365" s="4">
        <v>-32727</v>
      </c>
      <c r="F4365" s="3" t="s">
        <v>1611</v>
      </c>
      <c r="G4365" s="3" t="s">
        <v>227</v>
      </c>
      <c r="H4365" s="2" t="s">
        <v>74</v>
      </c>
      <c r="I4365" s="2" t="s">
        <v>11644</v>
      </c>
      <c r="J4365" s="3" t="str">
        <f>HYPERLINK("https://www.boe.es/gazeta/dias/1810/05/24/pdfs/GMD-1810-144.pdf#page=4","Abrir facsímil")</f>
        <v>Abrir facsímil</v>
      </c>
      <c r="K4365" s="3" t="s">
        <v>76</v>
      </c>
    </row>
    <row r="4366" spans="1:11" ht="42" customHeight="1">
      <c r="A4366" s="2" t="s">
        <v>11645</v>
      </c>
      <c r="B4366" s="2" t="s">
        <v>11646</v>
      </c>
      <c r="C4366" s="2" t="s">
        <v>33</v>
      </c>
      <c r="D4366" s="2" t="s">
        <v>27</v>
      </c>
      <c r="E4366" s="4">
        <v>-32687</v>
      </c>
      <c r="F4366" s="3" t="s">
        <v>263</v>
      </c>
      <c r="G4366" s="3" t="s">
        <v>227</v>
      </c>
      <c r="H4366" s="2" t="s">
        <v>74</v>
      </c>
      <c r="I4366" s="2" t="s">
        <v>11647</v>
      </c>
      <c r="J4366" s="3" t="str">
        <f>HYPERLINK("https://www.boe.es/gazeta/dias/1810/07/03/pdfs/GEI-1810-41.pdf#page=7","Abrir facsímil")</f>
        <v>Abrir facsímil</v>
      </c>
      <c r="K4366" s="3" t="s">
        <v>76</v>
      </c>
    </row>
    <row r="4367" spans="1:11" ht="42" customHeight="1">
      <c r="A4367" s="2" t="s">
        <v>11648</v>
      </c>
      <c r="B4367" s="2" t="s">
        <v>11648</v>
      </c>
      <c r="C4367" s="2" t="s">
        <v>26</v>
      </c>
      <c r="D4367" s="2" t="s">
        <v>27</v>
      </c>
      <c r="E4367" s="4">
        <v>-32583</v>
      </c>
      <c r="F4367" s="3" t="s">
        <v>45</v>
      </c>
      <c r="G4367" s="3" t="s">
        <v>46</v>
      </c>
      <c r="H4367" s="2" t="s">
        <v>74</v>
      </c>
      <c r="I4367" s="2" t="s">
        <v>11649</v>
      </c>
      <c r="J4367" s="3" t="str">
        <f>HYPERLINK("https://www.boe.es/gazeta/dias/1810/10/15/pdfs/GMD-1810-288.pdf#page=4","Abrir facsímil")</f>
        <v>Abrir facsímil</v>
      </c>
      <c r="K4367" s="3" t="s">
        <v>76</v>
      </c>
    </row>
    <row r="4368" spans="1:11" ht="42" customHeight="1">
      <c r="A4368" s="2" t="s">
        <v>11650</v>
      </c>
      <c r="B4368" s="2" t="s">
        <v>11650</v>
      </c>
      <c r="C4368" s="2" t="s">
        <v>111</v>
      </c>
      <c r="D4368" s="2" t="s">
        <v>27</v>
      </c>
      <c r="E4368" s="4">
        <v>-32805</v>
      </c>
      <c r="F4368" s="3" t="s">
        <v>2068</v>
      </c>
      <c r="G4368" s="3" t="s">
        <v>29</v>
      </c>
      <c r="H4368" s="2" t="s">
        <v>74</v>
      </c>
      <c r="I4368" s="2" t="s">
        <v>11651</v>
      </c>
      <c r="J4368" s="3" t="str">
        <f>HYPERLINK("https://www.boe.es/gazeta/dias/1810/03/07/pdfs/GMD-1810-66.pdf#page=4","Abrir facsímil")</f>
        <v>Abrir facsímil</v>
      </c>
      <c r="K4368" s="3" t="s">
        <v>76</v>
      </c>
    </row>
    <row r="4369" spans="1:11" ht="42" customHeight="1">
      <c r="A4369" s="2" t="s">
        <v>11650</v>
      </c>
      <c r="B4369" s="2" t="s">
        <v>11650</v>
      </c>
      <c r="C4369" s="2" t="s">
        <v>88</v>
      </c>
      <c r="D4369" s="2" t="s">
        <v>27</v>
      </c>
      <c r="E4369" s="4">
        <v>-32565</v>
      </c>
      <c r="F4369" s="3" t="s">
        <v>743</v>
      </c>
      <c r="G4369" s="3" t="s">
        <v>458</v>
      </c>
      <c r="H4369" s="2" t="s">
        <v>74</v>
      </c>
      <c r="I4369" s="2" t="s">
        <v>11652</v>
      </c>
      <c r="J4369" s="3" t="str">
        <f>HYPERLINK("https://www.boe.es/gazeta/dias/1810/11/02/pdfs/GMD-1810-306.pdf#page=2","Abrir facsímil")</f>
        <v>Abrir facsímil</v>
      </c>
      <c r="K4369" s="3" t="s">
        <v>76</v>
      </c>
    </row>
    <row r="4370" spans="1:11" ht="42" customHeight="1">
      <c r="A4370" s="2" t="s">
        <v>11653</v>
      </c>
      <c r="B4370" s="2" t="s">
        <v>11654</v>
      </c>
      <c r="C4370" s="2" t="s">
        <v>17</v>
      </c>
      <c r="D4370" s="2" t="s">
        <v>27</v>
      </c>
      <c r="E4370" s="4">
        <v>-32707</v>
      </c>
      <c r="F4370" s="3" t="s">
        <v>1753</v>
      </c>
      <c r="G4370" s="3" t="s">
        <v>227</v>
      </c>
      <c r="H4370" s="2" t="s">
        <v>74</v>
      </c>
      <c r="I4370" s="2" t="s">
        <v>11655</v>
      </c>
      <c r="J4370" s="3" t="str">
        <f>HYPERLINK("https://www.boe.es/gazeta/dias/1810/06/13/pdfs/GMD-1810-164.pdf#page=4","Abrir facsímil")</f>
        <v>Abrir facsímil</v>
      </c>
      <c r="K4370" s="3" t="s">
        <v>76</v>
      </c>
    </row>
    <row r="4371" spans="1:11" ht="42" customHeight="1">
      <c r="A4371" s="2" t="s">
        <v>11656</v>
      </c>
      <c r="B4371" s="2" t="s">
        <v>11657</v>
      </c>
      <c r="C4371" s="2" t="s">
        <v>111</v>
      </c>
      <c r="D4371" s="2" t="s">
        <v>220</v>
      </c>
      <c r="E4371" s="4">
        <v>-32772</v>
      </c>
      <c r="F4371" s="3" t="s">
        <v>398</v>
      </c>
      <c r="G4371" s="3" t="s">
        <v>90</v>
      </c>
      <c r="H4371" s="2" t="s">
        <v>74</v>
      </c>
      <c r="I4371" s="2" t="s">
        <v>11658</v>
      </c>
      <c r="J4371" s="3" t="str">
        <f>HYPERLINK("https://www.boe.es/gazeta/dias/1810/04/09/pdfs/GMD-1810-99.pdf#page=1","Abrir facsímil")</f>
        <v>Abrir facsímil</v>
      </c>
      <c r="K4371" s="3" t="s">
        <v>76</v>
      </c>
    </row>
    <row r="4372" spans="1:11" ht="42" customHeight="1">
      <c r="A4372" s="2" t="s">
        <v>11659</v>
      </c>
      <c r="B4372" s="2" t="s">
        <v>11660</v>
      </c>
      <c r="C4372" s="2" t="s">
        <v>26</v>
      </c>
      <c r="D4372" s="2" t="s">
        <v>27</v>
      </c>
      <c r="E4372" s="4">
        <v>-32763</v>
      </c>
      <c r="F4372" s="3" t="s">
        <v>1146</v>
      </c>
      <c r="G4372" s="3" t="s">
        <v>140</v>
      </c>
      <c r="H4372" s="2" t="s">
        <v>74</v>
      </c>
      <c r="I4372" s="2" t="s">
        <v>11661</v>
      </c>
      <c r="J4372" s="3" t="str">
        <f>HYPERLINK("https://www.boe.es/gazeta/dias/1810/04/18/pdfs/GMD-1810-108.pdf#page=1","Abrir facsímil")</f>
        <v>Abrir facsímil</v>
      </c>
      <c r="K4372" s="3" t="s">
        <v>76</v>
      </c>
    </row>
    <row r="4373" spans="1:11" ht="42" customHeight="1">
      <c r="A4373" s="2" t="s">
        <v>11662</v>
      </c>
      <c r="B4373" s="2" t="s">
        <v>11662</v>
      </c>
      <c r="C4373" s="2" t="s">
        <v>88</v>
      </c>
      <c r="D4373" s="2" t="s">
        <v>117</v>
      </c>
      <c r="E4373" s="4">
        <v>-32751</v>
      </c>
      <c r="F4373" s="3" t="s">
        <v>1205</v>
      </c>
      <c r="G4373" s="3" t="s">
        <v>119</v>
      </c>
      <c r="H4373" s="2" t="s">
        <v>74</v>
      </c>
      <c r="I4373" s="2" t="s">
        <v>11663</v>
      </c>
      <c r="J4373" s="3" t="str">
        <f>HYPERLINK("https://www.boe.es/gazeta/dias/1810/04/30/pdfs/GMD-1810-120.pdf#page=2","Abrir facsímil")</f>
        <v>Abrir facsímil</v>
      </c>
      <c r="K4373" s="3" t="s">
        <v>76</v>
      </c>
    </row>
    <row r="4374" spans="1:11" ht="42" customHeight="1">
      <c r="A4374" s="2" t="s">
        <v>11664</v>
      </c>
      <c r="B4374" s="2" t="s">
        <v>11665</v>
      </c>
      <c r="C4374" s="2" t="s">
        <v>26</v>
      </c>
      <c r="D4374" s="2" t="s">
        <v>27</v>
      </c>
      <c r="E4374" s="4">
        <v>-32729</v>
      </c>
      <c r="F4374" s="3" t="s">
        <v>174</v>
      </c>
      <c r="G4374" s="3" t="s">
        <v>70</v>
      </c>
      <c r="H4374" s="2" t="s">
        <v>74</v>
      </c>
      <c r="I4374" s="2" t="s">
        <v>11666</v>
      </c>
      <c r="J4374" s="3" t="str">
        <f>HYPERLINK("https://www.boe.es/gazeta/dias/1810/05/22/pdfs/GEI-1810-28.pdf#page=7","Abrir facsímil")</f>
        <v>Abrir facsímil</v>
      </c>
      <c r="K4374" s="3" t="s">
        <v>76</v>
      </c>
    </row>
    <row r="4375" spans="1:11" ht="42" customHeight="1">
      <c r="A4375" s="2" t="s">
        <v>11667</v>
      </c>
      <c r="B4375" s="2" t="s">
        <v>11668</v>
      </c>
      <c r="C4375" s="2" t="s">
        <v>26</v>
      </c>
      <c r="D4375" s="2" t="s">
        <v>39</v>
      </c>
      <c r="E4375" s="4">
        <v>-32701</v>
      </c>
      <c r="F4375" s="3" t="s">
        <v>40</v>
      </c>
      <c r="G4375" s="3" t="s">
        <v>333</v>
      </c>
      <c r="H4375" s="2" t="s">
        <v>74</v>
      </c>
      <c r="I4375" s="2" t="s">
        <v>11669</v>
      </c>
      <c r="J4375" s="3" t="str">
        <f>HYPERLINK("https://www.boe.es/gazeta/dias/1810/06/19/pdfs/GMD-C-1810-170.pdf#page=4","Abrir facsímil")</f>
        <v>Abrir facsímil</v>
      </c>
      <c r="K4375" s="3" t="s">
        <v>76</v>
      </c>
    </row>
    <row r="4376" spans="1:11" ht="42" customHeight="1">
      <c r="A4376" s="2" t="s">
        <v>11670</v>
      </c>
      <c r="B4376" s="2" t="s">
        <v>11671</v>
      </c>
      <c r="C4376" s="2" t="s">
        <v>33</v>
      </c>
      <c r="D4376" s="2" t="s">
        <v>27</v>
      </c>
      <c r="E4376" s="4">
        <v>-32784</v>
      </c>
      <c r="F4376" s="3" t="s">
        <v>429</v>
      </c>
      <c r="G4376" s="3" t="s">
        <v>131</v>
      </c>
      <c r="H4376" s="2" t="s">
        <v>74</v>
      </c>
      <c r="I4376" s="2" t="s">
        <v>11672</v>
      </c>
      <c r="J4376" s="3" t="str">
        <f>HYPERLINK("https://www.boe.es/gazeta/dias/1810/03/28/pdfs/GMD-1810-87.pdf#page=3","Abrir facsímil")</f>
        <v>Abrir facsímil</v>
      </c>
      <c r="K4376" s="3" t="s">
        <v>76</v>
      </c>
    </row>
    <row r="4377" spans="1:11" ht="42" customHeight="1">
      <c r="A4377" s="2" t="s">
        <v>11673</v>
      </c>
      <c r="B4377" s="2" t="s">
        <v>11674</v>
      </c>
      <c r="C4377" s="2" t="s">
        <v>33</v>
      </c>
      <c r="D4377" s="2" t="s">
        <v>27</v>
      </c>
      <c r="E4377" s="4">
        <v>-32733</v>
      </c>
      <c r="F4377" s="3" t="s">
        <v>955</v>
      </c>
      <c r="G4377" s="3" t="s">
        <v>5433</v>
      </c>
      <c r="H4377" s="2" t="s">
        <v>74</v>
      </c>
      <c r="I4377" s="2" t="s">
        <v>11675</v>
      </c>
      <c r="J4377" s="3" t="str">
        <f>HYPERLINK("https://www.boe.es/gazeta/dias/1810/05/18/pdfs/GEI-1810-27.pdf#page=3","Abrir facsímil")</f>
        <v>Abrir facsímil</v>
      </c>
      <c r="K4377" s="3" t="s">
        <v>76</v>
      </c>
    </row>
    <row r="4378" spans="1:11" ht="42" customHeight="1">
      <c r="A4378" s="2" t="s">
        <v>11676</v>
      </c>
      <c r="B4378" s="2" t="s">
        <v>11676</v>
      </c>
      <c r="C4378" s="2" t="s">
        <v>88</v>
      </c>
      <c r="D4378" s="2" t="s">
        <v>117</v>
      </c>
      <c r="E4378" s="4">
        <v>-32762</v>
      </c>
      <c r="F4378" s="3" t="s">
        <v>231</v>
      </c>
      <c r="G4378" s="3" t="s">
        <v>29</v>
      </c>
      <c r="H4378" s="2" t="s">
        <v>74</v>
      </c>
      <c r="I4378" s="2" t="s">
        <v>11677</v>
      </c>
      <c r="J4378" s="3" t="str">
        <f>HYPERLINK("https://www.boe.es/gazeta/dias/1810/04/19/pdfs/GMD-1810-109.pdf#page=2","Abrir facsímil")</f>
        <v>Abrir facsímil</v>
      </c>
      <c r="K4378" s="3" t="s">
        <v>76</v>
      </c>
    </row>
    <row r="4379" spans="1:11" ht="42" customHeight="1">
      <c r="A4379" s="2" t="s">
        <v>11676</v>
      </c>
      <c r="B4379" s="2" t="s">
        <v>11676</v>
      </c>
      <c r="C4379" s="2" t="s">
        <v>26</v>
      </c>
      <c r="D4379" s="2" t="s">
        <v>27</v>
      </c>
      <c r="E4379" s="4">
        <v>-32684</v>
      </c>
      <c r="F4379" s="3" t="s">
        <v>1373</v>
      </c>
      <c r="G4379" s="3" t="s">
        <v>210</v>
      </c>
      <c r="H4379" s="2" t="s">
        <v>74</v>
      </c>
      <c r="I4379" s="2" t="s">
        <v>11678</v>
      </c>
      <c r="J4379" s="3" t="str">
        <f>HYPERLINK("https://www.boe.es/gazeta/dias/1810/07/06/pdfs/GEI-1810-42.pdf#page=6","Abrir facsímil")</f>
        <v>Abrir facsímil</v>
      </c>
      <c r="K4379" s="3" t="s">
        <v>76</v>
      </c>
    </row>
    <row r="4380" spans="1:11" ht="42" customHeight="1">
      <c r="A4380" s="2" t="s">
        <v>11679</v>
      </c>
      <c r="B4380" s="2" t="s">
        <v>11680</v>
      </c>
      <c r="C4380" s="2" t="s">
        <v>26</v>
      </c>
      <c r="D4380" s="2" t="s">
        <v>27</v>
      </c>
      <c r="E4380" s="4">
        <v>-32644</v>
      </c>
      <c r="F4380" s="3" t="s">
        <v>457</v>
      </c>
      <c r="G4380" s="3" t="s">
        <v>213</v>
      </c>
      <c r="H4380" s="2" t="s">
        <v>74</v>
      </c>
      <c r="I4380" s="2" t="s">
        <v>11681</v>
      </c>
      <c r="J4380" s="3" t="str">
        <f>HYPERLINK("https://www.boe.es/gazeta/dias/1810/08/15/pdfs/GMD-1810-227.pdf#page=4","Abrir facsímil")</f>
        <v>Abrir facsímil</v>
      </c>
      <c r="K4380" s="3" t="s">
        <v>76</v>
      </c>
    </row>
    <row r="4381" spans="1:11" ht="42" customHeight="1">
      <c r="A4381" s="2" t="s">
        <v>11682</v>
      </c>
      <c r="B4381" s="2" t="s">
        <v>11682</v>
      </c>
      <c r="C4381" s="2" t="s">
        <v>26</v>
      </c>
      <c r="D4381" s="2" t="s">
        <v>27</v>
      </c>
      <c r="E4381" s="4">
        <v>-32646</v>
      </c>
      <c r="F4381" s="3" t="s">
        <v>6939</v>
      </c>
      <c r="G4381" s="3" t="s">
        <v>180</v>
      </c>
      <c r="H4381" s="2" t="s">
        <v>74</v>
      </c>
      <c r="I4381" s="2" t="s">
        <v>11683</v>
      </c>
      <c r="J4381" s="3" t="str">
        <f>HYPERLINK("https://www.boe.es/gazeta/dias/1810/08/13/pdfs/GMD-1810-225.pdf#page=1","Abrir facsímil")</f>
        <v>Abrir facsímil</v>
      </c>
      <c r="K4381" s="3" t="s">
        <v>76</v>
      </c>
    </row>
    <row r="4382" spans="1:11" ht="42" customHeight="1">
      <c r="A4382" s="2" t="s">
        <v>11684</v>
      </c>
      <c r="B4382" s="2" t="s">
        <v>11684</v>
      </c>
      <c r="C4382" s="2" t="s">
        <v>88</v>
      </c>
      <c r="D4382" s="2" t="s">
        <v>27</v>
      </c>
      <c r="E4382" s="4">
        <v>-32729</v>
      </c>
      <c r="F4382" s="3" t="s">
        <v>1025</v>
      </c>
      <c r="G4382" s="3" t="s">
        <v>104</v>
      </c>
      <c r="H4382" s="2" t="s">
        <v>74</v>
      </c>
      <c r="I4382" s="2" t="s">
        <v>11685</v>
      </c>
      <c r="J4382" s="3" t="str">
        <f>HYPERLINK("https://www.boe.es/gazeta/dias/1810/05/22/pdfs/GMD-1810-142.pdf#page=3","Abrir facsímil")</f>
        <v>Abrir facsímil</v>
      </c>
      <c r="K4382" s="3" t="s">
        <v>76</v>
      </c>
    </row>
    <row r="4383" spans="1:11" ht="42" customHeight="1">
      <c r="A4383" s="2" t="s">
        <v>11686</v>
      </c>
      <c r="B4383" s="2" t="s">
        <v>11686</v>
      </c>
      <c r="C4383" s="2" t="s">
        <v>88</v>
      </c>
      <c r="D4383" s="2" t="s">
        <v>27</v>
      </c>
      <c r="E4383" s="4">
        <v>-32700</v>
      </c>
      <c r="F4383" s="3" t="s">
        <v>89</v>
      </c>
      <c r="G4383" s="3" t="s">
        <v>29</v>
      </c>
      <c r="H4383" s="2" t="s">
        <v>74</v>
      </c>
      <c r="I4383" s="2" t="s">
        <v>11687</v>
      </c>
      <c r="J4383" s="3" t="str">
        <f>HYPERLINK("https://www.boe.es/gazeta/dias/1810/06/20/pdfs/GMD-1810-171.pdf#page=3","Abrir facsímil")</f>
        <v>Abrir facsímil</v>
      </c>
      <c r="K4383" s="3" t="s">
        <v>76</v>
      </c>
    </row>
    <row r="4384" spans="1:11" ht="42" customHeight="1">
      <c r="A4384" s="2" t="s">
        <v>11688</v>
      </c>
      <c r="B4384" s="2" t="s">
        <v>11688</v>
      </c>
      <c r="C4384" s="2" t="s">
        <v>88</v>
      </c>
      <c r="D4384" s="2" t="s">
        <v>27</v>
      </c>
      <c r="E4384" s="4">
        <v>-32776</v>
      </c>
      <c r="F4384" s="3" t="s">
        <v>752</v>
      </c>
      <c r="G4384" s="3" t="s">
        <v>213</v>
      </c>
      <c r="H4384" s="2" t="s">
        <v>74</v>
      </c>
      <c r="I4384" s="2" t="s">
        <v>11689</v>
      </c>
      <c r="J4384" s="3" t="str">
        <f>HYPERLINK("https://www.boe.es/gazeta/dias/1810/04/05/pdfs/GMD-1810-95.pdf#page=3","Abrir facsímil")</f>
        <v>Abrir facsímil</v>
      </c>
      <c r="K4384" s="3" t="s">
        <v>76</v>
      </c>
    </row>
    <row r="4385" spans="1:11" ht="42" customHeight="1">
      <c r="A4385" s="2" t="s">
        <v>11690</v>
      </c>
      <c r="B4385" s="2" t="s">
        <v>11690</v>
      </c>
      <c r="C4385" s="2" t="s">
        <v>88</v>
      </c>
      <c r="D4385" s="2" t="s">
        <v>117</v>
      </c>
      <c r="E4385" s="4">
        <v>-32512</v>
      </c>
      <c r="F4385" s="3" t="s">
        <v>2731</v>
      </c>
      <c r="G4385" s="3" t="s">
        <v>140</v>
      </c>
      <c r="H4385" s="2" t="s">
        <v>74</v>
      </c>
      <c r="I4385" s="2" t="s">
        <v>11691</v>
      </c>
      <c r="J4385" s="3" t="str">
        <f>HYPERLINK("https://www.boe.es/gazeta/dias/1810/12/25/pdfs/GMD-1810-359.pdf#page=2","Abrir facsímil")</f>
        <v>Abrir facsímil</v>
      </c>
      <c r="K4385" s="3" t="s">
        <v>76</v>
      </c>
    </row>
    <row r="4386" spans="1:11" ht="42" customHeight="1">
      <c r="A4386" s="2" t="s">
        <v>11692</v>
      </c>
      <c r="B4386" s="2" t="s">
        <v>11693</v>
      </c>
      <c r="C4386" s="2" t="s">
        <v>26</v>
      </c>
      <c r="D4386" s="2" t="s">
        <v>39</v>
      </c>
      <c r="E4386" s="4">
        <v>-32701</v>
      </c>
      <c r="F4386" s="3" t="s">
        <v>40</v>
      </c>
      <c r="G4386" s="3" t="s">
        <v>333</v>
      </c>
      <c r="H4386" s="2" t="s">
        <v>74</v>
      </c>
      <c r="I4386" s="2" t="s">
        <v>11694</v>
      </c>
      <c r="J4386" s="3" t="str">
        <f>HYPERLINK("https://www.boe.es/gazeta/dias/1810/06/19/pdfs/GMD-C-1810-170.pdf#page=4","Abrir facsímil")</f>
        <v>Abrir facsímil</v>
      </c>
      <c r="K4386" s="3" t="s">
        <v>76</v>
      </c>
    </row>
    <row r="4387" spans="1:11" ht="42" customHeight="1">
      <c r="A4387" s="2" t="s">
        <v>11695</v>
      </c>
      <c r="B4387" s="2" t="s">
        <v>11696</v>
      </c>
      <c r="C4387" s="2" t="s">
        <v>26</v>
      </c>
      <c r="D4387" s="2" t="s">
        <v>39</v>
      </c>
      <c r="E4387" s="4">
        <v>-32669</v>
      </c>
      <c r="F4387" s="3" t="s">
        <v>1110</v>
      </c>
      <c r="G4387" s="3" t="s">
        <v>29</v>
      </c>
      <c r="H4387" s="2" t="s">
        <v>74</v>
      </c>
      <c r="I4387" s="2" t="s">
        <v>11697</v>
      </c>
      <c r="J4387" s="3" t="str">
        <f>HYPERLINK("https://www.boe.es/gazeta/dias/1810/07/21/pdfs/GMD-C-1810-202.pdf#page=4","Abrir facsímil")</f>
        <v>Abrir facsímil</v>
      </c>
      <c r="K4387" s="3" t="s">
        <v>76</v>
      </c>
    </row>
    <row r="4388" spans="1:11" ht="42" customHeight="1">
      <c r="A4388" s="2" t="s">
        <v>11698</v>
      </c>
      <c r="B4388" s="2" t="s">
        <v>11698</v>
      </c>
      <c r="C4388" s="2" t="s">
        <v>26</v>
      </c>
      <c r="D4388" s="2" t="s">
        <v>27</v>
      </c>
      <c r="E4388" s="4">
        <v>-32826</v>
      </c>
      <c r="F4388" s="3" t="s">
        <v>1252</v>
      </c>
      <c r="G4388" s="3" t="s">
        <v>227</v>
      </c>
      <c r="H4388" s="2" t="s">
        <v>74</v>
      </c>
      <c r="I4388" s="2" t="s">
        <v>11699</v>
      </c>
      <c r="J4388" s="3" t="str">
        <f>HYPERLINK("https://www.boe.es/gazeta/dias/1810/02/14/pdfs/GMD-1810-45.pdf#page=4","Abrir facsímil")</f>
        <v>Abrir facsímil</v>
      </c>
      <c r="K4388" s="3" t="s">
        <v>76</v>
      </c>
    </row>
    <row r="4389" spans="1:11" ht="42" customHeight="1">
      <c r="A4389" s="2" t="s">
        <v>11700</v>
      </c>
      <c r="B4389" s="2" t="s">
        <v>11700</v>
      </c>
      <c r="C4389" s="2" t="s">
        <v>88</v>
      </c>
      <c r="D4389" s="2" t="s">
        <v>27</v>
      </c>
      <c r="E4389" s="4">
        <v>-32854</v>
      </c>
      <c r="F4389" s="3" t="s">
        <v>11701</v>
      </c>
      <c r="G4389" s="3" t="s">
        <v>119</v>
      </c>
      <c r="H4389" s="2" t="s">
        <v>74</v>
      </c>
      <c r="I4389" s="2" t="s">
        <v>11702</v>
      </c>
      <c r="J4389" s="3" t="str">
        <f>HYPERLINK("https://www.boe.es/gazeta/dias/1810/01/17/pdfs/GMD-1810-17.pdf#page=4","Abrir facsímil")</f>
        <v>Abrir facsímil</v>
      </c>
      <c r="K4389" s="3" t="s">
        <v>76</v>
      </c>
    </row>
    <row r="4390" spans="1:11" ht="42" customHeight="1">
      <c r="A4390" s="2" t="s">
        <v>11703</v>
      </c>
      <c r="B4390" s="2" t="s">
        <v>11703</v>
      </c>
      <c r="C4390" s="2" t="s">
        <v>26</v>
      </c>
      <c r="D4390" s="2" t="s">
        <v>27</v>
      </c>
      <c r="E4390" s="4">
        <v>-32757</v>
      </c>
      <c r="F4390" s="3" t="s">
        <v>414</v>
      </c>
      <c r="G4390" s="3" t="s">
        <v>70</v>
      </c>
      <c r="H4390" s="2" t="s">
        <v>74</v>
      </c>
      <c r="I4390" s="2" t="s">
        <v>11704</v>
      </c>
      <c r="J4390" s="3" t="str">
        <f>HYPERLINK("https://www.boe.es/gazeta/dias/1810/04/24/pdfs/GMD-1810-114.pdf#page=3","Abrir facsímil")</f>
        <v>Abrir facsímil</v>
      </c>
      <c r="K4390" s="3" t="s">
        <v>76</v>
      </c>
    </row>
    <row r="4391" spans="1:11" ht="42" customHeight="1">
      <c r="A4391" s="2" t="s">
        <v>11705</v>
      </c>
      <c r="B4391" s="2" t="s">
        <v>11705</v>
      </c>
      <c r="C4391" s="2" t="s">
        <v>26</v>
      </c>
      <c r="D4391" s="2" t="s">
        <v>27</v>
      </c>
      <c r="E4391" s="4">
        <v>-32543</v>
      </c>
      <c r="F4391" s="3" t="s">
        <v>69</v>
      </c>
      <c r="G4391" s="3" t="s">
        <v>84</v>
      </c>
      <c r="H4391" s="2" t="s">
        <v>74</v>
      </c>
      <c r="I4391" s="2" t="s">
        <v>11706</v>
      </c>
      <c r="J4391" s="3" t="str">
        <f>HYPERLINK("https://www.boe.es/gazeta/dias/1810/11/24/pdfs/GEI-1810-99.pdf#page=7","Abrir facsímil")</f>
        <v>Abrir facsímil</v>
      </c>
      <c r="K4391" s="3" t="s">
        <v>76</v>
      </c>
    </row>
    <row r="4392" spans="1:11" ht="42" customHeight="1">
      <c r="A4392" s="2" t="s">
        <v>11707</v>
      </c>
      <c r="B4392" s="2" t="s">
        <v>11708</v>
      </c>
      <c r="C4392" s="2" t="s">
        <v>26</v>
      </c>
      <c r="D4392" s="2" t="s">
        <v>27</v>
      </c>
      <c r="E4392" s="4">
        <v>-32545</v>
      </c>
      <c r="F4392" s="3" t="s">
        <v>165</v>
      </c>
      <c r="G4392" s="3" t="s">
        <v>166</v>
      </c>
      <c r="H4392" s="2" t="s">
        <v>74</v>
      </c>
      <c r="I4392" s="2" t="s">
        <v>11709</v>
      </c>
      <c r="J4392" s="3" t="str">
        <f>HYPERLINK("https://www.boe.es/gazeta/dias/1810/11/22/pdfs/GEI-1810-98.pdf#page=8","Abrir facsímil")</f>
        <v>Abrir facsímil</v>
      </c>
      <c r="K4392" s="3" t="s">
        <v>76</v>
      </c>
    </row>
    <row r="4393" spans="1:11" ht="42" customHeight="1">
      <c r="A4393" s="2" t="s">
        <v>11710</v>
      </c>
      <c r="B4393" s="2" t="s">
        <v>11711</v>
      </c>
      <c r="C4393" s="2" t="s">
        <v>88</v>
      </c>
      <c r="D4393" s="2" t="s">
        <v>117</v>
      </c>
      <c r="E4393" s="4">
        <v>-32676</v>
      </c>
      <c r="F4393" s="3" t="s">
        <v>2863</v>
      </c>
      <c r="G4393" s="3" t="s">
        <v>592</v>
      </c>
      <c r="H4393" s="2" t="s">
        <v>74</v>
      </c>
      <c r="I4393" s="2" t="s">
        <v>11712</v>
      </c>
      <c r="J4393" s="3" t="str">
        <f>HYPERLINK("https://www.boe.es/gazeta/dias/1810/07/14/pdfs/GMD-1810-195.pdf#page=4","Abrir facsímil")</f>
        <v>Abrir facsímil</v>
      </c>
      <c r="K4393" s="3" t="s">
        <v>76</v>
      </c>
    </row>
    <row r="4394" spans="1:11" ht="42" customHeight="1">
      <c r="A4394" s="2" t="s">
        <v>11713</v>
      </c>
      <c r="B4394" s="2" t="s">
        <v>11713</v>
      </c>
      <c r="C4394" s="2" t="s">
        <v>17</v>
      </c>
      <c r="D4394" s="2" t="s">
        <v>39</v>
      </c>
      <c r="E4394" s="4">
        <v>-32635</v>
      </c>
      <c r="F4394" s="3" t="s">
        <v>2674</v>
      </c>
      <c r="G4394" s="3" t="s">
        <v>465</v>
      </c>
      <c r="H4394" s="2" t="s">
        <v>74</v>
      </c>
      <c r="I4394" s="2" t="s">
        <v>11714</v>
      </c>
      <c r="J4394" s="3" t="str">
        <f>HYPERLINK("https://www.boe.es/gazeta/dias/1810/08/24/pdfs/GEI-D-1810-59.pdf#page=7","Abrir facsímil")</f>
        <v>Abrir facsímil</v>
      </c>
      <c r="K4394" s="3" t="s">
        <v>76</v>
      </c>
    </row>
    <row r="4395" spans="1:11" ht="42" customHeight="1">
      <c r="A4395" s="2" t="s">
        <v>11715</v>
      </c>
      <c r="B4395" s="2" t="s">
        <v>11715</v>
      </c>
      <c r="C4395" s="2" t="s">
        <v>26</v>
      </c>
      <c r="D4395" s="2" t="s">
        <v>27</v>
      </c>
      <c r="E4395" s="4">
        <v>-32815</v>
      </c>
      <c r="F4395" s="3" t="s">
        <v>1201</v>
      </c>
      <c r="G4395" s="3" t="s">
        <v>227</v>
      </c>
      <c r="H4395" s="2" t="s">
        <v>74</v>
      </c>
      <c r="I4395" s="2" t="s">
        <v>11716</v>
      </c>
      <c r="J4395" s="3" t="str">
        <f>HYPERLINK("https://www.boe.es/gazeta/dias/1810/02/25/pdfs/GMD-1810-56.pdf#page=4","Abrir facsímil")</f>
        <v>Abrir facsímil</v>
      </c>
      <c r="K4395" s="3" t="s">
        <v>76</v>
      </c>
    </row>
    <row r="4396" spans="1:11" ht="42" customHeight="1">
      <c r="A4396" s="2" t="s">
        <v>11717</v>
      </c>
      <c r="B4396" s="2" t="s">
        <v>11717</v>
      </c>
      <c r="C4396" s="2" t="s">
        <v>225</v>
      </c>
      <c r="D4396" s="2" t="s">
        <v>27</v>
      </c>
      <c r="E4396" s="4">
        <v>-32634</v>
      </c>
      <c r="F4396" s="3" t="s">
        <v>4472</v>
      </c>
      <c r="G4396" s="3" t="s">
        <v>213</v>
      </c>
      <c r="H4396" s="2" t="s">
        <v>74</v>
      </c>
      <c r="I4396" s="2" t="s">
        <v>11718</v>
      </c>
      <c r="J4396" s="3" t="str">
        <f>HYPERLINK("https://www.boe.es/gazeta/dias/1810/08/25/pdfs/GMD-1810-237.pdf#page=2","Abrir facsímil")</f>
        <v>Abrir facsímil</v>
      </c>
      <c r="K4396" s="3" t="s">
        <v>76</v>
      </c>
    </row>
    <row r="4397" spans="1:11" ht="42" customHeight="1">
      <c r="A4397" s="2" t="s">
        <v>11719</v>
      </c>
      <c r="B4397" s="2" t="s">
        <v>11720</v>
      </c>
      <c r="C4397" s="2" t="s">
        <v>26</v>
      </c>
      <c r="D4397" s="2" t="s">
        <v>27</v>
      </c>
      <c r="E4397" s="4">
        <v>-32842</v>
      </c>
      <c r="F4397" s="3" t="s">
        <v>1291</v>
      </c>
      <c r="G4397" s="3" t="s">
        <v>70</v>
      </c>
      <c r="H4397" s="2" t="s">
        <v>74</v>
      </c>
      <c r="I4397" s="2" t="s">
        <v>11721</v>
      </c>
      <c r="J4397" s="3" t="str">
        <f>HYPERLINK("https://www.boe.es/gazeta/dias/1810/01/29/pdfs/GMD-1810-29.pdf#page=4","Abrir facsímil")</f>
        <v>Abrir facsímil</v>
      </c>
      <c r="K4397" s="3" t="s">
        <v>76</v>
      </c>
    </row>
    <row r="4398" spans="1:11" ht="42" customHeight="1">
      <c r="A4398" s="2" t="s">
        <v>11722</v>
      </c>
      <c r="B4398" s="2" t="s">
        <v>11722</v>
      </c>
      <c r="C4398" s="2" t="s">
        <v>26</v>
      </c>
      <c r="D4398" s="2" t="s">
        <v>27</v>
      </c>
      <c r="E4398" s="4">
        <v>-32530</v>
      </c>
      <c r="F4398" s="3" t="s">
        <v>11723</v>
      </c>
      <c r="G4398" s="3" t="s">
        <v>180</v>
      </c>
      <c r="H4398" s="2" t="s">
        <v>74</v>
      </c>
      <c r="I4398" s="2" t="s">
        <v>11724</v>
      </c>
      <c r="J4398" s="3" t="str">
        <f>HYPERLINK("https://www.boe.es/gazeta/dias/1810/12/07/pdfs/GMD-1810-341.pdf#page=1","Abrir facsímil")</f>
        <v>Abrir facsímil</v>
      </c>
      <c r="K4398" s="3" t="s">
        <v>76</v>
      </c>
    </row>
    <row r="4399" spans="1:11" ht="42" customHeight="1">
      <c r="A4399" s="2" t="s">
        <v>11725</v>
      </c>
      <c r="B4399" s="2" t="s">
        <v>11725</v>
      </c>
      <c r="C4399" s="2" t="s">
        <v>33</v>
      </c>
      <c r="D4399" s="2" t="s">
        <v>27</v>
      </c>
      <c r="E4399" s="4">
        <v>-32710</v>
      </c>
      <c r="F4399" s="3" t="s">
        <v>126</v>
      </c>
      <c r="G4399" s="3" t="s">
        <v>184</v>
      </c>
      <c r="H4399" s="2" t="s">
        <v>74</v>
      </c>
      <c r="I4399" s="2" t="s">
        <v>11726</v>
      </c>
      <c r="J4399" s="3" t="str">
        <f>HYPERLINK("https://www.boe.es/gazeta/dias/1810/06/10/pdfs/GMD-1810-161.pdf#page=3","Abrir facsímil")</f>
        <v>Abrir facsímil</v>
      </c>
      <c r="K4399" s="3" t="s">
        <v>76</v>
      </c>
    </row>
    <row r="4400" spans="1:11" ht="42" customHeight="1">
      <c r="A4400" s="2" t="s">
        <v>11727</v>
      </c>
      <c r="B4400" s="2" t="s">
        <v>11728</v>
      </c>
      <c r="C4400" s="2" t="s">
        <v>88</v>
      </c>
      <c r="D4400" s="2" t="s">
        <v>220</v>
      </c>
      <c r="E4400" s="4">
        <v>-32621</v>
      </c>
      <c r="F4400" s="3" t="s">
        <v>6491</v>
      </c>
      <c r="G4400" s="3" t="s">
        <v>6492</v>
      </c>
      <c r="H4400" s="2" t="s">
        <v>74</v>
      </c>
      <c r="I4400" s="2" t="s">
        <v>11729</v>
      </c>
      <c r="J4400" s="3" t="str">
        <f>HYPERLINK("https://www.boe.es/gazeta/dias/1810/09/07/pdfs/GEI-D-1810-65.pdf#page=4","Abrir facsímil")</f>
        <v>Abrir facsímil</v>
      </c>
      <c r="K4400" s="3" t="s">
        <v>76</v>
      </c>
    </row>
    <row r="4401" spans="1:11" ht="42" customHeight="1">
      <c r="A4401" s="2" t="s">
        <v>11730</v>
      </c>
      <c r="B4401" s="2" t="s">
        <v>11731</v>
      </c>
      <c r="C4401" s="2" t="s">
        <v>26</v>
      </c>
      <c r="D4401" s="2" t="s">
        <v>27</v>
      </c>
      <c r="E4401" s="4">
        <v>-32654</v>
      </c>
      <c r="F4401" s="3" t="s">
        <v>1226</v>
      </c>
      <c r="G4401" s="3" t="s">
        <v>732</v>
      </c>
      <c r="H4401" s="2" t="s">
        <v>74</v>
      </c>
      <c r="I4401" s="2" t="s">
        <v>11732</v>
      </c>
      <c r="J4401" s="3" t="str">
        <f>HYPERLINK("https://www.boe.es/gazeta/dias/1810/08/05/pdfs/GMD-1810-217.pdf#page=3","Abrir facsímil")</f>
        <v>Abrir facsímil</v>
      </c>
      <c r="K4401" s="3" t="s">
        <v>76</v>
      </c>
    </row>
    <row r="4402" spans="1:11" ht="42" customHeight="1">
      <c r="A4402" s="2" t="s">
        <v>11733</v>
      </c>
      <c r="B4402" s="2" t="s">
        <v>11734</v>
      </c>
      <c r="C4402" s="2" t="s">
        <v>26</v>
      </c>
      <c r="D4402" s="2" t="s">
        <v>39</v>
      </c>
      <c r="E4402" s="4">
        <v>-32702</v>
      </c>
      <c r="F4402" s="3" t="s">
        <v>179</v>
      </c>
      <c r="G4402" s="3" t="s">
        <v>213</v>
      </c>
      <c r="H4402" s="2" t="s">
        <v>21</v>
      </c>
      <c r="I4402" s="2" t="s">
        <v>11735</v>
      </c>
      <c r="J4402" s="3" t="str">
        <f>HYPERLINK("https://www.boe.es/gazeta/dias/1810/06/18/pdfs/GMD-C-1810-169.pdf#page=4","Abrir facsímil")</f>
        <v>Abrir facsímil</v>
      </c>
      <c r="K4402" s="3" t="s">
        <v>23</v>
      </c>
    </row>
    <row r="4403" spans="1:11" ht="42" customHeight="1">
      <c r="A4403" s="2" t="s">
        <v>11736</v>
      </c>
      <c r="B4403" s="2" t="s">
        <v>11736</v>
      </c>
      <c r="C4403" s="2" t="s">
        <v>88</v>
      </c>
      <c r="D4403" s="2" t="s">
        <v>27</v>
      </c>
      <c r="E4403" s="4">
        <v>-32763</v>
      </c>
      <c r="F4403" s="3" t="s">
        <v>1146</v>
      </c>
      <c r="G4403" s="3" t="s">
        <v>20</v>
      </c>
      <c r="H4403" s="2" t="s">
        <v>74</v>
      </c>
      <c r="I4403" s="2" t="s">
        <v>11737</v>
      </c>
      <c r="J4403" s="3" t="str">
        <f>HYPERLINK("https://www.boe.es/gazeta/dias/1810/04/18/pdfs/GMD-1810-108.pdf#page=4","Abrir facsímil")</f>
        <v>Abrir facsímil</v>
      </c>
      <c r="K4403" s="3" t="s">
        <v>76</v>
      </c>
    </row>
    <row r="4404" spans="1:11" ht="42" customHeight="1">
      <c r="A4404" s="2" t="s">
        <v>11736</v>
      </c>
      <c r="B4404" s="2" t="s">
        <v>11736</v>
      </c>
      <c r="C4404" s="2" t="s">
        <v>88</v>
      </c>
      <c r="D4404" s="2" t="s">
        <v>27</v>
      </c>
      <c r="E4404" s="4">
        <v>-32762</v>
      </c>
      <c r="F4404" s="3" t="s">
        <v>231</v>
      </c>
      <c r="G4404" s="3" t="s">
        <v>140</v>
      </c>
      <c r="H4404" s="2" t="s">
        <v>74</v>
      </c>
      <c r="I4404" s="2" t="s">
        <v>11738</v>
      </c>
      <c r="J4404" s="3" t="str">
        <f>HYPERLINK("https://www.boe.es/gazeta/dias/1810/04/19/pdfs/GMD-1810-109.pdf#page=3","Abrir facsímil")</f>
        <v>Abrir facsímil</v>
      </c>
      <c r="K4404" s="3" t="s">
        <v>76</v>
      </c>
    </row>
    <row r="4405" spans="1:11" ht="42" customHeight="1">
      <c r="A4405" s="2" t="s">
        <v>11736</v>
      </c>
      <c r="B4405" s="2" t="s">
        <v>11736</v>
      </c>
      <c r="C4405" s="2" t="s">
        <v>33</v>
      </c>
      <c r="D4405" s="2" t="s">
        <v>27</v>
      </c>
      <c r="E4405" s="4">
        <v>-32754</v>
      </c>
      <c r="F4405" s="3" t="s">
        <v>34</v>
      </c>
      <c r="G4405" s="3" t="s">
        <v>35</v>
      </c>
      <c r="H4405" s="2" t="s">
        <v>74</v>
      </c>
      <c r="I4405" s="2" t="s">
        <v>11739</v>
      </c>
      <c r="J4405" s="3" t="str">
        <f>HYPERLINK("https://www.boe.es/gazeta/dias/1810/04/27/pdfs/GMD-1810-117.pdf#page=2","Abrir facsímil")</f>
        <v>Abrir facsímil</v>
      </c>
      <c r="K4405" s="3" t="s">
        <v>76</v>
      </c>
    </row>
    <row r="4406" spans="1:11" ht="42" customHeight="1">
      <c r="A4406" s="2" t="s">
        <v>11736</v>
      </c>
      <c r="B4406" s="2" t="s">
        <v>11736</v>
      </c>
      <c r="C4406" s="2" t="s">
        <v>88</v>
      </c>
      <c r="D4406" s="2" t="s">
        <v>27</v>
      </c>
      <c r="E4406" s="4">
        <v>-32754</v>
      </c>
      <c r="F4406" s="3" t="s">
        <v>1057</v>
      </c>
      <c r="G4406" s="3" t="s">
        <v>1477</v>
      </c>
      <c r="H4406" s="2" t="s">
        <v>74</v>
      </c>
      <c r="I4406" s="2" t="s">
        <v>11740</v>
      </c>
      <c r="J4406" s="3" t="str">
        <f>HYPERLINK("https://www.boe.es/gazeta/dias/1810/04/27/pdfs/GEI-1810-18.pdf#page=5","Abrir facsímil")</f>
        <v>Abrir facsímil</v>
      </c>
      <c r="K4406" s="3" t="s">
        <v>76</v>
      </c>
    </row>
    <row r="4407" spans="1:11" ht="42" customHeight="1">
      <c r="A4407" s="2" t="s">
        <v>11736</v>
      </c>
      <c r="B4407" s="2" t="s">
        <v>11736</v>
      </c>
      <c r="C4407" s="2" t="s">
        <v>26</v>
      </c>
      <c r="D4407" s="2" t="s">
        <v>27</v>
      </c>
      <c r="E4407" s="4">
        <v>-32719</v>
      </c>
      <c r="F4407" s="3" t="s">
        <v>5543</v>
      </c>
      <c r="G4407" s="3" t="s">
        <v>1616</v>
      </c>
      <c r="H4407" s="2" t="s">
        <v>74</v>
      </c>
      <c r="I4407" s="2" t="s">
        <v>11741</v>
      </c>
      <c r="J4407" s="3" t="str">
        <f>HYPERLINK("https://www.boe.es/gazeta/dias/1810/06/01/pdfs/GEI-1810-32.pdf#page=8","Abrir facsímil")</f>
        <v>Abrir facsímil</v>
      </c>
      <c r="K4407" s="3" t="s">
        <v>76</v>
      </c>
    </row>
    <row r="4408" spans="1:11" ht="42" customHeight="1">
      <c r="A4408" s="2" t="s">
        <v>11736</v>
      </c>
      <c r="B4408" s="2" t="s">
        <v>11736</v>
      </c>
      <c r="C4408" s="2" t="s">
        <v>26</v>
      </c>
      <c r="D4408" s="2" t="s">
        <v>27</v>
      </c>
      <c r="E4408" s="4">
        <v>-32689</v>
      </c>
      <c r="F4408" s="3" t="s">
        <v>571</v>
      </c>
      <c r="G4408" s="3" t="s">
        <v>140</v>
      </c>
      <c r="H4408" s="2" t="s">
        <v>74</v>
      </c>
      <c r="I4408" s="2" t="s">
        <v>11742</v>
      </c>
      <c r="J4408" s="3" t="str">
        <f>HYPERLINK("https://www.boe.es/gazeta/dias/1810/07/01/pdfs/GMD-1810-182.pdf#page=4","Abrir facsímil")</f>
        <v>Abrir facsímil</v>
      </c>
      <c r="K4408" s="3" t="s">
        <v>76</v>
      </c>
    </row>
    <row r="4409" spans="1:11" ht="42" customHeight="1">
      <c r="A4409" s="2" t="s">
        <v>11736</v>
      </c>
      <c r="B4409" s="2" t="s">
        <v>11736</v>
      </c>
      <c r="C4409" s="2" t="s">
        <v>26</v>
      </c>
      <c r="D4409" s="2" t="s">
        <v>39</v>
      </c>
      <c r="E4409" s="4">
        <v>-32684</v>
      </c>
      <c r="F4409" s="3" t="s">
        <v>372</v>
      </c>
      <c r="G4409" s="3" t="s">
        <v>373</v>
      </c>
      <c r="H4409" s="2" t="s">
        <v>74</v>
      </c>
      <c r="I4409" s="2" t="s">
        <v>11743</v>
      </c>
      <c r="J4409" s="3" t="str">
        <f>HYPERLINK("https://www.boe.es/gazeta/dias/1810/07/06/pdfs/GEI-D-1810-42.pdf#page=8","Abrir facsímil")</f>
        <v>Abrir facsímil</v>
      </c>
      <c r="K4409" s="3" t="s">
        <v>76</v>
      </c>
    </row>
    <row r="4410" spans="1:11" ht="42" customHeight="1">
      <c r="A4410" s="2" t="s">
        <v>11736</v>
      </c>
      <c r="B4410" s="2" t="s">
        <v>11736</v>
      </c>
      <c r="C4410" s="2" t="s">
        <v>26</v>
      </c>
      <c r="D4410" s="2" t="s">
        <v>18</v>
      </c>
      <c r="E4410" s="4">
        <v>-32676</v>
      </c>
      <c r="F4410" s="3" t="s">
        <v>2863</v>
      </c>
      <c r="G4410" s="3" t="s">
        <v>592</v>
      </c>
      <c r="H4410" s="2" t="s">
        <v>74</v>
      </c>
      <c r="I4410" s="2" t="s">
        <v>11744</v>
      </c>
      <c r="J4410" s="3" t="str">
        <f>HYPERLINK("https://www.boe.es/gazeta/dias/1810/07/14/pdfs/GMD-1810-195.pdf#page=4","Abrir facsímil")</f>
        <v>Abrir facsímil</v>
      </c>
      <c r="K4410" s="3" t="s">
        <v>76</v>
      </c>
    </row>
    <row r="4411" spans="1:11" ht="42" customHeight="1">
      <c r="A4411" s="2" t="s">
        <v>11736</v>
      </c>
      <c r="B4411" s="2" t="s">
        <v>11736</v>
      </c>
      <c r="C4411" s="2" t="s">
        <v>317</v>
      </c>
      <c r="D4411" s="2" t="s">
        <v>39</v>
      </c>
      <c r="E4411" s="4">
        <v>-32669</v>
      </c>
      <c r="F4411" s="3" t="s">
        <v>1110</v>
      </c>
      <c r="G4411" s="3" t="s">
        <v>213</v>
      </c>
      <c r="H4411" s="2" t="s">
        <v>74</v>
      </c>
      <c r="I4411" s="2" t="s">
        <v>11745</v>
      </c>
      <c r="J4411" s="3" t="str">
        <f>HYPERLINK("https://www.boe.es/gazeta/dias/1810/07/21/pdfs/GMD-C-1810-202.pdf#page=1","Abrir facsímil")</f>
        <v>Abrir facsímil</v>
      </c>
      <c r="K4411" s="3" t="s">
        <v>76</v>
      </c>
    </row>
    <row r="4412" spans="1:11" ht="42" customHeight="1">
      <c r="A4412" s="2" t="s">
        <v>11736</v>
      </c>
      <c r="B4412" s="2" t="s">
        <v>11736</v>
      </c>
      <c r="C4412" s="2" t="s">
        <v>88</v>
      </c>
      <c r="D4412" s="2" t="s">
        <v>27</v>
      </c>
      <c r="E4412" s="4">
        <v>-32544</v>
      </c>
      <c r="F4412" s="3" t="s">
        <v>1239</v>
      </c>
      <c r="G4412" s="3" t="s">
        <v>99</v>
      </c>
      <c r="H4412" s="2" t="s">
        <v>74</v>
      </c>
      <c r="I4412" s="2" t="s">
        <v>11746</v>
      </c>
      <c r="J4412" s="3" t="str">
        <f>HYPERLINK("https://www.boe.es/gazeta/dias/1810/11/23/pdfs/GMD-1810-327.pdf#page=3","Abrir facsímil")</f>
        <v>Abrir facsímil</v>
      </c>
      <c r="K4412" s="3" t="s">
        <v>76</v>
      </c>
    </row>
    <row r="4413" spans="1:11" ht="42" customHeight="1">
      <c r="A4413" s="2" t="s">
        <v>11747</v>
      </c>
      <c r="B4413" s="2" t="s">
        <v>11748</v>
      </c>
      <c r="C4413" s="2" t="s">
        <v>317</v>
      </c>
      <c r="D4413" s="2" t="s">
        <v>27</v>
      </c>
      <c r="E4413" s="4">
        <v>-32827</v>
      </c>
      <c r="F4413" s="3" t="s">
        <v>290</v>
      </c>
      <c r="G4413" s="3" t="s">
        <v>291</v>
      </c>
      <c r="H4413" s="2" t="s">
        <v>74</v>
      </c>
      <c r="I4413" s="2" t="s">
        <v>11749</v>
      </c>
      <c r="J4413" s="3" t="str">
        <f>HYPERLINK("https://www.boe.es/gazeta/dias/1810/02/13/pdfs/GMD-1810-44.pdf#page=4","Abrir facsímil")</f>
        <v>Abrir facsímil</v>
      </c>
      <c r="K4413" s="3" t="s">
        <v>76</v>
      </c>
    </row>
    <row r="4414" spans="1:11" ht="42" customHeight="1">
      <c r="A4414" s="2" t="s">
        <v>11750</v>
      </c>
      <c r="B4414" s="2" t="s">
        <v>11750</v>
      </c>
      <c r="C4414" s="2" t="s">
        <v>88</v>
      </c>
      <c r="D4414" s="2" t="s">
        <v>27</v>
      </c>
      <c r="E4414" s="4">
        <v>-32861</v>
      </c>
      <c r="F4414" s="3" t="s">
        <v>796</v>
      </c>
      <c r="G4414" s="3" t="s">
        <v>29</v>
      </c>
      <c r="H4414" s="2" t="s">
        <v>74</v>
      </c>
      <c r="I4414" s="2" t="s">
        <v>11751</v>
      </c>
      <c r="J4414" s="3" t="str">
        <f>HYPERLINK("https://www.boe.es/gazeta/dias/1810/01/10/pdfs/GMD-1810-10.pdf#page=2","Abrir facsímil")</f>
        <v>Abrir facsímil</v>
      </c>
      <c r="K4414" s="3" t="s">
        <v>76</v>
      </c>
    </row>
    <row r="4415" spans="1:11" ht="42" customHeight="1">
      <c r="A4415" s="2" t="s">
        <v>11750</v>
      </c>
      <c r="B4415" s="2" t="s">
        <v>11750</v>
      </c>
      <c r="C4415" s="2" t="s">
        <v>195</v>
      </c>
      <c r="D4415" s="2" t="s">
        <v>27</v>
      </c>
      <c r="E4415" s="4">
        <v>-32784</v>
      </c>
      <c r="F4415" s="3" t="s">
        <v>429</v>
      </c>
      <c r="G4415" s="3" t="s">
        <v>1821</v>
      </c>
      <c r="H4415" s="2" t="s">
        <v>74</v>
      </c>
      <c r="I4415" s="2" t="s">
        <v>11752</v>
      </c>
      <c r="J4415" s="3" t="str">
        <f>HYPERLINK("https://www.boe.es/gazeta/dias/1810/03/28/pdfs/GMD-1810-87.pdf#page=4","Abrir facsímil")</f>
        <v>Abrir facsímil</v>
      </c>
      <c r="K4415" s="3" t="s">
        <v>76</v>
      </c>
    </row>
    <row r="4416" spans="1:11" ht="42" customHeight="1">
      <c r="A4416" s="2" t="s">
        <v>11750</v>
      </c>
      <c r="B4416" s="2" t="s">
        <v>11750</v>
      </c>
      <c r="C4416" s="2" t="s">
        <v>26</v>
      </c>
      <c r="D4416" s="2" t="s">
        <v>27</v>
      </c>
      <c r="E4416" s="4">
        <v>-32729</v>
      </c>
      <c r="F4416" s="3" t="s">
        <v>174</v>
      </c>
      <c r="G4416" s="3" t="s">
        <v>70</v>
      </c>
      <c r="H4416" s="2" t="s">
        <v>74</v>
      </c>
      <c r="I4416" s="2" t="s">
        <v>11753</v>
      </c>
      <c r="J4416" s="3" t="str">
        <f>HYPERLINK("https://www.boe.es/gazeta/dias/1810/05/22/pdfs/GEI-1810-28.pdf#page=7","Abrir facsímil")</f>
        <v>Abrir facsímil</v>
      </c>
      <c r="K4416" s="3" t="s">
        <v>76</v>
      </c>
    </row>
    <row r="4417" spans="1:11" ht="42" customHeight="1">
      <c r="A4417" s="2" t="s">
        <v>11750</v>
      </c>
      <c r="B4417" s="2" t="s">
        <v>11750</v>
      </c>
      <c r="C4417" s="2" t="s">
        <v>33</v>
      </c>
      <c r="D4417" s="2" t="s">
        <v>220</v>
      </c>
      <c r="E4417" s="4">
        <v>-32559</v>
      </c>
      <c r="F4417" s="3" t="s">
        <v>2260</v>
      </c>
      <c r="G4417" s="3" t="s">
        <v>2261</v>
      </c>
      <c r="H4417" s="2" t="s">
        <v>74</v>
      </c>
      <c r="I4417" s="2" t="s">
        <v>11754</v>
      </c>
      <c r="J4417" s="3" t="str">
        <f>HYPERLINK("https://www.boe.es/gazeta/dias/1810/11/08/pdfs/GMD-1810-312.pdf#page=3","Abrir facsímil")</f>
        <v>Abrir facsímil</v>
      </c>
      <c r="K4417" s="3" t="s">
        <v>76</v>
      </c>
    </row>
    <row r="4418" spans="1:11" ht="42" customHeight="1">
      <c r="A4418" s="2" t="s">
        <v>11750</v>
      </c>
      <c r="B4418" s="2" t="s">
        <v>11750</v>
      </c>
      <c r="C4418" s="2" t="s">
        <v>33</v>
      </c>
      <c r="D4418" s="2" t="s">
        <v>27</v>
      </c>
      <c r="E4418" s="4">
        <v>-32543</v>
      </c>
      <c r="F4418" s="3" t="s">
        <v>69</v>
      </c>
      <c r="G4418" s="3" t="s">
        <v>84</v>
      </c>
      <c r="H4418" s="2" t="s">
        <v>74</v>
      </c>
      <c r="I4418" s="2" t="s">
        <v>11755</v>
      </c>
      <c r="J4418" s="3" t="str">
        <f>HYPERLINK("https://www.boe.es/gazeta/dias/1810/11/24/pdfs/GEI-1810-99.pdf#page=7","Abrir facsímil")</f>
        <v>Abrir facsímil</v>
      </c>
      <c r="K4418" s="3" t="s">
        <v>76</v>
      </c>
    </row>
    <row r="4419" spans="1:11" ht="42" customHeight="1">
      <c r="A4419" s="2" t="s">
        <v>11756</v>
      </c>
      <c r="B4419" s="2" t="s">
        <v>11757</v>
      </c>
      <c r="C4419" s="2" t="s">
        <v>88</v>
      </c>
      <c r="D4419" s="2" t="s">
        <v>27</v>
      </c>
      <c r="E4419" s="4">
        <v>-32798</v>
      </c>
      <c r="F4419" s="3" t="s">
        <v>2002</v>
      </c>
      <c r="G4419" s="3" t="s">
        <v>90</v>
      </c>
      <c r="H4419" s="2" t="s">
        <v>74</v>
      </c>
      <c r="I4419" s="2" t="s">
        <v>11758</v>
      </c>
      <c r="J4419" s="3" t="str">
        <f>HYPERLINK("https://www.boe.es/gazeta/dias/1810/03/14/pdfs/GMD-1810-73.pdf#page=4","Abrir facsímil")</f>
        <v>Abrir facsímil</v>
      </c>
      <c r="K4419" s="3" t="s">
        <v>76</v>
      </c>
    </row>
    <row r="4420" spans="1:11" ht="42" customHeight="1">
      <c r="A4420" s="2" t="s">
        <v>11759</v>
      </c>
      <c r="B4420" s="2" t="s">
        <v>11759</v>
      </c>
      <c r="C4420" s="2" t="s">
        <v>26</v>
      </c>
      <c r="D4420" s="2" t="s">
        <v>27</v>
      </c>
      <c r="E4420" s="4">
        <v>-32861</v>
      </c>
      <c r="F4420" s="3" t="s">
        <v>796</v>
      </c>
      <c r="G4420" s="3" t="s">
        <v>29</v>
      </c>
      <c r="H4420" s="2" t="s">
        <v>74</v>
      </c>
      <c r="I4420" s="2" t="s">
        <v>11760</v>
      </c>
      <c r="J4420" s="3" t="str">
        <f>HYPERLINK("https://www.boe.es/gazeta/dias/1810/01/10/pdfs/GMD-1810-10.pdf#page=2","Abrir facsímil")</f>
        <v>Abrir facsímil</v>
      </c>
      <c r="K4420" s="3" t="s">
        <v>76</v>
      </c>
    </row>
    <row r="4421" spans="1:11" ht="42" customHeight="1">
      <c r="A4421" s="2" t="s">
        <v>11759</v>
      </c>
      <c r="B4421" s="2" t="s">
        <v>11759</v>
      </c>
      <c r="C4421" s="2" t="s">
        <v>26</v>
      </c>
      <c r="D4421" s="2" t="s">
        <v>27</v>
      </c>
      <c r="E4421" s="4">
        <v>-32861</v>
      </c>
      <c r="F4421" s="3" t="s">
        <v>796</v>
      </c>
      <c r="G4421" s="3" t="s">
        <v>99</v>
      </c>
      <c r="H4421" s="2" t="s">
        <v>74</v>
      </c>
      <c r="I4421" s="2" t="s">
        <v>11761</v>
      </c>
      <c r="J4421" s="3" t="str">
        <f>HYPERLINK("https://www.boe.es/gazeta/dias/1810/01/10/pdfs/GMD-1810-10.pdf#page=3","Abrir facsímil")</f>
        <v>Abrir facsímil</v>
      </c>
      <c r="K4421" s="3" t="s">
        <v>76</v>
      </c>
    </row>
    <row r="4422" spans="1:11" ht="42" customHeight="1">
      <c r="A4422" s="2" t="s">
        <v>11759</v>
      </c>
      <c r="B4422" s="2" t="s">
        <v>11759</v>
      </c>
      <c r="C4422" s="2" t="s">
        <v>88</v>
      </c>
      <c r="D4422" s="2" t="s">
        <v>27</v>
      </c>
      <c r="E4422" s="4">
        <v>-32784</v>
      </c>
      <c r="F4422" s="3" t="s">
        <v>429</v>
      </c>
      <c r="G4422" s="3" t="s">
        <v>131</v>
      </c>
      <c r="H4422" s="2" t="s">
        <v>74</v>
      </c>
      <c r="I4422" s="2" t="s">
        <v>11762</v>
      </c>
      <c r="J4422" s="3" t="str">
        <f>HYPERLINK("https://www.boe.es/gazeta/dias/1810/03/28/pdfs/GMD-1810-87.pdf#page=3","Abrir facsímil")</f>
        <v>Abrir facsímil</v>
      </c>
      <c r="K4422" s="3" t="s">
        <v>76</v>
      </c>
    </row>
    <row r="4423" spans="1:11" ht="42" customHeight="1">
      <c r="A4423" s="2" t="s">
        <v>11759</v>
      </c>
      <c r="B4423" s="2" t="s">
        <v>11759</v>
      </c>
      <c r="C4423" s="2" t="s">
        <v>33</v>
      </c>
      <c r="D4423" s="2" t="s">
        <v>18</v>
      </c>
      <c r="E4423" s="4">
        <v>-32734</v>
      </c>
      <c r="F4423" s="3" t="s">
        <v>19</v>
      </c>
      <c r="G4423" s="3" t="s">
        <v>20</v>
      </c>
      <c r="H4423" s="2" t="s">
        <v>74</v>
      </c>
      <c r="I4423" s="2" t="s">
        <v>11763</v>
      </c>
      <c r="J4423" s="3" t="str">
        <f>HYPERLINK("https://www.boe.es/gazeta/dias/1810/05/17/pdfs/GMD-1810-137.pdf#page=4","Abrir facsímil")</f>
        <v>Abrir facsímil</v>
      </c>
      <c r="K4423" s="3" t="s">
        <v>76</v>
      </c>
    </row>
    <row r="4424" spans="1:11" ht="42" customHeight="1">
      <c r="A4424" s="2" t="s">
        <v>11759</v>
      </c>
      <c r="B4424" s="2" t="s">
        <v>11759</v>
      </c>
      <c r="C4424" s="2" t="s">
        <v>26</v>
      </c>
      <c r="D4424" s="2" t="s">
        <v>27</v>
      </c>
      <c r="E4424" s="4">
        <v>-32710</v>
      </c>
      <c r="F4424" s="3" t="s">
        <v>126</v>
      </c>
      <c r="G4424" s="3" t="s">
        <v>35</v>
      </c>
      <c r="H4424" s="2" t="s">
        <v>74</v>
      </c>
      <c r="I4424" s="2" t="s">
        <v>11764</v>
      </c>
      <c r="J4424" s="3" t="str">
        <f>HYPERLINK("https://www.boe.es/gazeta/dias/1810/06/10/pdfs/GMD-1810-161.pdf#page=2","Abrir facsímil")</f>
        <v>Abrir facsímil</v>
      </c>
      <c r="K4424" s="3" t="s">
        <v>76</v>
      </c>
    </row>
    <row r="4425" spans="1:11" ht="42" customHeight="1">
      <c r="A4425" s="2" t="s">
        <v>11759</v>
      </c>
      <c r="B4425" s="2" t="s">
        <v>11759</v>
      </c>
      <c r="C4425" s="2" t="s">
        <v>26</v>
      </c>
      <c r="D4425" s="2" t="s">
        <v>39</v>
      </c>
      <c r="E4425" s="4">
        <v>-32702</v>
      </c>
      <c r="F4425" s="3" t="s">
        <v>179</v>
      </c>
      <c r="G4425" s="3" t="s">
        <v>213</v>
      </c>
      <c r="H4425" s="2" t="s">
        <v>74</v>
      </c>
      <c r="I4425" s="2" t="s">
        <v>11765</v>
      </c>
      <c r="J4425" s="3" t="str">
        <f>HYPERLINK("https://www.boe.es/gazeta/dias/1810/06/18/pdfs/GMD-C-1810-169.pdf#page=4","Abrir facsímil")</f>
        <v>Abrir facsímil</v>
      </c>
      <c r="K4425" s="3" t="s">
        <v>76</v>
      </c>
    </row>
    <row r="4426" spans="1:11" ht="42" customHeight="1">
      <c r="A4426" s="2" t="s">
        <v>11766</v>
      </c>
      <c r="B4426" s="2" t="s">
        <v>11766</v>
      </c>
      <c r="C4426" s="2" t="s">
        <v>26</v>
      </c>
      <c r="D4426" s="2" t="s">
        <v>39</v>
      </c>
      <c r="E4426" s="4">
        <v>-32701</v>
      </c>
      <c r="F4426" s="3" t="s">
        <v>40</v>
      </c>
      <c r="G4426" s="3" t="s">
        <v>170</v>
      </c>
      <c r="H4426" s="2" t="s">
        <v>74</v>
      </c>
      <c r="I4426" s="2" t="s">
        <v>11767</v>
      </c>
      <c r="J4426" s="3" t="str">
        <f>HYPERLINK("https://www.boe.es/gazeta/dias/1810/06/19/pdfs/GMD-C-1810-170.pdf#page=1","Abrir facsímil")</f>
        <v>Abrir facsímil</v>
      </c>
      <c r="K4426" s="3" t="s">
        <v>76</v>
      </c>
    </row>
    <row r="4427" spans="1:11" ht="42" customHeight="1">
      <c r="A4427" s="2" t="s">
        <v>11759</v>
      </c>
      <c r="B4427" s="2" t="s">
        <v>11759</v>
      </c>
      <c r="C4427" s="2" t="s">
        <v>26</v>
      </c>
      <c r="D4427" s="2" t="s">
        <v>27</v>
      </c>
      <c r="E4427" s="4">
        <v>-32649</v>
      </c>
      <c r="F4427" s="3" t="s">
        <v>190</v>
      </c>
      <c r="G4427" s="3" t="s">
        <v>191</v>
      </c>
      <c r="H4427" s="2" t="s">
        <v>74</v>
      </c>
      <c r="I4427" s="2" t="s">
        <v>11768</v>
      </c>
      <c r="J4427" s="3" t="str">
        <f>HYPERLINK("https://www.boe.es/gazeta/dias/1810/08/10/pdfs/GEI-1810-54.pdf#page=2","Abrir facsímil")</f>
        <v>Abrir facsímil</v>
      </c>
      <c r="K4427" s="3" t="s">
        <v>76</v>
      </c>
    </row>
    <row r="4428" spans="1:11" ht="42" customHeight="1">
      <c r="A4428" s="2" t="s">
        <v>11759</v>
      </c>
      <c r="B4428" s="2" t="s">
        <v>11759</v>
      </c>
      <c r="C4428" s="2" t="s">
        <v>26</v>
      </c>
      <c r="D4428" s="2" t="s">
        <v>27</v>
      </c>
      <c r="E4428" s="4">
        <v>-32595</v>
      </c>
      <c r="F4428" s="3" t="s">
        <v>700</v>
      </c>
      <c r="G4428" s="3" t="s">
        <v>29</v>
      </c>
      <c r="H4428" s="2" t="s">
        <v>74</v>
      </c>
      <c r="I4428" s="2" t="s">
        <v>11769</v>
      </c>
      <c r="J4428" s="3" t="str">
        <f>HYPERLINK("https://www.boe.es/gazeta/dias/1810/10/03/pdfs/GMD-1810-276.pdf#page=4","Abrir facsímil")</f>
        <v>Abrir facsímil</v>
      </c>
      <c r="K4428" s="3" t="s">
        <v>76</v>
      </c>
    </row>
    <row r="4429" spans="1:11" ht="42" customHeight="1">
      <c r="A4429" s="2" t="s">
        <v>11759</v>
      </c>
      <c r="B4429" s="2" t="s">
        <v>11759</v>
      </c>
      <c r="C4429" s="2" t="s">
        <v>88</v>
      </c>
      <c r="D4429" s="2" t="s">
        <v>27</v>
      </c>
      <c r="E4429" s="4">
        <v>-32566</v>
      </c>
      <c r="F4429" s="3" t="s">
        <v>405</v>
      </c>
      <c r="G4429" s="3" t="s">
        <v>469</v>
      </c>
      <c r="H4429" s="2" t="s">
        <v>74</v>
      </c>
      <c r="I4429" s="2" t="s">
        <v>11770</v>
      </c>
      <c r="J4429" s="3" t="str">
        <f>HYPERLINK("https://www.boe.es/gazeta/dias/1810/11/01/pdfs/GMD-1810-305.pdf#page=2","Abrir facsímil")</f>
        <v>Abrir facsímil</v>
      </c>
      <c r="K4429" s="3" t="s">
        <v>76</v>
      </c>
    </row>
    <row r="4430" spans="1:11" ht="42" customHeight="1">
      <c r="A4430" s="2" t="s">
        <v>11759</v>
      </c>
      <c r="B4430" s="2" t="s">
        <v>11759</v>
      </c>
      <c r="C4430" s="2" t="s">
        <v>88</v>
      </c>
      <c r="D4430" s="2" t="s">
        <v>27</v>
      </c>
      <c r="E4430" s="4">
        <v>-32566</v>
      </c>
      <c r="F4430" s="3" t="s">
        <v>405</v>
      </c>
      <c r="G4430" s="3" t="s">
        <v>99</v>
      </c>
      <c r="H4430" s="2" t="s">
        <v>74</v>
      </c>
      <c r="I4430" s="2" t="s">
        <v>11771</v>
      </c>
      <c r="J4430" s="3" t="str">
        <f>HYPERLINK("https://www.boe.es/gazeta/dias/1810/11/01/pdfs/GMD-1810-305.pdf#page=3","Abrir facsímil")</f>
        <v>Abrir facsímil</v>
      </c>
      <c r="K4430" s="3" t="s">
        <v>76</v>
      </c>
    </row>
    <row r="4431" spans="1:11" ht="42" customHeight="1">
      <c r="A4431" s="2" t="s">
        <v>11759</v>
      </c>
      <c r="B4431" s="2" t="s">
        <v>11759</v>
      </c>
      <c r="C4431" s="2" t="s">
        <v>26</v>
      </c>
      <c r="D4431" s="2" t="s">
        <v>27</v>
      </c>
      <c r="E4431" s="4">
        <v>-32562</v>
      </c>
      <c r="F4431" s="3" t="s">
        <v>1186</v>
      </c>
      <c r="G4431" s="3" t="s">
        <v>29</v>
      </c>
      <c r="H4431" s="2" t="s">
        <v>74</v>
      </c>
      <c r="I4431" s="2" t="s">
        <v>11772</v>
      </c>
      <c r="J4431" s="3" t="str">
        <f>HYPERLINK("https://www.boe.es/gazeta/dias/1810/11/05/pdfs/GMD-1810-309.pdf#page=2","Abrir facsímil")</f>
        <v>Abrir facsímil</v>
      </c>
      <c r="K4431" s="3" t="s">
        <v>76</v>
      </c>
    </row>
    <row r="4432" spans="1:11" ht="42" customHeight="1">
      <c r="A4432" s="2" t="s">
        <v>11759</v>
      </c>
      <c r="B4432" s="2" t="s">
        <v>11759</v>
      </c>
      <c r="C4432" s="2" t="s">
        <v>88</v>
      </c>
      <c r="D4432" s="2" t="s">
        <v>117</v>
      </c>
      <c r="E4432" s="4">
        <v>-32515</v>
      </c>
      <c r="F4432" s="3" t="s">
        <v>351</v>
      </c>
      <c r="G4432" s="3" t="s">
        <v>352</v>
      </c>
      <c r="H4432" s="2" t="s">
        <v>74</v>
      </c>
      <c r="I4432" s="2" t="s">
        <v>11773</v>
      </c>
      <c r="J4432" s="3" t="str">
        <f>HYPERLINK("https://www.boe.es/gazeta/dias/1810/12/22/pdfs/GEI-1810-111.pdf#page=8","Abrir facsímil")</f>
        <v>Abrir facsímil</v>
      </c>
      <c r="K4432" s="3" t="s">
        <v>76</v>
      </c>
    </row>
    <row r="4433" spans="1:11" ht="42" customHeight="1">
      <c r="A4433" s="2" t="s">
        <v>11774</v>
      </c>
      <c r="B4433" s="2" t="s">
        <v>11775</v>
      </c>
      <c r="C4433" s="2" t="s">
        <v>26</v>
      </c>
      <c r="D4433" s="2" t="s">
        <v>39</v>
      </c>
      <c r="E4433" s="4">
        <v>-32701</v>
      </c>
      <c r="F4433" s="3" t="s">
        <v>40</v>
      </c>
      <c r="G4433" s="3" t="s">
        <v>333</v>
      </c>
      <c r="H4433" s="2" t="s">
        <v>74</v>
      </c>
      <c r="I4433" s="2" t="s">
        <v>11776</v>
      </c>
      <c r="J4433" s="3" t="str">
        <f>HYPERLINK("https://www.boe.es/gazeta/dias/1810/06/19/pdfs/GMD-C-1810-170.pdf#page=4","Abrir facsímil")</f>
        <v>Abrir facsímil</v>
      </c>
      <c r="K4433" s="3" t="s">
        <v>76</v>
      </c>
    </row>
    <row r="4434" spans="1:11" ht="42" customHeight="1">
      <c r="A4434" s="2" t="s">
        <v>11777</v>
      </c>
      <c r="B4434" s="2" t="s">
        <v>11778</v>
      </c>
      <c r="C4434" s="2" t="s">
        <v>26</v>
      </c>
      <c r="D4434" s="2" t="s">
        <v>27</v>
      </c>
      <c r="E4434" s="4">
        <v>-32729</v>
      </c>
      <c r="F4434" s="3" t="s">
        <v>174</v>
      </c>
      <c r="G4434" s="3" t="s">
        <v>175</v>
      </c>
      <c r="H4434" s="2" t="s">
        <v>74</v>
      </c>
      <c r="I4434" s="2" t="s">
        <v>11779</v>
      </c>
      <c r="J4434" s="3" t="str">
        <f>HYPERLINK("https://www.boe.es/gazeta/dias/1810/05/22/pdfs/GEI-1810-28.pdf#page=10","Abrir facsímil")</f>
        <v>Abrir facsímil</v>
      </c>
      <c r="K4434" s="3" t="s">
        <v>76</v>
      </c>
    </row>
    <row r="4435" spans="1:11" ht="42" customHeight="1">
      <c r="A4435" s="2" t="s">
        <v>11780</v>
      </c>
      <c r="B4435" s="2" t="s">
        <v>11780</v>
      </c>
      <c r="C4435" s="2" t="s">
        <v>26</v>
      </c>
      <c r="D4435" s="2" t="s">
        <v>27</v>
      </c>
      <c r="E4435" s="4">
        <v>-32654</v>
      </c>
      <c r="F4435" s="3" t="s">
        <v>1226</v>
      </c>
      <c r="G4435" s="3" t="s">
        <v>180</v>
      </c>
      <c r="H4435" s="2" t="s">
        <v>74</v>
      </c>
      <c r="I4435" s="2" t="s">
        <v>11781</v>
      </c>
      <c r="J4435" s="3" t="str">
        <f>HYPERLINK("https://www.boe.es/gazeta/dias/1810/08/05/pdfs/GMD-1810-217.pdf#page=4","Abrir facsímil")</f>
        <v>Abrir facsímil</v>
      </c>
      <c r="K4435" s="3" t="s">
        <v>76</v>
      </c>
    </row>
    <row r="4436" spans="1:11" ht="42" customHeight="1">
      <c r="A4436" s="2" t="s">
        <v>11782</v>
      </c>
      <c r="B4436" s="2" t="s">
        <v>11783</v>
      </c>
      <c r="C4436" s="2" t="s">
        <v>26</v>
      </c>
      <c r="D4436" s="2" t="s">
        <v>39</v>
      </c>
      <c r="E4436" s="4">
        <v>-32645</v>
      </c>
      <c r="F4436" s="3" t="s">
        <v>2492</v>
      </c>
      <c r="G4436" s="3" t="s">
        <v>119</v>
      </c>
      <c r="H4436" s="2" t="s">
        <v>74</v>
      </c>
      <c r="I4436" s="2" t="s">
        <v>11784</v>
      </c>
      <c r="J4436" s="3" t="str">
        <f>HYPERLINK("https://www.boe.es/gazeta/dias/1810/08/14/pdfs/GEI-D-1810-56.pdf#page=3","Abrir facsímil")</f>
        <v>Abrir facsímil</v>
      </c>
      <c r="K4436" s="3" t="s">
        <v>76</v>
      </c>
    </row>
    <row r="4437" spans="1:11" ht="42" customHeight="1">
      <c r="A4437" s="2" t="s">
        <v>11785</v>
      </c>
      <c r="B4437" s="2" t="s">
        <v>11785</v>
      </c>
      <c r="C4437" s="2" t="s">
        <v>88</v>
      </c>
      <c r="D4437" s="2" t="s">
        <v>117</v>
      </c>
      <c r="E4437" s="4">
        <v>-32631</v>
      </c>
      <c r="F4437" s="3" t="s">
        <v>497</v>
      </c>
      <c r="G4437" s="3" t="s">
        <v>498</v>
      </c>
      <c r="H4437" s="2" t="s">
        <v>74</v>
      </c>
      <c r="I4437" s="2" t="s">
        <v>11786</v>
      </c>
      <c r="J4437" s="3" t="str">
        <f>HYPERLINK("https://www.boe.es/gazeta/dias/1810/08/28/pdfs/GMD-1810-240.pdf#page=2","Abrir facsímil")</f>
        <v>Abrir facsímil</v>
      </c>
      <c r="K4437" s="3" t="s">
        <v>76</v>
      </c>
    </row>
    <row r="4438" spans="1:11" ht="42" customHeight="1">
      <c r="A4438" s="2" t="s">
        <v>11787</v>
      </c>
      <c r="B4438" s="2" t="s">
        <v>11787</v>
      </c>
      <c r="C4438" s="2" t="s">
        <v>26</v>
      </c>
      <c r="D4438" s="2" t="s">
        <v>27</v>
      </c>
      <c r="E4438" s="4">
        <v>-32706</v>
      </c>
      <c r="F4438" s="3" t="s">
        <v>1210</v>
      </c>
      <c r="G4438" s="3" t="s">
        <v>2639</v>
      </c>
      <c r="H4438" s="2" t="s">
        <v>74</v>
      </c>
      <c r="I4438" s="2" t="s">
        <v>11788</v>
      </c>
      <c r="J4438" s="3" t="str">
        <f>HYPERLINK("https://www.boe.es/gazeta/dias/1810/06/14/pdfs/GMD-1810-165.pdf#page=2","Abrir facsímil")</f>
        <v>Abrir facsímil</v>
      </c>
      <c r="K4438" s="3" t="s">
        <v>76</v>
      </c>
    </row>
    <row r="4439" spans="1:11" ht="42" customHeight="1">
      <c r="A4439" s="2" t="s">
        <v>11789</v>
      </c>
      <c r="B4439" s="2" t="s">
        <v>11789</v>
      </c>
      <c r="C4439" s="2" t="s">
        <v>26</v>
      </c>
      <c r="D4439" s="2" t="s">
        <v>27</v>
      </c>
      <c r="E4439" s="4">
        <v>-32563</v>
      </c>
      <c r="F4439" s="3" t="s">
        <v>535</v>
      </c>
      <c r="G4439" s="3" t="s">
        <v>5594</v>
      </c>
      <c r="H4439" s="2" t="s">
        <v>74</v>
      </c>
      <c r="I4439" s="2" t="s">
        <v>11790</v>
      </c>
      <c r="J4439" s="3" t="str">
        <f>HYPERLINK("https://www.boe.es/gazeta/dias/1810/11/04/pdfs/GMD-1810-308.pdf#page=10","Abrir facsímil")</f>
        <v>Abrir facsímil</v>
      </c>
      <c r="K4439" s="3" t="s">
        <v>76</v>
      </c>
    </row>
    <row r="4440" spans="1:11" ht="42" customHeight="1">
      <c r="A4440" s="2" t="s">
        <v>11791</v>
      </c>
      <c r="B4440" s="2" t="s">
        <v>11792</v>
      </c>
      <c r="C4440" s="2" t="s">
        <v>88</v>
      </c>
      <c r="D4440" s="2" t="s">
        <v>117</v>
      </c>
      <c r="E4440" s="4">
        <v>-32713</v>
      </c>
      <c r="F4440" s="3" t="s">
        <v>959</v>
      </c>
      <c r="G4440" s="3" t="s">
        <v>960</v>
      </c>
      <c r="H4440" s="2" t="s">
        <v>74</v>
      </c>
      <c r="I4440" s="2" t="s">
        <v>11793</v>
      </c>
      <c r="J4440" s="3" t="str">
        <f>HYPERLINK("https://www.boe.es/gazeta/dias/1810/06/07/pdfs/GMD-1810-158.pdf#page=4","Abrir facsímil")</f>
        <v>Abrir facsímil</v>
      </c>
      <c r="K4440" s="3" t="s">
        <v>76</v>
      </c>
    </row>
    <row r="4441" spans="1:11" ht="42" customHeight="1">
      <c r="A4441" s="2" t="s">
        <v>11794</v>
      </c>
      <c r="B4441" s="2" t="s">
        <v>11794</v>
      </c>
      <c r="C4441" s="2" t="s">
        <v>26</v>
      </c>
      <c r="D4441" s="2" t="s">
        <v>27</v>
      </c>
      <c r="E4441" s="4">
        <v>-32800</v>
      </c>
      <c r="F4441" s="3" t="s">
        <v>388</v>
      </c>
      <c r="G4441" s="3" t="s">
        <v>90</v>
      </c>
      <c r="H4441" s="2" t="s">
        <v>74</v>
      </c>
      <c r="I4441" s="2" t="s">
        <v>11795</v>
      </c>
      <c r="J4441" s="3" t="str">
        <f>HYPERLINK("https://www.boe.es/gazeta/dias/1810/03/12/pdfs/GMD-1810-71.pdf#page=4","Abrir facsímil")</f>
        <v>Abrir facsímil</v>
      </c>
      <c r="K4441" s="3" t="s">
        <v>76</v>
      </c>
    </row>
    <row r="4442" spans="1:11" ht="42" customHeight="1">
      <c r="A4442" s="2" t="s">
        <v>11794</v>
      </c>
      <c r="B4442" s="2" t="s">
        <v>11794</v>
      </c>
      <c r="C4442" s="2" t="s">
        <v>26</v>
      </c>
      <c r="D4442" s="2" t="s">
        <v>27</v>
      </c>
      <c r="E4442" s="4">
        <v>-32665</v>
      </c>
      <c r="F4442" s="3" t="s">
        <v>11796</v>
      </c>
      <c r="G4442" s="3" t="s">
        <v>11797</v>
      </c>
      <c r="H4442" s="2" t="s">
        <v>74</v>
      </c>
      <c r="I4442" s="2" t="s">
        <v>11798</v>
      </c>
      <c r="J4442" s="3" t="str">
        <f>HYPERLINK("https://www.boe.es/gazeta/dias/1810/07/25/pdfs/GMD-1810-206.pdf#page=1","Abrir facsímil")</f>
        <v>Abrir facsímil</v>
      </c>
      <c r="K4442" s="3" t="s">
        <v>76</v>
      </c>
    </row>
    <row r="4443" spans="1:11" ht="42" customHeight="1">
      <c r="A4443" s="2" t="s">
        <v>11799</v>
      </c>
      <c r="B4443" s="2" t="s">
        <v>11799</v>
      </c>
      <c r="C4443" s="2" t="s">
        <v>26</v>
      </c>
      <c r="D4443" s="2" t="s">
        <v>220</v>
      </c>
      <c r="E4443" s="4">
        <v>-32647</v>
      </c>
      <c r="F4443" s="3" t="s">
        <v>118</v>
      </c>
      <c r="G4443" s="3" t="s">
        <v>7574</v>
      </c>
      <c r="H4443" s="2" t="s">
        <v>74</v>
      </c>
      <c r="I4443" s="2" t="s">
        <v>11800</v>
      </c>
      <c r="J4443" s="3" t="str">
        <f>HYPERLINK("https://www.boe.es/gazeta/dias/1810/08/12/pdfs/GMD-1810-224.pdf#page=1","Abrir facsímil")</f>
        <v>Abrir facsímil</v>
      </c>
      <c r="K4443" s="3" t="s">
        <v>76</v>
      </c>
    </row>
    <row r="4444" spans="1:11" ht="42" customHeight="1">
      <c r="A4444" s="2" t="s">
        <v>11801</v>
      </c>
      <c r="B4444" s="2" t="s">
        <v>11801</v>
      </c>
      <c r="C4444" s="2" t="s">
        <v>26</v>
      </c>
      <c r="D4444" s="2" t="s">
        <v>220</v>
      </c>
      <c r="E4444" s="4">
        <v>-32727</v>
      </c>
      <c r="F4444" s="3" t="s">
        <v>1611</v>
      </c>
      <c r="G4444" s="3" t="s">
        <v>227</v>
      </c>
      <c r="H4444" s="2" t="s">
        <v>74</v>
      </c>
      <c r="I4444" s="2" t="s">
        <v>11802</v>
      </c>
      <c r="J4444" s="3" t="str">
        <f>HYPERLINK("https://www.boe.es/gazeta/dias/1810/05/24/pdfs/GMD-1810-144.pdf#page=4","Abrir facsímil")</f>
        <v>Abrir facsímil</v>
      </c>
      <c r="K4444" s="3" t="s">
        <v>76</v>
      </c>
    </row>
    <row r="4445" spans="1:11" ht="42" customHeight="1">
      <c r="A4445" s="2" t="s">
        <v>11803</v>
      </c>
      <c r="B4445" s="2" t="s">
        <v>11803</v>
      </c>
      <c r="C4445" s="2" t="s">
        <v>26</v>
      </c>
      <c r="D4445" s="2" t="s">
        <v>27</v>
      </c>
      <c r="E4445" s="4">
        <v>-32810</v>
      </c>
      <c r="F4445" s="3" t="s">
        <v>3447</v>
      </c>
      <c r="G4445" s="3" t="s">
        <v>915</v>
      </c>
      <c r="H4445" s="2" t="s">
        <v>74</v>
      </c>
      <c r="I4445" s="2" t="s">
        <v>11804</v>
      </c>
      <c r="J4445" s="3" t="str">
        <f>HYPERLINK("https://www.boe.es/gazeta/dias/1810/03/02/pdfs/GMD-1810-61.pdf#page=3","Abrir facsímil")</f>
        <v>Abrir facsímil</v>
      </c>
      <c r="K4445" s="3" t="s">
        <v>76</v>
      </c>
    </row>
    <row r="4446" spans="1:11" ht="42" customHeight="1">
      <c r="A4446" s="2" t="s">
        <v>11805</v>
      </c>
      <c r="B4446" s="2" t="s">
        <v>11805</v>
      </c>
      <c r="C4446" s="2" t="s">
        <v>88</v>
      </c>
      <c r="D4446" s="2" t="s">
        <v>117</v>
      </c>
      <c r="E4446" s="4">
        <v>-32853</v>
      </c>
      <c r="F4446" s="3" t="s">
        <v>516</v>
      </c>
      <c r="G4446" s="3" t="s">
        <v>517</v>
      </c>
      <c r="H4446" s="2" t="s">
        <v>74</v>
      </c>
      <c r="I4446" s="2" t="s">
        <v>11806</v>
      </c>
      <c r="J4446" s="3" t="str">
        <f>HYPERLINK("https://www.boe.es/gazeta/dias/1810/01/18/pdfs/GGB-1810-8.pdf#page=7","Abrir facsímil")</f>
        <v>Abrir facsímil</v>
      </c>
      <c r="K4446" s="3" t="s">
        <v>76</v>
      </c>
    </row>
    <row r="4447" spans="1:11" ht="42" customHeight="1">
      <c r="A4447" s="2" t="s">
        <v>11805</v>
      </c>
      <c r="B4447" s="2" t="s">
        <v>11805</v>
      </c>
      <c r="C4447" s="2" t="s">
        <v>33</v>
      </c>
      <c r="D4447" s="2" t="s">
        <v>18</v>
      </c>
      <c r="E4447" s="4">
        <v>-32796</v>
      </c>
      <c r="F4447" s="3" t="s">
        <v>246</v>
      </c>
      <c r="G4447" s="3" t="s">
        <v>2560</v>
      </c>
      <c r="H4447" s="2" t="s">
        <v>74</v>
      </c>
      <c r="I4447" s="2" t="s">
        <v>11807</v>
      </c>
      <c r="J4447" s="3" t="str">
        <f>HYPERLINK("https://www.boe.es/gazeta/dias/1810/03/16/pdfs/GEI-1810-2.pdf#page=7","Abrir facsímil")</f>
        <v>Abrir facsímil</v>
      </c>
      <c r="K4447" s="3" t="s">
        <v>76</v>
      </c>
    </row>
    <row r="4448" spans="1:11" ht="42" customHeight="1">
      <c r="A4448" s="2" t="s">
        <v>11805</v>
      </c>
      <c r="B4448" s="2" t="s">
        <v>11805</v>
      </c>
      <c r="C4448" s="2" t="s">
        <v>33</v>
      </c>
      <c r="D4448" s="2" t="s">
        <v>39</v>
      </c>
      <c r="E4448" s="4">
        <v>-32764</v>
      </c>
      <c r="F4448" s="3" t="s">
        <v>1546</v>
      </c>
      <c r="G4448" s="3" t="s">
        <v>473</v>
      </c>
      <c r="H4448" s="2" t="s">
        <v>74</v>
      </c>
      <c r="I4448" s="2" t="s">
        <v>11808</v>
      </c>
      <c r="J4448" s="3" t="str">
        <f>HYPERLINK("https://www.boe.es/gazeta/dias/1810/04/17/pdfs/GEI-D-1810-15.pdf#page=1","Abrir facsímil")</f>
        <v>Abrir facsímil</v>
      </c>
      <c r="K4448" s="3" t="s">
        <v>76</v>
      </c>
    </row>
    <row r="4449" spans="1:11" ht="42" customHeight="1">
      <c r="A4449" s="2" t="s">
        <v>11805</v>
      </c>
      <c r="B4449" s="2" t="s">
        <v>11805</v>
      </c>
      <c r="C4449" s="2" t="s">
        <v>88</v>
      </c>
      <c r="D4449" s="2" t="s">
        <v>117</v>
      </c>
      <c r="E4449" s="4">
        <v>-32722</v>
      </c>
      <c r="F4449" s="3" t="s">
        <v>856</v>
      </c>
      <c r="G4449" s="3" t="s">
        <v>857</v>
      </c>
      <c r="H4449" s="2" t="s">
        <v>74</v>
      </c>
      <c r="I4449" s="2" t="s">
        <v>11809</v>
      </c>
      <c r="J4449" s="3" t="str">
        <f>HYPERLINK("https://www.boe.es/gazeta/dias/1810/05/29/pdfs/GEI-1810-31.pdf#page=11","Abrir facsímil")</f>
        <v>Abrir facsímil</v>
      </c>
      <c r="K4449" s="3" t="s">
        <v>76</v>
      </c>
    </row>
    <row r="4450" spans="1:11" ht="42" customHeight="1">
      <c r="A4450" s="2" t="s">
        <v>11805</v>
      </c>
      <c r="B4450" s="2" t="s">
        <v>11805</v>
      </c>
      <c r="C4450" s="2" t="s">
        <v>88</v>
      </c>
      <c r="D4450" s="2" t="s">
        <v>39</v>
      </c>
      <c r="E4450" s="4">
        <v>-32715</v>
      </c>
      <c r="F4450" s="3" t="s">
        <v>6792</v>
      </c>
      <c r="G4450" s="3" t="s">
        <v>11810</v>
      </c>
      <c r="H4450" s="2" t="s">
        <v>74</v>
      </c>
      <c r="I4450" s="2" t="s">
        <v>11811</v>
      </c>
      <c r="J4450" s="3" t="str">
        <f>HYPERLINK("https://www.boe.es/gazeta/dias/1810/06/05/pdfs/GEI-D-1810-33.pdf#page=2","Abrir facsímil")</f>
        <v>Abrir facsímil</v>
      </c>
      <c r="K4450" s="3" t="s">
        <v>76</v>
      </c>
    </row>
    <row r="4451" spans="1:11" ht="42" customHeight="1">
      <c r="A4451" s="2" t="s">
        <v>11805</v>
      </c>
      <c r="B4451" s="2" t="s">
        <v>11805</v>
      </c>
      <c r="C4451" s="2" t="s">
        <v>26</v>
      </c>
      <c r="D4451" s="2" t="s">
        <v>39</v>
      </c>
      <c r="E4451" s="4">
        <v>-32684</v>
      </c>
      <c r="F4451" s="3" t="s">
        <v>372</v>
      </c>
      <c r="G4451" s="3" t="s">
        <v>373</v>
      </c>
      <c r="H4451" s="2" t="s">
        <v>74</v>
      </c>
      <c r="I4451" s="2" t="s">
        <v>11812</v>
      </c>
      <c r="J4451" s="3" t="str">
        <f>HYPERLINK("https://www.boe.es/gazeta/dias/1810/07/06/pdfs/GEI-D-1810-42.pdf#page=8","Abrir facsímil")</f>
        <v>Abrir facsímil</v>
      </c>
      <c r="K4451" s="3" t="s">
        <v>76</v>
      </c>
    </row>
    <row r="4452" spans="1:11" ht="42" customHeight="1">
      <c r="A4452" s="2" t="s">
        <v>11805</v>
      </c>
      <c r="B4452" s="2" t="s">
        <v>11805</v>
      </c>
      <c r="C4452" s="2" t="s">
        <v>33</v>
      </c>
      <c r="D4452" s="2" t="s">
        <v>27</v>
      </c>
      <c r="E4452" s="4">
        <v>-32589</v>
      </c>
      <c r="F4452" s="3" t="s">
        <v>3026</v>
      </c>
      <c r="G4452" s="3" t="s">
        <v>180</v>
      </c>
      <c r="H4452" s="2" t="s">
        <v>74</v>
      </c>
      <c r="I4452" s="2" t="s">
        <v>11813</v>
      </c>
      <c r="J4452" s="3" t="str">
        <f>HYPERLINK("https://www.boe.es/gazeta/dias/1810/10/09/pdfs/GEI-1810-79.pdf#page=7","Abrir facsímil")</f>
        <v>Abrir facsímil</v>
      </c>
      <c r="K4452" s="3" t="s">
        <v>76</v>
      </c>
    </row>
    <row r="4453" spans="1:11" ht="42" customHeight="1">
      <c r="A4453" s="2" t="s">
        <v>11805</v>
      </c>
      <c r="B4453" s="2" t="s">
        <v>11805</v>
      </c>
      <c r="C4453" s="2" t="s">
        <v>26</v>
      </c>
      <c r="D4453" s="2" t="s">
        <v>27</v>
      </c>
      <c r="E4453" s="4">
        <v>-32543</v>
      </c>
      <c r="F4453" s="3" t="s">
        <v>69</v>
      </c>
      <c r="G4453" s="3" t="s">
        <v>84</v>
      </c>
      <c r="H4453" s="2" t="s">
        <v>74</v>
      </c>
      <c r="I4453" s="2" t="s">
        <v>11814</v>
      </c>
      <c r="J4453" s="3" t="str">
        <f>HYPERLINK("https://www.boe.es/gazeta/dias/1810/11/24/pdfs/GEI-1810-99.pdf#page=7","Abrir facsímil")</f>
        <v>Abrir facsímil</v>
      </c>
      <c r="K4453" s="3" t="s">
        <v>76</v>
      </c>
    </row>
    <row r="4454" spans="1:11" ht="42" customHeight="1">
      <c r="A4454" s="2" t="s">
        <v>11815</v>
      </c>
      <c r="B4454" s="2" t="s">
        <v>11816</v>
      </c>
      <c r="C4454" s="2" t="s">
        <v>225</v>
      </c>
      <c r="D4454" s="2" t="s">
        <v>117</v>
      </c>
      <c r="E4454" s="4">
        <v>-32761</v>
      </c>
      <c r="F4454" s="3" t="s">
        <v>811</v>
      </c>
      <c r="G4454" s="3" t="s">
        <v>140</v>
      </c>
      <c r="H4454" s="2" t="s">
        <v>74</v>
      </c>
      <c r="I4454" s="2" t="s">
        <v>11817</v>
      </c>
      <c r="J4454" s="3" t="str">
        <f>HYPERLINK("https://www.boe.es/gazeta/dias/1810/04/20/pdfs/GEI-1810-16.pdf#page=8","Abrir facsímil")</f>
        <v>Abrir facsímil</v>
      </c>
      <c r="K4454" s="3" t="s">
        <v>76</v>
      </c>
    </row>
    <row r="4455" spans="1:11" ht="42" customHeight="1">
      <c r="A4455" s="2" t="s">
        <v>11818</v>
      </c>
      <c r="B4455" s="2" t="s">
        <v>11819</v>
      </c>
      <c r="C4455" s="2" t="s">
        <v>26</v>
      </c>
      <c r="D4455" s="2" t="s">
        <v>27</v>
      </c>
      <c r="E4455" s="4">
        <v>-32550</v>
      </c>
      <c r="F4455" s="3" t="s">
        <v>1472</v>
      </c>
      <c r="G4455" s="3" t="s">
        <v>3210</v>
      </c>
      <c r="H4455" s="2" t="s">
        <v>74</v>
      </c>
      <c r="I4455" s="2" t="s">
        <v>11820</v>
      </c>
      <c r="J4455" s="3" t="str">
        <f>HYPERLINK("https://www.boe.es/gazeta/dias/1810/11/17/pdfs/GEI-1810-96.pdf#page=7","Abrir facsímil")</f>
        <v>Abrir facsímil</v>
      </c>
      <c r="K4455" s="3" t="s">
        <v>76</v>
      </c>
    </row>
    <row r="4456" spans="1:11" ht="42" customHeight="1">
      <c r="A4456" s="2" t="s">
        <v>11821</v>
      </c>
      <c r="B4456" s="2" t="s">
        <v>11821</v>
      </c>
      <c r="C4456" s="2" t="s">
        <v>88</v>
      </c>
      <c r="D4456" s="2" t="s">
        <v>27</v>
      </c>
      <c r="E4456" s="4">
        <v>-32861</v>
      </c>
      <c r="F4456" s="3" t="s">
        <v>796</v>
      </c>
      <c r="G4456" s="3" t="s">
        <v>29</v>
      </c>
      <c r="H4456" s="2" t="s">
        <v>74</v>
      </c>
      <c r="I4456" s="2" t="s">
        <v>11822</v>
      </c>
      <c r="J4456" s="3" t="str">
        <f>HYPERLINK("https://www.boe.es/gazeta/dias/1810/01/10/pdfs/GMD-1810-10.pdf#page=2","Abrir facsímil")</f>
        <v>Abrir facsímil</v>
      </c>
      <c r="K4456" s="3" t="s">
        <v>76</v>
      </c>
    </row>
    <row r="4457" spans="1:11" ht="42" customHeight="1">
      <c r="A4457" s="2" t="s">
        <v>11821</v>
      </c>
      <c r="B4457" s="2" t="s">
        <v>11821</v>
      </c>
      <c r="C4457" s="2" t="s">
        <v>26</v>
      </c>
      <c r="D4457" s="2" t="s">
        <v>27</v>
      </c>
      <c r="E4457" s="4">
        <v>-32856</v>
      </c>
      <c r="F4457" s="3" t="s">
        <v>963</v>
      </c>
      <c r="G4457" s="3" t="s">
        <v>140</v>
      </c>
      <c r="H4457" s="2" t="s">
        <v>74</v>
      </c>
      <c r="I4457" s="2" t="s">
        <v>11823</v>
      </c>
      <c r="J4457" s="3" t="str">
        <f>HYPERLINK("https://www.boe.es/gazeta/dias/1810/01/15/pdfs/GMD-1810-15.pdf#page=4","Abrir facsímil")</f>
        <v>Abrir facsímil</v>
      </c>
      <c r="K4457" s="3" t="s">
        <v>76</v>
      </c>
    </row>
    <row r="4458" spans="1:11" ht="42" customHeight="1">
      <c r="A4458" s="2" t="s">
        <v>11821</v>
      </c>
      <c r="B4458" s="2" t="s">
        <v>11821</v>
      </c>
      <c r="C4458" s="2" t="s">
        <v>26</v>
      </c>
      <c r="D4458" s="2" t="s">
        <v>27</v>
      </c>
      <c r="E4458" s="4">
        <v>-32854</v>
      </c>
      <c r="F4458" s="3" t="s">
        <v>11701</v>
      </c>
      <c r="G4458" s="3" t="s">
        <v>213</v>
      </c>
      <c r="H4458" s="2" t="s">
        <v>74</v>
      </c>
      <c r="I4458" s="2" t="s">
        <v>11824</v>
      </c>
      <c r="J4458" s="3" t="str">
        <f>HYPERLINK("https://www.boe.es/gazeta/dias/1810/01/17/pdfs/GMD-1810-17.pdf#page=3","Abrir facsímil")</f>
        <v>Abrir facsímil</v>
      </c>
      <c r="K4458" s="3" t="s">
        <v>76</v>
      </c>
    </row>
    <row r="4459" spans="1:11" ht="42" customHeight="1">
      <c r="A4459" s="2" t="s">
        <v>11821</v>
      </c>
      <c r="B4459" s="2" t="s">
        <v>11821</v>
      </c>
      <c r="C4459" s="2" t="s">
        <v>26</v>
      </c>
      <c r="D4459" s="2" t="s">
        <v>27</v>
      </c>
      <c r="E4459" s="4">
        <v>-32839</v>
      </c>
      <c r="F4459" s="3" t="s">
        <v>28</v>
      </c>
      <c r="G4459" s="3" t="s">
        <v>29</v>
      </c>
      <c r="H4459" s="2" t="s">
        <v>74</v>
      </c>
      <c r="I4459" s="2" t="s">
        <v>11825</v>
      </c>
      <c r="J4459" s="3" t="str">
        <f>HYPERLINK("https://www.boe.es/gazeta/dias/1810/02/01/pdfs/GMD-1810-32.pdf#page=3","Abrir facsímil")</f>
        <v>Abrir facsímil</v>
      </c>
      <c r="K4459" s="3" t="s">
        <v>76</v>
      </c>
    </row>
    <row r="4460" spans="1:11" ht="42" customHeight="1">
      <c r="A4460" s="2" t="s">
        <v>11821</v>
      </c>
      <c r="B4460" s="2" t="s">
        <v>11821</v>
      </c>
      <c r="C4460" s="2" t="s">
        <v>26</v>
      </c>
      <c r="D4460" s="2" t="s">
        <v>18</v>
      </c>
      <c r="E4460" s="4">
        <v>-32837</v>
      </c>
      <c r="F4460" s="3" t="s">
        <v>196</v>
      </c>
      <c r="G4460" s="3" t="s">
        <v>140</v>
      </c>
      <c r="H4460" s="2" t="s">
        <v>74</v>
      </c>
      <c r="I4460" s="2" t="s">
        <v>11826</v>
      </c>
      <c r="J4460" s="3" t="str">
        <f>HYPERLINK("https://www.boe.es/gazeta/dias/1810/02/03/pdfs/GMD-1810-34.pdf#page=4","Abrir facsímil")</f>
        <v>Abrir facsímil</v>
      </c>
      <c r="K4460" s="3" t="s">
        <v>76</v>
      </c>
    </row>
    <row r="4461" spans="1:11" ht="42" customHeight="1">
      <c r="A4461" s="2" t="s">
        <v>11821</v>
      </c>
      <c r="B4461" s="2" t="s">
        <v>11821</v>
      </c>
      <c r="C4461" s="2" t="s">
        <v>26</v>
      </c>
      <c r="D4461" s="2" t="s">
        <v>27</v>
      </c>
      <c r="E4461" s="4">
        <v>-32829</v>
      </c>
      <c r="F4461" s="3" t="s">
        <v>1126</v>
      </c>
      <c r="G4461" s="3" t="s">
        <v>29</v>
      </c>
      <c r="H4461" s="2" t="s">
        <v>74</v>
      </c>
      <c r="I4461" s="2" t="s">
        <v>11827</v>
      </c>
      <c r="J4461" s="3" t="str">
        <f>HYPERLINK("https://www.boe.es/gazeta/dias/1810/02/11/pdfs/GMD-1810-42.pdf#page=2","Abrir facsímil")</f>
        <v>Abrir facsímil</v>
      </c>
      <c r="K4461" s="3" t="s">
        <v>76</v>
      </c>
    </row>
    <row r="4462" spans="1:11" ht="42" customHeight="1">
      <c r="A4462" s="2" t="s">
        <v>11821</v>
      </c>
      <c r="B4462" s="2" t="s">
        <v>11821</v>
      </c>
      <c r="C4462" s="2" t="s">
        <v>88</v>
      </c>
      <c r="D4462" s="2" t="s">
        <v>27</v>
      </c>
      <c r="E4462" s="4">
        <v>-32829</v>
      </c>
      <c r="F4462" s="3" t="s">
        <v>1126</v>
      </c>
      <c r="G4462" s="3" t="s">
        <v>180</v>
      </c>
      <c r="H4462" s="2" t="s">
        <v>74</v>
      </c>
      <c r="I4462" s="2" t="s">
        <v>11828</v>
      </c>
      <c r="J4462" s="3" t="str">
        <f>HYPERLINK("https://www.boe.es/gazeta/dias/1810/02/11/pdfs/GMD-1810-42.pdf#page=4","Abrir facsímil")</f>
        <v>Abrir facsímil</v>
      </c>
      <c r="K4462" s="3" t="s">
        <v>76</v>
      </c>
    </row>
    <row r="4463" spans="1:11" ht="42" customHeight="1">
      <c r="A4463" s="2" t="s">
        <v>11821</v>
      </c>
      <c r="B4463" s="2" t="s">
        <v>11821</v>
      </c>
      <c r="C4463" s="2" t="s">
        <v>26</v>
      </c>
      <c r="D4463" s="2" t="s">
        <v>18</v>
      </c>
      <c r="E4463" s="4">
        <v>-32818</v>
      </c>
      <c r="F4463" s="3" t="s">
        <v>936</v>
      </c>
      <c r="G4463" s="3" t="s">
        <v>1667</v>
      </c>
      <c r="H4463" s="2" t="s">
        <v>74</v>
      </c>
      <c r="I4463" s="2" t="s">
        <v>11829</v>
      </c>
      <c r="J4463" s="3" t="str">
        <f>HYPERLINK("https://www.boe.es/gazeta/dias/1810/02/22/pdfs/GMD-1810-53.pdf#page=3","Abrir facsímil")</f>
        <v>Abrir facsímil</v>
      </c>
      <c r="K4463" s="3" t="s">
        <v>76</v>
      </c>
    </row>
    <row r="4464" spans="1:11" ht="42" customHeight="1">
      <c r="A4464" s="2" t="s">
        <v>11821</v>
      </c>
      <c r="B4464" s="2" t="s">
        <v>11821</v>
      </c>
      <c r="C4464" s="2" t="s">
        <v>26</v>
      </c>
      <c r="D4464" s="2" t="s">
        <v>18</v>
      </c>
      <c r="E4464" s="4">
        <v>-32818</v>
      </c>
      <c r="F4464" s="3" t="s">
        <v>936</v>
      </c>
      <c r="G4464" s="3" t="s">
        <v>6380</v>
      </c>
      <c r="H4464" s="2" t="s">
        <v>74</v>
      </c>
      <c r="I4464" s="2" t="s">
        <v>11830</v>
      </c>
      <c r="J4464" s="3" t="str">
        <f>HYPERLINK("https://www.boe.es/gazeta/dias/1810/02/22/pdfs/GMD-1810-53.pdf#page=4","Abrir facsímil")</f>
        <v>Abrir facsímil</v>
      </c>
      <c r="K4464" s="3" t="s">
        <v>76</v>
      </c>
    </row>
    <row r="4465" spans="1:11" ht="42" customHeight="1">
      <c r="A4465" s="2" t="s">
        <v>11821</v>
      </c>
      <c r="B4465" s="2" t="s">
        <v>11821</v>
      </c>
      <c r="C4465" s="2" t="s">
        <v>88</v>
      </c>
      <c r="D4465" s="2" t="s">
        <v>117</v>
      </c>
      <c r="E4465" s="4">
        <v>-32814</v>
      </c>
      <c r="F4465" s="3" t="s">
        <v>2410</v>
      </c>
      <c r="G4465" s="3" t="s">
        <v>227</v>
      </c>
      <c r="H4465" s="2" t="s">
        <v>74</v>
      </c>
      <c r="I4465" s="2" t="s">
        <v>11831</v>
      </c>
      <c r="J4465" s="3" t="str">
        <f>HYPERLINK("https://www.boe.es/gazeta/dias/1810/02/26/pdfs/GMD-1810-57.pdf#page=3","Abrir facsímil")</f>
        <v>Abrir facsímil</v>
      </c>
      <c r="K4465" s="3" t="s">
        <v>76</v>
      </c>
    </row>
    <row r="4466" spans="1:11" ht="42" customHeight="1">
      <c r="A4466" s="2" t="s">
        <v>11821</v>
      </c>
      <c r="B4466" s="2" t="s">
        <v>11821</v>
      </c>
      <c r="C4466" s="2" t="s">
        <v>26</v>
      </c>
      <c r="D4466" s="2" t="s">
        <v>27</v>
      </c>
      <c r="E4466" s="4">
        <v>-32812</v>
      </c>
      <c r="F4466" s="3" t="s">
        <v>627</v>
      </c>
      <c r="G4466" s="3" t="s">
        <v>119</v>
      </c>
      <c r="H4466" s="2" t="s">
        <v>74</v>
      </c>
      <c r="I4466" s="2" t="s">
        <v>11832</v>
      </c>
      <c r="J4466" s="3" t="str">
        <f>HYPERLINK("https://www.boe.es/gazeta/dias/1810/02/28/pdfs/GMD-1810-59.pdf#page=3","Abrir facsímil")</f>
        <v>Abrir facsímil</v>
      </c>
      <c r="K4466" s="3" t="s">
        <v>76</v>
      </c>
    </row>
    <row r="4467" spans="1:11" ht="42" customHeight="1">
      <c r="A4467" s="2" t="s">
        <v>11821</v>
      </c>
      <c r="B4467" s="2" t="s">
        <v>11821</v>
      </c>
      <c r="C4467" s="2" t="s">
        <v>26</v>
      </c>
      <c r="D4467" s="2" t="s">
        <v>27</v>
      </c>
      <c r="E4467" s="4">
        <v>-32807</v>
      </c>
      <c r="F4467" s="3" t="s">
        <v>1338</v>
      </c>
      <c r="G4467" s="3" t="s">
        <v>11833</v>
      </c>
      <c r="H4467" s="2" t="s">
        <v>74</v>
      </c>
      <c r="I4467" s="2" t="s">
        <v>11834</v>
      </c>
      <c r="J4467" s="3" t="str">
        <f>HYPERLINK("https://www.boe.es/gazeta/dias/1810/03/05/pdfs/GMD-1810-64.pdf#page=4","Abrir facsímil")</f>
        <v>Abrir facsímil</v>
      </c>
      <c r="K4467" s="3" t="s">
        <v>76</v>
      </c>
    </row>
    <row r="4468" spans="1:11" ht="42" customHeight="1">
      <c r="A4468" s="2" t="s">
        <v>11835</v>
      </c>
      <c r="B4468" s="2" t="s">
        <v>11835</v>
      </c>
      <c r="C4468" s="2" t="s">
        <v>26</v>
      </c>
      <c r="D4468" s="2" t="s">
        <v>18</v>
      </c>
      <c r="E4468" s="4">
        <v>-32806</v>
      </c>
      <c r="F4468" s="3" t="s">
        <v>1839</v>
      </c>
      <c r="G4468" s="3" t="s">
        <v>3747</v>
      </c>
      <c r="H4468" s="2" t="s">
        <v>74</v>
      </c>
      <c r="I4468" s="2" t="s">
        <v>11836</v>
      </c>
      <c r="J4468" s="3" t="str">
        <f>HYPERLINK("https://www.boe.es/gazeta/dias/1810/03/06/pdfs/GMD-1810-65.pdf#page=4","Abrir facsímil")</f>
        <v>Abrir facsímil</v>
      </c>
      <c r="K4468" s="3" t="s">
        <v>76</v>
      </c>
    </row>
    <row r="4469" spans="1:11" ht="42" customHeight="1">
      <c r="A4469" s="2" t="s">
        <v>11821</v>
      </c>
      <c r="B4469" s="2" t="s">
        <v>11821</v>
      </c>
      <c r="C4469" s="2" t="s">
        <v>26</v>
      </c>
      <c r="D4469" s="2" t="s">
        <v>27</v>
      </c>
      <c r="E4469" s="4">
        <v>-32801</v>
      </c>
      <c r="F4469" s="3" t="s">
        <v>11837</v>
      </c>
      <c r="G4469" s="3" t="s">
        <v>99</v>
      </c>
      <c r="H4469" s="2" t="s">
        <v>74</v>
      </c>
      <c r="I4469" s="2" t="s">
        <v>11838</v>
      </c>
      <c r="J4469" s="3" t="str">
        <f>HYPERLINK("https://www.boe.es/gazeta/dias/1810/03/11/pdfs/GMD-1810-70.pdf#page=3","Abrir facsímil")</f>
        <v>Abrir facsímil</v>
      </c>
      <c r="K4469" s="3" t="s">
        <v>76</v>
      </c>
    </row>
    <row r="4470" spans="1:11" ht="42" customHeight="1">
      <c r="A4470" s="2" t="s">
        <v>11821</v>
      </c>
      <c r="B4470" s="2" t="s">
        <v>11821</v>
      </c>
      <c r="C4470" s="2" t="s">
        <v>33</v>
      </c>
      <c r="D4470" s="2" t="s">
        <v>27</v>
      </c>
      <c r="E4470" s="4">
        <v>-32792</v>
      </c>
      <c r="F4470" s="3" t="s">
        <v>4405</v>
      </c>
      <c r="G4470" s="3" t="s">
        <v>99</v>
      </c>
      <c r="H4470" s="2" t="s">
        <v>74</v>
      </c>
      <c r="I4470" s="2" t="s">
        <v>11839</v>
      </c>
      <c r="J4470" s="3" t="str">
        <f>HYPERLINK("https://www.boe.es/gazeta/dias/1810/03/20/pdfs/GMD-1810-79.pdf#page=3","Abrir facsímil")</f>
        <v>Abrir facsímil</v>
      </c>
      <c r="K4470" s="3" t="s">
        <v>76</v>
      </c>
    </row>
    <row r="4471" spans="1:11" ht="42" customHeight="1">
      <c r="A4471" s="2" t="s">
        <v>11821</v>
      </c>
      <c r="B4471" s="2" t="s">
        <v>11821</v>
      </c>
      <c r="C4471" s="2" t="s">
        <v>26</v>
      </c>
      <c r="D4471" s="2" t="s">
        <v>18</v>
      </c>
      <c r="E4471" s="4">
        <v>-32783</v>
      </c>
      <c r="F4471" s="3" t="s">
        <v>896</v>
      </c>
      <c r="G4471" s="3" t="s">
        <v>20</v>
      </c>
      <c r="H4471" s="2" t="s">
        <v>74</v>
      </c>
      <c r="I4471" s="2" t="s">
        <v>11840</v>
      </c>
      <c r="J4471" s="3" t="str">
        <f>HYPERLINK("https://www.boe.es/gazeta/dias/1810/03/29/pdfs/GMD-1810-88.pdf#page=4","Abrir facsímil")</f>
        <v>Abrir facsímil</v>
      </c>
      <c r="K4471" s="3" t="s">
        <v>76</v>
      </c>
    </row>
    <row r="4472" spans="1:11" ht="42" customHeight="1">
      <c r="A4472" s="2" t="s">
        <v>11821</v>
      </c>
      <c r="B4472" s="2" t="s">
        <v>11821</v>
      </c>
      <c r="C4472" s="2" t="s">
        <v>26</v>
      </c>
      <c r="D4472" s="2" t="s">
        <v>27</v>
      </c>
      <c r="E4472" s="4">
        <v>-32776</v>
      </c>
      <c r="F4472" s="3" t="s">
        <v>752</v>
      </c>
      <c r="G4472" s="3" t="s">
        <v>213</v>
      </c>
      <c r="H4472" s="2" t="s">
        <v>74</v>
      </c>
      <c r="I4472" s="2" t="s">
        <v>11841</v>
      </c>
      <c r="J4472" s="3" t="str">
        <f>HYPERLINK("https://www.boe.es/gazeta/dias/1810/04/05/pdfs/GMD-1810-95.pdf#page=3","Abrir facsímil")</f>
        <v>Abrir facsímil</v>
      </c>
      <c r="K4472" s="3" t="s">
        <v>76</v>
      </c>
    </row>
    <row r="4473" spans="1:11" ht="42" customHeight="1">
      <c r="A4473" s="2" t="s">
        <v>11821</v>
      </c>
      <c r="B4473" s="2" t="s">
        <v>11821</v>
      </c>
      <c r="C4473" s="2" t="s">
        <v>88</v>
      </c>
      <c r="D4473" s="2" t="s">
        <v>117</v>
      </c>
      <c r="E4473" s="4">
        <v>-32766</v>
      </c>
      <c r="F4473" s="3" t="s">
        <v>492</v>
      </c>
      <c r="G4473" s="3" t="s">
        <v>99</v>
      </c>
      <c r="H4473" s="2" t="s">
        <v>74</v>
      </c>
      <c r="I4473" s="2" t="s">
        <v>11842</v>
      </c>
      <c r="J4473" s="3" t="str">
        <f>HYPERLINK("https://www.boe.es/gazeta/dias/1810/04/15/pdfs/GMD-1810-105.pdf#page=3","Abrir facsímil")</f>
        <v>Abrir facsímil</v>
      </c>
      <c r="K4473" s="3" t="s">
        <v>76</v>
      </c>
    </row>
    <row r="4474" spans="1:11" ht="42" customHeight="1">
      <c r="A4474" s="2" t="s">
        <v>11821</v>
      </c>
      <c r="B4474" s="2" t="s">
        <v>11821</v>
      </c>
      <c r="C4474" s="2" t="s">
        <v>26</v>
      </c>
      <c r="D4474" s="2" t="s">
        <v>27</v>
      </c>
      <c r="E4474" s="4">
        <v>-32766</v>
      </c>
      <c r="F4474" s="3" t="s">
        <v>492</v>
      </c>
      <c r="G4474" s="3" t="s">
        <v>493</v>
      </c>
      <c r="H4474" s="2" t="s">
        <v>74</v>
      </c>
      <c r="I4474" s="2" t="s">
        <v>11843</v>
      </c>
      <c r="J4474" s="3" t="str">
        <f>HYPERLINK("https://www.boe.es/gazeta/dias/1810/04/15/pdfs/GMD-1810-105.pdf#page=4","Abrir facsímil")</f>
        <v>Abrir facsímil</v>
      </c>
      <c r="K4474" s="3" t="s">
        <v>76</v>
      </c>
    </row>
    <row r="4475" spans="1:11" ht="42" customHeight="1">
      <c r="A4475" s="2" t="s">
        <v>11821</v>
      </c>
      <c r="B4475" s="2" t="s">
        <v>11821</v>
      </c>
      <c r="C4475" s="2" t="s">
        <v>195</v>
      </c>
      <c r="D4475" s="2" t="s">
        <v>27</v>
      </c>
      <c r="E4475" s="4">
        <v>-32762</v>
      </c>
      <c r="F4475" s="3" t="s">
        <v>231</v>
      </c>
      <c r="G4475" s="3" t="s">
        <v>29</v>
      </c>
      <c r="H4475" s="2" t="s">
        <v>74</v>
      </c>
      <c r="I4475" s="2" t="s">
        <v>11844</v>
      </c>
      <c r="J4475" s="3" t="str">
        <f>HYPERLINK("https://www.boe.es/gazeta/dias/1810/04/19/pdfs/GMD-1810-109.pdf#page=2","Abrir facsímil")</f>
        <v>Abrir facsímil</v>
      </c>
      <c r="K4475" s="3" t="s">
        <v>76</v>
      </c>
    </row>
    <row r="4476" spans="1:11" ht="42" customHeight="1">
      <c r="A4476" s="2" t="s">
        <v>11821</v>
      </c>
      <c r="B4476" s="2" t="s">
        <v>11821</v>
      </c>
      <c r="C4476" s="2" t="s">
        <v>88</v>
      </c>
      <c r="D4476" s="2" t="s">
        <v>27</v>
      </c>
      <c r="E4476" s="4">
        <v>-32762</v>
      </c>
      <c r="F4476" s="3" t="s">
        <v>231</v>
      </c>
      <c r="G4476" s="3" t="s">
        <v>140</v>
      </c>
      <c r="H4476" s="2" t="s">
        <v>74</v>
      </c>
      <c r="I4476" s="2" t="s">
        <v>11845</v>
      </c>
      <c r="J4476" s="3" t="str">
        <f>HYPERLINK("https://www.boe.es/gazeta/dias/1810/04/19/pdfs/GMD-1810-109.pdf#page=3","Abrir facsímil")</f>
        <v>Abrir facsímil</v>
      </c>
      <c r="K4476" s="3" t="s">
        <v>76</v>
      </c>
    </row>
    <row r="4477" spans="1:11" ht="42" customHeight="1">
      <c r="A4477" s="2" t="s">
        <v>11821</v>
      </c>
      <c r="B4477" s="2" t="s">
        <v>11821</v>
      </c>
      <c r="C4477" s="2" t="s">
        <v>88</v>
      </c>
      <c r="D4477" s="2" t="s">
        <v>27</v>
      </c>
      <c r="E4477" s="4">
        <v>-32751</v>
      </c>
      <c r="F4477" s="3" t="s">
        <v>1205</v>
      </c>
      <c r="G4477" s="3" t="s">
        <v>191</v>
      </c>
      <c r="H4477" s="2" t="s">
        <v>74</v>
      </c>
      <c r="I4477" s="2" t="s">
        <v>11846</v>
      </c>
      <c r="J4477" s="3" t="str">
        <f>HYPERLINK("https://www.boe.es/gazeta/dias/1810/04/30/pdfs/GMD-1810-120.pdf#page=3","Abrir facsímil")</f>
        <v>Abrir facsímil</v>
      </c>
      <c r="K4477" s="3" t="s">
        <v>76</v>
      </c>
    </row>
    <row r="4478" spans="1:11" ht="42" customHeight="1">
      <c r="A4478" s="2" t="s">
        <v>11821</v>
      </c>
      <c r="B4478" s="2" t="s">
        <v>11821</v>
      </c>
      <c r="C4478" s="2" t="s">
        <v>225</v>
      </c>
      <c r="D4478" s="2" t="s">
        <v>27</v>
      </c>
      <c r="E4478" s="4">
        <v>-32744</v>
      </c>
      <c r="F4478" s="3" t="s">
        <v>1570</v>
      </c>
      <c r="G4478" s="3" t="s">
        <v>136</v>
      </c>
      <c r="H4478" s="2" t="s">
        <v>74</v>
      </c>
      <c r="I4478" s="2" t="s">
        <v>11847</v>
      </c>
      <c r="J4478" s="3" t="str">
        <f>HYPERLINK("https://www.boe.es/gazeta/dias/1810/05/07/pdfs/GMD-1810-127.pdf#page=4","Abrir facsímil")</f>
        <v>Abrir facsímil</v>
      </c>
      <c r="K4478" s="3" t="s">
        <v>76</v>
      </c>
    </row>
    <row r="4479" spans="1:11" ht="42" customHeight="1">
      <c r="A4479" s="2" t="s">
        <v>11821</v>
      </c>
      <c r="B4479" s="2" t="s">
        <v>11821</v>
      </c>
      <c r="C4479" s="2" t="s">
        <v>26</v>
      </c>
      <c r="D4479" s="2" t="s">
        <v>27</v>
      </c>
      <c r="E4479" s="4">
        <v>-32736</v>
      </c>
      <c r="F4479" s="3" t="s">
        <v>400</v>
      </c>
      <c r="G4479" s="3" t="s">
        <v>401</v>
      </c>
      <c r="H4479" s="2" t="s">
        <v>74</v>
      </c>
      <c r="I4479" s="2" t="s">
        <v>11848</v>
      </c>
      <c r="J4479" s="3" t="str">
        <f>HYPERLINK("https://www.boe.es/gazeta/dias/1810/05/15/pdfs/GMD-1810-135.pdf#page=4","Abrir facsímil")</f>
        <v>Abrir facsímil</v>
      </c>
      <c r="K4479" s="3" t="s">
        <v>76</v>
      </c>
    </row>
    <row r="4480" spans="1:11" ht="42" customHeight="1">
      <c r="A4480" s="2" t="s">
        <v>11821</v>
      </c>
      <c r="B4480" s="2" t="s">
        <v>11821</v>
      </c>
      <c r="C4480" s="2" t="s">
        <v>26</v>
      </c>
      <c r="D4480" s="2" t="s">
        <v>27</v>
      </c>
      <c r="E4480" s="4">
        <v>-32735</v>
      </c>
      <c r="F4480" s="3" t="s">
        <v>612</v>
      </c>
      <c r="G4480" s="3" t="s">
        <v>359</v>
      </c>
      <c r="H4480" s="2" t="s">
        <v>74</v>
      </c>
      <c r="I4480" s="2" t="s">
        <v>11849</v>
      </c>
      <c r="J4480" s="3" t="str">
        <f>HYPERLINK("https://www.boe.es/gazeta/dias/1810/05/16/pdfs/GMD-1810-136.pdf#page=3","Abrir facsímil")</f>
        <v>Abrir facsímil</v>
      </c>
      <c r="K4480" s="3" t="s">
        <v>76</v>
      </c>
    </row>
    <row r="4481" spans="1:11" ht="42" customHeight="1">
      <c r="A4481" s="2" t="s">
        <v>11821</v>
      </c>
      <c r="B4481" s="2" t="s">
        <v>11821</v>
      </c>
      <c r="C4481" s="2" t="s">
        <v>17</v>
      </c>
      <c r="D4481" s="2" t="s">
        <v>18</v>
      </c>
      <c r="E4481" s="4">
        <v>-32732</v>
      </c>
      <c r="F4481" s="3" t="s">
        <v>545</v>
      </c>
      <c r="G4481" s="3" t="s">
        <v>90</v>
      </c>
      <c r="H4481" s="2" t="s">
        <v>74</v>
      </c>
      <c r="I4481" s="2" t="s">
        <v>11850</v>
      </c>
      <c r="J4481" s="3" t="str">
        <f>HYPERLINK("https://www.boe.es/gazeta/dias/1810/05/19/pdfs/GMD-1810-139.pdf#page=4","Abrir facsímil")</f>
        <v>Abrir facsímil</v>
      </c>
      <c r="K4481" s="3" t="s">
        <v>76</v>
      </c>
    </row>
    <row r="4482" spans="1:11" ht="42" customHeight="1">
      <c r="A4482" s="2" t="s">
        <v>11821</v>
      </c>
      <c r="B4482" s="2" t="s">
        <v>11821</v>
      </c>
      <c r="C4482" s="2" t="s">
        <v>26</v>
      </c>
      <c r="D4482" s="2" t="s">
        <v>220</v>
      </c>
      <c r="E4482" s="4">
        <v>-32713</v>
      </c>
      <c r="F4482" s="3" t="s">
        <v>959</v>
      </c>
      <c r="G4482" s="3" t="s">
        <v>960</v>
      </c>
      <c r="H4482" s="2" t="s">
        <v>74</v>
      </c>
      <c r="I4482" s="2" t="s">
        <v>11851</v>
      </c>
      <c r="J4482" s="3" t="str">
        <f>HYPERLINK("https://www.boe.es/gazeta/dias/1810/06/07/pdfs/GMD-1810-158.pdf#page=4","Abrir facsímil")</f>
        <v>Abrir facsímil</v>
      </c>
      <c r="K4482" s="3" t="s">
        <v>76</v>
      </c>
    </row>
    <row r="4483" spans="1:11" ht="42" customHeight="1">
      <c r="A4483" s="2" t="s">
        <v>11821</v>
      </c>
      <c r="B4483" s="2" t="s">
        <v>11821</v>
      </c>
      <c r="C4483" s="2" t="s">
        <v>26</v>
      </c>
      <c r="D4483" s="2" t="s">
        <v>27</v>
      </c>
      <c r="E4483" s="4">
        <v>-32710</v>
      </c>
      <c r="F4483" s="3" t="s">
        <v>126</v>
      </c>
      <c r="G4483" s="3" t="s">
        <v>20</v>
      </c>
      <c r="H4483" s="2" t="s">
        <v>74</v>
      </c>
      <c r="I4483" s="2" t="s">
        <v>11852</v>
      </c>
      <c r="J4483" s="3" t="str">
        <f>HYPERLINK("https://www.boe.es/gazeta/dias/1810/06/10/pdfs/GMD-1810-161.pdf#page=4","Abrir facsímil")</f>
        <v>Abrir facsímil</v>
      </c>
      <c r="K4483" s="3" t="s">
        <v>76</v>
      </c>
    </row>
    <row r="4484" spans="1:11" ht="42" customHeight="1">
      <c r="A4484" s="2" t="s">
        <v>11821</v>
      </c>
      <c r="B4484" s="2" t="s">
        <v>11821</v>
      </c>
      <c r="C4484" s="2" t="s">
        <v>88</v>
      </c>
      <c r="D4484" s="2" t="s">
        <v>27</v>
      </c>
      <c r="E4484" s="4">
        <v>-32700</v>
      </c>
      <c r="F4484" s="3" t="s">
        <v>89</v>
      </c>
      <c r="G4484" s="3" t="s">
        <v>70</v>
      </c>
      <c r="H4484" s="2" t="s">
        <v>74</v>
      </c>
      <c r="I4484" s="2" t="s">
        <v>11853</v>
      </c>
      <c r="J4484" s="3" t="str">
        <f>HYPERLINK("https://www.boe.es/gazeta/dias/1810/06/20/pdfs/GMD-1810-171.pdf#page=4","Abrir facsímil")</f>
        <v>Abrir facsímil</v>
      </c>
      <c r="K4484" s="3" t="s">
        <v>76</v>
      </c>
    </row>
    <row r="4485" spans="1:11" ht="42" customHeight="1">
      <c r="A4485" s="2" t="s">
        <v>11821</v>
      </c>
      <c r="B4485" s="2" t="s">
        <v>11821</v>
      </c>
      <c r="C4485" s="2" t="s">
        <v>33</v>
      </c>
      <c r="D4485" s="2" t="s">
        <v>27</v>
      </c>
      <c r="E4485" s="4">
        <v>-32688</v>
      </c>
      <c r="F4485" s="3" t="s">
        <v>997</v>
      </c>
      <c r="G4485" s="3" t="s">
        <v>749</v>
      </c>
      <c r="H4485" s="2" t="s">
        <v>74</v>
      </c>
      <c r="I4485" s="2" t="s">
        <v>11854</v>
      </c>
      <c r="J4485" s="3" t="str">
        <f>HYPERLINK("https://www.boe.es/gazeta/dias/1810/07/02/pdfs/GMD-1810-183.pdf#page=4","Abrir facsímil")</f>
        <v>Abrir facsímil</v>
      </c>
      <c r="K4485" s="3" t="s">
        <v>76</v>
      </c>
    </row>
    <row r="4486" spans="1:11" ht="42" customHeight="1">
      <c r="A4486" s="2" t="s">
        <v>11821</v>
      </c>
      <c r="B4486" s="2" t="s">
        <v>11821</v>
      </c>
      <c r="C4486" s="2" t="s">
        <v>26</v>
      </c>
      <c r="D4486" s="2" t="s">
        <v>39</v>
      </c>
      <c r="E4486" s="4">
        <v>-32687</v>
      </c>
      <c r="F4486" s="3" t="s">
        <v>304</v>
      </c>
      <c r="G4486" s="3" t="s">
        <v>140</v>
      </c>
      <c r="H4486" s="2" t="s">
        <v>74</v>
      </c>
      <c r="I4486" s="2" t="s">
        <v>11855</v>
      </c>
      <c r="J4486" s="3" t="str">
        <f>HYPERLINK("https://www.boe.es/gazeta/dias/1810/07/03/pdfs/GMD-C-1810-184.pdf#page=2","Abrir facsímil")</f>
        <v>Abrir facsímil</v>
      </c>
      <c r="K4486" s="3" t="s">
        <v>76</v>
      </c>
    </row>
    <row r="4487" spans="1:11" ht="42" customHeight="1">
      <c r="A4487" s="2" t="s">
        <v>11821</v>
      </c>
      <c r="B4487" s="2" t="s">
        <v>11821</v>
      </c>
      <c r="C4487" s="2" t="s">
        <v>17</v>
      </c>
      <c r="D4487" s="2" t="s">
        <v>18</v>
      </c>
      <c r="E4487" s="4">
        <v>-32683</v>
      </c>
      <c r="F4487" s="3" t="s">
        <v>579</v>
      </c>
      <c r="G4487" s="3" t="s">
        <v>5489</v>
      </c>
      <c r="H4487" s="2" t="s">
        <v>74</v>
      </c>
      <c r="I4487" s="2" t="s">
        <v>11856</v>
      </c>
      <c r="J4487" s="3" t="str">
        <f>HYPERLINK("https://www.boe.es/gazeta/dias/1810/07/07/pdfs/GMD-1810-188.pdf#page=3","Abrir facsímil")</f>
        <v>Abrir facsímil</v>
      </c>
      <c r="K4487" s="3" t="s">
        <v>76</v>
      </c>
    </row>
    <row r="4488" spans="1:11" ht="42" customHeight="1">
      <c r="A4488" s="2" t="s">
        <v>11821</v>
      </c>
      <c r="B4488" s="2" t="s">
        <v>11821</v>
      </c>
      <c r="C4488" s="2" t="s">
        <v>88</v>
      </c>
      <c r="D4488" s="2" t="s">
        <v>117</v>
      </c>
      <c r="E4488" s="4">
        <v>-32676</v>
      </c>
      <c r="F4488" s="3" t="s">
        <v>2863</v>
      </c>
      <c r="G4488" s="3" t="s">
        <v>592</v>
      </c>
      <c r="H4488" s="2" t="s">
        <v>74</v>
      </c>
      <c r="I4488" s="2" t="s">
        <v>11857</v>
      </c>
      <c r="J4488" s="3" t="str">
        <f>HYPERLINK("https://www.boe.es/gazeta/dias/1810/07/14/pdfs/GMD-1810-195.pdf#page=4","Abrir facsímil")</f>
        <v>Abrir facsímil</v>
      </c>
      <c r="K4488" s="3" t="s">
        <v>76</v>
      </c>
    </row>
    <row r="4489" spans="1:11" ht="42" customHeight="1">
      <c r="A4489" s="2" t="s">
        <v>11821</v>
      </c>
      <c r="B4489" s="2" t="s">
        <v>11821</v>
      </c>
      <c r="C4489" s="2" t="s">
        <v>26</v>
      </c>
      <c r="D4489" s="2" t="s">
        <v>18</v>
      </c>
      <c r="E4489" s="4">
        <v>-32670</v>
      </c>
      <c r="F4489" s="3" t="s">
        <v>2457</v>
      </c>
      <c r="G4489" s="3" t="s">
        <v>1464</v>
      </c>
      <c r="H4489" s="2" t="s">
        <v>74</v>
      </c>
      <c r="I4489" s="2" t="s">
        <v>11858</v>
      </c>
      <c r="J4489" s="3" t="str">
        <f>HYPERLINK("https://www.boe.es/gazeta/dias/1810/07/20/pdfs/GMD-C-1810-201.pdf#page=3","Abrir facsímil")</f>
        <v>Abrir facsímil</v>
      </c>
      <c r="K4489" s="3" t="s">
        <v>76</v>
      </c>
    </row>
    <row r="4490" spans="1:11" ht="42" customHeight="1">
      <c r="A4490" s="2" t="s">
        <v>11821</v>
      </c>
      <c r="B4490" s="2" t="s">
        <v>11821</v>
      </c>
      <c r="C4490" s="2" t="s">
        <v>317</v>
      </c>
      <c r="D4490" s="2" t="s">
        <v>39</v>
      </c>
      <c r="E4490" s="4">
        <v>-32669</v>
      </c>
      <c r="F4490" s="3" t="s">
        <v>1110</v>
      </c>
      <c r="G4490" s="3" t="s">
        <v>213</v>
      </c>
      <c r="H4490" s="2" t="s">
        <v>74</v>
      </c>
      <c r="I4490" s="2" t="s">
        <v>11859</v>
      </c>
      <c r="J4490" s="3" t="str">
        <f>HYPERLINK("https://www.boe.es/gazeta/dias/1810/07/21/pdfs/GMD-C-1810-202.pdf#page=1","Abrir facsímil")</f>
        <v>Abrir facsímil</v>
      </c>
      <c r="K4490" s="3" t="s">
        <v>76</v>
      </c>
    </row>
    <row r="4491" spans="1:11" ht="42" customHeight="1">
      <c r="A4491" s="2" t="s">
        <v>11821</v>
      </c>
      <c r="B4491" s="2" t="s">
        <v>11821</v>
      </c>
      <c r="C4491" s="2" t="s">
        <v>26</v>
      </c>
      <c r="D4491" s="2" t="s">
        <v>39</v>
      </c>
      <c r="E4491" s="4">
        <v>-32669</v>
      </c>
      <c r="F4491" s="3" t="s">
        <v>1110</v>
      </c>
      <c r="G4491" s="3" t="s">
        <v>1222</v>
      </c>
      <c r="H4491" s="2" t="s">
        <v>74</v>
      </c>
      <c r="I4491" s="2" t="s">
        <v>11860</v>
      </c>
      <c r="J4491" s="3" t="str">
        <f>HYPERLINK("https://www.boe.es/gazeta/dias/1810/07/21/pdfs/GMD-C-1810-202.pdf#page=2","Abrir facsímil")</f>
        <v>Abrir facsímil</v>
      </c>
      <c r="K4491" s="3" t="s">
        <v>76</v>
      </c>
    </row>
    <row r="4492" spans="1:11" ht="42" customHeight="1">
      <c r="A4492" s="2" t="s">
        <v>11861</v>
      </c>
      <c r="B4492" s="2" t="s">
        <v>11861</v>
      </c>
      <c r="C4492" s="2" t="s">
        <v>26</v>
      </c>
      <c r="D4492" s="2" t="s">
        <v>27</v>
      </c>
      <c r="E4492" s="4">
        <v>-32663</v>
      </c>
      <c r="F4492" s="3" t="s">
        <v>1615</v>
      </c>
      <c r="G4492" s="3" t="s">
        <v>465</v>
      </c>
      <c r="H4492" s="2" t="s">
        <v>74</v>
      </c>
      <c r="I4492" s="2" t="s">
        <v>11862</v>
      </c>
      <c r="J4492" s="3" t="str">
        <f>HYPERLINK("https://www.boe.es/gazeta/dias/1810/07/27/pdfs/GMD-1810-208.pdf#page=4","Abrir facsímil")</f>
        <v>Abrir facsímil</v>
      </c>
      <c r="K4492" s="3" t="s">
        <v>76</v>
      </c>
    </row>
    <row r="4493" spans="1:11" ht="42" customHeight="1">
      <c r="A4493" s="2" t="s">
        <v>11821</v>
      </c>
      <c r="B4493" s="2" t="s">
        <v>11821</v>
      </c>
      <c r="C4493" s="2" t="s">
        <v>26</v>
      </c>
      <c r="D4493" s="2" t="s">
        <v>27</v>
      </c>
      <c r="E4493" s="4">
        <v>-32661</v>
      </c>
      <c r="F4493" s="3" t="s">
        <v>7882</v>
      </c>
      <c r="G4493" s="3" t="s">
        <v>20</v>
      </c>
      <c r="H4493" s="2" t="s">
        <v>74</v>
      </c>
      <c r="I4493" s="2" t="s">
        <v>11863</v>
      </c>
      <c r="J4493" s="3" t="str">
        <f>HYPERLINK("https://www.boe.es/gazeta/dias/1810/07/29/pdfs/GMD-1810-210.pdf#page=4","Abrir facsímil")</f>
        <v>Abrir facsímil</v>
      </c>
      <c r="K4493" s="3" t="s">
        <v>76</v>
      </c>
    </row>
    <row r="4494" spans="1:11" ht="42" customHeight="1">
      <c r="A4494" s="2" t="s">
        <v>11821</v>
      </c>
      <c r="B4494" s="2" t="s">
        <v>11821</v>
      </c>
      <c r="C4494" s="2" t="s">
        <v>26</v>
      </c>
      <c r="D4494" s="2" t="s">
        <v>27</v>
      </c>
      <c r="E4494" s="4">
        <v>-32568</v>
      </c>
      <c r="F4494" s="3" t="s">
        <v>1233</v>
      </c>
      <c r="G4494" s="3" t="s">
        <v>140</v>
      </c>
      <c r="H4494" s="2" t="s">
        <v>74</v>
      </c>
      <c r="I4494" s="2" t="s">
        <v>11864</v>
      </c>
      <c r="J4494" s="3" t="str">
        <f>HYPERLINK("https://www.boe.es/gazeta/dias/1810/10/30/pdfs/GMD-1810-303.pdf#page=4","Abrir facsímil")</f>
        <v>Abrir facsímil</v>
      </c>
      <c r="K4494" s="3" t="s">
        <v>76</v>
      </c>
    </row>
    <row r="4495" spans="1:11" ht="42" customHeight="1">
      <c r="A4495" s="2" t="s">
        <v>11821</v>
      </c>
      <c r="B4495" s="2" t="s">
        <v>11821</v>
      </c>
      <c r="C4495" s="2" t="s">
        <v>88</v>
      </c>
      <c r="D4495" s="2" t="s">
        <v>18</v>
      </c>
      <c r="E4495" s="4">
        <v>-32566</v>
      </c>
      <c r="F4495" s="3" t="s">
        <v>405</v>
      </c>
      <c r="G4495" s="3" t="s">
        <v>4261</v>
      </c>
      <c r="H4495" s="2" t="s">
        <v>74</v>
      </c>
      <c r="I4495" s="2" t="s">
        <v>11865</v>
      </c>
      <c r="J4495" s="3" t="str">
        <f>HYPERLINK("https://www.boe.es/gazeta/dias/1810/11/01/pdfs/GMD-1810-305.pdf#page=1","Abrir facsímil")</f>
        <v>Abrir facsímil</v>
      </c>
      <c r="K4495" s="3" t="s">
        <v>76</v>
      </c>
    </row>
    <row r="4496" spans="1:11" ht="42" customHeight="1">
      <c r="A4496" s="2" t="s">
        <v>11821</v>
      </c>
      <c r="B4496" s="2" t="s">
        <v>11821</v>
      </c>
      <c r="C4496" s="2" t="s">
        <v>88</v>
      </c>
      <c r="D4496" s="2" t="s">
        <v>117</v>
      </c>
      <c r="E4496" s="4">
        <v>-32566</v>
      </c>
      <c r="F4496" s="3" t="s">
        <v>405</v>
      </c>
      <c r="G4496" s="3" t="s">
        <v>469</v>
      </c>
      <c r="H4496" s="2" t="s">
        <v>74</v>
      </c>
      <c r="I4496" s="2" t="s">
        <v>11866</v>
      </c>
      <c r="J4496" s="3" t="str">
        <f>HYPERLINK("https://www.boe.es/gazeta/dias/1810/11/01/pdfs/GMD-1810-305.pdf#page=2","Abrir facsímil")</f>
        <v>Abrir facsímil</v>
      </c>
      <c r="K4496" s="3" t="s">
        <v>76</v>
      </c>
    </row>
    <row r="4497" spans="1:11" ht="42" customHeight="1">
      <c r="A4497" s="2" t="s">
        <v>11821</v>
      </c>
      <c r="B4497" s="2" t="s">
        <v>11821</v>
      </c>
      <c r="C4497" s="2" t="s">
        <v>26</v>
      </c>
      <c r="D4497" s="2" t="s">
        <v>27</v>
      </c>
      <c r="E4497" s="4">
        <v>-32566</v>
      </c>
      <c r="F4497" s="3" t="s">
        <v>405</v>
      </c>
      <c r="G4497" s="3" t="s">
        <v>99</v>
      </c>
      <c r="H4497" s="2" t="s">
        <v>74</v>
      </c>
      <c r="I4497" s="2" t="s">
        <v>11867</v>
      </c>
      <c r="J4497" s="3" t="str">
        <f>HYPERLINK("https://www.boe.es/gazeta/dias/1810/11/01/pdfs/GMD-1810-305.pdf#page=3","Abrir facsímil")</f>
        <v>Abrir facsímil</v>
      </c>
      <c r="K4497" s="3" t="s">
        <v>76</v>
      </c>
    </row>
    <row r="4498" spans="1:11" ht="42" customHeight="1">
      <c r="A4498" s="2" t="s">
        <v>11821</v>
      </c>
      <c r="B4498" s="2" t="s">
        <v>11821</v>
      </c>
      <c r="C4498" s="2" t="s">
        <v>88</v>
      </c>
      <c r="D4498" s="2" t="s">
        <v>27</v>
      </c>
      <c r="E4498" s="4">
        <v>-32565</v>
      </c>
      <c r="F4498" s="3" t="s">
        <v>743</v>
      </c>
      <c r="G4498" s="3" t="s">
        <v>458</v>
      </c>
      <c r="H4498" s="2" t="s">
        <v>74</v>
      </c>
      <c r="I4498" s="2" t="s">
        <v>11868</v>
      </c>
      <c r="J4498" s="3" t="str">
        <f>HYPERLINK("https://www.boe.es/gazeta/dias/1810/11/02/pdfs/GMD-1810-306.pdf#page=2","Abrir facsímil")</f>
        <v>Abrir facsímil</v>
      </c>
      <c r="K4498" s="3" t="s">
        <v>76</v>
      </c>
    </row>
    <row r="4499" spans="1:11" ht="42" customHeight="1">
      <c r="A4499" s="2" t="s">
        <v>11821</v>
      </c>
      <c r="B4499" s="2" t="s">
        <v>11821</v>
      </c>
      <c r="C4499" s="2" t="s">
        <v>88</v>
      </c>
      <c r="D4499" s="2" t="s">
        <v>117</v>
      </c>
      <c r="E4499" s="4">
        <v>-32564</v>
      </c>
      <c r="F4499" s="3" t="s">
        <v>1604</v>
      </c>
      <c r="G4499" s="3" t="s">
        <v>1605</v>
      </c>
      <c r="H4499" s="2" t="s">
        <v>74</v>
      </c>
      <c r="I4499" s="2" t="s">
        <v>11869</v>
      </c>
      <c r="J4499" s="3" t="str">
        <f>HYPERLINK("https://www.boe.es/gazeta/dias/1810/11/03/pdfs/GMD-1810-307.pdf#page=2","Abrir facsímil")</f>
        <v>Abrir facsímil</v>
      </c>
      <c r="K4499" s="3" t="s">
        <v>76</v>
      </c>
    </row>
    <row r="4500" spans="1:11" ht="42" customHeight="1">
      <c r="A4500" s="2" t="s">
        <v>11821</v>
      </c>
      <c r="B4500" s="2" t="s">
        <v>11821</v>
      </c>
      <c r="C4500" s="2" t="s">
        <v>88</v>
      </c>
      <c r="D4500" s="2" t="s">
        <v>27</v>
      </c>
      <c r="E4500" s="4">
        <v>-32544</v>
      </c>
      <c r="F4500" s="3" t="s">
        <v>1239</v>
      </c>
      <c r="G4500" s="3" t="s">
        <v>99</v>
      </c>
      <c r="H4500" s="2" t="s">
        <v>74</v>
      </c>
      <c r="I4500" s="2" t="s">
        <v>11870</v>
      </c>
      <c r="J4500" s="3" t="str">
        <f>HYPERLINK("https://www.boe.es/gazeta/dias/1810/11/23/pdfs/GMD-1810-327.pdf#page=3","Abrir facsímil")</f>
        <v>Abrir facsímil</v>
      </c>
      <c r="K4500" s="3" t="s">
        <v>76</v>
      </c>
    </row>
    <row r="4501" spans="1:11" ht="42" customHeight="1">
      <c r="A4501" s="2" t="s">
        <v>11821</v>
      </c>
      <c r="B4501" s="2" t="s">
        <v>11821</v>
      </c>
      <c r="C4501" s="2" t="s">
        <v>26</v>
      </c>
      <c r="D4501" s="2" t="s">
        <v>27</v>
      </c>
      <c r="E4501" s="4">
        <v>-32528</v>
      </c>
      <c r="F4501" s="3" t="s">
        <v>3058</v>
      </c>
      <c r="G4501" s="3" t="s">
        <v>359</v>
      </c>
      <c r="H4501" s="2" t="s">
        <v>74</v>
      </c>
      <c r="I4501" s="2" t="s">
        <v>11871</v>
      </c>
      <c r="J4501" s="3" t="str">
        <f>HYPERLINK("https://www.boe.es/gazeta/dias/1810/12/09/pdfs/GMD-1810-343.pdf#page=3","Abrir facsímil")</f>
        <v>Abrir facsímil</v>
      </c>
      <c r="K4501" s="3" t="s">
        <v>76</v>
      </c>
    </row>
    <row r="4502" spans="1:11" ht="42" customHeight="1">
      <c r="A4502" s="2" t="s">
        <v>11821</v>
      </c>
      <c r="B4502" s="2" t="s">
        <v>11821</v>
      </c>
      <c r="C4502" s="2" t="s">
        <v>17</v>
      </c>
      <c r="D4502" s="2" t="s">
        <v>27</v>
      </c>
      <c r="E4502" s="4">
        <v>-32522</v>
      </c>
      <c r="F4502" s="3" t="s">
        <v>1168</v>
      </c>
      <c r="G4502" s="3" t="s">
        <v>90</v>
      </c>
      <c r="H4502" s="2" t="s">
        <v>74</v>
      </c>
      <c r="I4502" s="2" t="s">
        <v>11872</v>
      </c>
      <c r="J4502" s="3" t="str">
        <f>HYPERLINK("https://www.boe.es/gazeta/dias/1810/12/15/pdfs/GMD-1810-349.pdf#page=3","Abrir facsímil")</f>
        <v>Abrir facsímil</v>
      </c>
      <c r="K4502" s="3" t="s">
        <v>76</v>
      </c>
    </row>
    <row r="4503" spans="1:11" ht="42" customHeight="1">
      <c r="A4503" s="2" t="s">
        <v>11821</v>
      </c>
      <c r="B4503" s="2" t="s">
        <v>11821</v>
      </c>
      <c r="C4503" s="2" t="s">
        <v>225</v>
      </c>
      <c r="D4503" s="2" t="s">
        <v>27</v>
      </c>
      <c r="E4503" s="4">
        <v>-32520</v>
      </c>
      <c r="F4503" s="3" t="s">
        <v>2109</v>
      </c>
      <c r="G4503" s="3" t="s">
        <v>2110</v>
      </c>
      <c r="H4503" s="2" t="s">
        <v>74</v>
      </c>
      <c r="I4503" s="2" t="s">
        <v>11873</v>
      </c>
      <c r="J4503" s="3" t="str">
        <f>HYPERLINK("https://www.boe.es/gazeta/dias/1810/12/17/pdfs/GMD-1810-351.pdf#page=2","Abrir facsímil")</f>
        <v>Abrir facsímil</v>
      </c>
      <c r="K4503" s="3" t="s">
        <v>76</v>
      </c>
    </row>
    <row r="4504" spans="1:11" ht="42" customHeight="1">
      <c r="A4504" s="2" t="s">
        <v>11821</v>
      </c>
      <c r="B4504" s="2" t="s">
        <v>11821</v>
      </c>
      <c r="C4504" s="2" t="s">
        <v>88</v>
      </c>
      <c r="D4504" s="2" t="s">
        <v>27</v>
      </c>
      <c r="E4504" s="4">
        <v>-32509</v>
      </c>
      <c r="F4504" s="3" t="s">
        <v>212</v>
      </c>
      <c r="G4504" s="3" t="s">
        <v>213</v>
      </c>
      <c r="H4504" s="2" t="s">
        <v>74</v>
      </c>
      <c r="I4504" s="2" t="s">
        <v>11874</v>
      </c>
      <c r="J4504" s="3" t="str">
        <f>HYPERLINK("https://www.boe.es/gazeta/dias/1810/12/28/pdfs/GMD-1810-362.pdf#page=4","Abrir facsímil")</f>
        <v>Abrir facsímil</v>
      </c>
      <c r="K4504" s="3" t="s">
        <v>76</v>
      </c>
    </row>
    <row r="4505" spans="1:11" ht="42" customHeight="1">
      <c r="A4505" s="2" t="s">
        <v>11875</v>
      </c>
      <c r="B4505" s="2" t="s">
        <v>11875</v>
      </c>
      <c r="C4505" s="2" t="s">
        <v>17</v>
      </c>
      <c r="D4505" s="2" t="s">
        <v>27</v>
      </c>
      <c r="E4505" s="4">
        <v>-32618</v>
      </c>
      <c r="F4505" s="3" t="s">
        <v>1501</v>
      </c>
      <c r="G4505" s="3" t="s">
        <v>20</v>
      </c>
      <c r="H4505" s="2" t="s">
        <v>74</v>
      </c>
      <c r="I4505" s="2" t="s">
        <v>11876</v>
      </c>
      <c r="J4505" s="3" t="str">
        <f>HYPERLINK("https://www.boe.es/gazeta/dias/1810/09/10/pdfs/GMD-1810-253.pdf#page=4","Abrir facsímil")</f>
        <v>Abrir facsímil</v>
      </c>
      <c r="K4505" s="3" t="s">
        <v>76</v>
      </c>
    </row>
    <row r="4506" spans="1:11" ht="42" customHeight="1">
      <c r="A4506" s="2" t="s">
        <v>11877</v>
      </c>
      <c r="B4506" s="2" t="s">
        <v>11878</v>
      </c>
      <c r="C4506" s="2" t="s">
        <v>26</v>
      </c>
      <c r="D4506" s="2" t="s">
        <v>39</v>
      </c>
      <c r="E4506" s="4">
        <v>-32701</v>
      </c>
      <c r="F4506" s="3" t="s">
        <v>40</v>
      </c>
      <c r="G4506" s="3" t="s">
        <v>333</v>
      </c>
      <c r="H4506" s="2" t="s">
        <v>74</v>
      </c>
      <c r="I4506" s="2" t="s">
        <v>11879</v>
      </c>
      <c r="J4506" s="3" t="str">
        <f>HYPERLINK("https://www.boe.es/gazeta/dias/1810/06/19/pdfs/GMD-C-1810-170.pdf#page=4","Abrir facsímil")</f>
        <v>Abrir facsímil</v>
      </c>
      <c r="K4506" s="3" t="s">
        <v>76</v>
      </c>
    </row>
    <row r="4507" spans="1:11" ht="42" customHeight="1">
      <c r="A4507" s="2" t="s">
        <v>11880</v>
      </c>
      <c r="B4507" s="2" t="s">
        <v>11881</v>
      </c>
      <c r="C4507" s="2" t="s">
        <v>26</v>
      </c>
      <c r="D4507" s="2" t="s">
        <v>39</v>
      </c>
      <c r="E4507" s="4">
        <v>-32702</v>
      </c>
      <c r="F4507" s="3" t="s">
        <v>179</v>
      </c>
      <c r="G4507" s="3" t="s">
        <v>119</v>
      </c>
      <c r="H4507" s="2" t="s">
        <v>74</v>
      </c>
      <c r="I4507" s="2" t="s">
        <v>11882</v>
      </c>
      <c r="J4507" s="3" t="str">
        <f>HYPERLINK("https://www.boe.es/gazeta/dias/1810/06/18/pdfs/GMD-C-1810-169.pdf#page=1","Abrir facsímil")</f>
        <v>Abrir facsímil</v>
      </c>
      <c r="K4507" s="3" t="s">
        <v>76</v>
      </c>
    </row>
    <row r="4508" spans="1:11" ht="42" customHeight="1">
      <c r="A4508" s="2" t="s">
        <v>11883</v>
      </c>
      <c r="B4508" s="2" t="s">
        <v>11884</v>
      </c>
      <c r="C4508" s="2" t="s">
        <v>88</v>
      </c>
      <c r="D4508" s="2" t="s">
        <v>117</v>
      </c>
      <c r="E4508" s="4">
        <v>-32767</v>
      </c>
      <c r="F4508" s="3" t="s">
        <v>1265</v>
      </c>
      <c r="G4508" s="3" t="s">
        <v>1266</v>
      </c>
      <c r="H4508" s="2" t="s">
        <v>74</v>
      </c>
      <c r="I4508" s="2" t="s">
        <v>11885</v>
      </c>
      <c r="J4508" s="3" t="str">
        <f>HYPERLINK("https://www.boe.es/gazeta/dias/1810/04/14/pdfs/GMD-1810-104.pdf#page=4","Abrir facsímil")</f>
        <v>Abrir facsímil</v>
      </c>
      <c r="K4508" s="3" t="s">
        <v>76</v>
      </c>
    </row>
    <row r="4509" spans="1:11" ht="42" customHeight="1">
      <c r="A4509" s="2" t="s">
        <v>11886</v>
      </c>
      <c r="B4509" s="2" t="s">
        <v>11887</v>
      </c>
      <c r="C4509" s="2" t="s">
        <v>33</v>
      </c>
      <c r="D4509" s="2" t="s">
        <v>27</v>
      </c>
      <c r="E4509" s="4">
        <v>-32836</v>
      </c>
      <c r="F4509" s="3" t="s">
        <v>1094</v>
      </c>
      <c r="G4509" s="3" t="s">
        <v>140</v>
      </c>
      <c r="H4509" s="2" t="s">
        <v>74</v>
      </c>
      <c r="I4509" s="2" t="s">
        <v>11888</v>
      </c>
      <c r="J4509" s="3" t="str">
        <f>HYPERLINK("https://www.boe.es/gazeta/dias/1810/02/04/pdfs/GMD-1810-35.pdf#page=2","Abrir facsímil")</f>
        <v>Abrir facsímil</v>
      </c>
      <c r="K4509" s="3" t="s">
        <v>76</v>
      </c>
    </row>
    <row r="4510" spans="1:11" ht="42" customHeight="1">
      <c r="A4510" s="2" t="s">
        <v>11886</v>
      </c>
      <c r="B4510" s="2" t="s">
        <v>11887</v>
      </c>
      <c r="C4510" s="2" t="s">
        <v>26</v>
      </c>
      <c r="D4510" s="2" t="s">
        <v>27</v>
      </c>
      <c r="E4510" s="4">
        <v>-32807</v>
      </c>
      <c r="F4510" s="3" t="s">
        <v>1338</v>
      </c>
      <c r="G4510" s="3" t="s">
        <v>11833</v>
      </c>
      <c r="H4510" s="2" t="s">
        <v>74</v>
      </c>
      <c r="I4510" s="2" t="s">
        <v>11889</v>
      </c>
      <c r="J4510" s="3" t="str">
        <f>HYPERLINK("https://www.boe.es/gazeta/dias/1810/03/05/pdfs/GMD-1810-64.pdf#page=4","Abrir facsímil")</f>
        <v>Abrir facsímil</v>
      </c>
      <c r="K4510" s="3" t="s">
        <v>76</v>
      </c>
    </row>
    <row r="4511" spans="1:11" ht="42" customHeight="1">
      <c r="A4511" s="2" t="s">
        <v>11890</v>
      </c>
      <c r="B4511" s="2" t="s">
        <v>11891</v>
      </c>
      <c r="C4511" s="2" t="s">
        <v>225</v>
      </c>
      <c r="D4511" s="2" t="s">
        <v>27</v>
      </c>
      <c r="E4511" s="4">
        <v>-32732</v>
      </c>
      <c r="F4511" s="3" t="s">
        <v>545</v>
      </c>
      <c r="G4511" s="3" t="s">
        <v>90</v>
      </c>
      <c r="H4511" s="2" t="s">
        <v>74</v>
      </c>
      <c r="I4511" s="2" t="s">
        <v>11892</v>
      </c>
      <c r="J4511" s="3" t="str">
        <f>HYPERLINK("https://www.boe.es/gazeta/dias/1810/05/19/pdfs/GMD-1810-139.pdf#page=4","Abrir facsímil")</f>
        <v>Abrir facsímil</v>
      </c>
      <c r="K4511" s="3" t="s">
        <v>76</v>
      </c>
    </row>
    <row r="4512" spans="1:11" ht="42" customHeight="1">
      <c r="A4512" s="2" t="s">
        <v>11893</v>
      </c>
      <c r="B4512" s="2" t="s">
        <v>11893</v>
      </c>
      <c r="C4512" s="2" t="s">
        <v>88</v>
      </c>
      <c r="D4512" s="2" t="s">
        <v>117</v>
      </c>
      <c r="E4512" s="4">
        <v>-32658</v>
      </c>
      <c r="F4512" s="3" t="s">
        <v>1224</v>
      </c>
      <c r="G4512" s="3" t="s">
        <v>140</v>
      </c>
      <c r="H4512" s="2" t="s">
        <v>74</v>
      </c>
      <c r="I4512" s="2" t="s">
        <v>11894</v>
      </c>
      <c r="J4512" s="3" t="str">
        <f>HYPERLINK("https://www.boe.es/gazeta/dias/1810/08/01/pdfs/GMD-1810-213.pdf#page=4","Abrir facsímil")</f>
        <v>Abrir facsímil</v>
      </c>
      <c r="K4512" s="3" t="s">
        <v>76</v>
      </c>
    </row>
    <row r="4513" spans="1:11" ht="42" customHeight="1">
      <c r="A4513" s="2" t="s">
        <v>11895</v>
      </c>
      <c r="B4513" s="2" t="s">
        <v>11895</v>
      </c>
      <c r="C4513" s="2" t="s">
        <v>26</v>
      </c>
      <c r="D4513" s="2" t="s">
        <v>39</v>
      </c>
      <c r="E4513" s="4">
        <v>-32702</v>
      </c>
      <c r="F4513" s="3" t="s">
        <v>179</v>
      </c>
      <c r="G4513" s="3" t="s">
        <v>119</v>
      </c>
      <c r="H4513" s="2" t="s">
        <v>74</v>
      </c>
      <c r="I4513" s="2" t="s">
        <v>11896</v>
      </c>
      <c r="J4513" s="3" t="str">
        <f>HYPERLINK("https://www.boe.es/gazeta/dias/1810/06/18/pdfs/GMD-C-1810-169.pdf#page=1","Abrir facsímil")</f>
        <v>Abrir facsímil</v>
      </c>
      <c r="K4513" s="3" t="s">
        <v>76</v>
      </c>
    </row>
    <row r="4514" spans="1:11" ht="42" customHeight="1">
      <c r="A4514" s="2" t="s">
        <v>11895</v>
      </c>
      <c r="B4514" s="2" t="s">
        <v>11895</v>
      </c>
      <c r="C4514" s="2" t="s">
        <v>26</v>
      </c>
      <c r="D4514" s="2" t="s">
        <v>39</v>
      </c>
      <c r="E4514" s="4">
        <v>-32701</v>
      </c>
      <c r="F4514" s="3" t="s">
        <v>40</v>
      </c>
      <c r="G4514" s="3" t="s">
        <v>333</v>
      </c>
      <c r="H4514" s="2" t="s">
        <v>74</v>
      </c>
      <c r="I4514" s="2" t="s">
        <v>11897</v>
      </c>
      <c r="J4514" s="3" t="str">
        <f>HYPERLINK("https://www.boe.es/gazeta/dias/1810/06/19/pdfs/GMD-C-1810-170.pdf#page=4","Abrir facsímil")</f>
        <v>Abrir facsímil</v>
      </c>
      <c r="K4514" s="3" t="s">
        <v>76</v>
      </c>
    </row>
    <row r="4515" spans="1:11" ht="42" customHeight="1">
      <c r="A4515" s="2" t="s">
        <v>11898</v>
      </c>
      <c r="B4515" s="2" t="s">
        <v>11898</v>
      </c>
      <c r="C4515" s="2" t="s">
        <v>26</v>
      </c>
      <c r="D4515" s="2" t="s">
        <v>27</v>
      </c>
      <c r="E4515" s="4">
        <v>-32865</v>
      </c>
      <c r="F4515" s="3" t="s">
        <v>1377</v>
      </c>
      <c r="G4515" s="3" t="s">
        <v>20</v>
      </c>
      <c r="H4515" s="2" t="s">
        <v>74</v>
      </c>
      <c r="I4515" s="2" t="s">
        <v>11899</v>
      </c>
      <c r="J4515" s="3" t="str">
        <f>HYPERLINK("https://www.boe.es/gazeta/dias/1810/01/06/pdfs/GMD-1810-6.pdf#page=4","Abrir facsímil")</f>
        <v>Abrir facsímil</v>
      </c>
      <c r="K4515" s="3" t="s">
        <v>76</v>
      </c>
    </row>
    <row r="4516" spans="1:11" ht="42" customHeight="1">
      <c r="A4516" s="2" t="s">
        <v>11898</v>
      </c>
      <c r="B4516" s="2" t="s">
        <v>11898</v>
      </c>
      <c r="C4516" s="2" t="s">
        <v>17</v>
      </c>
      <c r="D4516" s="2" t="s">
        <v>27</v>
      </c>
      <c r="E4516" s="4">
        <v>-32858</v>
      </c>
      <c r="F4516" s="3" t="s">
        <v>4182</v>
      </c>
      <c r="G4516" s="3" t="s">
        <v>1956</v>
      </c>
      <c r="H4516" s="2" t="s">
        <v>74</v>
      </c>
      <c r="I4516" s="2" t="s">
        <v>11900</v>
      </c>
      <c r="J4516" s="3" t="str">
        <f>HYPERLINK("https://www.boe.es/gazeta/dias/1810/01/13/pdfs/GGB-1810-6.pdf#page=8","Abrir facsímil")</f>
        <v>Abrir facsímil</v>
      </c>
      <c r="K4516" s="3" t="s">
        <v>76</v>
      </c>
    </row>
    <row r="4517" spans="1:11" ht="42" customHeight="1">
      <c r="A4517" s="2" t="s">
        <v>11898</v>
      </c>
      <c r="B4517" s="2" t="s">
        <v>11898</v>
      </c>
      <c r="C4517" s="2" t="s">
        <v>26</v>
      </c>
      <c r="D4517" s="2" t="s">
        <v>220</v>
      </c>
      <c r="E4517" s="4">
        <v>-32848</v>
      </c>
      <c r="F4517" s="3" t="s">
        <v>8598</v>
      </c>
      <c r="G4517" s="3" t="s">
        <v>465</v>
      </c>
      <c r="H4517" s="2" t="s">
        <v>74</v>
      </c>
      <c r="I4517" s="2" t="s">
        <v>11901</v>
      </c>
      <c r="J4517" s="3" t="str">
        <f>HYPERLINK("https://www.boe.es/gazeta/dias/1810/01/23/pdfs/GMD-1810-23.pdf#page=1","Abrir facsímil")</f>
        <v>Abrir facsímil</v>
      </c>
      <c r="K4517" s="3" t="s">
        <v>76</v>
      </c>
    </row>
    <row r="4518" spans="1:11" ht="42" customHeight="1">
      <c r="A4518" s="2" t="s">
        <v>11898</v>
      </c>
      <c r="B4518" s="2" t="s">
        <v>11898</v>
      </c>
      <c r="C4518" s="2" t="s">
        <v>26</v>
      </c>
      <c r="D4518" s="2" t="s">
        <v>27</v>
      </c>
      <c r="E4518" s="4">
        <v>-32796</v>
      </c>
      <c r="F4518" s="3" t="s">
        <v>246</v>
      </c>
      <c r="G4518" s="3" t="s">
        <v>235</v>
      </c>
      <c r="H4518" s="2" t="s">
        <v>74</v>
      </c>
      <c r="I4518" s="2" t="s">
        <v>11902</v>
      </c>
      <c r="J4518" s="3" t="str">
        <f>HYPERLINK("https://www.boe.es/gazeta/dias/1810/03/16/pdfs/GEI-1810-2.pdf#page=3","Abrir facsímil")</f>
        <v>Abrir facsímil</v>
      </c>
      <c r="K4518" s="3" t="s">
        <v>76</v>
      </c>
    </row>
    <row r="4519" spans="1:11" ht="42" customHeight="1">
      <c r="A4519" s="2" t="s">
        <v>11898</v>
      </c>
      <c r="B4519" s="2" t="s">
        <v>11898</v>
      </c>
      <c r="C4519" s="2" t="s">
        <v>88</v>
      </c>
      <c r="D4519" s="2" t="s">
        <v>27</v>
      </c>
      <c r="E4519" s="4">
        <v>-32776</v>
      </c>
      <c r="F4519" s="3" t="s">
        <v>752</v>
      </c>
      <c r="G4519" s="3" t="s">
        <v>213</v>
      </c>
      <c r="H4519" s="2" t="s">
        <v>74</v>
      </c>
      <c r="I4519" s="2" t="s">
        <v>11903</v>
      </c>
      <c r="J4519" s="3" t="str">
        <f>HYPERLINK("https://www.boe.es/gazeta/dias/1810/04/05/pdfs/GMD-1810-95.pdf#page=3","Abrir facsímil")</f>
        <v>Abrir facsímil</v>
      </c>
      <c r="K4519" s="3" t="s">
        <v>76</v>
      </c>
    </row>
    <row r="4520" spans="1:11" ht="42" customHeight="1">
      <c r="A4520" s="2" t="s">
        <v>11898</v>
      </c>
      <c r="B4520" s="2" t="s">
        <v>11898</v>
      </c>
      <c r="C4520" s="2" t="s">
        <v>26</v>
      </c>
      <c r="D4520" s="2" t="s">
        <v>27</v>
      </c>
      <c r="E4520" s="4">
        <v>-32517</v>
      </c>
      <c r="F4520" s="3" t="s">
        <v>566</v>
      </c>
      <c r="G4520" s="3" t="s">
        <v>113</v>
      </c>
      <c r="H4520" s="2" t="s">
        <v>74</v>
      </c>
      <c r="I4520" s="2" t="s">
        <v>11904</v>
      </c>
      <c r="J4520" s="3" t="str">
        <f>HYPERLINK("https://www.boe.es/gazeta/dias/1810/12/20/pdfs/GEI-1810-110.pdf#page=1","Abrir facsímil")</f>
        <v>Abrir facsímil</v>
      </c>
      <c r="K4520" s="3" t="s">
        <v>76</v>
      </c>
    </row>
    <row r="4521" spans="1:11" ht="42" customHeight="1">
      <c r="A4521" s="2" t="s">
        <v>11905</v>
      </c>
      <c r="B4521" s="2" t="s">
        <v>11906</v>
      </c>
      <c r="C4521" s="2" t="s">
        <v>33</v>
      </c>
      <c r="D4521" s="2" t="s">
        <v>27</v>
      </c>
      <c r="E4521" s="4">
        <v>-32865</v>
      </c>
      <c r="F4521" s="3" t="s">
        <v>1377</v>
      </c>
      <c r="G4521" s="3" t="s">
        <v>20</v>
      </c>
      <c r="H4521" s="2" t="s">
        <v>21</v>
      </c>
      <c r="I4521" s="2" t="s">
        <v>11907</v>
      </c>
      <c r="J4521" s="3" t="str">
        <f>HYPERLINK("https://www.boe.es/gazeta/dias/1810/01/06/pdfs/GMD-1810-6.pdf#page=4","Abrir facsímil")</f>
        <v>Abrir facsímil</v>
      </c>
      <c r="K4521" s="3" t="s">
        <v>23</v>
      </c>
    </row>
    <row r="4522" spans="1:11" ht="42" customHeight="1">
      <c r="A4522" s="2" t="s">
        <v>11908</v>
      </c>
      <c r="B4522" s="2" t="s">
        <v>11908</v>
      </c>
      <c r="C4522" s="2" t="s">
        <v>88</v>
      </c>
      <c r="D4522" s="2" t="s">
        <v>117</v>
      </c>
      <c r="E4522" s="4">
        <v>-32795</v>
      </c>
      <c r="F4522" s="3" t="s">
        <v>690</v>
      </c>
      <c r="G4522" s="3" t="s">
        <v>213</v>
      </c>
      <c r="H4522" s="2" t="s">
        <v>74</v>
      </c>
      <c r="I4522" s="2" t="s">
        <v>11909</v>
      </c>
      <c r="J4522" s="3" t="str">
        <f>HYPERLINK("https://www.boe.es/gazeta/dias/1810/03/17/pdfs/GMD-1810-76.pdf#page=4","Abrir facsímil")</f>
        <v>Abrir facsímil</v>
      </c>
      <c r="K4522" s="3" t="s">
        <v>76</v>
      </c>
    </row>
    <row r="4523" spans="1:11" ht="42" customHeight="1">
      <c r="A4523" s="2" t="s">
        <v>11910</v>
      </c>
      <c r="B4523" s="2" t="s">
        <v>11911</v>
      </c>
      <c r="C4523" s="2" t="s">
        <v>26</v>
      </c>
      <c r="D4523" s="2" t="s">
        <v>39</v>
      </c>
      <c r="E4523" s="4">
        <v>-32702</v>
      </c>
      <c r="F4523" s="3" t="s">
        <v>179</v>
      </c>
      <c r="G4523" s="3" t="s">
        <v>119</v>
      </c>
      <c r="H4523" s="2" t="s">
        <v>74</v>
      </c>
      <c r="I4523" s="2" t="s">
        <v>11912</v>
      </c>
      <c r="J4523" s="3" t="str">
        <f>HYPERLINK("https://www.boe.es/gazeta/dias/1810/06/18/pdfs/GMD-C-1810-169.pdf#page=1","Abrir facsímil")</f>
        <v>Abrir facsímil</v>
      </c>
      <c r="K4523" s="3" t="s">
        <v>76</v>
      </c>
    </row>
    <row r="4524" spans="1:11" ht="42" customHeight="1">
      <c r="A4524" s="2" t="s">
        <v>11913</v>
      </c>
      <c r="B4524" s="2" t="s">
        <v>11913</v>
      </c>
      <c r="C4524" s="2" t="s">
        <v>26</v>
      </c>
      <c r="D4524" s="2" t="s">
        <v>39</v>
      </c>
      <c r="E4524" s="4">
        <v>-32701</v>
      </c>
      <c r="F4524" s="3" t="s">
        <v>40</v>
      </c>
      <c r="G4524" s="3" t="s">
        <v>315</v>
      </c>
      <c r="H4524" s="2" t="s">
        <v>74</v>
      </c>
      <c r="I4524" s="2" t="s">
        <v>11914</v>
      </c>
      <c r="J4524" s="3" t="str">
        <f>HYPERLINK("https://www.boe.es/gazeta/dias/1810/06/19/pdfs/GMD-C-1810-170.pdf#page=2","Abrir facsímil")</f>
        <v>Abrir facsímil</v>
      </c>
      <c r="K4524" s="3" t="s">
        <v>76</v>
      </c>
    </row>
    <row r="4525" spans="1:11" ht="42" customHeight="1">
      <c r="A4525" s="2" t="s">
        <v>11915</v>
      </c>
      <c r="B4525" s="2" t="s">
        <v>11915</v>
      </c>
      <c r="C4525" s="2" t="s">
        <v>26</v>
      </c>
      <c r="D4525" s="2" t="s">
        <v>27</v>
      </c>
      <c r="E4525" s="4">
        <v>-32784</v>
      </c>
      <c r="F4525" s="3" t="s">
        <v>429</v>
      </c>
      <c r="G4525" s="3" t="s">
        <v>1821</v>
      </c>
      <c r="H4525" s="2" t="s">
        <v>74</v>
      </c>
      <c r="I4525" s="2" t="s">
        <v>11916</v>
      </c>
      <c r="J4525" s="3" t="str">
        <f>HYPERLINK("https://www.boe.es/gazeta/dias/1810/03/28/pdfs/GMD-1810-87.pdf#page=4","Abrir facsímil")</f>
        <v>Abrir facsímil</v>
      </c>
      <c r="K4525" s="3" t="s">
        <v>76</v>
      </c>
    </row>
    <row r="4526" spans="1:11" ht="42" customHeight="1">
      <c r="A4526" s="2" t="s">
        <v>11917</v>
      </c>
      <c r="B4526" s="2" t="s">
        <v>11917</v>
      </c>
      <c r="C4526" s="2" t="s">
        <v>26</v>
      </c>
      <c r="D4526" s="2" t="s">
        <v>27</v>
      </c>
      <c r="E4526" s="4">
        <v>-32862</v>
      </c>
      <c r="F4526" s="3" t="s">
        <v>878</v>
      </c>
      <c r="G4526" s="3" t="s">
        <v>99</v>
      </c>
      <c r="H4526" s="2" t="s">
        <v>74</v>
      </c>
      <c r="I4526" s="2" t="s">
        <v>11918</v>
      </c>
      <c r="J4526" s="3" t="str">
        <f>HYPERLINK("https://www.boe.es/gazeta/dias/1810/01/09/pdfs/GMD-1810-9.pdf#page=3","Abrir facsímil")</f>
        <v>Abrir facsímil</v>
      </c>
      <c r="K4526" s="3" t="s">
        <v>76</v>
      </c>
    </row>
    <row r="4527" spans="1:11" ht="42" customHeight="1">
      <c r="A4527" s="2" t="s">
        <v>11919</v>
      </c>
      <c r="B4527" s="2" t="s">
        <v>11919</v>
      </c>
      <c r="C4527" s="2" t="s">
        <v>26</v>
      </c>
      <c r="D4527" s="2" t="s">
        <v>27</v>
      </c>
      <c r="E4527" s="4">
        <v>-32858</v>
      </c>
      <c r="F4527" s="3" t="s">
        <v>4182</v>
      </c>
      <c r="G4527" s="3" t="s">
        <v>99</v>
      </c>
      <c r="H4527" s="2" t="s">
        <v>74</v>
      </c>
      <c r="I4527" s="2" t="s">
        <v>11920</v>
      </c>
      <c r="J4527" s="3" t="str">
        <f>HYPERLINK("https://www.boe.es/gazeta/dias/1810/01/13/pdfs/GGB-1810-6.pdf#page=3","Abrir facsímil")</f>
        <v>Abrir facsímil</v>
      </c>
      <c r="K4527" s="3" t="s">
        <v>76</v>
      </c>
    </row>
    <row r="4528" spans="1:11" ht="42" customHeight="1">
      <c r="A4528" s="2" t="s">
        <v>11921</v>
      </c>
      <c r="B4528" s="2" t="s">
        <v>11921</v>
      </c>
      <c r="C4528" s="2" t="s">
        <v>88</v>
      </c>
      <c r="D4528" s="2" t="s">
        <v>27</v>
      </c>
      <c r="E4528" s="4">
        <v>-32762</v>
      </c>
      <c r="F4528" s="3" t="s">
        <v>231</v>
      </c>
      <c r="G4528" s="3" t="s">
        <v>140</v>
      </c>
      <c r="H4528" s="2" t="s">
        <v>74</v>
      </c>
      <c r="I4528" s="2" t="s">
        <v>11922</v>
      </c>
      <c r="J4528" s="3" t="str">
        <f>HYPERLINK("https://www.boe.es/gazeta/dias/1810/04/19/pdfs/GMD-1810-109.pdf#page=3","Abrir facsímil")</f>
        <v>Abrir facsímil</v>
      </c>
      <c r="K4528" s="3" t="s">
        <v>76</v>
      </c>
    </row>
    <row r="4529" spans="1:11" ht="42" customHeight="1">
      <c r="A4529" s="2" t="s">
        <v>11923</v>
      </c>
      <c r="B4529" s="2" t="s">
        <v>11924</v>
      </c>
      <c r="C4529" s="2" t="s">
        <v>26</v>
      </c>
      <c r="D4529" s="2" t="s">
        <v>18</v>
      </c>
      <c r="E4529" s="4">
        <v>-32580</v>
      </c>
      <c r="F4529" s="3" t="s">
        <v>2508</v>
      </c>
      <c r="G4529" s="3" t="s">
        <v>3559</v>
      </c>
      <c r="H4529" s="2" t="s">
        <v>74</v>
      </c>
      <c r="I4529" s="2" t="s">
        <v>11925</v>
      </c>
      <c r="J4529" s="3" t="str">
        <f>HYPERLINK("https://www.boe.es/gazeta/dias/1810/10/18/pdfs/GEI-1810-83.pdf#page=8","Abrir facsímil")</f>
        <v>Abrir facsímil</v>
      </c>
      <c r="K4529" s="3" t="s">
        <v>76</v>
      </c>
    </row>
    <row r="4530" spans="1:11" ht="42" customHeight="1">
      <c r="A4530" s="2" t="s">
        <v>11926</v>
      </c>
      <c r="B4530" s="2" t="s">
        <v>11926</v>
      </c>
      <c r="C4530" s="2" t="s">
        <v>26</v>
      </c>
      <c r="D4530" s="2" t="s">
        <v>39</v>
      </c>
      <c r="E4530" s="4">
        <v>-32670</v>
      </c>
      <c r="F4530" s="3" t="s">
        <v>2457</v>
      </c>
      <c r="G4530" s="3" t="s">
        <v>1464</v>
      </c>
      <c r="H4530" s="2" t="s">
        <v>74</v>
      </c>
      <c r="I4530" s="2" t="s">
        <v>11927</v>
      </c>
      <c r="J4530" s="3" t="str">
        <f>HYPERLINK("https://www.boe.es/gazeta/dias/1810/07/20/pdfs/GMD-C-1810-201.pdf#page=3","Abrir facsímil")</f>
        <v>Abrir facsímil</v>
      </c>
      <c r="K4530" s="3" t="s">
        <v>76</v>
      </c>
    </row>
    <row r="4531" spans="1:11" ht="42" customHeight="1">
      <c r="A4531" s="2" t="s">
        <v>11928</v>
      </c>
      <c r="B4531" s="2" t="s">
        <v>11928</v>
      </c>
      <c r="C4531" s="2" t="s">
        <v>26</v>
      </c>
      <c r="D4531" s="2" t="s">
        <v>220</v>
      </c>
      <c r="E4531" s="4">
        <v>-32727</v>
      </c>
      <c r="F4531" s="3" t="s">
        <v>1611</v>
      </c>
      <c r="G4531" s="3" t="s">
        <v>227</v>
      </c>
      <c r="H4531" s="2" t="s">
        <v>74</v>
      </c>
      <c r="I4531" s="2" t="s">
        <v>11929</v>
      </c>
      <c r="J4531" s="3" t="str">
        <f>HYPERLINK("https://www.boe.es/gazeta/dias/1810/05/24/pdfs/GMD-1810-144.pdf#page=4","Abrir facsímil")</f>
        <v>Abrir facsímil</v>
      </c>
      <c r="K4531" s="3" t="s">
        <v>76</v>
      </c>
    </row>
    <row r="4532" spans="1:11" ht="42" customHeight="1">
      <c r="A4532" s="2" t="s">
        <v>11930</v>
      </c>
      <c r="B4532" s="2" t="s">
        <v>11930</v>
      </c>
      <c r="C4532" s="2" t="s">
        <v>26</v>
      </c>
      <c r="D4532" s="2" t="s">
        <v>27</v>
      </c>
      <c r="E4532" s="4">
        <v>-32837</v>
      </c>
      <c r="F4532" s="3" t="s">
        <v>196</v>
      </c>
      <c r="G4532" s="3" t="s">
        <v>213</v>
      </c>
      <c r="H4532" s="2" t="s">
        <v>74</v>
      </c>
      <c r="I4532" s="2" t="s">
        <v>11931</v>
      </c>
      <c r="J4532" s="3" t="str">
        <f>HYPERLINK("https://www.boe.es/gazeta/dias/1810/02/03/pdfs/GMD-1810-34.pdf#page=2","Abrir facsímil")</f>
        <v>Abrir facsímil</v>
      </c>
      <c r="K4532" s="3" t="s">
        <v>76</v>
      </c>
    </row>
    <row r="4533" spans="1:11" ht="42" customHeight="1">
      <c r="A4533" s="2" t="s">
        <v>11930</v>
      </c>
      <c r="B4533" s="2" t="s">
        <v>11930</v>
      </c>
      <c r="C4533" s="2" t="s">
        <v>26</v>
      </c>
      <c r="D4533" s="2" t="s">
        <v>27</v>
      </c>
      <c r="E4533" s="4">
        <v>-32837</v>
      </c>
      <c r="F4533" s="3" t="s">
        <v>196</v>
      </c>
      <c r="G4533" s="3" t="s">
        <v>99</v>
      </c>
      <c r="H4533" s="2" t="s">
        <v>74</v>
      </c>
      <c r="I4533" s="2" t="s">
        <v>11932</v>
      </c>
      <c r="J4533" s="3" t="str">
        <f>HYPERLINK("https://www.boe.es/gazeta/dias/1810/02/03/pdfs/GMD-1810-34.pdf#page=3","Abrir facsímil")</f>
        <v>Abrir facsímil</v>
      </c>
      <c r="K4533" s="3" t="s">
        <v>76</v>
      </c>
    </row>
    <row r="4534" spans="1:11" ht="42" customHeight="1">
      <c r="A4534" s="2" t="s">
        <v>11930</v>
      </c>
      <c r="B4534" s="2" t="s">
        <v>11930</v>
      </c>
      <c r="C4534" s="2" t="s">
        <v>26</v>
      </c>
      <c r="D4534" s="2" t="s">
        <v>27</v>
      </c>
      <c r="E4534" s="4">
        <v>-32837</v>
      </c>
      <c r="F4534" s="3" t="s">
        <v>196</v>
      </c>
      <c r="G4534" s="3" t="s">
        <v>140</v>
      </c>
      <c r="H4534" s="2" t="s">
        <v>74</v>
      </c>
      <c r="I4534" s="2" t="s">
        <v>11933</v>
      </c>
      <c r="J4534" s="3" t="str">
        <f>HYPERLINK("https://www.boe.es/gazeta/dias/1810/02/03/pdfs/GMD-1810-34.pdf#page=4","Abrir facsímil")</f>
        <v>Abrir facsímil</v>
      </c>
      <c r="K4534" s="3" t="s">
        <v>76</v>
      </c>
    </row>
    <row r="4535" spans="1:11" ht="42" customHeight="1">
      <c r="A4535" s="2" t="s">
        <v>11930</v>
      </c>
      <c r="B4535" s="2" t="s">
        <v>11930</v>
      </c>
      <c r="C4535" s="2" t="s">
        <v>26</v>
      </c>
      <c r="D4535" s="2" t="s">
        <v>27</v>
      </c>
      <c r="E4535" s="4">
        <v>-32826</v>
      </c>
      <c r="F4535" s="3" t="s">
        <v>1252</v>
      </c>
      <c r="G4535" s="3" t="s">
        <v>584</v>
      </c>
      <c r="H4535" s="2" t="s">
        <v>74</v>
      </c>
      <c r="I4535" s="2" t="s">
        <v>11934</v>
      </c>
      <c r="J4535" s="3" t="str">
        <f>HYPERLINK("https://www.boe.es/gazeta/dias/1810/02/14/pdfs/GMD-1810-45.pdf#page=1","Abrir facsímil")</f>
        <v>Abrir facsímil</v>
      </c>
      <c r="K4535" s="3" t="s">
        <v>76</v>
      </c>
    </row>
    <row r="4536" spans="1:11" ht="42" customHeight="1">
      <c r="A4536" s="2" t="s">
        <v>11935</v>
      </c>
      <c r="B4536" s="2" t="s">
        <v>11936</v>
      </c>
      <c r="C4536" s="2" t="s">
        <v>26</v>
      </c>
      <c r="D4536" s="2" t="s">
        <v>220</v>
      </c>
      <c r="E4536" s="4">
        <v>-32862</v>
      </c>
      <c r="F4536" s="3" t="s">
        <v>878</v>
      </c>
      <c r="G4536" s="3" t="s">
        <v>90</v>
      </c>
      <c r="H4536" s="2" t="s">
        <v>74</v>
      </c>
      <c r="I4536" s="2" t="s">
        <v>11937</v>
      </c>
      <c r="J4536" s="3" t="str">
        <f>HYPERLINK("https://www.boe.es/gazeta/dias/1810/01/09/pdfs/GMD-1810-9.pdf#page=2","Abrir facsímil")</f>
        <v>Abrir facsímil</v>
      </c>
      <c r="K4536" s="3" t="s">
        <v>76</v>
      </c>
    </row>
    <row r="4537" spans="1:11" ht="42" customHeight="1">
      <c r="A4537" s="2" t="s">
        <v>11938</v>
      </c>
      <c r="B4537" s="2" t="s">
        <v>11938</v>
      </c>
      <c r="C4537" s="2" t="s">
        <v>26</v>
      </c>
      <c r="D4537" s="2" t="s">
        <v>220</v>
      </c>
      <c r="E4537" s="4">
        <v>-32617</v>
      </c>
      <c r="F4537" s="3" t="s">
        <v>1459</v>
      </c>
      <c r="G4537" s="3" t="s">
        <v>11939</v>
      </c>
      <c r="H4537" s="2" t="s">
        <v>74</v>
      </c>
      <c r="I4537" s="2" t="s">
        <v>11940</v>
      </c>
      <c r="J4537" s="3" t="str">
        <f>HYPERLINK("https://www.boe.es/gazeta/dias/1810/09/11/pdfs/GEI-1810-66.pdf#page=4","Abrir facsímil")</f>
        <v>Abrir facsímil</v>
      </c>
      <c r="K4537" s="3" t="s">
        <v>76</v>
      </c>
    </row>
    <row r="4538" spans="1:11" ht="42" customHeight="1">
      <c r="A4538" s="2" t="s">
        <v>11941</v>
      </c>
      <c r="B4538" s="2" t="s">
        <v>11942</v>
      </c>
      <c r="C4538" s="2" t="s">
        <v>111</v>
      </c>
      <c r="D4538" s="2" t="s">
        <v>27</v>
      </c>
      <c r="E4538" s="4">
        <v>-32863</v>
      </c>
      <c r="F4538" s="3" t="s">
        <v>2391</v>
      </c>
      <c r="G4538" s="3" t="s">
        <v>180</v>
      </c>
      <c r="H4538" s="2" t="s">
        <v>74</v>
      </c>
      <c r="I4538" s="2" t="s">
        <v>11943</v>
      </c>
      <c r="J4538" s="3" t="str">
        <f>HYPERLINK("https://www.boe.es/gazeta/dias/1810/01/08/pdfs/GMD-1810-8.pdf#page=3","Abrir facsímil")</f>
        <v>Abrir facsímil</v>
      </c>
      <c r="K4538" s="3" t="s">
        <v>76</v>
      </c>
    </row>
    <row r="4539" spans="1:11" ht="42" customHeight="1">
      <c r="A4539" s="2" t="s">
        <v>11941</v>
      </c>
      <c r="B4539" s="2" t="s">
        <v>11942</v>
      </c>
      <c r="C4539" s="2" t="s">
        <v>26</v>
      </c>
      <c r="D4539" s="2" t="s">
        <v>27</v>
      </c>
      <c r="E4539" s="4">
        <v>-32805</v>
      </c>
      <c r="F4539" s="3" t="s">
        <v>2068</v>
      </c>
      <c r="G4539" s="3" t="s">
        <v>70</v>
      </c>
      <c r="H4539" s="2" t="s">
        <v>74</v>
      </c>
      <c r="I4539" s="2" t="s">
        <v>11944</v>
      </c>
      <c r="J4539" s="3" t="str">
        <f>HYPERLINK("https://www.boe.es/gazeta/dias/1810/03/07/pdfs/GMD-1810-66.pdf#page=3","Abrir facsímil")</f>
        <v>Abrir facsímil</v>
      </c>
      <c r="K4539" s="3" t="s">
        <v>76</v>
      </c>
    </row>
    <row r="4540" spans="1:11" ht="42" customHeight="1">
      <c r="A4540" s="2" t="s">
        <v>11941</v>
      </c>
      <c r="B4540" s="2" t="s">
        <v>11942</v>
      </c>
      <c r="C4540" s="2" t="s">
        <v>26</v>
      </c>
      <c r="D4540" s="2" t="s">
        <v>39</v>
      </c>
      <c r="E4540" s="4">
        <v>-32701</v>
      </c>
      <c r="F4540" s="3" t="s">
        <v>40</v>
      </c>
      <c r="G4540" s="3" t="s">
        <v>315</v>
      </c>
      <c r="H4540" s="2" t="s">
        <v>74</v>
      </c>
      <c r="I4540" s="2" t="s">
        <v>11945</v>
      </c>
      <c r="J4540" s="3" t="str">
        <f>HYPERLINK("https://www.boe.es/gazeta/dias/1810/06/19/pdfs/GMD-C-1810-170.pdf#page=2","Abrir facsímil")</f>
        <v>Abrir facsímil</v>
      </c>
      <c r="K4540" s="3" t="s">
        <v>76</v>
      </c>
    </row>
    <row r="4541" spans="1:11" ht="42" customHeight="1">
      <c r="A4541" s="2" t="s">
        <v>11946</v>
      </c>
      <c r="B4541" s="2" t="s">
        <v>11947</v>
      </c>
      <c r="C4541" s="2" t="s">
        <v>26</v>
      </c>
      <c r="D4541" s="2" t="s">
        <v>39</v>
      </c>
      <c r="E4541" s="4">
        <v>-32702</v>
      </c>
      <c r="F4541" s="3" t="s">
        <v>179</v>
      </c>
      <c r="G4541" s="3" t="s">
        <v>119</v>
      </c>
      <c r="H4541" s="2" t="s">
        <v>74</v>
      </c>
      <c r="I4541" s="2" t="s">
        <v>11948</v>
      </c>
      <c r="J4541" s="3" t="str">
        <f>HYPERLINK("https://www.boe.es/gazeta/dias/1810/06/18/pdfs/GMD-C-1810-169.pdf#page=1","Abrir facsímil")</f>
        <v>Abrir facsímil</v>
      </c>
      <c r="K4541" s="3" t="s">
        <v>76</v>
      </c>
    </row>
    <row r="4542" spans="1:11" ht="42" customHeight="1">
      <c r="A4542" s="2" t="s">
        <v>11949</v>
      </c>
      <c r="B4542" s="2" t="s">
        <v>11949</v>
      </c>
      <c r="C4542" s="2" t="s">
        <v>26</v>
      </c>
      <c r="D4542" s="2" t="s">
        <v>39</v>
      </c>
      <c r="E4542" s="4">
        <v>-32702</v>
      </c>
      <c r="F4542" s="3" t="s">
        <v>179</v>
      </c>
      <c r="G4542" s="3" t="s">
        <v>517</v>
      </c>
      <c r="H4542" s="2" t="s">
        <v>74</v>
      </c>
      <c r="I4542" s="2" t="s">
        <v>11950</v>
      </c>
      <c r="J4542" s="3" t="str">
        <f>HYPERLINK("https://www.boe.es/gazeta/dias/1810/06/18/pdfs/GMD-C-1810-169.pdf#page=3","Abrir facsímil")</f>
        <v>Abrir facsímil</v>
      </c>
      <c r="K4542" s="3" t="s">
        <v>76</v>
      </c>
    </row>
    <row r="4543" spans="1:11" ht="42" customHeight="1">
      <c r="A4543" s="2" t="s">
        <v>11951</v>
      </c>
      <c r="B4543" s="2" t="s">
        <v>11951</v>
      </c>
      <c r="C4543" s="2" t="s">
        <v>26</v>
      </c>
      <c r="D4543" s="2" t="s">
        <v>39</v>
      </c>
      <c r="E4543" s="4">
        <v>-32702</v>
      </c>
      <c r="F4543" s="3" t="s">
        <v>179</v>
      </c>
      <c r="G4543" s="3" t="s">
        <v>213</v>
      </c>
      <c r="H4543" s="2" t="s">
        <v>74</v>
      </c>
      <c r="I4543" s="2" t="s">
        <v>11952</v>
      </c>
      <c r="J4543" s="3" t="str">
        <f>HYPERLINK("https://www.boe.es/gazeta/dias/1810/06/18/pdfs/GMD-C-1810-169.pdf#page=4","Abrir facsímil")</f>
        <v>Abrir facsímil</v>
      </c>
      <c r="K4543" s="3" t="s">
        <v>76</v>
      </c>
    </row>
    <row r="4544" spans="1:11" ht="42" customHeight="1">
      <c r="A4544" s="2" t="s">
        <v>11953</v>
      </c>
      <c r="B4544" s="2" t="s">
        <v>11954</v>
      </c>
      <c r="C4544" s="2" t="s">
        <v>26</v>
      </c>
      <c r="D4544" s="2" t="s">
        <v>18</v>
      </c>
      <c r="E4544" s="4">
        <v>-32827</v>
      </c>
      <c r="F4544" s="3" t="s">
        <v>290</v>
      </c>
      <c r="G4544" s="3" t="s">
        <v>291</v>
      </c>
      <c r="H4544" s="2" t="s">
        <v>74</v>
      </c>
      <c r="I4544" s="2" t="s">
        <v>11955</v>
      </c>
      <c r="J4544" s="3" t="str">
        <f>HYPERLINK("https://www.boe.es/gazeta/dias/1810/02/13/pdfs/GMD-1810-44.pdf#page=4","Abrir facsímil")</f>
        <v>Abrir facsímil</v>
      </c>
      <c r="K4544" s="3" t="s">
        <v>76</v>
      </c>
    </row>
    <row r="4545" spans="1:11" ht="42" customHeight="1">
      <c r="A4545" s="2" t="s">
        <v>11956</v>
      </c>
      <c r="B4545" s="2" t="s">
        <v>11956</v>
      </c>
      <c r="C4545" s="2" t="s">
        <v>26</v>
      </c>
      <c r="D4545" s="2" t="s">
        <v>27</v>
      </c>
      <c r="E4545" s="4">
        <v>-32654</v>
      </c>
      <c r="F4545" s="3" t="s">
        <v>1226</v>
      </c>
      <c r="G4545" s="3" t="s">
        <v>180</v>
      </c>
      <c r="H4545" s="2" t="s">
        <v>74</v>
      </c>
      <c r="I4545" s="2" t="s">
        <v>11957</v>
      </c>
      <c r="J4545" s="3" t="str">
        <f>HYPERLINK("https://www.boe.es/gazeta/dias/1810/08/05/pdfs/GMD-1810-217.pdf#page=4","Abrir facsímil")</f>
        <v>Abrir facsímil</v>
      </c>
      <c r="K4545" s="3" t="s">
        <v>76</v>
      </c>
    </row>
    <row r="4546" spans="1:11" ht="42" customHeight="1">
      <c r="A4546" s="2" t="s">
        <v>11958</v>
      </c>
      <c r="B4546" s="2" t="s">
        <v>11959</v>
      </c>
      <c r="C4546" s="2" t="s">
        <v>111</v>
      </c>
      <c r="D4546" s="2" t="s">
        <v>58</v>
      </c>
      <c r="E4546" s="4">
        <v>-32651</v>
      </c>
      <c r="F4546" s="3" t="s">
        <v>59</v>
      </c>
      <c r="G4546" s="3" t="s">
        <v>9477</v>
      </c>
      <c r="H4546" s="2" t="s">
        <v>74</v>
      </c>
      <c r="I4546" s="2" t="s">
        <v>11960</v>
      </c>
      <c r="J4546" s="3" t="str">
        <f>HYPERLINK("https://www.boe.es/gazeta/dias/1810/08/08/pdfs/GEI-1810-53E.pdf#page=4","Abrir facsímil")</f>
        <v>Abrir facsímil</v>
      </c>
      <c r="K4546" s="3" t="s">
        <v>76</v>
      </c>
    </row>
    <row r="4547" spans="1:11" ht="42" customHeight="1">
      <c r="A4547" s="2" t="s">
        <v>11961</v>
      </c>
      <c r="B4547" s="2" t="s">
        <v>11961</v>
      </c>
      <c r="C4547" s="2" t="s">
        <v>26</v>
      </c>
      <c r="D4547" s="2" t="s">
        <v>39</v>
      </c>
      <c r="E4547" s="4">
        <v>-32687</v>
      </c>
      <c r="F4547" s="3" t="s">
        <v>304</v>
      </c>
      <c r="G4547" s="3" t="s">
        <v>3237</v>
      </c>
      <c r="H4547" s="2" t="s">
        <v>74</v>
      </c>
      <c r="I4547" s="2" t="s">
        <v>11962</v>
      </c>
      <c r="J4547" s="3" t="str">
        <f>HYPERLINK("https://www.boe.es/gazeta/dias/1810/07/03/pdfs/GMD-C-1810-184.pdf#page=4","Abrir facsímil")</f>
        <v>Abrir facsímil</v>
      </c>
      <c r="K4547" s="3" t="s">
        <v>76</v>
      </c>
    </row>
    <row r="4548" spans="1:11" ht="42" customHeight="1">
      <c r="A4548" s="2" t="s">
        <v>11961</v>
      </c>
      <c r="B4548" s="2" t="s">
        <v>11961</v>
      </c>
      <c r="C4548" s="2" t="s">
        <v>88</v>
      </c>
      <c r="D4548" s="2" t="s">
        <v>27</v>
      </c>
      <c r="E4548" s="4">
        <v>-32684</v>
      </c>
      <c r="F4548" s="3" t="s">
        <v>1373</v>
      </c>
      <c r="G4548" s="3" t="s">
        <v>227</v>
      </c>
      <c r="H4548" s="2" t="s">
        <v>74</v>
      </c>
      <c r="I4548" s="2" t="s">
        <v>11963</v>
      </c>
      <c r="J4548" s="3" t="str">
        <f>HYPERLINK("https://www.boe.es/gazeta/dias/1810/07/06/pdfs/GEI-1810-42.pdf#page=1","Abrir facsímil")</f>
        <v>Abrir facsímil</v>
      </c>
      <c r="K4548" s="3" t="s">
        <v>76</v>
      </c>
    </row>
    <row r="4549" spans="1:11" ht="42" customHeight="1">
      <c r="A4549" s="2" t="s">
        <v>11964</v>
      </c>
      <c r="B4549" s="2" t="s">
        <v>11964</v>
      </c>
      <c r="C4549" s="2" t="s">
        <v>26</v>
      </c>
      <c r="D4549" s="2" t="s">
        <v>27</v>
      </c>
      <c r="E4549" s="4">
        <v>-32528</v>
      </c>
      <c r="F4549" s="3" t="s">
        <v>3058</v>
      </c>
      <c r="G4549" s="3" t="s">
        <v>359</v>
      </c>
      <c r="H4549" s="2" t="s">
        <v>74</v>
      </c>
      <c r="I4549" s="2" t="s">
        <v>11965</v>
      </c>
      <c r="J4549" s="3" t="str">
        <f>HYPERLINK("https://www.boe.es/gazeta/dias/1810/12/09/pdfs/GMD-1810-343.pdf#page=3","Abrir facsímil")</f>
        <v>Abrir facsímil</v>
      </c>
      <c r="K4549" s="3" t="s">
        <v>76</v>
      </c>
    </row>
    <row r="4550" spans="1:11" ht="42" customHeight="1">
      <c r="A4550" s="2" t="s">
        <v>11966</v>
      </c>
      <c r="B4550" s="2" t="s">
        <v>11966</v>
      </c>
      <c r="C4550" s="2" t="s">
        <v>17</v>
      </c>
      <c r="D4550" s="2" t="s">
        <v>27</v>
      </c>
      <c r="E4550" s="4">
        <v>-32861</v>
      </c>
      <c r="F4550" s="3" t="s">
        <v>796</v>
      </c>
      <c r="G4550" s="3" t="s">
        <v>29</v>
      </c>
      <c r="H4550" s="2" t="s">
        <v>74</v>
      </c>
      <c r="I4550" s="2" t="s">
        <v>11967</v>
      </c>
      <c r="J4550" s="3" t="str">
        <f>HYPERLINK("https://www.boe.es/gazeta/dias/1810/01/10/pdfs/GMD-1810-10.pdf#page=2","Abrir facsímil")</f>
        <v>Abrir facsímil</v>
      </c>
      <c r="K4550" s="3" t="s">
        <v>76</v>
      </c>
    </row>
    <row r="4551" spans="1:11" ht="42" customHeight="1">
      <c r="A4551" s="2" t="s">
        <v>11966</v>
      </c>
      <c r="B4551" s="2" t="s">
        <v>11966</v>
      </c>
      <c r="C4551" s="2" t="s">
        <v>225</v>
      </c>
      <c r="D4551" s="2" t="s">
        <v>27</v>
      </c>
      <c r="E4551" s="4">
        <v>-32855</v>
      </c>
      <c r="F4551" s="3" t="s">
        <v>3911</v>
      </c>
      <c r="G4551" s="3" t="s">
        <v>80</v>
      </c>
      <c r="H4551" s="2" t="s">
        <v>74</v>
      </c>
      <c r="I4551" s="2" t="s">
        <v>11968</v>
      </c>
      <c r="J4551" s="3" t="str">
        <f>HYPERLINK("https://www.boe.es/gazeta/dias/1810/01/16/pdfs/GGB-1810-7.pdf#page=5","Abrir facsímil")</f>
        <v>Abrir facsímil</v>
      </c>
      <c r="K4551" s="3" t="s">
        <v>76</v>
      </c>
    </row>
    <row r="4552" spans="1:11" ht="42" customHeight="1">
      <c r="A4552" s="2" t="s">
        <v>11966</v>
      </c>
      <c r="B4552" s="2" t="s">
        <v>11966</v>
      </c>
      <c r="C4552" s="2" t="s">
        <v>26</v>
      </c>
      <c r="D4552" s="2" t="s">
        <v>27</v>
      </c>
      <c r="E4552" s="4">
        <v>-32839</v>
      </c>
      <c r="F4552" s="3" t="s">
        <v>28</v>
      </c>
      <c r="G4552" s="3" t="s">
        <v>29</v>
      </c>
      <c r="H4552" s="2" t="s">
        <v>74</v>
      </c>
      <c r="I4552" s="2" t="s">
        <v>11969</v>
      </c>
      <c r="J4552" s="3" t="str">
        <f>HYPERLINK("https://www.boe.es/gazeta/dias/1810/02/01/pdfs/GMD-1810-32.pdf#page=3","Abrir facsímil")</f>
        <v>Abrir facsímil</v>
      </c>
      <c r="K4552" s="3" t="s">
        <v>76</v>
      </c>
    </row>
    <row r="4553" spans="1:11" ht="42" customHeight="1">
      <c r="A4553" s="2" t="s">
        <v>11966</v>
      </c>
      <c r="B4553" s="2" t="s">
        <v>11966</v>
      </c>
      <c r="C4553" s="2" t="s">
        <v>88</v>
      </c>
      <c r="D4553" s="2" t="s">
        <v>27</v>
      </c>
      <c r="E4553" s="4">
        <v>-32821</v>
      </c>
      <c r="F4553" s="3" t="s">
        <v>1743</v>
      </c>
      <c r="G4553" s="3" t="s">
        <v>99</v>
      </c>
      <c r="H4553" s="2" t="s">
        <v>74</v>
      </c>
      <c r="I4553" s="2" t="s">
        <v>11970</v>
      </c>
      <c r="J4553" s="3" t="str">
        <f>HYPERLINK("https://www.boe.es/gazeta/dias/1810/02/19/pdfs/GMD-1810-50.pdf#page=3","Abrir facsímil")</f>
        <v>Abrir facsímil</v>
      </c>
      <c r="K4553" s="3" t="s">
        <v>76</v>
      </c>
    </row>
    <row r="4554" spans="1:11" ht="42" customHeight="1">
      <c r="A4554" s="2" t="s">
        <v>11966</v>
      </c>
      <c r="B4554" s="2" t="s">
        <v>11966</v>
      </c>
      <c r="C4554" s="2" t="s">
        <v>88</v>
      </c>
      <c r="D4554" s="2" t="s">
        <v>27</v>
      </c>
      <c r="E4554" s="4">
        <v>-32820</v>
      </c>
      <c r="F4554" s="3" t="s">
        <v>226</v>
      </c>
      <c r="G4554" s="3" t="s">
        <v>356</v>
      </c>
      <c r="H4554" s="2" t="s">
        <v>74</v>
      </c>
      <c r="I4554" s="2" t="s">
        <v>11971</v>
      </c>
      <c r="J4554" s="3" t="str">
        <f>HYPERLINK("https://www.boe.es/gazeta/dias/1810/02/20/pdfs/GMD-1810-51.pdf#page=3","Abrir facsímil")</f>
        <v>Abrir facsímil</v>
      </c>
      <c r="K4554" s="3" t="s">
        <v>76</v>
      </c>
    </row>
    <row r="4555" spans="1:11" ht="42" customHeight="1">
      <c r="A4555" s="2" t="s">
        <v>11966</v>
      </c>
      <c r="B4555" s="2" t="s">
        <v>11966</v>
      </c>
      <c r="C4555" s="2" t="s">
        <v>88</v>
      </c>
      <c r="D4555" s="2" t="s">
        <v>18</v>
      </c>
      <c r="E4555" s="4">
        <v>-32778</v>
      </c>
      <c r="F4555" s="3" t="s">
        <v>5869</v>
      </c>
      <c r="G4555" s="3" t="s">
        <v>2928</v>
      </c>
      <c r="H4555" s="2" t="s">
        <v>74</v>
      </c>
      <c r="I4555" s="2" t="s">
        <v>11972</v>
      </c>
      <c r="J4555" s="3" t="str">
        <f>HYPERLINK("https://www.boe.es/gazeta/dias/1810/04/03/pdfs/GEI-1810-11.pdf#page=4","Abrir facsímil")</f>
        <v>Abrir facsímil</v>
      </c>
      <c r="K4555" s="3" t="s">
        <v>76</v>
      </c>
    </row>
    <row r="4556" spans="1:11" ht="42" customHeight="1">
      <c r="A4556" s="2" t="s">
        <v>11966</v>
      </c>
      <c r="B4556" s="2" t="s">
        <v>11966</v>
      </c>
      <c r="C4556" s="2" t="s">
        <v>88</v>
      </c>
      <c r="D4556" s="2" t="s">
        <v>117</v>
      </c>
      <c r="E4556" s="4">
        <v>-32776</v>
      </c>
      <c r="F4556" s="3" t="s">
        <v>752</v>
      </c>
      <c r="G4556" s="3" t="s">
        <v>213</v>
      </c>
      <c r="H4556" s="2" t="s">
        <v>74</v>
      </c>
      <c r="I4556" s="2" t="s">
        <v>11973</v>
      </c>
      <c r="J4556" s="3" t="str">
        <f>HYPERLINK("https://www.boe.es/gazeta/dias/1810/04/05/pdfs/GMD-1810-95.pdf#page=3","Abrir facsímil")</f>
        <v>Abrir facsímil</v>
      </c>
      <c r="K4556" s="3" t="s">
        <v>76</v>
      </c>
    </row>
    <row r="4557" spans="1:11" ht="42" customHeight="1">
      <c r="A4557" s="2" t="s">
        <v>11966</v>
      </c>
      <c r="B4557" s="2" t="s">
        <v>11966</v>
      </c>
      <c r="C4557" s="2" t="s">
        <v>88</v>
      </c>
      <c r="D4557" s="2" t="s">
        <v>117</v>
      </c>
      <c r="E4557" s="4">
        <v>-32767</v>
      </c>
      <c r="F4557" s="3" t="s">
        <v>1265</v>
      </c>
      <c r="G4557" s="3" t="s">
        <v>1266</v>
      </c>
      <c r="H4557" s="2" t="s">
        <v>74</v>
      </c>
      <c r="I4557" s="2" t="s">
        <v>11974</v>
      </c>
      <c r="J4557" s="3" t="str">
        <f>HYPERLINK("https://www.boe.es/gazeta/dias/1810/04/14/pdfs/GMD-1810-104.pdf#page=4","Abrir facsímil")</f>
        <v>Abrir facsímil</v>
      </c>
      <c r="K4557" s="3" t="s">
        <v>76</v>
      </c>
    </row>
    <row r="4558" spans="1:11" ht="42" customHeight="1">
      <c r="A4558" s="2" t="s">
        <v>11966</v>
      </c>
      <c r="B4558" s="2" t="s">
        <v>11966</v>
      </c>
      <c r="C4558" s="2" t="s">
        <v>88</v>
      </c>
      <c r="D4558" s="2" t="s">
        <v>27</v>
      </c>
      <c r="E4558" s="4">
        <v>-32763</v>
      </c>
      <c r="F4558" s="3" t="s">
        <v>1146</v>
      </c>
      <c r="G4558" s="3" t="s">
        <v>20</v>
      </c>
      <c r="H4558" s="2" t="s">
        <v>74</v>
      </c>
      <c r="I4558" s="2" t="s">
        <v>11975</v>
      </c>
      <c r="J4558" s="3" t="str">
        <f>HYPERLINK("https://www.boe.es/gazeta/dias/1810/04/18/pdfs/GMD-1810-108.pdf#page=4","Abrir facsímil")</f>
        <v>Abrir facsímil</v>
      </c>
      <c r="K4558" s="3" t="s">
        <v>76</v>
      </c>
    </row>
    <row r="4559" spans="1:11" ht="42" customHeight="1">
      <c r="A4559" s="2" t="s">
        <v>11966</v>
      </c>
      <c r="B4559" s="2" t="s">
        <v>11966</v>
      </c>
      <c r="C4559" s="2" t="s">
        <v>88</v>
      </c>
      <c r="D4559" s="2" t="s">
        <v>117</v>
      </c>
      <c r="E4559" s="4">
        <v>-32762</v>
      </c>
      <c r="F4559" s="3" t="s">
        <v>231</v>
      </c>
      <c r="G4559" s="3" t="s">
        <v>29</v>
      </c>
      <c r="H4559" s="2" t="s">
        <v>74</v>
      </c>
      <c r="I4559" s="2" t="s">
        <v>11976</v>
      </c>
      <c r="J4559" s="3" t="str">
        <f>HYPERLINK("https://www.boe.es/gazeta/dias/1810/04/19/pdfs/GMD-1810-109.pdf#page=2","Abrir facsímil")</f>
        <v>Abrir facsímil</v>
      </c>
      <c r="K4559" s="3" t="s">
        <v>76</v>
      </c>
    </row>
    <row r="4560" spans="1:11" ht="42" customHeight="1">
      <c r="A4560" s="2" t="s">
        <v>11966</v>
      </c>
      <c r="B4560" s="2" t="s">
        <v>11966</v>
      </c>
      <c r="C4560" s="2" t="s">
        <v>88</v>
      </c>
      <c r="D4560" s="2" t="s">
        <v>18</v>
      </c>
      <c r="E4560" s="4">
        <v>-32761</v>
      </c>
      <c r="F4560" s="3" t="s">
        <v>2093</v>
      </c>
      <c r="G4560" s="3" t="s">
        <v>2094</v>
      </c>
      <c r="H4560" s="2" t="s">
        <v>74</v>
      </c>
      <c r="I4560" s="2" t="s">
        <v>11977</v>
      </c>
      <c r="J4560" s="3" t="str">
        <f>HYPERLINK("https://www.boe.es/gazeta/dias/1810/04/20/pdfs/GMD-1810-110.pdf#page=2","Abrir facsímil")</f>
        <v>Abrir facsímil</v>
      </c>
      <c r="K4560" s="3" t="s">
        <v>76</v>
      </c>
    </row>
    <row r="4561" spans="1:11" ht="42" customHeight="1">
      <c r="A4561" s="2" t="s">
        <v>11966</v>
      </c>
      <c r="B4561" s="2" t="s">
        <v>11966</v>
      </c>
      <c r="C4561" s="2" t="s">
        <v>225</v>
      </c>
      <c r="D4561" s="2" t="s">
        <v>27</v>
      </c>
      <c r="E4561" s="4">
        <v>-32761</v>
      </c>
      <c r="F4561" s="3" t="s">
        <v>811</v>
      </c>
      <c r="G4561" s="3" t="s">
        <v>140</v>
      </c>
      <c r="H4561" s="2" t="s">
        <v>74</v>
      </c>
      <c r="I4561" s="2" t="s">
        <v>11978</v>
      </c>
      <c r="J4561" s="3" t="str">
        <f>HYPERLINK("https://www.boe.es/gazeta/dias/1810/04/20/pdfs/GEI-1810-16.pdf#page=8","Abrir facsímil")</f>
        <v>Abrir facsímil</v>
      </c>
      <c r="K4561" s="3" t="s">
        <v>76</v>
      </c>
    </row>
    <row r="4562" spans="1:11" ht="42" customHeight="1">
      <c r="A4562" s="2" t="s">
        <v>11966</v>
      </c>
      <c r="B4562" s="2" t="s">
        <v>11966</v>
      </c>
      <c r="C4562" s="2" t="s">
        <v>195</v>
      </c>
      <c r="D4562" s="2" t="s">
        <v>27</v>
      </c>
      <c r="E4562" s="4">
        <v>-32756</v>
      </c>
      <c r="F4562" s="3" t="s">
        <v>203</v>
      </c>
      <c r="G4562" s="3" t="s">
        <v>180</v>
      </c>
      <c r="H4562" s="2" t="s">
        <v>74</v>
      </c>
      <c r="I4562" s="2" t="s">
        <v>11979</v>
      </c>
      <c r="J4562" s="3" t="str">
        <f>HYPERLINK("https://www.boe.es/gazeta/dias/1810/04/25/pdfs/GMD-1810-115.pdf#page=4","Abrir facsímil")</f>
        <v>Abrir facsímil</v>
      </c>
      <c r="K4562" s="3" t="s">
        <v>76</v>
      </c>
    </row>
    <row r="4563" spans="1:11" ht="42" customHeight="1">
      <c r="A4563" s="2" t="s">
        <v>11966</v>
      </c>
      <c r="B4563" s="2" t="s">
        <v>11966</v>
      </c>
      <c r="C4563" s="2" t="s">
        <v>88</v>
      </c>
      <c r="D4563" s="2" t="s">
        <v>27</v>
      </c>
      <c r="E4563" s="4">
        <v>-32751</v>
      </c>
      <c r="F4563" s="3" t="s">
        <v>1205</v>
      </c>
      <c r="G4563" s="3" t="s">
        <v>191</v>
      </c>
      <c r="H4563" s="2" t="s">
        <v>74</v>
      </c>
      <c r="I4563" s="2" t="s">
        <v>11980</v>
      </c>
      <c r="J4563" s="3" t="str">
        <f>HYPERLINK("https://www.boe.es/gazeta/dias/1810/04/30/pdfs/GMD-1810-120.pdf#page=3","Abrir facsímil")</f>
        <v>Abrir facsímil</v>
      </c>
      <c r="K4563" s="3" t="s">
        <v>76</v>
      </c>
    </row>
    <row r="4564" spans="1:11" ht="42" customHeight="1">
      <c r="A4564" s="2" t="s">
        <v>11966</v>
      </c>
      <c r="B4564" s="2" t="s">
        <v>11966</v>
      </c>
      <c r="C4564" s="2" t="s">
        <v>26</v>
      </c>
      <c r="D4564" s="2" t="s">
        <v>39</v>
      </c>
      <c r="E4564" s="4">
        <v>-32749</v>
      </c>
      <c r="F4564" s="3" t="s">
        <v>803</v>
      </c>
      <c r="G4564" s="3" t="s">
        <v>213</v>
      </c>
      <c r="H4564" s="2" t="s">
        <v>74</v>
      </c>
      <c r="I4564" s="2" t="s">
        <v>11981</v>
      </c>
      <c r="J4564" s="3" t="str">
        <f>HYPERLINK("https://www.boe.es/gazeta/dias/1810/05/02/pdfs/GMD-C-1810-122.pdf#page=2","Abrir facsímil")</f>
        <v>Abrir facsímil</v>
      </c>
      <c r="K4564" s="3" t="s">
        <v>76</v>
      </c>
    </row>
    <row r="4565" spans="1:11" ht="42" customHeight="1">
      <c r="A4565" s="2" t="s">
        <v>11966</v>
      </c>
      <c r="B4565" s="2" t="s">
        <v>11966</v>
      </c>
      <c r="C4565" s="2" t="s">
        <v>88</v>
      </c>
      <c r="D4565" s="2" t="s">
        <v>117</v>
      </c>
      <c r="E4565" s="4">
        <v>-32745</v>
      </c>
      <c r="F4565" s="3" t="s">
        <v>7101</v>
      </c>
      <c r="G4565" s="3" t="s">
        <v>70</v>
      </c>
      <c r="H4565" s="2" t="s">
        <v>74</v>
      </c>
      <c r="I4565" s="2" t="s">
        <v>11982</v>
      </c>
      <c r="J4565" s="3" t="str">
        <f>HYPERLINK("https://www.boe.es/gazeta/dias/1810/05/06/pdfs/GMD-1810-126.pdf#page=4","Abrir facsímil")</f>
        <v>Abrir facsímil</v>
      </c>
      <c r="K4565" s="3" t="s">
        <v>76</v>
      </c>
    </row>
    <row r="4566" spans="1:11" ht="42" customHeight="1">
      <c r="A4566" s="2" t="s">
        <v>11966</v>
      </c>
      <c r="B4566" s="2" t="s">
        <v>11966</v>
      </c>
      <c r="C4566" s="2" t="s">
        <v>26</v>
      </c>
      <c r="D4566" s="2" t="s">
        <v>27</v>
      </c>
      <c r="E4566" s="4">
        <v>-32736</v>
      </c>
      <c r="F4566" s="3" t="s">
        <v>400</v>
      </c>
      <c r="G4566" s="3" t="s">
        <v>401</v>
      </c>
      <c r="H4566" s="2" t="s">
        <v>74</v>
      </c>
      <c r="I4566" s="2" t="s">
        <v>11983</v>
      </c>
      <c r="J4566" s="3" t="str">
        <f>HYPERLINK("https://www.boe.es/gazeta/dias/1810/05/15/pdfs/GMD-1810-135.pdf#page=4","Abrir facsímil")</f>
        <v>Abrir facsímil</v>
      </c>
      <c r="K4566" s="3" t="s">
        <v>76</v>
      </c>
    </row>
    <row r="4567" spans="1:11" ht="42" customHeight="1">
      <c r="A4567" s="2" t="s">
        <v>11966</v>
      </c>
      <c r="B4567" s="2" t="s">
        <v>11966</v>
      </c>
      <c r="C4567" s="2" t="s">
        <v>88</v>
      </c>
      <c r="D4567" s="2" t="s">
        <v>117</v>
      </c>
      <c r="E4567" s="4">
        <v>-32732</v>
      </c>
      <c r="F4567" s="3" t="s">
        <v>545</v>
      </c>
      <c r="G4567" s="3" t="s">
        <v>140</v>
      </c>
      <c r="H4567" s="2" t="s">
        <v>74</v>
      </c>
      <c r="I4567" s="2" t="s">
        <v>11984</v>
      </c>
      <c r="J4567" s="3" t="str">
        <f>HYPERLINK("https://www.boe.es/gazeta/dias/1810/05/19/pdfs/GMD-1810-139.pdf#page=3","Abrir facsímil")</f>
        <v>Abrir facsímil</v>
      </c>
      <c r="K4567" s="3" t="s">
        <v>76</v>
      </c>
    </row>
    <row r="4568" spans="1:11" ht="42" customHeight="1">
      <c r="A4568" s="2" t="s">
        <v>11966</v>
      </c>
      <c r="B4568" s="2" t="s">
        <v>11966</v>
      </c>
      <c r="C4568" s="2" t="s">
        <v>26</v>
      </c>
      <c r="D4568" s="2" t="s">
        <v>27</v>
      </c>
      <c r="E4568" s="4">
        <v>-32730</v>
      </c>
      <c r="F4568" s="3" t="s">
        <v>50</v>
      </c>
      <c r="G4568" s="3" t="s">
        <v>180</v>
      </c>
      <c r="H4568" s="2" t="s">
        <v>74</v>
      </c>
      <c r="I4568" s="2" t="s">
        <v>11985</v>
      </c>
      <c r="J4568" s="3" t="str">
        <f>HYPERLINK("https://www.boe.es/gazeta/dias/1810/05/21/pdfs/GMD-1810-141.pdf#page=2","Abrir facsímil")</f>
        <v>Abrir facsímil</v>
      </c>
      <c r="K4568" s="3" t="s">
        <v>76</v>
      </c>
    </row>
    <row r="4569" spans="1:11" ht="42" customHeight="1">
      <c r="A4569" s="2" t="s">
        <v>11966</v>
      </c>
      <c r="B4569" s="2" t="s">
        <v>11966</v>
      </c>
      <c r="C4569" s="2" t="s">
        <v>88</v>
      </c>
      <c r="D4569" s="2" t="s">
        <v>117</v>
      </c>
      <c r="E4569" s="4">
        <v>-32730</v>
      </c>
      <c r="F4569" s="3" t="s">
        <v>50</v>
      </c>
      <c r="G4569" s="3" t="s">
        <v>29</v>
      </c>
      <c r="H4569" s="2" t="s">
        <v>74</v>
      </c>
      <c r="I4569" s="2" t="s">
        <v>11986</v>
      </c>
      <c r="J4569" s="3" t="str">
        <f>HYPERLINK("https://www.boe.es/gazeta/dias/1810/05/21/pdfs/GMD-1810-141.pdf#page=3","Abrir facsímil")</f>
        <v>Abrir facsímil</v>
      </c>
      <c r="K4569" s="3" t="s">
        <v>76</v>
      </c>
    </row>
    <row r="4570" spans="1:11" ht="42" customHeight="1">
      <c r="A4570" s="2" t="s">
        <v>11966</v>
      </c>
      <c r="B4570" s="2" t="s">
        <v>11966</v>
      </c>
      <c r="C4570" s="2" t="s">
        <v>26</v>
      </c>
      <c r="D4570" s="2" t="s">
        <v>27</v>
      </c>
      <c r="E4570" s="4">
        <v>-32729</v>
      </c>
      <c r="F4570" s="3" t="s">
        <v>1025</v>
      </c>
      <c r="G4570" s="3" t="s">
        <v>735</v>
      </c>
      <c r="H4570" s="2" t="s">
        <v>74</v>
      </c>
      <c r="I4570" s="2" t="s">
        <v>11987</v>
      </c>
      <c r="J4570" s="3" t="str">
        <f>HYPERLINK("https://www.boe.es/gazeta/dias/1810/05/22/pdfs/GMD-1810-142.pdf#page=1","Abrir facsímil")</f>
        <v>Abrir facsímil</v>
      </c>
      <c r="K4570" s="3" t="s">
        <v>76</v>
      </c>
    </row>
    <row r="4571" spans="1:11" ht="42" customHeight="1">
      <c r="A4571" s="2" t="s">
        <v>11966</v>
      </c>
      <c r="B4571" s="2" t="s">
        <v>11966</v>
      </c>
      <c r="C4571" s="2" t="s">
        <v>26</v>
      </c>
      <c r="D4571" s="2" t="s">
        <v>27</v>
      </c>
      <c r="E4571" s="4">
        <v>-32729</v>
      </c>
      <c r="F4571" s="3" t="s">
        <v>1025</v>
      </c>
      <c r="G4571" s="3" t="s">
        <v>90</v>
      </c>
      <c r="H4571" s="2" t="s">
        <v>74</v>
      </c>
      <c r="I4571" s="2" t="s">
        <v>11988</v>
      </c>
      <c r="J4571" s="3" t="str">
        <f>HYPERLINK("https://www.boe.es/gazeta/dias/1810/05/22/pdfs/GMD-1810-142.pdf#page=2","Abrir facsímil")</f>
        <v>Abrir facsímil</v>
      </c>
      <c r="K4571" s="3" t="s">
        <v>76</v>
      </c>
    </row>
    <row r="4572" spans="1:11" ht="42" customHeight="1">
      <c r="A4572" s="2" t="s">
        <v>11966</v>
      </c>
      <c r="B4572" s="2" t="s">
        <v>11966</v>
      </c>
      <c r="C4572" s="2" t="s">
        <v>26</v>
      </c>
      <c r="D4572" s="2" t="s">
        <v>27</v>
      </c>
      <c r="E4572" s="4">
        <v>-32729</v>
      </c>
      <c r="F4572" s="3" t="s">
        <v>1025</v>
      </c>
      <c r="G4572" s="3" t="s">
        <v>104</v>
      </c>
      <c r="H4572" s="2" t="s">
        <v>74</v>
      </c>
      <c r="I4572" s="2" t="s">
        <v>11989</v>
      </c>
      <c r="J4572" s="3" t="str">
        <f>HYPERLINK("https://www.boe.es/gazeta/dias/1810/05/22/pdfs/GMD-1810-142.pdf#page=3","Abrir facsímil")</f>
        <v>Abrir facsímil</v>
      </c>
      <c r="K4572" s="3" t="s">
        <v>76</v>
      </c>
    </row>
    <row r="4573" spans="1:11" ht="42" customHeight="1">
      <c r="A4573" s="2" t="s">
        <v>11966</v>
      </c>
      <c r="B4573" s="2" t="s">
        <v>11966</v>
      </c>
      <c r="C4573" s="2" t="s">
        <v>17</v>
      </c>
      <c r="D4573" s="2" t="s">
        <v>27</v>
      </c>
      <c r="E4573" s="4">
        <v>-32728</v>
      </c>
      <c r="F4573" s="3" t="s">
        <v>269</v>
      </c>
      <c r="G4573" s="3" t="s">
        <v>70</v>
      </c>
      <c r="H4573" s="2" t="s">
        <v>74</v>
      </c>
      <c r="I4573" s="2" t="s">
        <v>11990</v>
      </c>
      <c r="J4573" s="3" t="str">
        <f>HYPERLINK("https://www.boe.es/gazeta/dias/1810/05/23/pdfs/GMD-1810-143.pdf#page=4","Abrir facsímil")</f>
        <v>Abrir facsímil</v>
      </c>
      <c r="K4573" s="3" t="s">
        <v>76</v>
      </c>
    </row>
    <row r="4574" spans="1:11" ht="42" customHeight="1">
      <c r="A4574" s="2" t="s">
        <v>11966</v>
      </c>
      <c r="B4574" s="2" t="s">
        <v>11966</v>
      </c>
      <c r="C4574" s="2" t="s">
        <v>26</v>
      </c>
      <c r="D4574" s="2" t="s">
        <v>27</v>
      </c>
      <c r="E4574" s="4">
        <v>-32726</v>
      </c>
      <c r="F4574" s="3" t="s">
        <v>3350</v>
      </c>
      <c r="G4574" s="3" t="s">
        <v>1667</v>
      </c>
      <c r="H4574" s="2" t="s">
        <v>74</v>
      </c>
      <c r="I4574" s="2" t="s">
        <v>11991</v>
      </c>
      <c r="J4574" s="3" t="str">
        <f>HYPERLINK("https://www.boe.es/gazeta/dias/1810/05/25/pdfs/GMD-1810-145.pdf#page=3","Abrir facsímil")</f>
        <v>Abrir facsímil</v>
      </c>
      <c r="K4574" s="3" t="s">
        <v>76</v>
      </c>
    </row>
    <row r="4575" spans="1:11" ht="42" customHeight="1">
      <c r="A4575" s="2" t="s">
        <v>11966</v>
      </c>
      <c r="B4575" s="2" t="s">
        <v>11966</v>
      </c>
      <c r="C4575" s="2" t="s">
        <v>17</v>
      </c>
      <c r="D4575" s="2" t="s">
        <v>27</v>
      </c>
      <c r="E4575" s="4">
        <v>-32726</v>
      </c>
      <c r="F4575" s="3" t="s">
        <v>3350</v>
      </c>
      <c r="G4575" s="3" t="s">
        <v>29</v>
      </c>
      <c r="H4575" s="2" t="s">
        <v>74</v>
      </c>
      <c r="I4575" s="2" t="s">
        <v>11992</v>
      </c>
      <c r="J4575" s="3" t="str">
        <f>HYPERLINK("https://www.boe.es/gazeta/dias/1810/05/25/pdfs/GMD-1810-145.pdf#page=4","Abrir facsímil")</f>
        <v>Abrir facsímil</v>
      </c>
      <c r="K4575" s="3" t="s">
        <v>76</v>
      </c>
    </row>
    <row r="4576" spans="1:11" ht="42" customHeight="1">
      <c r="A4576" s="2" t="s">
        <v>11966</v>
      </c>
      <c r="B4576" s="2" t="s">
        <v>11966</v>
      </c>
      <c r="C4576" s="2" t="s">
        <v>225</v>
      </c>
      <c r="D4576" s="2" t="s">
        <v>27</v>
      </c>
      <c r="E4576" s="4">
        <v>-32722</v>
      </c>
      <c r="F4576" s="3" t="s">
        <v>2619</v>
      </c>
      <c r="G4576" s="3" t="s">
        <v>3066</v>
      </c>
      <c r="H4576" s="2" t="s">
        <v>74</v>
      </c>
      <c r="I4576" s="2" t="s">
        <v>11993</v>
      </c>
      <c r="J4576" s="3" t="str">
        <f>HYPERLINK("https://www.boe.es/gazeta/dias/1810/05/29/pdfs/GMD-1810-149.pdf#page=4","Abrir facsímil")</f>
        <v>Abrir facsímil</v>
      </c>
      <c r="K4576" s="3" t="s">
        <v>76</v>
      </c>
    </row>
    <row r="4577" spans="1:11" ht="42" customHeight="1">
      <c r="A4577" s="2" t="s">
        <v>11966</v>
      </c>
      <c r="B4577" s="2" t="s">
        <v>11966</v>
      </c>
      <c r="C4577" s="2" t="s">
        <v>17</v>
      </c>
      <c r="D4577" s="2" t="s">
        <v>27</v>
      </c>
      <c r="E4577" s="4">
        <v>-32720</v>
      </c>
      <c r="F4577" s="3" t="s">
        <v>3377</v>
      </c>
      <c r="G4577" s="3" t="s">
        <v>3378</v>
      </c>
      <c r="H4577" s="2" t="s">
        <v>74</v>
      </c>
      <c r="I4577" s="2" t="s">
        <v>11994</v>
      </c>
      <c r="J4577" s="3" t="str">
        <f>HYPERLINK("https://www.boe.es/gazeta/dias/1810/05/31/pdfs/GMD-1810-151.pdf#page=4","Abrir facsímil")</f>
        <v>Abrir facsímil</v>
      </c>
      <c r="K4577" s="3" t="s">
        <v>76</v>
      </c>
    </row>
    <row r="4578" spans="1:11" ht="42" customHeight="1">
      <c r="A4578" s="2" t="s">
        <v>11966</v>
      </c>
      <c r="B4578" s="2" t="s">
        <v>11966</v>
      </c>
      <c r="C4578" s="2" t="s">
        <v>88</v>
      </c>
      <c r="D4578" s="2" t="s">
        <v>117</v>
      </c>
      <c r="E4578" s="4">
        <v>-32716</v>
      </c>
      <c r="F4578" s="3" t="s">
        <v>624</v>
      </c>
      <c r="G4578" s="3" t="s">
        <v>140</v>
      </c>
      <c r="H4578" s="2" t="s">
        <v>74</v>
      </c>
      <c r="I4578" s="2" t="s">
        <v>11995</v>
      </c>
      <c r="J4578" s="3" t="str">
        <f>HYPERLINK("https://www.boe.es/gazeta/dias/1810/06/04/pdfs/GMD-1810-155.pdf#page=4","Abrir facsímil")</f>
        <v>Abrir facsímil</v>
      </c>
      <c r="K4578" s="3" t="s">
        <v>76</v>
      </c>
    </row>
    <row r="4579" spans="1:11" ht="42" customHeight="1">
      <c r="A4579" s="2" t="s">
        <v>11966</v>
      </c>
      <c r="B4579" s="2" t="s">
        <v>11966</v>
      </c>
      <c r="C4579" s="2" t="s">
        <v>26</v>
      </c>
      <c r="D4579" s="2" t="s">
        <v>39</v>
      </c>
      <c r="E4579" s="4">
        <v>-32715</v>
      </c>
      <c r="F4579" s="3" t="s">
        <v>6792</v>
      </c>
      <c r="G4579" s="3" t="s">
        <v>99</v>
      </c>
      <c r="H4579" s="2" t="s">
        <v>74</v>
      </c>
      <c r="I4579" s="2" t="s">
        <v>11996</v>
      </c>
      <c r="J4579" s="3" t="str">
        <f>HYPERLINK("https://www.boe.es/gazeta/dias/1810/06/05/pdfs/GEI-D-1810-33.pdf#page=3","Abrir facsímil")</f>
        <v>Abrir facsímil</v>
      </c>
      <c r="K4579" s="3" t="s">
        <v>76</v>
      </c>
    </row>
    <row r="4580" spans="1:11" ht="42" customHeight="1">
      <c r="A4580" s="2" t="s">
        <v>11966</v>
      </c>
      <c r="B4580" s="2" t="s">
        <v>11966</v>
      </c>
      <c r="C4580" s="2" t="s">
        <v>26</v>
      </c>
      <c r="D4580" s="2" t="s">
        <v>39</v>
      </c>
      <c r="E4580" s="4">
        <v>-32702</v>
      </c>
      <c r="F4580" s="3" t="s">
        <v>179</v>
      </c>
      <c r="G4580" s="3" t="s">
        <v>213</v>
      </c>
      <c r="H4580" s="2" t="s">
        <v>74</v>
      </c>
      <c r="I4580" s="2" t="s">
        <v>11997</v>
      </c>
      <c r="J4580" s="3" t="str">
        <f>HYPERLINK("https://www.boe.es/gazeta/dias/1810/06/18/pdfs/GMD-C-1810-169.pdf#page=4","Abrir facsímil")</f>
        <v>Abrir facsímil</v>
      </c>
      <c r="K4580" s="3" t="s">
        <v>76</v>
      </c>
    </row>
    <row r="4581" spans="1:11" ht="42" customHeight="1">
      <c r="A4581" s="2" t="s">
        <v>11966</v>
      </c>
      <c r="B4581" s="2" t="s">
        <v>11966</v>
      </c>
      <c r="C4581" s="2" t="s">
        <v>88</v>
      </c>
      <c r="D4581" s="2" t="s">
        <v>27</v>
      </c>
      <c r="E4581" s="4">
        <v>-32699</v>
      </c>
      <c r="F4581" s="3" t="s">
        <v>1216</v>
      </c>
      <c r="G4581" s="3" t="s">
        <v>1219</v>
      </c>
      <c r="H4581" s="2" t="s">
        <v>74</v>
      </c>
      <c r="I4581" s="2" t="s">
        <v>11998</v>
      </c>
      <c r="J4581" s="3" t="str">
        <f>HYPERLINK("https://www.boe.es/gazeta/dias/1810/06/21/pdfs/GMD-1810-172.pdf#page=4","Abrir facsímil")</f>
        <v>Abrir facsímil</v>
      </c>
      <c r="K4581" s="3" t="s">
        <v>76</v>
      </c>
    </row>
    <row r="4582" spans="1:11" ht="42" customHeight="1">
      <c r="A4582" s="2" t="s">
        <v>11966</v>
      </c>
      <c r="B4582" s="2" t="s">
        <v>11966</v>
      </c>
      <c r="C4582" s="2" t="s">
        <v>111</v>
      </c>
      <c r="D4582" s="2" t="s">
        <v>27</v>
      </c>
      <c r="E4582" s="4">
        <v>-32697</v>
      </c>
      <c r="F4582" s="3" t="s">
        <v>1859</v>
      </c>
      <c r="G4582" s="3" t="s">
        <v>70</v>
      </c>
      <c r="H4582" s="2" t="s">
        <v>74</v>
      </c>
      <c r="I4582" s="2" t="s">
        <v>11999</v>
      </c>
      <c r="J4582" s="3" t="str">
        <f>HYPERLINK("https://www.boe.es/gazeta/dias/1810/06/23/pdfs/GMD-1810-174.pdf#page=4","Abrir facsímil")</f>
        <v>Abrir facsímil</v>
      </c>
      <c r="K4582" s="3" t="s">
        <v>76</v>
      </c>
    </row>
    <row r="4583" spans="1:11" ht="42" customHeight="1">
      <c r="A4583" s="2" t="s">
        <v>11966</v>
      </c>
      <c r="B4583" s="2" t="s">
        <v>11966</v>
      </c>
      <c r="C4583" s="2" t="s">
        <v>88</v>
      </c>
      <c r="D4583" s="2" t="s">
        <v>117</v>
      </c>
      <c r="E4583" s="4">
        <v>-32676</v>
      </c>
      <c r="F4583" s="3" t="s">
        <v>2863</v>
      </c>
      <c r="G4583" s="3" t="s">
        <v>592</v>
      </c>
      <c r="H4583" s="2" t="s">
        <v>74</v>
      </c>
      <c r="I4583" s="2" t="s">
        <v>12000</v>
      </c>
      <c r="J4583" s="3" t="str">
        <f>HYPERLINK("https://www.boe.es/gazeta/dias/1810/07/14/pdfs/GMD-1810-195.pdf#page=4","Abrir facsímil")</f>
        <v>Abrir facsímil</v>
      </c>
      <c r="K4583" s="3" t="s">
        <v>76</v>
      </c>
    </row>
    <row r="4584" spans="1:11" ht="42" customHeight="1">
      <c r="A4584" s="2" t="s">
        <v>11966</v>
      </c>
      <c r="B4584" s="2" t="s">
        <v>11966</v>
      </c>
      <c r="C4584" s="2" t="s">
        <v>26</v>
      </c>
      <c r="D4584" s="2" t="s">
        <v>27</v>
      </c>
      <c r="E4584" s="4">
        <v>-32669</v>
      </c>
      <c r="F4584" s="3" t="s">
        <v>217</v>
      </c>
      <c r="G4584" s="3" t="s">
        <v>2045</v>
      </c>
      <c r="H4584" s="2" t="s">
        <v>74</v>
      </c>
      <c r="I4584" s="2" t="s">
        <v>12001</v>
      </c>
      <c r="J4584" s="3" t="str">
        <f>HYPERLINK("https://www.boe.es/gazeta/dias/1810/07/21/pdfs/GMD-1810-202.pdf#page=2","Abrir facsímil")</f>
        <v>Abrir facsímil</v>
      </c>
      <c r="K4584" s="3" t="s">
        <v>76</v>
      </c>
    </row>
    <row r="4585" spans="1:11" ht="42" customHeight="1">
      <c r="A4585" s="2" t="s">
        <v>11966</v>
      </c>
      <c r="B4585" s="2" t="s">
        <v>11966</v>
      </c>
      <c r="C4585" s="2" t="s">
        <v>88</v>
      </c>
      <c r="D4585" s="2" t="s">
        <v>27</v>
      </c>
      <c r="E4585" s="4">
        <v>-32646</v>
      </c>
      <c r="F4585" s="3" t="s">
        <v>6939</v>
      </c>
      <c r="G4585" s="3" t="s">
        <v>29</v>
      </c>
      <c r="H4585" s="2" t="s">
        <v>74</v>
      </c>
      <c r="I4585" s="2" t="s">
        <v>12002</v>
      </c>
      <c r="J4585" s="3" t="str">
        <f>HYPERLINK("https://www.boe.es/gazeta/dias/1810/08/13/pdfs/GMD-1810-225.pdf#page=4","Abrir facsímil")</f>
        <v>Abrir facsímil</v>
      </c>
      <c r="K4585" s="3" t="s">
        <v>76</v>
      </c>
    </row>
    <row r="4586" spans="1:11" ht="42" customHeight="1">
      <c r="A4586" s="2" t="s">
        <v>11966</v>
      </c>
      <c r="B4586" s="2" t="s">
        <v>11966</v>
      </c>
      <c r="C4586" s="2" t="s">
        <v>26</v>
      </c>
      <c r="D4586" s="2" t="s">
        <v>27</v>
      </c>
      <c r="E4586" s="4">
        <v>-32645</v>
      </c>
      <c r="F4586" s="3" t="s">
        <v>122</v>
      </c>
      <c r="G4586" s="3" t="s">
        <v>119</v>
      </c>
      <c r="H4586" s="2" t="s">
        <v>74</v>
      </c>
      <c r="I4586" s="2" t="s">
        <v>12003</v>
      </c>
      <c r="J4586" s="3" t="str">
        <f>HYPERLINK("https://www.boe.es/gazeta/dias/1810/08/14/pdfs/GEI-1810-56.pdf#page=14","Abrir facsímil")</f>
        <v>Abrir facsímil</v>
      </c>
      <c r="K4586" s="3" t="s">
        <v>76</v>
      </c>
    </row>
    <row r="4587" spans="1:11" ht="42" customHeight="1">
      <c r="A4587" s="2" t="s">
        <v>11966</v>
      </c>
      <c r="B4587" s="2" t="s">
        <v>11966</v>
      </c>
      <c r="C4587" s="2" t="s">
        <v>26</v>
      </c>
      <c r="D4587" s="2" t="s">
        <v>27</v>
      </c>
      <c r="E4587" s="4">
        <v>-32595</v>
      </c>
      <c r="F4587" s="3" t="s">
        <v>700</v>
      </c>
      <c r="G4587" s="3" t="s">
        <v>701</v>
      </c>
      <c r="H4587" s="2" t="s">
        <v>74</v>
      </c>
      <c r="I4587" s="2" t="s">
        <v>12004</v>
      </c>
      <c r="J4587" s="3" t="str">
        <f>HYPERLINK("https://www.boe.es/gazeta/dias/1810/10/03/pdfs/GMD-1810-276.pdf#page=3","Abrir facsímil")</f>
        <v>Abrir facsímil</v>
      </c>
      <c r="K4587" s="3" t="s">
        <v>76</v>
      </c>
    </row>
    <row r="4588" spans="1:11" ht="42" customHeight="1">
      <c r="A4588" s="2" t="s">
        <v>11966</v>
      </c>
      <c r="B4588" s="2" t="s">
        <v>11966</v>
      </c>
      <c r="C4588" s="2" t="s">
        <v>26</v>
      </c>
      <c r="D4588" s="2" t="s">
        <v>27</v>
      </c>
      <c r="E4588" s="4">
        <v>-32591</v>
      </c>
      <c r="F4588" s="3" t="s">
        <v>377</v>
      </c>
      <c r="G4588" s="3" t="s">
        <v>136</v>
      </c>
      <c r="H4588" s="2" t="s">
        <v>74</v>
      </c>
      <c r="I4588" s="2" t="s">
        <v>12005</v>
      </c>
      <c r="J4588" s="3" t="str">
        <f>HYPERLINK("https://www.boe.es/gazeta/dias/1810/10/07/pdfs/GMD-1810-280.pdf#page=3","Abrir facsímil")</f>
        <v>Abrir facsímil</v>
      </c>
      <c r="K4588" s="3" t="s">
        <v>76</v>
      </c>
    </row>
    <row r="4589" spans="1:11" ht="42" customHeight="1">
      <c r="A4589" s="2" t="s">
        <v>11966</v>
      </c>
      <c r="B4589" s="2" t="s">
        <v>11966</v>
      </c>
      <c r="C4589" s="2" t="s">
        <v>26</v>
      </c>
      <c r="D4589" s="2" t="s">
        <v>27</v>
      </c>
      <c r="E4589" s="4">
        <v>-32583</v>
      </c>
      <c r="F4589" s="3" t="s">
        <v>45</v>
      </c>
      <c r="G4589" s="3" t="s">
        <v>46</v>
      </c>
      <c r="H4589" s="2" t="s">
        <v>74</v>
      </c>
      <c r="I4589" s="2" t="s">
        <v>12006</v>
      </c>
      <c r="J4589" s="3" t="str">
        <f>HYPERLINK("https://www.boe.es/gazeta/dias/1810/10/15/pdfs/GMD-1810-288.pdf#page=4","Abrir facsímil")</f>
        <v>Abrir facsímil</v>
      </c>
      <c r="K4589" s="3" t="s">
        <v>76</v>
      </c>
    </row>
    <row r="4590" spans="1:11" ht="42" customHeight="1">
      <c r="A4590" s="2" t="s">
        <v>11966</v>
      </c>
      <c r="B4590" s="2" t="s">
        <v>11966</v>
      </c>
      <c r="C4590" s="2" t="s">
        <v>26</v>
      </c>
      <c r="D4590" s="2" t="s">
        <v>27</v>
      </c>
      <c r="E4590" s="4">
        <v>-32575</v>
      </c>
      <c r="F4590" s="3" t="s">
        <v>135</v>
      </c>
      <c r="G4590" s="3" t="s">
        <v>140</v>
      </c>
      <c r="H4590" s="2" t="s">
        <v>74</v>
      </c>
      <c r="I4590" s="2" t="s">
        <v>12007</v>
      </c>
      <c r="J4590" s="3" t="str">
        <f>HYPERLINK("https://www.boe.es/gazeta/dias/1810/10/23/pdfs/GEI-1810-85.pdf#page=10","Abrir facsímil")</f>
        <v>Abrir facsímil</v>
      </c>
      <c r="K4590" s="3" t="s">
        <v>76</v>
      </c>
    </row>
    <row r="4591" spans="1:11" ht="42" customHeight="1">
      <c r="A4591" s="2" t="s">
        <v>11966</v>
      </c>
      <c r="B4591" s="2" t="s">
        <v>11966</v>
      </c>
      <c r="C4591" s="2" t="s">
        <v>26</v>
      </c>
      <c r="D4591" s="2" t="s">
        <v>27</v>
      </c>
      <c r="E4591" s="4">
        <v>-32575</v>
      </c>
      <c r="F4591" s="3" t="s">
        <v>135</v>
      </c>
      <c r="G4591" s="3" t="s">
        <v>136</v>
      </c>
      <c r="H4591" s="2" t="s">
        <v>74</v>
      </c>
      <c r="I4591" s="2" t="s">
        <v>12008</v>
      </c>
      <c r="J4591" s="3" t="str">
        <f>HYPERLINK("https://www.boe.es/gazeta/dias/1810/10/23/pdfs/GEI-1810-85.pdf#page=11","Abrir facsímil")</f>
        <v>Abrir facsímil</v>
      </c>
      <c r="K4591" s="3" t="s">
        <v>76</v>
      </c>
    </row>
    <row r="4592" spans="1:11" ht="42" customHeight="1">
      <c r="A4592" s="2" t="s">
        <v>11966</v>
      </c>
      <c r="B4592" s="2" t="s">
        <v>11966</v>
      </c>
      <c r="C4592" s="2" t="s">
        <v>88</v>
      </c>
      <c r="D4592" s="2" t="s">
        <v>117</v>
      </c>
      <c r="E4592" s="4">
        <v>-32566</v>
      </c>
      <c r="F4592" s="3" t="s">
        <v>405</v>
      </c>
      <c r="G4592" s="3" t="s">
        <v>469</v>
      </c>
      <c r="H4592" s="2" t="s">
        <v>74</v>
      </c>
      <c r="I4592" s="2" t="s">
        <v>12009</v>
      </c>
      <c r="J4592" s="3" t="str">
        <f>HYPERLINK("https://www.boe.es/gazeta/dias/1810/11/01/pdfs/GMD-1810-305.pdf#page=2","Abrir facsímil")</f>
        <v>Abrir facsímil</v>
      </c>
      <c r="K4592" s="3" t="s">
        <v>76</v>
      </c>
    </row>
    <row r="4593" spans="1:11" ht="42" customHeight="1">
      <c r="A4593" s="2" t="s">
        <v>11966</v>
      </c>
      <c r="B4593" s="2" t="s">
        <v>11966</v>
      </c>
      <c r="C4593" s="2" t="s">
        <v>26</v>
      </c>
      <c r="D4593" s="2" t="s">
        <v>27</v>
      </c>
      <c r="E4593" s="4">
        <v>-32566</v>
      </c>
      <c r="F4593" s="3" t="s">
        <v>405</v>
      </c>
      <c r="G4593" s="3" t="s">
        <v>99</v>
      </c>
      <c r="H4593" s="2" t="s">
        <v>74</v>
      </c>
      <c r="I4593" s="2" t="s">
        <v>12010</v>
      </c>
      <c r="J4593" s="3" t="str">
        <f>HYPERLINK("https://www.boe.es/gazeta/dias/1810/11/01/pdfs/GMD-1810-305.pdf#page=3","Abrir facsímil")</f>
        <v>Abrir facsímil</v>
      </c>
      <c r="K4593" s="3" t="s">
        <v>76</v>
      </c>
    </row>
    <row r="4594" spans="1:11" ht="42" customHeight="1">
      <c r="A4594" s="2" t="s">
        <v>11966</v>
      </c>
      <c r="B4594" s="2" t="s">
        <v>11966</v>
      </c>
      <c r="C4594" s="2" t="s">
        <v>88</v>
      </c>
      <c r="D4594" s="2" t="s">
        <v>27</v>
      </c>
      <c r="E4594" s="4">
        <v>-32565</v>
      </c>
      <c r="F4594" s="3" t="s">
        <v>743</v>
      </c>
      <c r="G4594" s="3" t="s">
        <v>458</v>
      </c>
      <c r="H4594" s="2" t="s">
        <v>74</v>
      </c>
      <c r="I4594" s="2" t="s">
        <v>12011</v>
      </c>
      <c r="J4594" s="3" t="str">
        <f>HYPERLINK("https://www.boe.es/gazeta/dias/1810/11/02/pdfs/GMD-1810-306.pdf#page=2","Abrir facsímil")</f>
        <v>Abrir facsímil</v>
      </c>
      <c r="K4594" s="3" t="s">
        <v>76</v>
      </c>
    </row>
    <row r="4595" spans="1:11" ht="42" customHeight="1">
      <c r="A4595" s="2" t="s">
        <v>11966</v>
      </c>
      <c r="B4595" s="2" t="s">
        <v>11966</v>
      </c>
      <c r="C4595" s="2" t="s">
        <v>88</v>
      </c>
      <c r="D4595" s="2" t="s">
        <v>117</v>
      </c>
      <c r="E4595" s="4">
        <v>-32564</v>
      </c>
      <c r="F4595" s="3" t="s">
        <v>1604</v>
      </c>
      <c r="G4595" s="3" t="s">
        <v>1605</v>
      </c>
      <c r="H4595" s="2" t="s">
        <v>74</v>
      </c>
      <c r="I4595" s="2" t="s">
        <v>12012</v>
      </c>
      <c r="J4595" s="3" t="str">
        <f>HYPERLINK("https://www.boe.es/gazeta/dias/1810/11/03/pdfs/GMD-1810-307.pdf#page=2","Abrir facsímil")</f>
        <v>Abrir facsímil</v>
      </c>
      <c r="K4595" s="3" t="s">
        <v>76</v>
      </c>
    </row>
    <row r="4596" spans="1:11" ht="42" customHeight="1">
      <c r="A4596" s="2" t="s">
        <v>11966</v>
      </c>
      <c r="B4596" s="2" t="s">
        <v>11966</v>
      </c>
      <c r="C4596" s="2" t="s">
        <v>26</v>
      </c>
      <c r="D4596" s="2" t="s">
        <v>27</v>
      </c>
      <c r="E4596" s="4">
        <v>-32563</v>
      </c>
      <c r="F4596" s="3" t="s">
        <v>535</v>
      </c>
      <c r="G4596" s="3" t="s">
        <v>1335</v>
      </c>
      <c r="H4596" s="2" t="s">
        <v>74</v>
      </c>
      <c r="I4596" s="2" t="s">
        <v>12013</v>
      </c>
      <c r="J4596" s="3" t="str">
        <f>HYPERLINK("https://www.boe.es/gazeta/dias/1810/11/04/pdfs/GMD-1810-308.pdf#page=6","Abrir facsímil")</f>
        <v>Abrir facsímil</v>
      </c>
      <c r="K4596" s="3" t="s">
        <v>76</v>
      </c>
    </row>
    <row r="4597" spans="1:11" ht="42" customHeight="1">
      <c r="A4597" s="2" t="s">
        <v>11966</v>
      </c>
      <c r="B4597" s="2" t="s">
        <v>11966</v>
      </c>
      <c r="C4597" s="2" t="s">
        <v>26</v>
      </c>
      <c r="D4597" s="2" t="s">
        <v>27</v>
      </c>
      <c r="E4597" s="4">
        <v>-32562</v>
      </c>
      <c r="F4597" s="3" t="s">
        <v>1186</v>
      </c>
      <c r="G4597" s="3" t="s">
        <v>29</v>
      </c>
      <c r="H4597" s="2" t="s">
        <v>74</v>
      </c>
      <c r="I4597" s="2" t="s">
        <v>12014</v>
      </c>
      <c r="J4597" s="3" t="str">
        <f>HYPERLINK("https://www.boe.es/gazeta/dias/1810/11/05/pdfs/GMD-1810-309.pdf#page=2","Abrir facsímil")</f>
        <v>Abrir facsímil</v>
      </c>
      <c r="K4597" s="3" t="s">
        <v>76</v>
      </c>
    </row>
    <row r="4598" spans="1:11" ht="42" customHeight="1">
      <c r="A4598" s="2" t="s">
        <v>11966</v>
      </c>
      <c r="B4598" s="2" t="s">
        <v>11966</v>
      </c>
      <c r="C4598" s="2" t="s">
        <v>26</v>
      </c>
      <c r="D4598" s="2" t="s">
        <v>27</v>
      </c>
      <c r="E4598" s="4">
        <v>-32547</v>
      </c>
      <c r="F4598" s="3" t="s">
        <v>407</v>
      </c>
      <c r="G4598" s="3" t="s">
        <v>408</v>
      </c>
      <c r="H4598" s="2" t="s">
        <v>74</v>
      </c>
      <c r="I4598" s="2" t="s">
        <v>12015</v>
      </c>
      <c r="J4598" s="3" t="str">
        <f>HYPERLINK("https://www.boe.es/gazeta/dias/1810/11/20/pdfs/GEI-1810-97.pdf#page=8","Abrir facsímil")</f>
        <v>Abrir facsímil</v>
      </c>
      <c r="K4598" s="3" t="s">
        <v>76</v>
      </c>
    </row>
    <row r="4599" spans="1:11" ht="42" customHeight="1">
      <c r="A4599" s="2" t="s">
        <v>11966</v>
      </c>
      <c r="B4599" s="2" t="s">
        <v>11966</v>
      </c>
      <c r="C4599" s="2" t="s">
        <v>26</v>
      </c>
      <c r="D4599" s="2" t="s">
        <v>27</v>
      </c>
      <c r="E4599" s="4">
        <v>-32543</v>
      </c>
      <c r="F4599" s="3" t="s">
        <v>69</v>
      </c>
      <c r="G4599" s="3" t="s">
        <v>84</v>
      </c>
      <c r="H4599" s="2" t="s">
        <v>74</v>
      </c>
      <c r="I4599" s="2" t="s">
        <v>12016</v>
      </c>
      <c r="J4599" s="3" t="str">
        <f>HYPERLINK("https://www.boe.es/gazeta/dias/1810/11/24/pdfs/GEI-1810-99.pdf#page=7","Abrir facsímil")</f>
        <v>Abrir facsímil</v>
      </c>
      <c r="K4599" s="3" t="s">
        <v>76</v>
      </c>
    </row>
    <row r="4600" spans="1:11" ht="42" customHeight="1">
      <c r="A4600" s="2" t="s">
        <v>11966</v>
      </c>
      <c r="B4600" s="2" t="s">
        <v>11966</v>
      </c>
      <c r="C4600" s="2" t="s">
        <v>33</v>
      </c>
      <c r="D4600" s="2" t="s">
        <v>27</v>
      </c>
      <c r="E4600" s="4">
        <v>-32543</v>
      </c>
      <c r="F4600" s="3" t="s">
        <v>69</v>
      </c>
      <c r="G4600" s="3" t="s">
        <v>70</v>
      </c>
      <c r="H4600" s="2" t="s">
        <v>74</v>
      </c>
      <c r="I4600" s="2" t="s">
        <v>12017</v>
      </c>
      <c r="J4600" s="3" t="str">
        <f>HYPERLINK("https://www.boe.es/gazeta/dias/1810/11/24/pdfs/GEI-1810-99.pdf#page=8","Abrir facsímil")</f>
        <v>Abrir facsímil</v>
      </c>
      <c r="K4600" s="3" t="s">
        <v>76</v>
      </c>
    </row>
    <row r="4601" spans="1:11" ht="42" customHeight="1">
      <c r="A4601" s="2" t="s">
        <v>11966</v>
      </c>
      <c r="B4601" s="2" t="s">
        <v>11966</v>
      </c>
      <c r="C4601" s="2" t="s">
        <v>26</v>
      </c>
      <c r="D4601" s="2" t="s">
        <v>27</v>
      </c>
      <c r="E4601" s="4">
        <v>-32531</v>
      </c>
      <c r="F4601" s="3" t="s">
        <v>2023</v>
      </c>
      <c r="G4601" s="3" t="s">
        <v>29</v>
      </c>
      <c r="H4601" s="2" t="s">
        <v>74</v>
      </c>
      <c r="I4601" s="2" t="s">
        <v>12018</v>
      </c>
      <c r="J4601" s="3" t="str">
        <f>HYPERLINK("https://www.boe.es/gazeta/dias/1810/12/06/pdfs/GMD-1810-340.pdf#page=4","Abrir facsímil")</f>
        <v>Abrir facsímil</v>
      </c>
      <c r="K4601" s="3" t="s">
        <v>76</v>
      </c>
    </row>
    <row r="4602" spans="1:11" ht="42" customHeight="1">
      <c r="A4602" s="2" t="s">
        <v>11966</v>
      </c>
      <c r="B4602" s="2" t="s">
        <v>11966</v>
      </c>
      <c r="C4602" s="2" t="s">
        <v>26</v>
      </c>
      <c r="D4602" s="2" t="s">
        <v>27</v>
      </c>
      <c r="E4602" s="4">
        <v>-32526</v>
      </c>
      <c r="F4602" s="3" t="s">
        <v>530</v>
      </c>
      <c r="G4602" s="3" t="s">
        <v>531</v>
      </c>
      <c r="H4602" s="2" t="s">
        <v>74</v>
      </c>
      <c r="I4602" s="2" t="s">
        <v>12019</v>
      </c>
      <c r="J4602" s="3" t="str">
        <f>HYPERLINK("https://www.boe.es/gazeta/dias/1810/12/11/pdfs/GEI-1810-106.pdf#page=2","Abrir facsímil")</f>
        <v>Abrir facsímil</v>
      </c>
      <c r="K4602" s="3" t="s">
        <v>76</v>
      </c>
    </row>
    <row r="4603" spans="1:11" ht="42" customHeight="1">
      <c r="A4603" s="2" t="s">
        <v>11966</v>
      </c>
      <c r="B4603" s="2" t="s">
        <v>11966</v>
      </c>
      <c r="C4603" s="2" t="s">
        <v>111</v>
      </c>
      <c r="D4603" s="2" t="s">
        <v>18</v>
      </c>
      <c r="E4603" s="4">
        <v>-32517</v>
      </c>
      <c r="F4603" s="3" t="s">
        <v>566</v>
      </c>
      <c r="G4603" s="3" t="s">
        <v>762</v>
      </c>
      <c r="H4603" s="2" t="s">
        <v>74</v>
      </c>
      <c r="I4603" s="2" t="s">
        <v>12020</v>
      </c>
      <c r="J4603" s="3" t="str">
        <f>HYPERLINK("https://www.boe.es/gazeta/dias/1810/12/20/pdfs/GEI-1810-110.pdf#page=8","Abrir facsímil")</f>
        <v>Abrir facsímil</v>
      </c>
      <c r="K4603" s="3" t="s">
        <v>76</v>
      </c>
    </row>
    <row r="4604" spans="1:11" ht="42" customHeight="1">
      <c r="A4604" s="2" t="s">
        <v>11966</v>
      </c>
      <c r="B4604" s="2" t="s">
        <v>11966</v>
      </c>
      <c r="C4604" s="2" t="s">
        <v>88</v>
      </c>
      <c r="D4604" s="2" t="s">
        <v>27</v>
      </c>
      <c r="E4604" s="4">
        <v>-32509</v>
      </c>
      <c r="F4604" s="3" t="s">
        <v>212</v>
      </c>
      <c r="G4604" s="3" t="s">
        <v>213</v>
      </c>
      <c r="H4604" s="2" t="s">
        <v>74</v>
      </c>
      <c r="I4604" s="2" t="s">
        <v>12021</v>
      </c>
      <c r="J4604" s="3" t="str">
        <f>HYPERLINK("https://www.boe.es/gazeta/dias/1810/12/28/pdfs/GMD-1810-362.pdf#page=4","Abrir facsímil")</f>
        <v>Abrir facsímil</v>
      </c>
      <c r="K4604" s="3" t="s">
        <v>76</v>
      </c>
    </row>
    <row r="4605" spans="1:11" ht="42" customHeight="1">
      <c r="A4605" s="2" t="s">
        <v>11966</v>
      </c>
      <c r="B4605" s="2" t="s">
        <v>11966</v>
      </c>
      <c r="C4605" s="2" t="s">
        <v>26</v>
      </c>
      <c r="D4605" s="2" t="s">
        <v>27</v>
      </c>
      <c r="E4605" s="4">
        <v>-32506</v>
      </c>
      <c r="F4605" s="3" t="s">
        <v>7076</v>
      </c>
      <c r="G4605" s="3" t="s">
        <v>2739</v>
      </c>
      <c r="H4605" s="2" t="s">
        <v>74</v>
      </c>
      <c r="I4605" s="2" t="s">
        <v>12022</v>
      </c>
      <c r="J4605" s="3" t="str">
        <f>HYPERLINK("https://www.boe.es/gazeta/dias/1810/12/31/pdfs/GMD-1810-365.pdf#page=4","Abrir facsímil")</f>
        <v>Abrir facsímil</v>
      </c>
      <c r="K4605" s="3" t="s">
        <v>76</v>
      </c>
    </row>
    <row r="4606" spans="1:11" ht="42" customHeight="1">
      <c r="A4606" s="2" t="s">
        <v>12023</v>
      </c>
      <c r="B4606" s="2" t="s">
        <v>12024</v>
      </c>
      <c r="C4606" s="2" t="s">
        <v>88</v>
      </c>
      <c r="D4606" s="2" t="s">
        <v>117</v>
      </c>
      <c r="E4606" s="4">
        <v>-32575</v>
      </c>
      <c r="F4606" s="3" t="s">
        <v>135</v>
      </c>
      <c r="G4606" s="3" t="s">
        <v>2008</v>
      </c>
      <c r="H4606" s="2" t="s">
        <v>74</v>
      </c>
      <c r="I4606" s="2" t="s">
        <v>12025</v>
      </c>
      <c r="J4606" s="3" t="str">
        <f>HYPERLINK("https://www.boe.es/gazeta/dias/1810/10/23/pdfs/GEI-1810-85.pdf#page=8","Abrir facsímil")</f>
        <v>Abrir facsímil</v>
      </c>
      <c r="K4606" s="3" t="s">
        <v>76</v>
      </c>
    </row>
    <row r="4607" spans="1:11" ht="42" customHeight="1">
      <c r="A4607" s="2" t="s">
        <v>12026</v>
      </c>
      <c r="B4607" s="2" t="s">
        <v>12027</v>
      </c>
      <c r="C4607" s="2" t="s">
        <v>111</v>
      </c>
      <c r="D4607" s="2" t="s">
        <v>27</v>
      </c>
      <c r="E4607" s="4">
        <v>-32804</v>
      </c>
      <c r="F4607" s="3" t="s">
        <v>583</v>
      </c>
      <c r="G4607" s="3" t="s">
        <v>6307</v>
      </c>
      <c r="H4607" s="2" t="s">
        <v>74</v>
      </c>
      <c r="I4607" s="2" t="s">
        <v>12028</v>
      </c>
      <c r="J4607" s="3" t="str">
        <f>HYPERLINK("https://www.boe.es/gazeta/dias/1810/03/08/pdfs/GMD-1810-67.pdf#page=4","Abrir facsímil")</f>
        <v>Abrir facsímil</v>
      </c>
      <c r="K4607" s="3" t="s">
        <v>76</v>
      </c>
    </row>
    <row r="4608" spans="1:11" ht="42" customHeight="1">
      <c r="A4608" s="2" t="s">
        <v>12026</v>
      </c>
      <c r="B4608" s="2" t="s">
        <v>12027</v>
      </c>
      <c r="C4608" s="2" t="s">
        <v>26</v>
      </c>
      <c r="D4608" s="2" t="s">
        <v>27</v>
      </c>
      <c r="E4608" s="4">
        <v>-32802</v>
      </c>
      <c r="F4608" s="3" t="s">
        <v>1075</v>
      </c>
      <c r="G4608" s="3" t="s">
        <v>213</v>
      </c>
      <c r="H4608" s="2" t="s">
        <v>74</v>
      </c>
      <c r="I4608" s="2" t="s">
        <v>12029</v>
      </c>
      <c r="J4608" s="3" t="str">
        <f>HYPERLINK("https://www.boe.es/gazeta/dias/1810/03/10/pdfs/GMD-1810-69.pdf#page=4","Abrir facsímil")</f>
        <v>Abrir facsímil</v>
      </c>
      <c r="K4608" s="3" t="s">
        <v>76</v>
      </c>
    </row>
    <row r="4609" spans="1:11" ht="42" customHeight="1">
      <c r="A4609" s="2" t="s">
        <v>12026</v>
      </c>
      <c r="B4609" s="2" t="s">
        <v>12027</v>
      </c>
      <c r="C4609" s="2" t="s">
        <v>26</v>
      </c>
      <c r="D4609" s="2" t="s">
        <v>27</v>
      </c>
      <c r="E4609" s="4">
        <v>-32800</v>
      </c>
      <c r="F4609" s="3" t="s">
        <v>388</v>
      </c>
      <c r="G4609" s="3" t="s">
        <v>90</v>
      </c>
      <c r="H4609" s="2" t="s">
        <v>74</v>
      </c>
      <c r="I4609" s="2" t="s">
        <v>12030</v>
      </c>
      <c r="J4609" s="3" t="str">
        <f>HYPERLINK("https://www.boe.es/gazeta/dias/1810/03/12/pdfs/GMD-1810-71.pdf#page=4","Abrir facsímil")</f>
        <v>Abrir facsímil</v>
      </c>
      <c r="K4609" s="3" t="s">
        <v>76</v>
      </c>
    </row>
    <row r="4610" spans="1:11" ht="42" customHeight="1">
      <c r="A4610" s="2" t="s">
        <v>12031</v>
      </c>
      <c r="B4610" s="2" t="s">
        <v>12032</v>
      </c>
      <c r="C4610" s="2" t="s">
        <v>26</v>
      </c>
      <c r="D4610" s="2" t="s">
        <v>39</v>
      </c>
      <c r="E4610" s="4">
        <v>-32701</v>
      </c>
      <c r="F4610" s="3" t="s">
        <v>40</v>
      </c>
      <c r="G4610" s="3" t="s">
        <v>315</v>
      </c>
      <c r="H4610" s="2" t="s">
        <v>21</v>
      </c>
      <c r="I4610" s="2" t="s">
        <v>12033</v>
      </c>
      <c r="J4610" s="3" t="str">
        <f>HYPERLINK("https://www.boe.es/gazeta/dias/1810/06/19/pdfs/GMD-C-1810-170.pdf#page=2","Abrir facsímil")</f>
        <v>Abrir facsímil</v>
      </c>
      <c r="K4610" s="3" t="s">
        <v>23</v>
      </c>
    </row>
    <row r="4611" spans="1:11" ht="42" customHeight="1">
      <c r="A4611" s="2" t="s">
        <v>12034</v>
      </c>
      <c r="B4611" s="2" t="s">
        <v>12035</v>
      </c>
      <c r="C4611" s="2" t="s">
        <v>26</v>
      </c>
      <c r="D4611" s="2" t="s">
        <v>27</v>
      </c>
      <c r="E4611" s="4">
        <v>-32710</v>
      </c>
      <c r="F4611" s="3" t="s">
        <v>126</v>
      </c>
      <c r="G4611" s="3" t="s">
        <v>35</v>
      </c>
      <c r="H4611" s="2" t="s">
        <v>74</v>
      </c>
      <c r="I4611" s="2" t="s">
        <v>12036</v>
      </c>
      <c r="J4611" s="3" t="str">
        <f>HYPERLINK("https://www.boe.es/gazeta/dias/1810/06/10/pdfs/GMD-1810-161.pdf#page=2","Abrir facsímil")</f>
        <v>Abrir facsímil</v>
      </c>
      <c r="K4611" s="3" t="s">
        <v>76</v>
      </c>
    </row>
    <row r="4612" spans="1:11" ht="42" customHeight="1">
      <c r="A4612" s="2" t="s">
        <v>12037</v>
      </c>
      <c r="B4612" s="2" t="s">
        <v>12038</v>
      </c>
      <c r="C4612" s="2" t="s">
        <v>17</v>
      </c>
      <c r="D4612" s="2" t="s">
        <v>27</v>
      </c>
      <c r="E4612" s="4">
        <v>-32562</v>
      </c>
      <c r="F4612" s="3" t="s">
        <v>1186</v>
      </c>
      <c r="G4612" s="3" t="s">
        <v>90</v>
      </c>
      <c r="H4612" s="2" t="s">
        <v>21</v>
      </c>
      <c r="I4612" s="2" t="s">
        <v>12039</v>
      </c>
      <c r="J4612" s="3" t="str">
        <f>HYPERLINK("https://www.boe.es/gazeta/dias/1810/11/05/pdfs/GMD-1810-309.pdf#page=3","Abrir facsímil")</f>
        <v>Abrir facsímil</v>
      </c>
      <c r="K4612" s="3" t="s">
        <v>23</v>
      </c>
    </row>
    <row r="4613" spans="1:11" ht="42" customHeight="1">
      <c r="A4613" s="2" t="s">
        <v>12040</v>
      </c>
      <c r="B4613" s="2" t="s">
        <v>12040</v>
      </c>
      <c r="C4613" s="2" t="s">
        <v>26</v>
      </c>
      <c r="D4613" s="2" t="s">
        <v>39</v>
      </c>
      <c r="E4613" s="4">
        <v>-32616</v>
      </c>
      <c r="F4613" s="3" t="s">
        <v>12041</v>
      </c>
      <c r="G4613" s="3" t="s">
        <v>1590</v>
      </c>
      <c r="H4613" s="2" t="s">
        <v>74</v>
      </c>
      <c r="I4613" s="2" t="s">
        <v>12042</v>
      </c>
      <c r="J4613" s="3" t="str">
        <f>HYPERLINK("https://www.boe.es/gazeta/dias/1810/09/12/pdfs/GMD-C-1810-255.pdf#page=1","Abrir facsímil")</f>
        <v>Abrir facsímil</v>
      </c>
      <c r="K4613" s="3" t="s">
        <v>76</v>
      </c>
    </row>
    <row r="4614" spans="1:11" ht="42" customHeight="1">
      <c r="A4614" s="2" t="s">
        <v>12040</v>
      </c>
      <c r="B4614" s="2" t="s">
        <v>12040</v>
      </c>
      <c r="C4614" s="2" t="s">
        <v>88</v>
      </c>
      <c r="D4614" s="2" t="s">
        <v>117</v>
      </c>
      <c r="E4614" s="4">
        <v>-32612</v>
      </c>
      <c r="F4614" s="3" t="s">
        <v>7236</v>
      </c>
      <c r="G4614" s="3" t="s">
        <v>20</v>
      </c>
      <c r="H4614" s="2" t="s">
        <v>74</v>
      </c>
      <c r="I4614" s="2" t="s">
        <v>12043</v>
      </c>
      <c r="J4614" s="3" t="str">
        <f>HYPERLINK("https://www.boe.es/gazeta/dias/1810/09/16/pdfs/GMD-1810-259.pdf#page=4","Abrir facsímil")</f>
        <v>Abrir facsímil</v>
      </c>
      <c r="K4614" s="3" t="s">
        <v>76</v>
      </c>
    </row>
    <row r="4615" spans="1:11" ht="42" customHeight="1">
      <c r="A4615" s="2" t="s">
        <v>12044</v>
      </c>
      <c r="B4615" s="2" t="s">
        <v>12045</v>
      </c>
      <c r="C4615" s="2" t="s">
        <v>26</v>
      </c>
      <c r="D4615" s="2" t="s">
        <v>27</v>
      </c>
      <c r="E4615" s="4">
        <v>-32678</v>
      </c>
      <c r="F4615" s="3" t="s">
        <v>3679</v>
      </c>
      <c r="G4615" s="3" t="s">
        <v>8963</v>
      </c>
      <c r="H4615" s="2" t="s">
        <v>74</v>
      </c>
      <c r="I4615" s="2" t="s">
        <v>12046</v>
      </c>
      <c r="J4615" s="3" t="str">
        <f>HYPERLINK("https://www.boe.es/gazeta/dias/1810/07/12/pdfs/GMD-1810-193.pdf#page=4","Abrir facsímil")</f>
        <v>Abrir facsímil</v>
      </c>
      <c r="K4615" s="3" t="s">
        <v>76</v>
      </c>
    </row>
    <row r="4616" spans="1:11" ht="42" customHeight="1">
      <c r="A4616" s="2" t="s">
        <v>12047</v>
      </c>
      <c r="B4616" s="2" t="s">
        <v>12047</v>
      </c>
      <c r="C4616" s="2" t="s">
        <v>225</v>
      </c>
      <c r="D4616" s="2" t="s">
        <v>27</v>
      </c>
      <c r="E4616" s="4">
        <v>-32509</v>
      </c>
      <c r="F4616" s="3" t="s">
        <v>212</v>
      </c>
      <c r="G4616" s="3" t="s">
        <v>213</v>
      </c>
      <c r="H4616" s="2" t="s">
        <v>74</v>
      </c>
      <c r="I4616" s="2" t="s">
        <v>12048</v>
      </c>
      <c r="J4616" s="3" t="str">
        <f>HYPERLINK("https://www.boe.es/gazeta/dias/1810/12/28/pdfs/GMD-1810-362.pdf#page=4","Abrir facsímil")</f>
        <v>Abrir facsímil</v>
      </c>
      <c r="K4616" s="3" t="s">
        <v>76</v>
      </c>
    </row>
    <row r="4617" spans="1:11" ht="42" customHeight="1">
      <c r="A4617" s="2" t="s">
        <v>12049</v>
      </c>
      <c r="B4617" s="2" t="s">
        <v>12049</v>
      </c>
      <c r="C4617" s="2" t="s">
        <v>26</v>
      </c>
      <c r="D4617" s="2" t="s">
        <v>27</v>
      </c>
      <c r="E4617" s="4">
        <v>-32771</v>
      </c>
      <c r="F4617" s="3" t="s">
        <v>543</v>
      </c>
      <c r="G4617" s="3" t="s">
        <v>65</v>
      </c>
      <c r="H4617" s="2" t="s">
        <v>74</v>
      </c>
      <c r="I4617" s="2" t="s">
        <v>12050</v>
      </c>
      <c r="J4617" s="3" t="str">
        <f>HYPERLINK("https://www.boe.es/gazeta/dias/1810/04/10/pdfs/GEI-1810-13.pdf#page=7","Abrir facsímil")</f>
        <v>Abrir facsímil</v>
      </c>
      <c r="K4617" s="3" t="s">
        <v>76</v>
      </c>
    </row>
    <row r="4618" spans="1:11" ht="42" customHeight="1">
      <c r="A4618" s="2" t="s">
        <v>12051</v>
      </c>
      <c r="B4618" s="2" t="s">
        <v>12052</v>
      </c>
      <c r="C4618" s="2" t="s">
        <v>26</v>
      </c>
      <c r="D4618" s="2" t="s">
        <v>18</v>
      </c>
      <c r="E4618" s="4">
        <v>-32661</v>
      </c>
      <c r="F4618" s="3" t="s">
        <v>157</v>
      </c>
      <c r="G4618" s="3" t="s">
        <v>158</v>
      </c>
      <c r="H4618" s="2" t="s">
        <v>74</v>
      </c>
      <c r="I4618" s="2" t="s">
        <v>12053</v>
      </c>
      <c r="J4618" s="3" t="str">
        <f>HYPERLINK("https://www.boe.es/gazeta/dias/1810/07/29/pdfs/GMD-C-1810-210.pdf#page=1","Abrir facsímil")</f>
        <v>Abrir facsímil</v>
      </c>
      <c r="K4618" s="3" t="s">
        <v>76</v>
      </c>
    </row>
    <row r="4619" spans="1:11" ht="42" customHeight="1">
      <c r="A4619" s="2" t="s">
        <v>12054</v>
      </c>
      <c r="B4619" s="2" t="s">
        <v>12054</v>
      </c>
      <c r="C4619" s="2" t="s">
        <v>26</v>
      </c>
      <c r="D4619" s="2" t="s">
        <v>39</v>
      </c>
      <c r="E4619" s="4">
        <v>-32702</v>
      </c>
      <c r="F4619" s="3" t="s">
        <v>179</v>
      </c>
      <c r="G4619" s="3" t="s">
        <v>213</v>
      </c>
      <c r="H4619" s="2" t="s">
        <v>74</v>
      </c>
      <c r="I4619" s="2" t="s">
        <v>12055</v>
      </c>
      <c r="J4619" s="3" t="str">
        <f>HYPERLINK("https://www.boe.es/gazeta/dias/1810/06/18/pdfs/GMD-C-1810-169.pdf#page=4","Abrir facsímil")</f>
        <v>Abrir facsímil</v>
      </c>
      <c r="K4619" s="3" t="s">
        <v>76</v>
      </c>
    </row>
    <row r="4620" spans="1:11" ht="42" customHeight="1">
      <c r="A4620" s="2" t="s">
        <v>12056</v>
      </c>
      <c r="B4620" s="2" t="s">
        <v>12056</v>
      </c>
      <c r="C4620" s="2" t="s">
        <v>26</v>
      </c>
      <c r="D4620" s="2" t="s">
        <v>27</v>
      </c>
      <c r="E4620" s="4">
        <v>-32762</v>
      </c>
      <c r="F4620" s="3" t="s">
        <v>231</v>
      </c>
      <c r="G4620" s="3" t="s">
        <v>29</v>
      </c>
      <c r="H4620" s="2" t="s">
        <v>74</v>
      </c>
      <c r="I4620" s="2" t="s">
        <v>12057</v>
      </c>
      <c r="J4620" s="3" t="str">
        <f>HYPERLINK("https://www.boe.es/gazeta/dias/1810/04/19/pdfs/GMD-1810-109.pdf#page=2","Abrir facsímil")</f>
        <v>Abrir facsímil</v>
      </c>
      <c r="K4620" s="3" t="s">
        <v>76</v>
      </c>
    </row>
    <row r="4621" spans="1:11" ht="42" customHeight="1">
      <c r="A4621" s="2" t="s">
        <v>12058</v>
      </c>
      <c r="B4621" s="2" t="s">
        <v>12058</v>
      </c>
      <c r="C4621" s="2" t="s">
        <v>33</v>
      </c>
      <c r="D4621" s="2" t="s">
        <v>18</v>
      </c>
      <c r="E4621" s="4">
        <v>-32733</v>
      </c>
      <c r="F4621" s="3" t="s">
        <v>955</v>
      </c>
      <c r="G4621" s="3" t="s">
        <v>5433</v>
      </c>
      <c r="H4621" s="2" t="s">
        <v>74</v>
      </c>
      <c r="I4621" s="2" t="s">
        <v>12059</v>
      </c>
      <c r="J4621" s="3" t="str">
        <f>HYPERLINK("https://www.boe.es/gazeta/dias/1810/05/18/pdfs/GEI-1810-27.pdf#page=3","Abrir facsímil")</f>
        <v>Abrir facsímil</v>
      </c>
      <c r="K4621" s="3" t="s">
        <v>76</v>
      </c>
    </row>
    <row r="4622" spans="1:11" ht="42" customHeight="1">
      <c r="A4622" s="2" t="s">
        <v>12060</v>
      </c>
      <c r="B4622" s="2" t="s">
        <v>12061</v>
      </c>
      <c r="C4622" s="2" t="s">
        <v>26</v>
      </c>
      <c r="D4622" s="2" t="s">
        <v>27</v>
      </c>
      <c r="E4622" s="4">
        <v>-32526</v>
      </c>
      <c r="F4622" s="3" t="s">
        <v>530</v>
      </c>
      <c r="G4622" s="3" t="s">
        <v>531</v>
      </c>
      <c r="H4622" s="2" t="s">
        <v>74</v>
      </c>
      <c r="I4622" s="2" t="s">
        <v>12062</v>
      </c>
      <c r="J4622" s="3" t="str">
        <f>HYPERLINK("https://www.boe.es/gazeta/dias/1810/12/11/pdfs/GEI-1810-106.pdf#page=2","Abrir facsímil")</f>
        <v>Abrir facsímil</v>
      </c>
      <c r="K4622" s="3" t="s">
        <v>76</v>
      </c>
    </row>
    <row r="4623" spans="1:11" ht="42" customHeight="1">
      <c r="A4623" s="2" t="s">
        <v>12063</v>
      </c>
      <c r="B4623" s="2" t="s">
        <v>12064</v>
      </c>
      <c r="C4623" s="2" t="s">
        <v>88</v>
      </c>
      <c r="D4623" s="2" t="s">
        <v>117</v>
      </c>
      <c r="E4623" s="4">
        <v>-32730</v>
      </c>
      <c r="F4623" s="3" t="s">
        <v>50</v>
      </c>
      <c r="G4623" s="3" t="s">
        <v>29</v>
      </c>
      <c r="H4623" s="2" t="s">
        <v>74</v>
      </c>
      <c r="I4623" s="2" t="s">
        <v>12065</v>
      </c>
      <c r="J4623" s="3" t="str">
        <f>HYPERLINK("https://www.boe.es/gazeta/dias/1810/05/21/pdfs/GMD-1810-141.pdf#page=3","Abrir facsímil")</f>
        <v>Abrir facsímil</v>
      </c>
      <c r="K4623" s="3" t="s">
        <v>76</v>
      </c>
    </row>
    <row r="4624" spans="1:11" ht="42" customHeight="1">
      <c r="A4624" s="2" t="s">
        <v>12066</v>
      </c>
      <c r="B4624" s="2" t="s">
        <v>12066</v>
      </c>
      <c r="C4624" s="2" t="s">
        <v>33</v>
      </c>
      <c r="D4624" s="2" t="s">
        <v>27</v>
      </c>
      <c r="E4624" s="4">
        <v>-32754</v>
      </c>
      <c r="F4624" s="3" t="s">
        <v>34</v>
      </c>
      <c r="G4624" s="3" t="s">
        <v>29</v>
      </c>
      <c r="H4624" s="2" t="s">
        <v>74</v>
      </c>
      <c r="I4624" s="2" t="s">
        <v>12067</v>
      </c>
      <c r="J4624" s="3" t="str">
        <f>HYPERLINK("https://www.boe.es/gazeta/dias/1810/04/27/pdfs/GMD-1810-117.pdf#page=3","Abrir facsímil")</f>
        <v>Abrir facsímil</v>
      </c>
      <c r="K4624" s="3" t="s">
        <v>76</v>
      </c>
    </row>
    <row r="4625" spans="1:11" ht="42" customHeight="1">
      <c r="A4625" s="2" t="s">
        <v>12066</v>
      </c>
      <c r="B4625" s="2" t="s">
        <v>12066</v>
      </c>
      <c r="C4625" s="2" t="s">
        <v>88</v>
      </c>
      <c r="D4625" s="2" t="s">
        <v>117</v>
      </c>
      <c r="E4625" s="4">
        <v>-32566</v>
      </c>
      <c r="F4625" s="3" t="s">
        <v>405</v>
      </c>
      <c r="G4625" s="3" t="s">
        <v>469</v>
      </c>
      <c r="H4625" s="2" t="s">
        <v>74</v>
      </c>
      <c r="I4625" s="2" t="s">
        <v>12068</v>
      </c>
      <c r="J4625" s="3" t="str">
        <f>HYPERLINK("https://www.boe.es/gazeta/dias/1810/11/01/pdfs/GMD-1810-305.pdf#page=2","Abrir facsímil")</f>
        <v>Abrir facsímil</v>
      </c>
      <c r="K4625" s="3" t="s">
        <v>76</v>
      </c>
    </row>
    <row r="4626" spans="1:11" ht="42" customHeight="1">
      <c r="A4626" s="2" t="s">
        <v>12069</v>
      </c>
      <c r="B4626" s="2" t="s">
        <v>12069</v>
      </c>
      <c r="C4626" s="2" t="s">
        <v>26</v>
      </c>
      <c r="D4626" s="2" t="s">
        <v>220</v>
      </c>
      <c r="E4626" s="4">
        <v>-32762</v>
      </c>
      <c r="F4626" s="3" t="s">
        <v>231</v>
      </c>
      <c r="G4626" s="3" t="s">
        <v>140</v>
      </c>
      <c r="H4626" s="2" t="s">
        <v>74</v>
      </c>
      <c r="I4626" s="2" t="s">
        <v>12070</v>
      </c>
      <c r="J4626" s="3" t="str">
        <f>HYPERLINK("https://www.boe.es/gazeta/dias/1810/04/19/pdfs/GMD-1810-109.pdf#page=3","Abrir facsímil")</f>
        <v>Abrir facsímil</v>
      </c>
      <c r="K4626" s="3" t="s">
        <v>76</v>
      </c>
    </row>
    <row r="4627" spans="1:11" ht="42" customHeight="1">
      <c r="A4627" s="2" t="s">
        <v>12069</v>
      </c>
      <c r="B4627" s="2" t="s">
        <v>12069</v>
      </c>
      <c r="C4627" s="2" t="s">
        <v>88</v>
      </c>
      <c r="D4627" s="2" t="s">
        <v>117</v>
      </c>
      <c r="E4627" s="4">
        <v>-32564</v>
      </c>
      <c r="F4627" s="3" t="s">
        <v>1604</v>
      </c>
      <c r="G4627" s="3" t="s">
        <v>1605</v>
      </c>
      <c r="H4627" s="2" t="s">
        <v>74</v>
      </c>
      <c r="I4627" s="2" t="s">
        <v>12071</v>
      </c>
      <c r="J4627" s="3" t="str">
        <f>HYPERLINK("https://www.boe.es/gazeta/dias/1810/11/03/pdfs/GMD-1810-307.pdf#page=2","Abrir facsímil")</f>
        <v>Abrir facsímil</v>
      </c>
      <c r="K4627" s="3" t="s">
        <v>76</v>
      </c>
    </row>
    <row r="4628" spans="1:11" ht="42" customHeight="1">
      <c r="A4628" s="2" t="s">
        <v>12072</v>
      </c>
      <c r="B4628" s="2" t="s">
        <v>12073</v>
      </c>
      <c r="C4628" s="2" t="s">
        <v>26</v>
      </c>
      <c r="D4628" s="2" t="s">
        <v>39</v>
      </c>
      <c r="E4628" s="4">
        <v>-32677</v>
      </c>
      <c r="F4628" s="3" t="s">
        <v>549</v>
      </c>
      <c r="G4628" s="3" t="s">
        <v>1540</v>
      </c>
      <c r="H4628" s="2" t="s">
        <v>74</v>
      </c>
      <c r="I4628" s="2" t="s">
        <v>12074</v>
      </c>
      <c r="J4628" s="3" t="str">
        <f>HYPERLINK("https://www.boe.es/gazeta/dias/1810/07/13/pdfs/GEI-D-1810-44.pdf#page=6","Abrir facsímil")</f>
        <v>Abrir facsímil</v>
      </c>
      <c r="K4628" s="3" t="s">
        <v>76</v>
      </c>
    </row>
    <row r="4629" spans="1:11" ht="42" customHeight="1">
      <c r="A4629" s="2" t="s">
        <v>12075</v>
      </c>
      <c r="B4629" s="2" t="s">
        <v>12075</v>
      </c>
      <c r="C4629" s="2" t="s">
        <v>88</v>
      </c>
      <c r="D4629" s="2" t="s">
        <v>117</v>
      </c>
      <c r="E4629" s="4">
        <v>-32853</v>
      </c>
      <c r="F4629" s="3" t="s">
        <v>516</v>
      </c>
      <c r="G4629" s="3" t="s">
        <v>735</v>
      </c>
      <c r="H4629" s="2" t="s">
        <v>74</v>
      </c>
      <c r="I4629" s="2" t="s">
        <v>12076</v>
      </c>
      <c r="J4629" s="3" t="str">
        <f>HYPERLINK("https://www.boe.es/gazeta/dias/1810/01/18/pdfs/GGB-1810-8.pdf#page=1","Abrir facsímil")</f>
        <v>Abrir facsímil</v>
      </c>
      <c r="K4629" s="3" t="s">
        <v>76</v>
      </c>
    </row>
    <row r="4630" spans="1:11" ht="42" customHeight="1">
      <c r="A4630" s="2" t="s">
        <v>12077</v>
      </c>
      <c r="B4630" s="2" t="s">
        <v>12077</v>
      </c>
      <c r="C4630" s="2" t="s">
        <v>88</v>
      </c>
      <c r="D4630" s="2" t="s">
        <v>117</v>
      </c>
      <c r="E4630" s="4">
        <v>-32719</v>
      </c>
      <c r="F4630" s="3" t="s">
        <v>5543</v>
      </c>
      <c r="G4630" s="3" t="s">
        <v>12078</v>
      </c>
      <c r="H4630" s="2" t="s">
        <v>74</v>
      </c>
      <c r="I4630" s="2" t="s">
        <v>12079</v>
      </c>
      <c r="J4630" s="3" t="str">
        <f>HYPERLINK("https://www.boe.es/gazeta/dias/1810/06/01/pdfs/GEI-1810-32.pdf#page=3","Abrir facsímil")</f>
        <v>Abrir facsímil</v>
      </c>
      <c r="K4630" s="3" t="s">
        <v>76</v>
      </c>
    </row>
    <row r="4631" spans="1:11" ht="42" customHeight="1">
      <c r="A4631" s="2" t="s">
        <v>12077</v>
      </c>
      <c r="B4631" s="2" t="s">
        <v>12077</v>
      </c>
      <c r="C4631" s="2" t="s">
        <v>88</v>
      </c>
      <c r="D4631" s="2" t="s">
        <v>117</v>
      </c>
      <c r="E4631" s="4">
        <v>-32719</v>
      </c>
      <c r="F4631" s="3" t="s">
        <v>5543</v>
      </c>
      <c r="G4631" s="3" t="s">
        <v>4502</v>
      </c>
      <c r="H4631" s="2" t="s">
        <v>74</v>
      </c>
      <c r="I4631" s="2" t="s">
        <v>12080</v>
      </c>
      <c r="J4631" s="3" t="str">
        <f>HYPERLINK("https://www.boe.es/gazeta/dias/1810/06/01/pdfs/GEI-1810-32.pdf#page=5","Abrir facsímil")</f>
        <v>Abrir facsímil</v>
      </c>
      <c r="K4631" s="3" t="s">
        <v>76</v>
      </c>
    </row>
    <row r="4632" spans="1:11" ht="42" customHeight="1">
      <c r="A4632" s="2" t="s">
        <v>12077</v>
      </c>
      <c r="B4632" s="2" t="s">
        <v>12077</v>
      </c>
      <c r="C4632" s="2" t="s">
        <v>88</v>
      </c>
      <c r="D4632" s="2" t="s">
        <v>27</v>
      </c>
      <c r="E4632" s="4">
        <v>-32680</v>
      </c>
      <c r="F4632" s="3" t="s">
        <v>519</v>
      </c>
      <c r="G4632" s="3" t="s">
        <v>1408</v>
      </c>
      <c r="H4632" s="2" t="s">
        <v>74</v>
      </c>
      <c r="I4632" s="2" t="s">
        <v>12081</v>
      </c>
      <c r="J4632" s="3" t="str">
        <f>HYPERLINK("https://www.boe.es/gazeta/dias/1810/07/10/pdfs/GEI-1810-43.pdf#page=6","Abrir facsímil")</f>
        <v>Abrir facsímil</v>
      </c>
      <c r="K4632" s="3" t="s">
        <v>76</v>
      </c>
    </row>
    <row r="4633" spans="1:11" ht="42" customHeight="1">
      <c r="A4633" s="2" t="s">
        <v>12077</v>
      </c>
      <c r="B4633" s="2" t="s">
        <v>12077</v>
      </c>
      <c r="C4633" s="2" t="s">
        <v>88</v>
      </c>
      <c r="D4633" s="2" t="s">
        <v>117</v>
      </c>
      <c r="E4633" s="4">
        <v>-32659</v>
      </c>
      <c r="F4633" s="3" t="s">
        <v>328</v>
      </c>
      <c r="G4633" s="3" t="s">
        <v>4539</v>
      </c>
      <c r="H4633" s="2" t="s">
        <v>74</v>
      </c>
      <c r="I4633" s="2" t="s">
        <v>12082</v>
      </c>
      <c r="J4633" s="3" t="str">
        <f>HYPERLINK("https://www.boe.es/gazeta/dias/1810/07/31/pdfs/GEI-1810-49.pdf#page=4","Abrir facsímil")</f>
        <v>Abrir facsímil</v>
      </c>
      <c r="K4633" s="3" t="s">
        <v>76</v>
      </c>
    </row>
    <row r="4634" spans="1:11" ht="42" customHeight="1">
      <c r="A4634" s="2" t="s">
        <v>12077</v>
      </c>
      <c r="B4634" s="2" t="s">
        <v>12077</v>
      </c>
      <c r="C4634" s="2" t="s">
        <v>88</v>
      </c>
      <c r="D4634" s="2" t="s">
        <v>27</v>
      </c>
      <c r="E4634" s="4">
        <v>-32599</v>
      </c>
      <c r="F4634" s="3" t="s">
        <v>1586</v>
      </c>
      <c r="G4634" s="3" t="s">
        <v>1638</v>
      </c>
      <c r="H4634" s="2" t="s">
        <v>74</v>
      </c>
      <c r="I4634" s="2" t="s">
        <v>12083</v>
      </c>
      <c r="J4634" s="3" t="str">
        <f>HYPERLINK("https://www.boe.es/gazeta/dias/1810/09/29/pdfs/GMD-1810-272.pdf#page=2","Abrir facsímil")</f>
        <v>Abrir facsímil</v>
      </c>
      <c r="K4634" s="3" t="s">
        <v>76</v>
      </c>
    </row>
    <row r="4635" spans="1:11" ht="42" customHeight="1">
      <c r="A4635" s="2" t="s">
        <v>12077</v>
      </c>
      <c r="B4635" s="2" t="s">
        <v>12077</v>
      </c>
      <c r="C4635" s="2" t="s">
        <v>88</v>
      </c>
      <c r="D4635" s="2" t="s">
        <v>117</v>
      </c>
      <c r="E4635" s="4">
        <v>-32575</v>
      </c>
      <c r="F4635" s="3" t="s">
        <v>135</v>
      </c>
      <c r="G4635" s="3" t="s">
        <v>9359</v>
      </c>
      <c r="H4635" s="2" t="s">
        <v>74</v>
      </c>
      <c r="I4635" s="2" t="s">
        <v>12084</v>
      </c>
      <c r="J4635" s="3" t="str">
        <f>HYPERLINK("https://www.boe.es/gazeta/dias/1810/10/23/pdfs/GEI-1810-85.pdf#page=1","Abrir facsímil")</f>
        <v>Abrir facsímil</v>
      </c>
      <c r="K4635" s="3" t="s">
        <v>76</v>
      </c>
    </row>
    <row r="4636" spans="1:11" ht="42" customHeight="1">
      <c r="A4636" s="2" t="s">
        <v>12077</v>
      </c>
      <c r="B4636" s="2" t="s">
        <v>12077</v>
      </c>
      <c r="C4636" s="2" t="s">
        <v>88</v>
      </c>
      <c r="D4636" s="2" t="s">
        <v>27</v>
      </c>
      <c r="E4636" s="4">
        <v>-32575</v>
      </c>
      <c r="F4636" s="3" t="s">
        <v>135</v>
      </c>
      <c r="G4636" s="3" t="s">
        <v>2560</v>
      </c>
      <c r="H4636" s="2" t="s">
        <v>74</v>
      </c>
      <c r="I4636" s="2" t="s">
        <v>12085</v>
      </c>
      <c r="J4636" s="3" t="str">
        <f>HYPERLINK("https://www.boe.es/gazeta/dias/1810/10/23/pdfs/GEI-1810-85.pdf#page=5","Abrir facsímil")</f>
        <v>Abrir facsímil</v>
      </c>
      <c r="K4636" s="3" t="s">
        <v>76</v>
      </c>
    </row>
    <row r="4637" spans="1:11" ht="42" customHeight="1">
      <c r="A4637" s="2" t="s">
        <v>12077</v>
      </c>
      <c r="B4637" s="2" t="s">
        <v>12077</v>
      </c>
      <c r="C4637" s="2" t="s">
        <v>88</v>
      </c>
      <c r="D4637" s="2" t="s">
        <v>27</v>
      </c>
      <c r="E4637" s="4">
        <v>-32552</v>
      </c>
      <c r="F4637" s="3" t="s">
        <v>234</v>
      </c>
      <c r="G4637" s="3" t="s">
        <v>227</v>
      </c>
      <c r="H4637" s="2" t="s">
        <v>74</v>
      </c>
      <c r="I4637" s="2" t="s">
        <v>12086</v>
      </c>
      <c r="J4637" s="3" t="str">
        <f>HYPERLINK("https://www.boe.es/gazeta/dias/1810/11/15/pdfs/GMD-1810-319.pdf#page=2","Abrir facsímil")</f>
        <v>Abrir facsímil</v>
      </c>
      <c r="K4637" s="3" t="s">
        <v>76</v>
      </c>
    </row>
    <row r="4638" spans="1:11" ht="42" customHeight="1">
      <c r="A4638" s="2" t="s">
        <v>12077</v>
      </c>
      <c r="B4638" s="2" t="s">
        <v>12077</v>
      </c>
      <c r="C4638" s="2" t="s">
        <v>88</v>
      </c>
      <c r="D4638" s="2" t="s">
        <v>27</v>
      </c>
      <c r="E4638" s="4">
        <v>-32539</v>
      </c>
      <c r="F4638" s="3" t="s">
        <v>11216</v>
      </c>
      <c r="G4638" s="3" t="s">
        <v>473</v>
      </c>
      <c r="H4638" s="2" t="s">
        <v>74</v>
      </c>
      <c r="I4638" s="2" t="s">
        <v>12087</v>
      </c>
      <c r="J4638" s="3" t="str">
        <f>HYPERLINK("https://www.boe.es/gazeta/dias/1810/11/28/pdfs/GMD-1810-332.pdf#page=3","Abrir facsímil")</f>
        <v>Abrir facsímil</v>
      </c>
      <c r="K4638" s="3" t="s">
        <v>76</v>
      </c>
    </row>
    <row r="4639" spans="1:11" ht="42" customHeight="1">
      <c r="A4639" s="2" t="s">
        <v>12088</v>
      </c>
      <c r="B4639" s="2" t="s">
        <v>12089</v>
      </c>
      <c r="C4639" s="2" t="s">
        <v>88</v>
      </c>
      <c r="D4639" s="2" t="s">
        <v>27</v>
      </c>
      <c r="E4639" s="4">
        <v>-32792</v>
      </c>
      <c r="F4639" s="3" t="s">
        <v>4405</v>
      </c>
      <c r="G4639" s="3" t="s">
        <v>20</v>
      </c>
      <c r="H4639" s="2" t="s">
        <v>74</v>
      </c>
      <c r="I4639" s="2" t="s">
        <v>12090</v>
      </c>
      <c r="J4639" s="3" t="str">
        <f>HYPERLINK("https://www.boe.es/gazeta/dias/1810/03/20/pdfs/GMD-1810-79.pdf#page=4","Abrir facsímil")</f>
        <v>Abrir facsímil</v>
      </c>
      <c r="K4639" s="3" t="s">
        <v>76</v>
      </c>
    </row>
    <row r="4640" spans="1:11" ht="42" customHeight="1">
      <c r="A4640" s="2" t="s">
        <v>12091</v>
      </c>
      <c r="B4640" s="2" t="s">
        <v>12092</v>
      </c>
      <c r="C4640" s="2" t="s">
        <v>26</v>
      </c>
      <c r="D4640" s="2" t="s">
        <v>27</v>
      </c>
      <c r="E4640" s="4">
        <v>-32732</v>
      </c>
      <c r="F4640" s="3" t="s">
        <v>545</v>
      </c>
      <c r="G4640" s="3" t="s">
        <v>90</v>
      </c>
      <c r="H4640" s="2" t="s">
        <v>74</v>
      </c>
      <c r="I4640" s="2" t="s">
        <v>12093</v>
      </c>
      <c r="J4640" s="3" t="str">
        <f>HYPERLINK("https://www.boe.es/gazeta/dias/1810/05/19/pdfs/GMD-1810-139.pdf#page=4","Abrir facsímil")</f>
        <v>Abrir facsímil</v>
      </c>
      <c r="K4640" s="3" t="s">
        <v>76</v>
      </c>
    </row>
    <row r="4641" spans="1:11" ht="42" customHeight="1">
      <c r="A4641" s="2" t="s">
        <v>12094</v>
      </c>
      <c r="B4641" s="2" t="s">
        <v>12094</v>
      </c>
      <c r="C4641" s="2" t="s">
        <v>26</v>
      </c>
      <c r="D4641" s="2" t="s">
        <v>27</v>
      </c>
      <c r="E4641" s="4">
        <v>-32602</v>
      </c>
      <c r="F4641" s="3" t="s">
        <v>2976</v>
      </c>
      <c r="G4641" s="3" t="s">
        <v>473</v>
      </c>
      <c r="H4641" s="2" t="s">
        <v>74</v>
      </c>
      <c r="I4641" s="2" t="s">
        <v>12095</v>
      </c>
      <c r="J4641" s="3" t="str">
        <f>HYPERLINK("https://www.boe.es/gazeta/dias/1810/09/26/pdfs/GMD-1810-269.pdf#page=4","Abrir facsímil")</f>
        <v>Abrir facsímil</v>
      </c>
      <c r="K4641" s="3" t="s">
        <v>76</v>
      </c>
    </row>
    <row r="4642" spans="1:11" ht="42" customHeight="1">
      <c r="A4642" s="2" t="s">
        <v>12096</v>
      </c>
      <c r="B4642" s="2" t="s">
        <v>12097</v>
      </c>
      <c r="C4642" s="2" t="s">
        <v>17</v>
      </c>
      <c r="D4642" s="2" t="s">
        <v>220</v>
      </c>
      <c r="E4642" s="4">
        <v>-32711</v>
      </c>
      <c r="F4642" s="3" t="s">
        <v>1888</v>
      </c>
      <c r="G4642" s="3" t="s">
        <v>29</v>
      </c>
      <c r="H4642" s="2" t="s">
        <v>74</v>
      </c>
      <c r="I4642" s="2" t="s">
        <v>12098</v>
      </c>
      <c r="J4642" s="3" t="str">
        <f>HYPERLINK("https://www.boe.es/gazeta/dias/1810/06/09/pdfs/GMD-1810-160.pdf#page=4","Abrir facsímil")</f>
        <v>Abrir facsímil</v>
      </c>
      <c r="K4642" s="3" t="s">
        <v>76</v>
      </c>
    </row>
    <row r="4643" spans="1:11" ht="42" customHeight="1">
      <c r="A4643" s="2" t="s">
        <v>12099</v>
      </c>
      <c r="B4643" s="2" t="s">
        <v>12100</v>
      </c>
      <c r="C4643" s="2" t="s">
        <v>26</v>
      </c>
      <c r="D4643" s="2" t="s">
        <v>39</v>
      </c>
      <c r="E4643" s="4">
        <v>-32702</v>
      </c>
      <c r="F4643" s="3" t="s">
        <v>179</v>
      </c>
      <c r="G4643" s="3" t="s">
        <v>180</v>
      </c>
      <c r="H4643" s="2" t="s">
        <v>74</v>
      </c>
      <c r="I4643" s="2" t="s">
        <v>12101</v>
      </c>
      <c r="J4643" s="3" t="str">
        <f>HYPERLINK("https://www.boe.es/gazeta/dias/1810/06/18/pdfs/GMD-C-1810-169.pdf#page=2","Abrir facsímil")</f>
        <v>Abrir facsímil</v>
      </c>
      <c r="K4643" s="3" t="s">
        <v>76</v>
      </c>
    </row>
    <row r="4644" spans="1:11" ht="42" customHeight="1">
      <c r="A4644" s="2" t="s">
        <v>12102</v>
      </c>
      <c r="B4644" s="2" t="s">
        <v>12102</v>
      </c>
      <c r="C4644" s="2" t="s">
        <v>26</v>
      </c>
      <c r="D4644" s="2" t="s">
        <v>27</v>
      </c>
      <c r="E4644" s="4">
        <v>-32700</v>
      </c>
      <c r="F4644" s="3" t="s">
        <v>89</v>
      </c>
      <c r="G4644" s="3" t="s">
        <v>70</v>
      </c>
      <c r="H4644" s="2" t="s">
        <v>74</v>
      </c>
      <c r="I4644" s="2" t="s">
        <v>12103</v>
      </c>
      <c r="J4644" s="3" t="str">
        <f>HYPERLINK("https://www.boe.es/gazeta/dias/1810/06/20/pdfs/GMD-1810-171.pdf#page=4","Abrir facsímil")</f>
        <v>Abrir facsímil</v>
      </c>
      <c r="K4644" s="3" t="s">
        <v>76</v>
      </c>
    </row>
    <row r="4645" spans="1:11" ht="42" customHeight="1">
      <c r="A4645" s="2" t="s">
        <v>12104</v>
      </c>
      <c r="B4645" s="2" t="s">
        <v>12104</v>
      </c>
      <c r="C4645" s="2" t="s">
        <v>88</v>
      </c>
      <c r="D4645" s="2" t="s">
        <v>27</v>
      </c>
      <c r="E4645" s="4">
        <v>-32568</v>
      </c>
      <c r="F4645" s="3" t="s">
        <v>1233</v>
      </c>
      <c r="G4645" s="3" t="s">
        <v>2902</v>
      </c>
      <c r="H4645" s="2" t="s">
        <v>74</v>
      </c>
      <c r="I4645" s="2" t="s">
        <v>12105</v>
      </c>
      <c r="J4645" s="3" t="str">
        <f>HYPERLINK("https://www.boe.es/gazeta/dias/1810/10/30/pdfs/GMD-1810-303.pdf#page=1","Abrir facsímil")</f>
        <v>Abrir facsímil</v>
      </c>
      <c r="K4645" s="3" t="s">
        <v>76</v>
      </c>
    </row>
    <row r="4646" spans="1:11" ht="42" customHeight="1">
      <c r="A4646" s="2" t="s">
        <v>12106</v>
      </c>
      <c r="B4646" s="2" t="s">
        <v>12106</v>
      </c>
      <c r="C4646" s="2" t="s">
        <v>88</v>
      </c>
      <c r="D4646" s="2" t="s">
        <v>27</v>
      </c>
      <c r="E4646" s="4">
        <v>-32528</v>
      </c>
      <c r="F4646" s="3" t="s">
        <v>3058</v>
      </c>
      <c r="G4646" s="3" t="s">
        <v>35</v>
      </c>
      <c r="H4646" s="2" t="s">
        <v>74</v>
      </c>
      <c r="I4646" s="2" t="s">
        <v>12107</v>
      </c>
      <c r="J4646" s="3" t="str">
        <f>HYPERLINK("https://www.boe.es/gazeta/dias/1810/12/09/pdfs/GMD-1810-343.pdf#page=2","Abrir facsímil")</f>
        <v>Abrir facsímil</v>
      </c>
      <c r="K4646" s="3" t="s">
        <v>76</v>
      </c>
    </row>
    <row r="4647" spans="1:11" ht="42" customHeight="1">
      <c r="A4647" s="2" t="s">
        <v>12108</v>
      </c>
      <c r="B4647" s="2" t="s">
        <v>12108</v>
      </c>
      <c r="C4647" s="2" t="s">
        <v>88</v>
      </c>
      <c r="D4647" s="2" t="s">
        <v>117</v>
      </c>
      <c r="E4647" s="4">
        <v>-32566</v>
      </c>
      <c r="F4647" s="3" t="s">
        <v>649</v>
      </c>
      <c r="G4647" s="3" t="s">
        <v>1814</v>
      </c>
      <c r="H4647" s="2" t="s">
        <v>74</v>
      </c>
      <c r="I4647" s="2" t="s">
        <v>12109</v>
      </c>
      <c r="J4647" s="3" t="str">
        <f>HYPERLINK("https://www.boe.es/gazeta/dias/1810/11/01/pdfs/GEI-1810-89.pdf#page=2","Abrir facsímil")</f>
        <v>Abrir facsímil</v>
      </c>
      <c r="K4647" s="3" t="s">
        <v>76</v>
      </c>
    </row>
    <row r="4648" spans="1:11" ht="42" customHeight="1">
      <c r="A4648" s="2" t="s">
        <v>12110</v>
      </c>
      <c r="B4648" s="2" t="s">
        <v>12111</v>
      </c>
      <c r="C4648" s="2" t="s">
        <v>88</v>
      </c>
      <c r="D4648" s="2" t="s">
        <v>27</v>
      </c>
      <c r="E4648" s="4">
        <v>-32533</v>
      </c>
      <c r="F4648" s="3" t="s">
        <v>1357</v>
      </c>
      <c r="G4648" s="3" t="s">
        <v>1894</v>
      </c>
      <c r="H4648" s="2" t="s">
        <v>21</v>
      </c>
      <c r="I4648" s="2" t="s">
        <v>12112</v>
      </c>
      <c r="J4648" s="3" t="str">
        <f>HYPERLINK("https://www.boe.es/gazeta/dias/1810/12/04/pdfs/GEI-1810-103.pdf#page=7","Abrir facsímil")</f>
        <v>Abrir facsímil</v>
      </c>
      <c r="K4648" s="3" t="s">
        <v>23</v>
      </c>
    </row>
    <row r="4649" spans="1:11" ht="42" customHeight="1">
      <c r="A4649" s="2" t="s">
        <v>12113</v>
      </c>
      <c r="B4649" s="2" t="s">
        <v>12113</v>
      </c>
      <c r="C4649" s="2" t="s">
        <v>88</v>
      </c>
      <c r="D4649" s="2" t="s">
        <v>117</v>
      </c>
      <c r="E4649" s="4">
        <v>-32596</v>
      </c>
      <c r="F4649" s="3" t="s">
        <v>1311</v>
      </c>
      <c r="G4649" s="3" t="s">
        <v>1656</v>
      </c>
      <c r="H4649" s="2" t="s">
        <v>74</v>
      </c>
      <c r="I4649" s="2" t="s">
        <v>12114</v>
      </c>
      <c r="J4649" s="3" t="str">
        <f>HYPERLINK("https://www.boe.es/gazeta/dias/1810/10/02/pdfs/GMD-1810-275.pdf#page=2","Abrir facsímil")</f>
        <v>Abrir facsímil</v>
      </c>
      <c r="K4649" s="3" t="s">
        <v>76</v>
      </c>
    </row>
    <row r="4650" spans="1:11" ht="42" customHeight="1">
      <c r="A4650" s="2" t="s">
        <v>12115</v>
      </c>
      <c r="B4650" s="2" t="s">
        <v>12115</v>
      </c>
      <c r="C4650" s="2" t="s">
        <v>33</v>
      </c>
      <c r="D4650" s="2" t="s">
        <v>220</v>
      </c>
      <c r="E4650" s="4">
        <v>-32744</v>
      </c>
      <c r="F4650" s="3" t="s">
        <v>1570</v>
      </c>
      <c r="G4650" s="3" t="s">
        <v>35</v>
      </c>
      <c r="H4650" s="2" t="s">
        <v>74</v>
      </c>
      <c r="I4650" s="2" t="s">
        <v>12116</v>
      </c>
      <c r="J4650" s="3" t="str">
        <f>HYPERLINK("https://www.boe.es/gazeta/dias/1810/05/07/pdfs/GMD-1810-127.pdf#page=2","Abrir facsímil")</f>
        <v>Abrir facsímil</v>
      </c>
      <c r="K4650" s="3" t="s">
        <v>76</v>
      </c>
    </row>
    <row r="4651" spans="1:11" ht="42" customHeight="1">
      <c r="A4651" s="2" t="s">
        <v>12117</v>
      </c>
      <c r="B4651" s="2" t="s">
        <v>12117</v>
      </c>
      <c r="C4651" s="2" t="s">
        <v>88</v>
      </c>
      <c r="D4651" s="2" t="s">
        <v>117</v>
      </c>
      <c r="E4651" s="4">
        <v>-32587</v>
      </c>
      <c r="F4651" s="3" t="s">
        <v>1504</v>
      </c>
      <c r="G4651" s="3" t="s">
        <v>80</v>
      </c>
      <c r="H4651" s="2" t="s">
        <v>74</v>
      </c>
      <c r="I4651" s="2" t="s">
        <v>12118</v>
      </c>
      <c r="J4651" s="3" t="str">
        <f>HYPERLINK("https://www.boe.es/gazeta/dias/1810/10/11/pdfs/GMD-1810-284.pdf#page=1","Abrir facsímil")</f>
        <v>Abrir facsímil</v>
      </c>
      <c r="K4651" s="3" t="s">
        <v>76</v>
      </c>
    </row>
    <row r="4652" spans="1:11" ht="42" customHeight="1">
      <c r="A4652" s="2" t="s">
        <v>12119</v>
      </c>
      <c r="B4652" s="2" t="s">
        <v>12119</v>
      </c>
      <c r="C4652" s="2" t="s">
        <v>26</v>
      </c>
      <c r="D4652" s="2" t="s">
        <v>27</v>
      </c>
      <c r="E4652" s="4">
        <v>-32744</v>
      </c>
      <c r="F4652" s="3" t="s">
        <v>1570</v>
      </c>
      <c r="G4652" s="3" t="s">
        <v>35</v>
      </c>
      <c r="H4652" s="2" t="s">
        <v>74</v>
      </c>
      <c r="I4652" s="2" t="s">
        <v>12120</v>
      </c>
      <c r="J4652" s="3" t="str">
        <f>HYPERLINK("https://www.boe.es/gazeta/dias/1810/05/07/pdfs/GMD-1810-127.pdf#page=2","Abrir facsímil")</f>
        <v>Abrir facsímil</v>
      </c>
      <c r="K4652" s="3" t="s">
        <v>76</v>
      </c>
    </row>
    <row r="4653" spans="1:11" ht="42" customHeight="1">
      <c r="A4653" s="2" t="s">
        <v>12121</v>
      </c>
      <c r="B4653" s="2" t="s">
        <v>12121</v>
      </c>
      <c r="C4653" s="2" t="s">
        <v>33</v>
      </c>
      <c r="D4653" s="2" t="s">
        <v>220</v>
      </c>
      <c r="E4653" s="4">
        <v>-32695</v>
      </c>
      <c r="F4653" s="3" t="s">
        <v>1646</v>
      </c>
      <c r="G4653" s="3" t="s">
        <v>701</v>
      </c>
      <c r="H4653" s="2" t="s">
        <v>74</v>
      </c>
      <c r="I4653" s="2" t="s">
        <v>12122</v>
      </c>
      <c r="J4653" s="3" t="str">
        <f>HYPERLINK("https://www.boe.es/gazeta/dias/1810/06/25/pdfs/GMD-1810-176.pdf#page=2","Abrir facsímil")</f>
        <v>Abrir facsímil</v>
      </c>
      <c r="K4653" s="3" t="s">
        <v>76</v>
      </c>
    </row>
    <row r="4654" spans="1:11" ht="42" customHeight="1">
      <c r="A4654" s="2" t="s">
        <v>12123</v>
      </c>
      <c r="B4654" s="2" t="s">
        <v>12123</v>
      </c>
      <c r="C4654" s="2" t="s">
        <v>26</v>
      </c>
      <c r="D4654" s="2" t="s">
        <v>27</v>
      </c>
      <c r="E4654" s="4">
        <v>-32516</v>
      </c>
      <c r="F4654" s="3" t="s">
        <v>425</v>
      </c>
      <c r="G4654" s="3" t="s">
        <v>886</v>
      </c>
      <c r="H4654" s="2" t="s">
        <v>74</v>
      </c>
      <c r="I4654" s="2" t="s">
        <v>12124</v>
      </c>
      <c r="J4654" s="3" t="str">
        <f>HYPERLINK("https://www.boe.es/gazeta/dias/1810/12/21/pdfs/GMD-1810-355.pdf#page=1","Abrir facsímil")</f>
        <v>Abrir facsímil</v>
      </c>
      <c r="K4654" s="3" t="s">
        <v>76</v>
      </c>
    </row>
    <row r="4655" spans="1:11" ht="42" customHeight="1">
      <c r="A4655" s="2" t="s">
        <v>12125</v>
      </c>
      <c r="B4655" s="2" t="s">
        <v>12125</v>
      </c>
      <c r="C4655" s="2" t="s">
        <v>88</v>
      </c>
      <c r="D4655" s="2" t="s">
        <v>27</v>
      </c>
      <c r="E4655" s="4">
        <v>-32763</v>
      </c>
      <c r="F4655" s="3" t="s">
        <v>1146</v>
      </c>
      <c r="G4655" s="3" t="s">
        <v>140</v>
      </c>
      <c r="H4655" s="2" t="s">
        <v>74</v>
      </c>
      <c r="I4655" s="2" t="s">
        <v>12126</v>
      </c>
      <c r="J4655" s="3" t="str">
        <f>HYPERLINK("https://www.boe.es/gazeta/dias/1810/04/18/pdfs/GMD-1810-108.pdf#page=1","Abrir facsímil")</f>
        <v>Abrir facsímil</v>
      </c>
      <c r="K4655" s="3" t="s">
        <v>76</v>
      </c>
    </row>
    <row r="4656" spans="1:11" ht="42" customHeight="1">
      <c r="A4656" s="2" t="s">
        <v>12127</v>
      </c>
      <c r="B4656" s="2" t="s">
        <v>12127</v>
      </c>
      <c r="C4656" s="2" t="s">
        <v>88</v>
      </c>
      <c r="D4656" s="2" t="s">
        <v>27</v>
      </c>
      <c r="E4656" s="4">
        <v>-32568</v>
      </c>
      <c r="F4656" s="3" t="s">
        <v>1233</v>
      </c>
      <c r="G4656" s="3" t="s">
        <v>29</v>
      </c>
      <c r="H4656" s="2" t="s">
        <v>74</v>
      </c>
      <c r="I4656" s="2" t="s">
        <v>12128</v>
      </c>
      <c r="J4656" s="3" t="str">
        <f>HYPERLINK("https://www.boe.es/gazeta/dias/1810/10/30/pdfs/GMD-1810-303.pdf#page=2","Abrir facsímil")</f>
        <v>Abrir facsímil</v>
      </c>
      <c r="K4656" s="3" t="s">
        <v>76</v>
      </c>
    </row>
    <row r="4657" spans="1:11" ht="42" customHeight="1">
      <c r="A4657" s="2" t="s">
        <v>12129</v>
      </c>
      <c r="B4657" s="2" t="s">
        <v>12129</v>
      </c>
      <c r="C4657" s="2" t="s">
        <v>88</v>
      </c>
      <c r="D4657" s="2" t="s">
        <v>117</v>
      </c>
      <c r="E4657" s="4">
        <v>-32649</v>
      </c>
      <c r="F4657" s="3" t="s">
        <v>1988</v>
      </c>
      <c r="G4657" s="3" t="s">
        <v>4202</v>
      </c>
      <c r="H4657" s="2" t="s">
        <v>74</v>
      </c>
      <c r="I4657" s="2" t="s">
        <v>12130</v>
      </c>
      <c r="J4657" s="3" t="str">
        <f>HYPERLINK("https://www.boe.es/gazeta/dias/1810/08/10/pdfs/GMD-1810-222.pdf#page=2","Abrir facsímil")</f>
        <v>Abrir facsímil</v>
      </c>
      <c r="K4657" s="3" t="s">
        <v>76</v>
      </c>
    </row>
    <row r="4658" spans="1:11" ht="42" customHeight="1">
      <c r="A4658" s="2" t="s">
        <v>12129</v>
      </c>
      <c r="B4658" s="2" t="s">
        <v>12129</v>
      </c>
      <c r="C4658" s="2" t="s">
        <v>317</v>
      </c>
      <c r="D4658" s="2" t="s">
        <v>27</v>
      </c>
      <c r="E4658" s="4">
        <v>-32596</v>
      </c>
      <c r="F4658" s="3" t="s">
        <v>1311</v>
      </c>
      <c r="G4658" s="3" t="s">
        <v>1656</v>
      </c>
      <c r="H4658" s="2" t="s">
        <v>74</v>
      </c>
      <c r="I4658" s="2" t="s">
        <v>12131</v>
      </c>
      <c r="J4658" s="3" t="str">
        <f>HYPERLINK("https://www.boe.es/gazeta/dias/1810/10/02/pdfs/GMD-1810-275.pdf#page=2","Abrir facsímil")</f>
        <v>Abrir facsímil</v>
      </c>
      <c r="K4658" s="3" t="s">
        <v>76</v>
      </c>
    </row>
    <row r="4659" spans="1:11" ht="42" customHeight="1">
      <c r="A4659" s="2" t="s">
        <v>12132</v>
      </c>
      <c r="B4659" s="2" t="s">
        <v>12132</v>
      </c>
      <c r="C4659" s="2" t="s">
        <v>26</v>
      </c>
      <c r="D4659" s="2" t="s">
        <v>27</v>
      </c>
      <c r="E4659" s="4">
        <v>-32651</v>
      </c>
      <c r="F4659" s="3" t="s">
        <v>10927</v>
      </c>
      <c r="G4659" s="3" t="s">
        <v>29</v>
      </c>
      <c r="H4659" s="2" t="s">
        <v>74</v>
      </c>
      <c r="I4659" s="2" t="s">
        <v>12133</v>
      </c>
      <c r="J4659" s="3" t="str">
        <f>HYPERLINK("https://www.boe.es/gazeta/dias/1810/08/08/pdfs/GMD-1810-220.pdf#page=2","Abrir facsímil")</f>
        <v>Abrir facsímil</v>
      </c>
      <c r="K4659" s="3" t="s">
        <v>76</v>
      </c>
    </row>
    <row r="4660" spans="1:11" ht="42" customHeight="1">
      <c r="A4660" s="2" t="s">
        <v>12134</v>
      </c>
      <c r="B4660" s="2" t="s">
        <v>12134</v>
      </c>
      <c r="C4660" s="2" t="s">
        <v>26</v>
      </c>
      <c r="D4660" s="2" t="s">
        <v>27</v>
      </c>
      <c r="E4660" s="4">
        <v>-32763</v>
      </c>
      <c r="F4660" s="3" t="s">
        <v>1146</v>
      </c>
      <c r="G4660" s="3" t="s">
        <v>140</v>
      </c>
      <c r="H4660" s="2" t="s">
        <v>74</v>
      </c>
      <c r="I4660" s="2" t="s">
        <v>12135</v>
      </c>
      <c r="J4660" s="3" t="str">
        <f>HYPERLINK("https://www.boe.es/gazeta/dias/1810/04/18/pdfs/GMD-1810-108.pdf#page=1","Abrir facsímil")</f>
        <v>Abrir facsímil</v>
      </c>
      <c r="K4660" s="3" t="s">
        <v>76</v>
      </c>
    </row>
    <row r="4661" spans="1:11" ht="42" customHeight="1">
      <c r="A4661" s="2" t="s">
        <v>12134</v>
      </c>
      <c r="B4661" s="2" t="s">
        <v>12134</v>
      </c>
      <c r="C4661" s="2" t="s">
        <v>225</v>
      </c>
      <c r="D4661" s="2" t="s">
        <v>27</v>
      </c>
      <c r="E4661" s="4">
        <v>-32715</v>
      </c>
      <c r="F4661" s="3" t="s">
        <v>11559</v>
      </c>
      <c r="G4661" s="3" t="s">
        <v>90</v>
      </c>
      <c r="H4661" s="2" t="s">
        <v>74</v>
      </c>
      <c r="I4661" s="2" t="s">
        <v>12136</v>
      </c>
      <c r="J4661" s="3" t="str">
        <f>HYPERLINK("https://www.boe.es/gazeta/dias/1810/06/05/pdfs/GMD-1810-156.pdf#page=1","Abrir facsímil")</f>
        <v>Abrir facsímil</v>
      </c>
      <c r="K4661" s="3" t="s">
        <v>76</v>
      </c>
    </row>
    <row r="4662" spans="1:11" ht="42" customHeight="1">
      <c r="A4662" s="2" t="s">
        <v>12134</v>
      </c>
      <c r="B4662" s="2" t="s">
        <v>12134</v>
      </c>
      <c r="C4662" s="2" t="s">
        <v>88</v>
      </c>
      <c r="D4662" s="2" t="s">
        <v>27</v>
      </c>
      <c r="E4662" s="4">
        <v>-32651</v>
      </c>
      <c r="F4662" s="3" t="s">
        <v>10927</v>
      </c>
      <c r="G4662" s="3" t="s">
        <v>29</v>
      </c>
      <c r="H4662" s="2" t="s">
        <v>74</v>
      </c>
      <c r="I4662" s="2" t="s">
        <v>12137</v>
      </c>
      <c r="J4662" s="3" t="str">
        <f>HYPERLINK("https://www.boe.es/gazeta/dias/1810/08/08/pdfs/GMD-1810-220.pdf#page=2","Abrir facsímil")</f>
        <v>Abrir facsímil</v>
      </c>
      <c r="K4662" s="3" t="s">
        <v>76</v>
      </c>
    </row>
    <row r="4663" spans="1:11" ht="42" customHeight="1">
      <c r="A4663" s="2" t="s">
        <v>12134</v>
      </c>
      <c r="B4663" s="2" t="s">
        <v>12134</v>
      </c>
      <c r="C4663" s="2" t="s">
        <v>88</v>
      </c>
      <c r="D4663" s="2" t="s">
        <v>117</v>
      </c>
      <c r="E4663" s="4">
        <v>-32645</v>
      </c>
      <c r="F4663" s="3" t="s">
        <v>4819</v>
      </c>
      <c r="G4663" s="3" t="s">
        <v>4820</v>
      </c>
      <c r="H4663" s="2" t="s">
        <v>74</v>
      </c>
      <c r="I4663" s="2" t="s">
        <v>12138</v>
      </c>
      <c r="J4663" s="3" t="str">
        <f>HYPERLINK("https://www.boe.es/gazeta/dias/1810/08/14/pdfs/GMD-1810-226.pdf#page=1","Abrir facsímil")</f>
        <v>Abrir facsímil</v>
      </c>
      <c r="K4663" s="3" t="s">
        <v>76</v>
      </c>
    </row>
    <row r="4664" spans="1:11" ht="42" customHeight="1">
      <c r="A4664" s="2" t="s">
        <v>12134</v>
      </c>
      <c r="B4664" s="2" t="s">
        <v>12134</v>
      </c>
      <c r="C4664" s="2" t="s">
        <v>111</v>
      </c>
      <c r="D4664" s="2" t="s">
        <v>220</v>
      </c>
      <c r="E4664" s="4">
        <v>-32639</v>
      </c>
      <c r="F4664" s="3" t="s">
        <v>3411</v>
      </c>
      <c r="G4664" s="3" t="s">
        <v>12139</v>
      </c>
      <c r="H4664" s="2" t="s">
        <v>74</v>
      </c>
      <c r="I4664" s="2" t="s">
        <v>12140</v>
      </c>
      <c r="J4664" s="3" t="str">
        <f>HYPERLINK("https://www.boe.es/gazeta/dias/1810/08/20/pdfs/GMD-1810-232.pdf#page=1","Abrir facsímil")</f>
        <v>Abrir facsímil</v>
      </c>
      <c r="K4664" s="3" t="s">
        <v>76</v>
      </c>
    </row>
    <row r="4665" spans="1:11" ht="42" customHeight="1">
      <c r="A4665" s="2" t="s">
        <v>12134</v>
      </c>
      <c r="B4665" s="2" t="s">
        <v>12134</v>
      </c>
      <c r="C4665" s="2" t="s">
        <v>225</v>
      </c>
      <c r="D4665" s="2" t="s">
        <v>117</v>
      </c>
      <c r="E4665" s="4">
        <v>-32633</v>
      </c>
      <c r="F4665" s="3" t="s">
        <v>1230</v>
      </c>
      <c r="G4665" s="3" t="s">
        <v>735</v>
      </c>
      <c r="H4665" s="2" t="s">
        <v>74</v>
      </c>
      <c r="I4665" s="2" t="s">
        <v>12141</v>
      </c>
      <c r="J4665" s="3" t="str">
        <f>HYPERLINK("https://www.boe.es/gazeta/dias/1810/08/26/pdfs/GMD-1810-238.pdf#page=1","Abrir facsímil")</f>
        <v>Abrir facsímil</v>
      </c>
      <c r="K4665" s="3" t="s">
        <v>76</v>
      </c>
    </row>
    <row r="4666" spans="1:11" ht="42" customHeight="1">
      <c r="A4666" s="2" t="s">
        <v>12134</v>
      </c>
      <c r="B4666" s="2" t="s">
        <v>12134</v>
      </c>
      <c r="C4666" s="2" t="s">
        <v>88</v>
      </c>
      <c r="D4666" s="2" t="s">
        <v>117</v>
      </c>
      <c r="E4666" s="4">
        <v>-32624</v>
      </c>
      <c r="F4666" s="3" t="s">
        <v>2838</v>
      </c>
      <c r="G4666" s="3" t="s">
        <v>9601</v>
      </c>
      <c r="H4666" s="2" t="s">
        <v>74</v>
      </c>
      <c r="I4666" s="2" t="s">
        <v>12142</v>
      </c>
      <c r="J4666" s="3" t="str">
        <f>HYPERLINK("https://www.boe.es/gazeta/dias/1810/09/04/pdfs/GMD-1810-247.pdf#page=1","Abrir facsímil")</f>
        <v>Abrir facsímil</v>
      </c>
      <c r="K4666" s="3" t="s">
        <v>76</v>
      </c>
    </row>
    <row r="4667" spans="1:11" ht="42" customHeight="1">
      <c r="A4667" s="2" t="s">
        <v>12134</v>
      </c>
      <c r="B4667" s="2" t="s">
        <v>12134</v>
      </c>
      <c r="C4667" s="2" t="s">
        <v>88</v>
      </c>
      <c r="D4667" s="2" t="s">
        <v>117</v>
      </c>
      <c r="E4667" s="4">
        <v>-32617</v>
      </c>
      <c r="F4667" s="3" t="s">
        <v>3861</v>
      </c>
      <c r="G4667" s="3" t="s">
        <v>12143</v>
      </c>
      <c r="H4667" s="2" t="s">
        <v>74</v>
      </c>
      <c r="I4667" s="2" t="s">
        <v>12144</v>
      </c>
      <c r="J4667" s="3" t="str">
        <f>HYPERLINK("https://www.boe.es/gazeta/dias/1810/09/11/pdfs/GMD-1810-254.pdf#page=2","Abrir facsímil")</f>
        <v>Abrir facsímil</v>
      </c>
      <c r="K4667" s="3" t="s">
        <v>76</v>
      </c>
    </row>
    <row r="4668" spans="1:11" ht="42" customHeight="1">
      <c r="A4668" s="2" t="s">
        <v>12134</v>
      </c>
      <c r="B4668" s="2" t="s">
        <v>12134</v>
      </c>
      <c r="C4668" s="2" t="s">
        <v>88</v>
      </c>
      <c r="D4668" s="2" t="s">
        <v>220</v>
      </c>
      <c r="E4668" s="4">
        <v>-32613</v>
      </c>
      <c r="F4668" s="3" t="s">
        <v>12145</v>
      </c>
      <c r="G4668" s="3" t="s">
        <v>140</v>
      </c>
      <c r="H4668" s="2" t="s">
        <v>74</v>
      </c>
      <c r="I4668" s="2" t="s">
        <v>12146</v>
      </c>
      <c r="J4668" s="3" t="str">
        <f>HYPERLINK("https://www.boe.es/gazeta/dias/1810/09/15/pdfs/GMD-1810-258.pdf#page=1","Abrir facsímil")</f>
        <v>Abrir facsímil</v>
      </c>
      <c r="K4668" s="3" t="s">
        <v>76</v>
      </c>
    </row>
    <row r="4669" spans="1:11" ht="42" customHeight="1">
      <c r="A4669" s="2" t="s">
        <v>12134</v>
      </c>
      <c r="B4669" s="2" t="s">
        <v>12134</v>
      </c>
      <c r="C4669" s="2" t="s">
        <v>88</v>
      </c>
      <c r="D4669" s="2" t="s">
        <v>117</v>
      </c>
      <c r="E4669" s="4">
        <v>-32611</v>
      </c>
      <c r="F4669" s="3" t="s">
        <v>604</v>
      </c>
      <c r="G4669" s="3" t="s">
        <v>213</v>
      </c>
      <c r="H4669" s="2" t="s">
        <v>74</v>
      </c>
      <c r="I4669" s="2" t="s">
        <v>12147</v>
      </c>
      <c r="J4669" s="3" t="str">
        <f>HYPERLINK("https://www.boe.es/gazeta/dias/1810/09/17/pdfs/GMD-1810-260.pdf#page=1","Abrir facsímil")</f>
        <v>Abrir facsímil</v>
      </c>
      <c r="K4669" s="3" t="s">
        <v>76</v>
      </c>
    </row>
    <row r="4670" spans="1:11" ht="42" customHeight="1">
      <c r="A4670" s="2" t="s">
        <v>12134</v>
      </c>
      <c r="B4670" s="2" t="s">
        <v>12134</v>
      </c>
      <c r="C4670" s="2" t="s">
        <v>88</v>
      </c>
      <c r="D4670" s="2" t="s">
        <v>27</v>
      </c>
      <c r="E4670" s="4">
        <v>-32610</v>
      </c>
      <c r="F4670" s="3" t="s">
        <v>7879</v>
      </c>
      <c r="G4670" s="3" t="s">
        <v>613</v>
      </c>
      <c r="H4670" s="2" t="s">
        <v>74</v>
      </c>
      <c r="I4670" s="2" t="s">
        <v>12148</v>
      </c>
      <c r="J4670" s="3" t="str">
        <f>HYPERLINK("https://www.boe.es/gazeta/dias/1810/09/18/pdfs/GMD-1810-261.pdf#page=1","Abrir facsímil")</f>
        <v>Abrir facsímil</v>
      </c>
      <c r="K4670" s="3" t="s">
        <v>76</v>
      </c>
    </row>
    <row r="4671" spans="1:11" ht="42" customHeight="1">
      <c r="A4671" s="2" t="s">
        <v>12134</v>
      </c>
      <c r="B4671" s="2" t="s">
        <v>12134</v>
      </c>
      <c r="C4671" s="2" t="s">
        <v>88</v>
      </c>
      <c r="D4671" s="2" t="s">
        <v>117</v>
      </c>
      <c r="E4671" s="4">
        <v>-32606</v>
      </c>
      <c r="F4671" s="3" t="s">
        <v>1676</v>
      </c>
      <c r="G4671" s="3" t="s">
        <v>180</v>
      </c>
      <c r="H4671" s="2" t="s">
        <v>74</v>
      </c>
      <c r="I4671" s="2" t="s">
        <v>12149</v>
      </c>
      <c r="J4671" s="3" t="str">
        <f>HYPERLINK("https://www.boe.es/gazeta/dias/1810/09/22/pdfs/GMD-1810-265.pdf#page=1","Abrir facsímil")</f>
        <v>Abrir facsímil</v>
      </c>
      <c r="K4671" s="3" t="s">
        <v>76</v>
      </c>
    </row>
    <row r="4672" spans="1:11" ht="42" customHeight="1">
      <c r="A4672" s="2" t="s">
        <v>12134</v>
      </c>
      <c r="B4672" s="2" t="s">
        <v>12134</v>
      </c>
      <c r="C4672" s="2" t="s">
        <v>88</v>
      </c>
      <c r="D4672" s="2" t="s">
        <v>27</v>
      </c>
      <c r="E4672" s="4">
        <v>-32606</v>
      </c>
      <c r="F4672" s="3" t="s">
        <v>1676</v>
      </c>
      <c r="G4672" s="3" t="s">
        <v>227</v>
      </c>
      <c r="H4672" s="2" t="s">
        <v>74</v>
      </c>
      <c r="I4672" s="2" t="s">
        <v>12150</v>
      </c>
      <c r="J4672" s="3" t="str">
        <f>HYPERLINK("https://www.boe.es/gazeta/dias/1810/09/22/pdfs/GMD-1810-265.pdf#page=2","Abrir facsímil")</f>
        <v>Abrir facsímil</v>
      </c>
      <c r="K4672" s="3" t="s">
        <v>76</v>
      </c>
    </row>
    <row r="4673" spans="1:11" ht="42" customHeight="1">
      <c r="A4673" s="2" t="s">
        <v>12151</v>
      </c>
      <c r="B4673" s="2" t="s">
        <v>12151</v>
      </c>
      <c r="C4673" s="2" t="s">
        <v>88</v>
      </c>
      <c r="D4673" s="2" t="s">
        <v>220</v>
      </c>
      <c r="E4673" s="4">
        <v>-32594</v>
      </c>
      <c r="F4673" s="3" t="s">
        <v>1885</v>
      </c>
      <c r="G4673" s="3" t="s">
        <v>140</v>
      </c>
      <c r="H4673" s="2" t="s">
        <v>74</v>
      </c>
      <c r="I4673" s="2" t="s">
        <v>12152</v>
      </c>
      <c r="J4673" s="3" t="str">
        <f>HYPERLINK("https://www.boe.es/gazeta/dias/1810/10/04/pdfs/GMD-1810-277.pdf#page=1","Abrir facsímil")</f>
        <v>Abrir facsímil</v>
      </c>
      <c r="K4673" s="3" t="s">
        <v>76</v>
      </c>
    </row>
    <row r="4674" spans="1:11" ht="42" customHeight="1">
      <c r="A4674" s="2" t="s">
        <v>12134</v>
      </c>
      <c r="B4674" s="2" t="s">
        <v>12134</v>
      </c>
      <c r="C4674" s="2" t="s">
        <v>88</v>
      </c>
      <c r="D4674" s="2" t="s">
        <v>220</v>
      </c>
      <c r="E4674" s="4">
        <v>-32593</v>
      </c>
      <c r="F4674" s="3" t="s">
        <v>12153</v>
      </c>
      <c r="G4674" s="3" t="s">
        <v>2577</v>
      </c>
      <c r="H4674" s="2" t="s">
        <v>74</v>
      </c>
      <c r="I4674" s="2" t="s">
        <v>12154</v>
      </c>
      <c r="J4674" s="3" t="str">
        <f>HYPERLINK("https://www.boe.es/gazeta/dias/1810/10/05/pdfs/GMD-1810-278.pdf#page=1","Abrir facsímil")</f>
        <v>Abrir facsímil</v>
      </c>
      <c r="K4674" s="3" t="s">
        <v>76</v>
      </c>
    </row>
    <row r="4675" spans="1:11" ht="42" customHeight="1">
      <c r="A4675" s="2" t="s">
        <v>12134</v>
      </c>
      <c r="B4675" s="2" t="s">
        <v>12134</v>
      </c>
      <c r="C4675" s="2" t="s">
        <v>225</v>
      </c>
      <c r="D4675" s="2" t="s">
        <v>117</v>
      </c>
      <c r="E4675" s="4">
        <v>-32585</v>
      </c>
      <c r="F4675" s="3" t="s">
        <v>260</v>
      </c>
      <c r="G4675" s="3" t="s">
        <v>1506</v>
      </c>
      <c r="H4675" s="2" t="s">
        <v>74</v>
      </c>
      <c r="I4675" s="2" t="s">
        <v>12155</v>
      </c>
      <c r="J4675" s="3" t="str">
        <f>HYPERLINK("https://www.boe.es/gazeta/dias/1810/10/13/pdfs/GEI-1810-81.pdf#page=1","Abrir facsímil")</f>
        <v>Abrir facsímil</v>
      </c>
      <c r="K4675" s="3" t="s">
        <v>76</v>
      </c>
    </row>
    <row r="4676" spans="1:11" ht="42" customHeight="1">
      <c r="A4676" s="2" t="s">
        <v>12134</v>
      </c>
      <c r="B4676" s="2" t="s">
        <v>12134</v>
      </c>
      <c r="C4676" s="2" t="s">
        <v>88</v>
      </c>
      <c r="D4676" s="2" t="s">
        <v>27</v>
      </c>
      <c r="E4676" s="4">
        <v>-32581</v>
      </c>
      <c r="F4676" s="3" t="s">
        <v>6102</v>
      </c>
      <c r="G4676" s="3" t="s">
        <v>12156</v>
      </c>
      <c r="H4676" s="2" t="s">
        <v>74</v>
      </c>
      <c r="I4676" s="2" t="s">
        <v>12157</v>
      </c>
      <c r="J4676" s="3" t="str">
        <f>HYPERLINK("https://www.boe.es/gazeta/dias/1810/10/17/pdfs/GMD-1810-290.pdf#page=2","Abrir facsímil")</f>
        <v>Abrir facsímil</v>
      </c>
      <c r="K4676" s="3" t="s">
        <v>76</v>
      </c>
    </row>
    <row r="4677" spans="1:11" ht="42" customHeight="1">
      <c r="A4677" s="2" t="s">
        <v>12134</v>
      </c>
      <c r="B4677" s="2" t="s">
        <v>12134</v>
      </c>
      <c r="C4677" s="2" t="s">
        <v>225</v>
      </c>
      <c r="D4677" s="2" t="s">
        <v>117</v>
      </c>
      <c r="E4677" s="4">
        <v>-32575</v>
      </c>
      <c r="F4677" s="3" t="s">
        <v>734</v>
      </c>
      <c r="G4677" s="3" t="s">
        <v>735</v>
      </c>
      <c r="H4677" s="2" t="s">
        <v>74</v>
      </c>
      <c r="I4677" s="2" t="s">
        <v>12158</v>
      </c>
      <c r="J4677" s="3" t="str">
        <f>HYPERLINK("https://www.boe.es/gazeta/dias/1810/10/23/pdfs/GMD-1810-296.pdf#page=3","Abrir facsímil")</f>
        <v>Abrir facsímil</v>
      </c>
      <c r="K4677" s="3" t="s">
        <v>76</v>
      </c>
    </row>
    <row r="4678" spans="1:11" ht="42" customHeight="1">
      <c r="A4678" s="2" t="s">
        <v>12134</v>
      </c>
      <c r="B4678" s="2" t="s">
        <v>12134</v>
      </c>
      <c r="C4678" s="2" t="s">
        <v>88</v>
      </c>
      <c r="D4678" s="2" t="s">
        <v>27</v>
      </c>
      <c r="E4678" s="4">
        <v>-32568</v>
      </c>
      <c r="F4678" s="3" t="s">
        <v>1233</v>
      </c>
      <c r="G4678" s="3" t="s">
        <v>2902</v>
      </c>
      <c r="H4678" s="2" t="s">
        <v>74</v>
      </c>
      <c r="I4678" s="2" t="s">
        <v>12159</v>
      </c>
      <c r="J4678" s="3" t="str">
        <f>HYPERLINK("https://www.boe.es/gazeta/dias/1810/10/30/pdfs/GMD-1810-303.pdf#page=1","Abrir facsímil")</f>
        <v>Abrir facsímil</v>
      </c>
      <c r="K4678" s="3" t="s">
        <v>76</v>
      </c>
    </row>
    <row r="4679" spans="1:11" ht="42" customHeight="1">
      <c r="A4679" s="2" t="s">
        <v>12134</v>
      </c>
      <c r="B4679" s="2" t="s">
        <v>12134</v>
      </c>
      <c r="C4679" s="2" t="s">
        <v>88</v>
      </c>
      <c r="D4679" s="2" t="s">
        <v>117</v>
      </c>
      <c r="E4679" s="4">
        <v>-32539</v>
      </c>
      <c r="F4679" s="3" t="s">
        <v>11216</v>
      </c>
      <c r="G4679" s="3" t="s">
        <v>11473</v>
      </c>
      <c r="H4679" s="2" t="s">
        <v>74</v>
      </c>
      <c r="I4679" s="2" t="s">
        <v>12160</v>
      </c>
      <c r="J4679" s="3" t="str">
        <f>HYPERLINK("https://www.boe.es/gazeta/dias/1810/11/28/pdfs/GMD-1810-332.pdf#page=1","Abrir facsímil")</f>
        <v>Abrir facsímil</v>
      </c>
      <c r="K4679" s="3" t="s">
        <v>76</v>
      </c>
    </row>
    <row r="4680" spans="1:11" ht="42" customHeight="1">
      <c r="A4680" s="2" t="s">
        <v>12151</v>
      </c>
      <c r="B4680" s="2" t="s">
        <v>12151</v>
      </c>
      <c r="C4680" s="2" t="s">
        <v>88</v>
      </c>
      <c r="D4680" s="2" t="s">
        <v>117</v>
      </c>
      <c r="E4680" s="4">
        <v>-32535</v>
      </c>
      <c r="F4680" s="3" t="s">
        <v>3440</v>
      </c>
      <c r="G4680" s="3" t="s">
        <v>8507</v>
      </c>
      <c r="H4680" s="2" t="s">
        <v>74</v>
      </c>
      <c r="I4680" s="2" t="s">
        <v>12161</v>
      </c>
      <c r="J4680" s="3" t="str">
        <f>HYPERLINK("https://www.boe.es/gazeta/dias/1810/12/02/pdfs/GMD-1810-336.pdf#page=1","Abrir facsímil")</f>
        <v>Abrir facsímil</v>
      </c>
      <c r="K4680" s="3" t="s">
        <v>76</v>
      </c>
    </row>
    <row r="4681" spans="1:11" ht="42" customHeight="1">
      <c r="A4681" s="2" t="s">
        <v>12134</v>
      </c>
      <c r="B4681" s="2" t="s">
        <v>12134</v>
      </c>
      <c r="C4681" s="2" t="s">
        <v>88</v>
      </c>
      <c r="D4681" s="2" t="s">
        <v>27</v>
      </c>
      <c r="E4681" s="4">
        <v>-32517</v>
      </c>
      <c r="F4681" s="3" t="s">
        <v>979</v>
      </c>
      <c r="G4681" s="3" t="s">
        <v>29</v>
      </c>
      <c r="H4681" s="2" t="s">
        <v>74</v>
      </c>
      <c r="I4681" s="2" t="s">
        <v>12162</v>
      </c>
      <c r="J4681" s="3" t="str">
        <f>HYPERLINK("https://www.boe.es/gazeta/dias/1810/12/20/pdfs/GMD-1810-354.pdf#page=3","Abrir facsímil")</f>
        <v>Abrir facsímil</v>
      </c>
      <c r="K4681" s="3" t="s">
        <v>76</v>
      </c>
    </row>
    <row r="4682" spans="1:11" ht="42" customHeight="1">
      <c r="A4682" s="2" t="s">
        <v>12163</v>
      </c>
      <c r="B4682" s="2" t="s">
        <v>12163</v>
      </c>
      <c r="C4682" s="2" t="s">
        <v>17</v>
      </c>
      <c r="D4682" s="2" t="s">
        <v>27</v>
      </c>
      <c r="E4682" s="4">
        <v>-32524</v>
      </c>
      <c r="F4682" s="3" t="s">
        <v>281</v>
      </c>
      <c r="G4682" s="3" t="s">
        <v>645</v>
      </c>
      <c r="H4682" s="2" t="s">
        <v>74</v>
      </c>
      <c r="I4682" s="2" t="s">
        <v>12164</v>
      </c>
      <c r="J4682" s="3" t="str">
        <f>HYPERLINK("https://www.boe.es/gazeta/dias/1810/12/13/pdfs/GEI-1810-107.pdf#page=1","Abrir facsímil")</f>
        <v>Abrir facsímil</v>
      </c>
      <c r="K4682" s="3" t="s">
        <v>76</v>
      </c>
    </row>
    <row r="4683" spans="1:11" ht="42" customHeight="1">
      <c r="A4683" s="2" t="s">
        <v>12165</v>
      </c>
      <c r="B4683" s="2" t="s">
        <v>12165</v>
      </c>
      <c r="C4683" s="2" t="s">
        <v>88</v>
      </c>
      <c r="D4683" s="2" t="s">
        <v>117</v>
      </c>
      <c r="E4683" s="4">
        <v>-32759</v>
      </c>
      <c r="F4683" s="3" t="s">
        <v>4747</v>
      </c>
      <c r="G4683" s="3" t="s">
        <v>4748</v>
      </c>
      <c r="H4683" s="2" t="s">
        <v>74</v>
      </c>
      <c r="I4683" s="2" t="s">
        <v>12166</v>
      </c>
      <c r="J4683" s="3" t="str">
        <f>HYPERLINK("https://www.boe.es/gazeta/dias/1810/04/22/pdfs/GMD-1810-112.pdf#page=1","Abrir facsímil")</f>
        <v>Abrir facsímil</v>
      </c>
      <c r="K4683" s="3" t="s">
        <v>76</v>
      </c>
    </row>
    <row r="4684" spans="1:11" ht="42" customHeight="1">
      <c r="A4684" s="2" t="s">
        <v>12165</v>
      </c>
      <c r="B4684" s="2" t="s">
        <v>12165</v>
      </c>
      <c r="C4684" s="2" t="s">
        <v>26</v>
      </c>
      <c r="D4684" s="2" t="s">
        <v>27</v>
      </c>
      <c r="E4684" s="4">
        <v>-32644</v>
      </c>
      <c r="F4684" s="3" t="s">
        <v>457</v>
      </c>
      <c r="G4684" s="3" t="s">
        <v>458</v>
      </c>
      <c r="H4684" s="2" t="s">
        <v>74</v>
      </c>
      <c r="I4684" s="2" t="s">
        <v>12167</v>
      </c>
      <c r="J4684" s="3" t="str">
        <f>HYPERLINK("https://www.boe.es/gazeta/dias/1810/08/15/pdfs/GMD-1810-227.pdf#page=1","Abrir facsímil")</f>
        <v>Abrir facsímil</v>
      </c>
      <c r="K4684" s="3" t="s">
        <v>76</v>
      </c>
    </row>
    <row r="4685" spans="1:11" ht="42" customHeight="1">
      <c r="A4685" s="2" t="s">
        <v>12168</v>
      </c>
      <c r="B4685" s="2" t="s">
        <v>12168</v>
      </c>
      <c r="C4685" s="2" t="s">
        <v>88</v>
      </c>
      <c r="D4685" s="2" t="s">
        <v>117</v>
      </c>
      <c r="E4685" s="4">
        <v>-32517</v>
      </c>
      <c r="F4685" s="3" t="s">
        <v>979</v>
      </c>
      <c r="G4685" s="3" t="s">
        <v>180</v>
      </c>
      <c r="H4685" s="2" t="s">
        <v>74</v>
      </c>
      <c r="I4685" s="2" t="s">
        <v>12169</v>
      </c>
      <c r="J4685" s="3" t="str">
        <f>HYPERLINK("https://www.boe.es/gazeta/dias/1810/12/20/pdfs/GMD-1810-354.pdf#page=1","Abrir facsímil")</f>
        <v>Abrir facsímil</v>
      </c>
      <c r="K4685" s="3" t="s">
        <v>76</v>
      </c>
    </row>
    <row r="4686" spans="1:11" ht="42" customHeight="1">
      <c r="A4686" s="2" t="s">
        <v>12170</v>
      </c>
      <c r="B4686" s="2" t="s">
        <v>12170</v>
      </c>
      <c r="C4686" s="2" t="s">
        <v>88</v>
      </c>
      <c r="D4686" s="2" t="s">
        <v>117</v>
      </c>
      <c r="E4686" s="4">
        <v>-32639</v>
      </c>
      <c r="F4686" s="3" t="s">
        <v>3411</v>
      </c>
      <c r="G4686" s="3" t="s">
        <v>12139</v>
      </c>
      <c r="H4686" s="2" t="s">
        <v>74</v>
      </c>
      <c r="I4686" s="2" t="s">
        <v>12171</v>
      </c>
      <c r="J4686" s="3" t="str">
        <f>HYPERLINK("https://www.boe.es/gazeta/dias/1810/08/20/pdfs/GMD-1810-232.pdf#page=1","Abrir facsímil")</f>
        <v>Abrir facsímil</v>
      </c>
      <c r="K4686" s="3" t="s">
        <v>76</v>
      </c>
    </row>
    <row r="4687" spans="1:11" ht="42" customHeight="1">
      <c r="A4687" s="2" t="s">
        <v>12172</v>
      </c>
      <c r="B4687" s="2" t="s">
        <v>12172</v>
      </c>
      <c r="C4687" s="2" t="s">
        <v>88</v>
      </c>
      <c r="D4687" s="2" t="s">
        <v>117</v>
      </c>
      <c r="E4687" s="4">
        <v>-32568</v>
      </c>
      <c r="F4687" s="3" t="s">
        <v>1233</v>
      </c>
      <c r="G4687" s="3" t="s">
        <v>29</v>
      </c>
      <c r="H4687" s="2" t="s">
        <v>74</v>
      </c>
      <c r="I4687" s="2" t="s">
        <v>12173</v>
      </c>
      <c r="J4687" s="3" t="str">
        <f>HYPERLINK("https://www.boe.es/gazeta/dias/1810/10/30/pdfs/GMD-1810-303.pdf#page=2","Abrir facsímil")</f>
        <v>Abrir facsímil</v>
      </c>
      <c r="K4687" s="3" t="s">
        <v>76</v>
      </c>
    </row>
    <row r="4688" spans="1:11" ht="42" customHeight="1">
      <c r="A4688" s="2" t="s">
        <v>12174</v>
      </c>
      <c r="B4688" s="2" t="s">
        <v>12174</v>
      </c>
      <c r="C4688" s="2" t="s">
        <v>88</v>
      </c>
      <c r="D4688" s="2" t="s">
        <v>27</v>
      </c>
      <c r="E4688" s="4">
        <v>-32600</v>
      </c>
      <c r="F4688" s="3" t="s">
        <v>1679</v>
      </c>
      <c r="G4688" s="3" t="s">
        <v>12175</v>
      </c>
      <c r="H4688" s="2" t="s">
        <v>74</v>
      </c>
      <c r="I4688" s="2" t="s">
        <v>12176</v>
      </c>
      <c r="J4688" s="3" t="str">
        <f>HYPERLINK("https://www.boe.es/gazeta/dias/1810/09/28/pdfs/GMD-1810-271.pdf#page=1","Abrir facsímil")</f>
        <v>Abrir facsímil</v>
      </c>
      <c r="K4688" s="3" t="s">
        <v>76</v>
      </c>
    </row>
    <row r="4689" spans="1:11" ht="42" customHeight="1">
      <c r="A4689" s="2" t="s">
        <v>12177</v>
      </c>
      <c r="B4689" s="2" t="s">
        <v>12177</v>
      </c>
      <c r="C4689" s="2" t="s">
        <v>26</v>
      </c>
      <c r="D4689" s="2" t="s">
        <v>27</v>
      </c>
      <c r="E4689" s="4">
        <v>-32593</v>
      </c>
      <c r="F4689" s="3" t="s">
        <v>12153</v>
      </c>
      <c r="G4689" s="3" t="s">
        <v>2577</v>
      </c>
      <c r="H4689" s="2" t="s">
        <v>74</v>
      </c>
      <c r="I4689" s="2" t="s">
        <v>12178</v>
      </c>
      <c r="J4689" s="3" t="str">
        <f>HYPERLINK("https://www.boe.es/gazeta/dias/1810/10/05/pdfs/GMD-1810-278.pdf#page=1","Abrir facsímil")</f>
        <v>Abrir facsímil</v>
      </c>
      <c r="K4689" s="3" t="s">
        <v>76</v>
      </c>
    </row>
    <row r="4690" spans="1:11" ht="42" customHeight="1">
      <c r="A4690" s="2" t="s">
        <v>12179</v>
      </c>
      <c r="B4690" s="2" t="s">
        <v>12179</v>
      </c>
      <c r="C4690" s="2" t="s">
        <v>88</v>
      </c>
      <c r="D4690" s="2" t="s">
        <v>117</v>
      </c>
      <c r="E4690" s="4">
        <v>-32594</v>
      </c>
      <c r="F4690" s="3" t="s">
        <v>1885</v>
      </c>
      <c r="G4690" s="3" t="s">
        <v>140</v>
      </c>
      <c r="H4690" s="2" t="s">
        <v>74</v>
      </c>
      <c r="I4690" s="2" t="s">
        <v>12180</v>
      </c>
      <c r="J4690" s="3" t="str">
        <f>HYPERLINK("https://www.boe.es/gazeta/dias/1810/10/04/pdfs/GMD-1810-277.pdf#page=1","Abrir facsímil")</f>
        <v>Abrir facsímil</v>
      </c>
      <c r="K4690" s="3" t="s">
        <v>76</v>
      </c>
    </row>
    <row r="4691" spans="1:11" ht="42" customHeight="1">
      <c r="A4691" s="2" t="s">
        <v>12181</v>
      </c>
      <c r="B4691" s="2" t="s">
        <v>12181</v>
      </c>
      <c r="C4691" s="2" t="s">
        <v>88</v>
      </c>
      <c r="D4691" s="2" t="s">
        <v>27</v>
      </c>
      <c r="E4691" s="4">
        <v>-32557</v>
      </c>
      <c r="F4691" s="3" t="s">
        <v>8182</v>
      </c>
      <c r="G4691" s="3" t="s">
        <v>2968</v>
      </c>
      <c r="H4691" s="2" t="s">
        <v>74</v>
      </c>
      <c r="I4691" s="2" t="s">
        <v>12182</v>
      </c>
      <c r="J4691" s="3" t="str">
        <f>HYPERLINK("https://www.boe.es/gazeta/dias/1810/11/10/pdfs/GMD-1810-314.pdf#page=1","Abrir facsímil")</f>
        <v>Abrir facsímil</v>
      </c>
      <c r="K4691" s="3" t="s">
        <v>76</v>
      </c>
    </row>
    <row r="4692" spans="1:11" ht="42" customHeight="1">
      <c r="A4692" s="2" t="s">
        <v>12183</v>
      </c>
      <c r="B4692" s="2" t="s">
        <v>12183</v>
      </c>
      <c r="C4692" s="2" t="s">
        <v>88</v>
      </c>
      <c r="D4692" s="2" t="s">
        <v>27</v>
      </c>
      <c r="E4692" s="4">
        <v>-32659</v>
      </c>
      <c r="F4692" s="3" t="s">
        <v>328</v>
      </c>
      <c r="G4692" s="3" t="s">
        <v>4539</v>
      </c>
      <c r="H4692" s="2" t="s">
        <v>74</v>
      </c>
      <c r="I4692" s="2" t="s">
        <v>12184</v>
      </c>
      <c r="J4692" s="3" t="str">
        <f>HYPERLINK("https://www.boe.es/gazeta/dias/1810/07/31/pdfs/GEI-1810-49.pdf#page=4","Abrir facsímil")</f>
        <v>Abrir facsímil</v>
      </c>
      <c r="K4692" s="3" t="s">
        <v>76</v>
      </c>
    </row>
    <row r="4693" spans="1:11" ht="42" customHeight="1">
      <c r="A4693" s="2" t="s">
        <v>12185</v>
      </c>
      <c r="B4693" s="2" t="s">
        <v>12185</v>
      </c>
      <c r="C4693" s="2" t="s">
        <v>88</v>
      </c>
      <c r="D4693" s="2" t="s">
        <v>27</v>
      </c>
      <c r="E4693" s="4">
        <v>-32598</v>
      </c>
      <c r="F4693" s="3" t="s">
        <v>6961</v>
      </c>
      <c r="G4693" s="3" t="s">
        <v>180</v>
      </c>
      <c r="H4693" s="2" t="s">
        <v>74</v>
      </c>
      <c r="I4693" s="2" t="s">
        <v>12186</v>
      </c>
      <c r="J4693" s="3" t="str">
        <f>HYPERLINK("https://www.boe.es/gazeta/dias/1810/09/30/pdfs/GMD-1810-273.pdf#page=1","Abrir facsímil")</f>
        <v>Abrir facsímil</v>
      </c>
      <c r="K4693" s="3" t="s">
        <v>76</v>
      </c>
    </row>
    <row r="4694" spans="1:11" ht="42" customHeight="1">
      <c r="A4694" s="2" t="s">
        <v>12187</v>
      </c>
      <c r="B4694" s="2" t="s">
        <v>12187</v>
      </c>
      <c r="C4694" s="2" t="s">
        <v>26</v>
      </c>
      <c r="D4694" s="2" t="s">
        <v>27</v>
      </c>
      <c r="E4694" s="4">
        <v>-32593</v>
      </c>
      <c r="F4694" s="3" t="s">
        <v>12153</v>
      </c>
      <c r="G4694" s="3" t="s">
        <v>12188</v>
      </c>
      <c r="H4694" s="2" t="s">
        <v>74</v>
      </c>
      <c r="I4694" s="2" t="s">
        <v>12189</v>
      </c>
      <c r="J4694" s="3" t="str">
        <f>HYPERLINK("https://www.boe.es/gazeta/dias/1810/10/05/pdfs/GMD-1810-278.pdf#page=2","Abrir facsímil")</f>
        <v>Abrir facsímil</v>
      </c>
      <c r="K4694" s="3" t="s">
        <v>76</v>
      </c>
    </row>
    <row r="4695" spans="1:11" ht="42" customHeight="1">
      <c r="A4695" s="2" t="s">
        <v>12190</v>
      </c>
      <c r="B4695" s="2" t="s">
        <v>12190</v>
      </c>
      <c r="C4695" s="2" t="s">
        <v>225</v>
      </c>
      <c r="D4695" s="2" t="s">
        <v>27</v>
      </c>
      <c r="E4695" s="4">
        <v>-32559</v>
      </c>
      <c r="F4695" s="3" t="s">
        <v>3062</v>
      </c>
      <c r="G4695" s="3" t="s">
        <v>291</v>
      </c>
      <c r="H4695" s="2" t="s">
        <v>74</v>
      </c>
      <c r="I4695" s="2" t="s">
        <v>12191</v>
      </c>
      <c r="J4695" s="3" t="str">
        <f>HYPERLINK("https://www.boe.es/gazeta/dias/1810/11/08/pdfs/GEI-1810-92.pdf#page=2","Abrir facsímil")</f>
        <v>Abrir facsímil</v>
      </c>
      <c r="K4695" s="3" t="s">
        <v>76</v>
      </c>
    </row>
    <row r="4696" spans="1:11" ht="42" customHeight="1">
      <c r="A4696" s="2" t="s">
        <v>12192</v>
      </c>
      <c r="B4696" s="2" t="s">
        <v>12192</v>
      </c>
      <c r="C4696" s="2" t="s">
        <v>88</v>
      </c>
      <c r="D4696" s="2" t="s">
        <v>27</v>
      </c>
      <c r="E4696" s="4">
        <v>-32561</v>
      </c>
      <c r="F4696" s="3" t="s">
        <v>3469</v>
      </c>
      <c r="G4696" s="3" t="s">
        <v>70</v>
      </c>
      <c r="H4696" s="2" t="s">
        <v>74</v>
      </c>
      <c r="I4696" s="2" t="s">
        <v>12193</v>
      </c>
      <c r="J4696" s="3" t="str">
        <f>HYPERLINK("https://www.boe.es/gazeta/dias/1810/11/06/pdfs/GMD-1810-310.pdf#page=2","Abrir facsímil")</f>
        <v>Abrir facsímil</v>
      </c>
      <c r="K4696" s="3" t="s">
        <v>76</v>
      </c>
    </row>
    <row r="4697" spans="1:11" ht="42" customHeight="1">
      <c r="A4697" s="2" t="s">
        <v>12192</v>
      </c>
      <c r="B4697" s="2" t="s">
        <v>12192</v>
      </c>
      <c r="C4697" s="2" t="s">
        <v>88</v>
      </c>
      <c r="D4697" s="2" t="s">
        <v>27</v>
      </c>
      <c r="E4697" s="4">
        <v>-32559</v>
      </c>
      <c r="F4697" s="3" t="s">
        <v>3062</v>
      </c>
      <c r="G4697" s="3" t="s">
        <v>3471</v>
      </c>
      <c r="H4697" s="2" t="s">
        <v>74</v>
      </c>
      <c r="I4697" s="2" t="s">
        <v>12194</v>
      </c>
      <c r="J4697" s="3" t="str">
        <f>HYPERLINK("https://www.boe.es/gazeta/dias/1810/11/08/pdfs/GEI-1810-92.pdf#page=1","Abrir facsímil")</f>
        <v>Abrir facsímil</v>
      </c>
      <c r="K4697" s="3" t="s">
        <v>76</v>
      </c>
    </row>
    <row r="4698" spans="1:11" ht="42" customHeight="1">
      <c r="A4698" s="2" t="s">
        <v>12195</v>
      </c>
      <c r="B4698" s="2" t="s">
        <v>12195</v>
      </c>
      <c r="C4698" s="2" t="s">
        <v>88</v>
      </c>
      <c r="D4698" s="2" t="s">
        <v>27</v>
      </c>
      <c r="E4698" s="4">
        <v>-32642</v>
      </c>
      <c r="F4698" s="3" t="s">
        <v>657</v>
      </c>
      <c r="G4698" s="3" t="s">
        <v>140</v>
      </c>
      <c r="H4698" s="2" t="s">
        <v>74</v>
      </c>
      <c r="I4698" s="2" t="s">
        <v>12196</v>
      </c>
      <c r="J4698" s="3" t="str">
        <f>HYPERLINK("https://www.boe.es/gazeta/dias/1810/08/17/pdfs/GEI-1810-57.pdf#page=6","Abrir facsímil")</f>
        <v>Abrir facsímil</v>
      </c>
      <c r="K4698" s="3" t="s">
        <v>76</v>
      </c>
    </row>
    <row r="4699" spans="1:11" ht="42" customHeight="1">
      <c r="A4699" s="2" t="s">
        <v>12197</v>
      </c>
      <c r="B4699" s="2" t="s">
        <v>12197</v>
      </c>
      <c r="C4699" s="2" t="s">
        <v>88</v>
      </c>
      <c r="D4699" s="2" t="s">
        <v>117</v>
      </c>
      <c r="E4699" s="4">
        <v>-32778</v>
      </c>
      <c r="F4699" s="3" t="s">
        <v>4255</v>
      </c>
      <c r="G4699" s="3" t="s">
        <v>20</v>
      </c>
      <c r="H4699" s="2" t="s">
        <v>74</v>
      </c>
      <c r="I4699" s="2" t="s">
        <v>12198</v>
      </c>
      <c r="J4699" s="3" t="str">
        <f>HYPERLINK("https://www.boe.es/gazeta/dias/1810/04/03/pdfs/GMD-1810-93.pdf#page=4","Abrir facsímil")</f>
        <v>Abrir facsímil</v>
      </c>
      <c r="K4699" s="3" t="s">
        <v>76</v>
      </c>
    </row>
    <row r="4700" spans="1:11" ht="42" customHeight="1">
      <c r="A4700" s="2" t="s">
        <v>12199</v>
      </c>
      <c r="B4700" s="2" t="s">
        <v>12199</v>
      </c>
      <c r="C4700" s="2" t="s">
        <v>88</v>
      </c>
      <c r="D4700" s="2" t="s">
        <v>27</v>
      </c>
      <c r="E4700" s="4">
        <v>-32571</v>
      </c>
      <c r="F4700" s="3" t="s">
        <v>737</v>
      </c>
      <c r="G4700" s="3" t="s">
        <v>738</v>
      </c>
      <c r="H4700" s="2" t="s">
        <v>74</v>
      </c>
      <c r="I4700" s="2" t="s">
        <v>12200</v>
      </c>
      <c r="J4700" s="3" t="str">
        <f>HYPERLINK("https://www.boe.es/gazeta/dias/1810/10/27/pdfs/GEI-1810-87.pdf#page=4","Abrir facsímil")</f>
        <v>Abrir facsímil</v>
      </c>
      <c r="K4700" s="3" t="s">
        <v>76</v>
      </c>
    </row>
    <row r="4701" spans="1:11" ht="42" customHeight="1">
      <c r="A4701" s="2" t="s">
        <v>12201</v>
      </c>
      <c r="B4701" s="2" t="s">
        <v>12201</v>
      </c>
      <c r="C4701" s="2" t="s">
        <v>88</v>
      </c>
      <c r="D4701" s="2" t="s">
        <v>27</v>
      </c>
      <c r="E4701" s="4">
        <v>-32846</v>
      </c>
      <c r="F4701" s="3" t="s">
        <v>1153</v>
      </c>
      <c r="G4701" s="3" t="s">
        <v>735</v>
      </c>
      <c r="H4701" s="2" t="s">
        <v>74</v>
      </c>
      <c r="I4701" s="2" t="s">
        <v>12202</v>
      </c>
      <c r="J4701" s="3" t="str">
        <f>HYPERLINK("https://www.boe.es/gazeta/dias/1810/01/25/pdfs/GMD-1810-25.pdf#page=4","Abrir facsímil")</f>
        <v>Abrir facsímil</v>
      </c>
      <c r="K4701" s="3" t="s">
        <v>76</v>
      </c>
    </row>
    <row r="4702" spans="1:11" ht="42" customHeight="1">
      <c r="A4702" s="2" t="s">
        <v>12201</v>
      </c>
      <c r="B4702" s="2" t="s">
        <v>12201</v>
      </c>
      <c r="C4702" s="2" t="s">
        <v>88</v>
      </c>
      <c r="D4702" s="2" t="s">
        <v>27</v>
      </c>
      <c r="E4702" s="4">
        <v>-32806</v>
      </c>
      <c r="F4702" s="3" t="s">
        <v>1839</v>
      </c>
      <c r="G4702" s="3" t="s">
        <v>3747</v>
      </c>
      <c r="H4702" s="2" t="s">
        <v>74</v>
      </c>
      <c r="I4702" s="2" t="s">
        <v>12203</v>
      </c>
      <c r="J4702" s="3" t="str">
        <f>HYPERLINK("https://www.boe.es/gazeta/dias/1810/03/06/pdfs/GMD-1810-65.pdf#page=4","Abrir facsímil")</f>
        <v>Abrir facsímil</v>
      </c>
      <c r="K4702" s="3" t="s">
        <v>76</v>
      </c>
    </row>
    <row r="4703" spans="1:11" ht="42" customHeight="1">
      <c r="A4703" s="2" t="s">
        <v>12201</v>
      </c>
      <c r="B4703" s="2" t="s">
        <v>12201</v>
      </c>
      <c r="C4703" s="2" t="s">
        <v>88</v>
      </c>
      <c r="D4703" s="2" t="s">
        <v>27</v>
      </c>
      <c r="E4703" s="4">
        <v>-32687</v>
      </c>
      <c r="F4703" s="3" t="s">
        <v>263</v>
      </c>
      <c r="G4703" s="3" t="s">
        <v>20</v>
      </c>
      <c r="H4703" s="2" t="s">
        <v>74</v>
      </c>
      <c r="I4703" s="2" t="s">
        <v>12204</v>
      </c>
      <c r="J4703" s="3" t="str">
        <f>HYPERLINK("https://www.boe.es/gazeta/dias/1810/07/03/pdfs/GEI-1810-41.pdf#page=4","Abrir facsímil")</f>
        <v>Abrir facsímil</v>
      </c>
      <c r="K4703" s="3" t="s">
        <v>76</v>
      </c>
    </row>
    <row r="4704" spans="1:11" ht="42" customHeight="1">
      <c r="A4704" s="2" t="s">
        <v>12201</v>
      </c>
      <c r="B4704" s="2" t="s">
        <v>12201</v>
      </c>
      <c r="C4704" s="2" t="s">
        <v>88</v>
      </c>
      <c r="D4704" s="2" t="s">
        <v>39</v>
      </c>
      <c r="E4704" s="4">
        <v>-32624</v>
      </c>
      <c r="F4704" s="3" t="s">
        <v>6736</v>
      </c>
      <c r="G4704" s="3" t="s">
        <v>12205</v>
      </c>
      <c r="H4704" s="2" t="s">
        <v>74</v>
      </c>
      <c r="I4704" s="2" t="s">
        <v>12206</v>
      </c>
      <c r="J4704" s="3" t="str">
        <f>HYPERLINK("https://www.boe.es/gazeta/dias/1810/09/04/pdfs/GEI-D-1810-64.pdf#page=3","Abrir facsímil")</f>
        <v>Abrir facsímil</v>
      </c>
      <c r="K4704" s="3" t="s">
        <v>76</v>
      </c>
    </row>
    <row r="4705" spans="1:11" ht="42" customHeight="1">
      <c r="A4705" s="2" t="s">
        <v>12207</v>
      </c>
      <c r="B4705" s="2" t="s">
        <v>12207</v>
      </c>
      <c r="C4705" s="2" t="s">
        <v>88</v>
      </c>
      <c r="D4705" s="2" t="s">
        <v>27</v>
      </c>
      <c r="E4705" s="4">
        <v>-32642</v>
      </c>
      <c r="F4705" s="3" t="s">
        <v>657</v>
      </c>
      <c r="G4705" s="3" t="s">
        <v>12208</v>
      </c>
      <c r="H4705" s="2" t="s">
        <v>74</v>
      </c>
      <c r="I4705" s="2" t="s">
        <v>12209</v>
      </c>
      <c r="J4705" s="3" t="str">
        <f>HYPERLINK("https://www.boe.es/gazeta/dias/1810/08/17/pdfs/GEI-1810-57.pdf#page=7","Abrir facsímil")</f>
        <v>Abrir facsímil</v>
      </c>
      <c r="K4705" s="3" t="s">
        <v>76</v>
      </c>
    </row>
    <row r="4706" spans="1:11" ht="42" customHeight="1">
      <c r="A4706" s="2" t="s">
        <v>12210</v>
      </c>
      <c r="B4706" s="2" t="s">
        <v>12210</v>
      </c>
      <c r="C4706" s="2" t="s">
        <v>88</v>
      </c>
      <c r="D4706" s="2" t="s">
        <v>27</v>
      </c>
      <c r="E4706" s="4">
        <v>-32692</v>
      </c>
      <c r="F4706" s="3" t="s">
        <v>3698</v>
      </c>
      <c r="G4706" s="3" t="s">
        <v>180</v>
      </c>
      <c r="H4706" s="2" t="s">
        <v>74</v>
      </c>
      <c r="I4706" s="2" t="s">
        <v>12211</v>
      </c>
      <c r="J4706" s="3" t="str">
        <f>HYPERLINK("https://www.boe.es/gazeta/dias/1810/06/28/pdfs/GMD-1810-179.pdf#page=2","Abrir facsímil")</f>
        <v>Abrir facsímil</v>
      </c>
      <c r="K4706" s="3" t="s">
        <v>76</v>
      </c>
    </row>
    <row r="4707" spans="1:11" ht="42" customHeight="1">
      <c r="A4707" s="2" t="s">
        <v>12212</v>
      </c>
      <c r="B4707" s="2" t="s">
        <v>12212</v>
      </c>
      <c r="C4707" s="2" t="s">
        <v>26</v>
      </c>
      <c r="D4707" s="2" t="s">
        <v>27</v>
      </c>
      <c r="E4707" s="4">
        <v>-32755</v>
      </c>
      <c r="F4707" s="3" t="s">
        <v>1641</v>
      </c>
      <c r="G4707" s="3" t="s">
        <v>9132</v>
      </c>
      <c r="H4707" s="2" t="s">
        <v>74</v>
      </c>
      <c r="I4707" s="2" t="s">
        <v>12213</v>
      </c>
      <c r="J4707" s="3" t="str">
        <f>HYPERLINK("https://www.boe.es/gazeta/dias/1810/04/26/pdfs/GMD-1810-116.pdf#page=1","Abrir facsímil")</f>
        <v>Abrir facsímil</v>
      </c>
      <c r="K4707" s="3" t="s">
        <v>76</v>
      </c>
    </row>
    <row r="4708" spans="1:11" ht="42" customHeight="1">
      <c r="A4708" s="2" t="s">
        <v>12214</v>
      </c>
      <c r="B4708" s="2" t="s">
        <v>12215</v>
      </c>
      <c r="C4708" s="2" t="s">
        <v>33</v>
      </c>
      <c r="D4708" s="2" t="s">
        <v>58</v>
      </c>
      <c r="E4708" s="4">
        <v>-32651</v>
      </c>
      <c r="F4708" s="3" t="s">
        <v>59</v>
      </c>
      <c r="G4708" s="3" t="s">
        <v>60</v>
      </c>
      <c r="H4708" s="2" t="s">
        <v>74</v>
      </c>
      <c r="I4708" s="2" t="s">
        <v>12216</v>
      </c>
      <c r="J4708" s="3" t="str">
        <f>HYPERLINK("https://www.boe.es/gazeta/dias/1810/08/08/pdfs/GEI-1810-53E.pdf#page=3","Abrir facsímil")</f>
        <v>Abrir facsímil</v>
      </c>
      <c r="K4708" s="3" t="s">
        <v>76</v>
      </c>
    </row>
    <row r="4709" spans="1:11" ht="42" customHeight="1">
      <c r="A4709" s="2" t="s">
        <v>12217</v>
      </c>
      <c r="B4709" s="2" t="s">
        <v>12217</v>
      </c>
      <c r="C4709" s="2" t="s">
        <v>26</v>
      </c>
      <c r="D4709" s="2" t="s">
        <v>27</v>
      </c>
      <c r="E4709" s="4">
        <v>-32587</v>
      </c>
      <c r="F4709" s="3" t="s">
        <v>1504</v>
      </c>
      <c r="G4709" s="3" t="s">
        <v>70</v>
      </c>
      <c r="H4709" s="2" t="s">
        <v>74</v>
      </c>
      <c r="I4709" s="2" t="s">
        <v>12218</v>
      </c>
      <c r="J4709" s="3" t="str">
        <f>HYPERLINK("https://www.boe.es/gazeta/dias/1810/10/11/pdfs/GMD-1810-284.pdf#page=2","Abrir facsímil")</f>
        <v>Abrir facsímil</v>
      </c>
      <c r="K4709" s="3" t="s">
        <v>76</v>
      </c>
    </row>
    <row r="4710" spans="1:11" ht="42" customHeight="1">
      <c r="A4710" s="2" t="s">
        <v>12219</v>
      </c>
      <c r="B4710" s="2" t="s">
        <v>12219</v>
      </c>
      <c r="C4710" s="2" t="s">
        <v>88</v>
      </c>
      <c r="D4710" s="2" t="s">
        <v>27</v>
      </c>
      <c r="E4710" s="4">
        <v>-32717</v>
      </c>
      <c r="F4710" s="3" t="s">
        <v>10711</v>
      </c>
      <c r="G4710" s="3" t="s">
        <v>70</v>
      </c>
      <c r="H4710" s="2" t="s">
        <v>74</v>
      </c>
      <c r="I4710" s="2" t="s">
        <v>12220</v>
      </c>
      <c r="J4710" s="3" t="str">
        <f>HYPERLINK("https://www.boe.es/gazeta/dias/1810/06/03/pdfs/GMD-1810-154.pdf#page=3","Abrir facsímil")</f>
        <v>Abrir facsímil</v>
      </c>
      <c r="K4710" s="3" t="s">
        <v>76</v>
      </c>
    </row>
    <row r="4711" spans="1:11" ht="42" customHeight="1">
      <c r="A4711" s="2" t="s">
        <v>12221</v>
      </c>
      <c r="B4711" s="2" t="s">
        <v>12221</v>
      </c>
      <c r="C4711" s="2" t="s">
        <v>33</v>
      </c>
      <c r="D4711" s="2" t="s">
        <v>220</v>
      </c>
      <c r="E4711" s="4">
        <v>-32753</v>
      </c>
      <c r="F4711" s="3" t="s">
        <v>2789</v>
      </c>
      <c r="G4711" s="3" t="s">
        <v>140</v>
      </c>
      <c r="H4711" s="2" t="s">
        <v>74</v>
      </c>
      <c r="I4711" s="2" t="s">
        <v>12222</v>
      </c>
      <c r="J4711" s="3" t="str">
        <f>HYPERLINK("https://www.boe.es/gazeta/dias/1810/04/28/pdfs/GMD-1810-118.pdf#page=1","Abrir facsímil")</f>
        <v>Abrir facsímil</v>
      </c>
      <c r="K4711" s="3" t="s">
        <v>76</v>
      </c>
    </row>
    <row r="4712" spans="1:11" ht="42" customHeight="1">
      <c r="A4712" s="2" t="s">
        <v>12223</v>
      </c>
      <c r="B4712" s="2" t="s">
        <v>12223</v>
      </c>
      <c r="C4712" s="2" t="s">
        <v>88</v>
      </c>
      <c r="D4712" s="2" t="s">
        <v>117</v>
      </c>
      <c r="E4712" s="4">
        <v>-32596</v>
      </c>
      <c r="F4712" s="3" t="s">
        <v>1311</v>
      </c>
      <c r="G4712" s="3" t="s">
        <v>29</v>
      </c>
      <c r="H4712" s="2" t="s">
        <v>74</v>
      </c>
      <c r="I4712" s="2" t="s">
        <v>12224</v>
      </c>
      <c r="J4712" s="3" t="str">
        <f>HYPERLINK("https://www.boe.es/gazeta/dias/1810/10/02/pdfs/GMD-1810-275.pdf#page=3","Abrir facsímil")</f>
        <v>Abrir facsímil</v>
      </c>
      <c r="K4712" s="3" t="s">
        <v>76</v>
      </c>
    </row>
    <row r="4713" spans="1:11" ht="42" customHeight="1">
      <c r="A4713" s="2" t="s">
        <v>12225</v>
      </c>
      <c r="B4713" s="2" t="s">
        <v>12225</v>
      </c>
      <c r="C4713" s="2" t="s">
        <v>88</v>
      </c>
      <c r="D4713" s="2" t="s">
        <v>117</v>
      </c>
      <c r="E4713" s="4">
        <v>-32585</v>
      </c>
      <c r="F4713" s="3" t="s">
        <v>10997</v>
      </c>
      <c r="G4713" s="3" t="s">
        <v>35</v>
      </c>
      <c r="H4713" s="2" t="s">
        <v>74</v>
      </c>
      <c r="I4713" s="2" t="s">
        <v>12226</v>
      </c>
      <c r="J4713" s="3" t="str">
        <f>HYPERLINK("https://www.boe.es/gazeta/dias/1810/10/13/pdfs/GMD-1810-286.pdf#page=2","Abrir facsímil")</f>
        <v>Abrir facsímil</v>
      </c>
      <c r="K4713" s="3" t="s">
        <v>76</v>
      </c>
    </row>
    <row r="4714" spans="1:11" ht="42" customHeight="1">
      <c r="A4714" s="2" t="s">
        <v>12227</v>
      </c>
      <c r="B4714" s="2" t="s">
        <v>12227</v>
      </c>
      <c r="C4714" s="2" t="s">
        <v>88</v>
      </c>
      <c r="D4714" s="2" t="s">
        <v>27</v>
      </c>
      <c r="E4714" s="4">
        <v>-32673</v>
      </c>
      <c r="F4714" s="3" t="s">
        <v>472</v>
      </c>
      <c r="G4714" s="3" t="s">
        <v>35</v>
      </c>
      <c r="H4714" s="2" t="s">
        <v>74</v>
      </c>
      <c r="I4714" s="2" t="s">
        <v>12228</v>
      </c>
      <c r="J4714" s="3" t="str">
        <f>HYPERLINK("https://www.boe.es/gazeta/dias/1810/07/17/pdfs/GMD-1810-198.pdf#page=2","Abrir facsímil")</f>
        <v>Abrir facsímil</v>
      </c>
      <c r="K4714" s="3" t="s">
        <v>76</v>
      </c>
    </row>
    <row r="4715" spans="1:11" ht="42" customHeight="1">
      <c r="A4715" s="2" t="s">
        <v>12229</v>
      </c>
      <c r="B4715" s="2" t="s">
        <v>12229</v>
      </c>
      <c r="C4715" s="2" t="s">
        <v>88</v>
      </c>
      <c r="D4715" s="2" t="s">
        <v>27</v>
      </c>
      <c r="E4715" s="4">
        <v>-32608</v>
      </c>
      <c r="F4715" s="3" t="s">
        <v>150</v>
      </c>
      <c r="G4715" s="3" t="s">
        <v>151</v>
      </c>
      <c r="H4715" s="2" t="s">
        <v>74</v>
      </c>
      <c r="I4715" s="2" t="s">
        <v>12230</v>
      </c>
      <c r="J4715" s="3" t="str">
        <f>HYPERLINK("https://www.boe.es/gazeta/dias/1810/09/20/pdfs/GMD-1810-263.pdf#page=3","Abrir facsímil")</f>
        <v>Abrir facsímil</v>
      </c>
      <c r="K4715" s="3" t="s">
        <v>76</v>
      </c>
    </row>
    <row r="4716" spans="1:11" ht="42" customHeight="1">
      <c r="A4716" s="2" t="s">
        <v>12231</v>
      </c>
      <c r="B4716" s="2" t="s">
        <v>12232</v>
      </c>
      <c r="C4716" s="2" t="s">
        <v>26</v>
      </c>
      <c r="D4716" s="2" t="s">
        <v>27</v>
      </c>
      <c r="E4716" s="4">
        <v>-32684</v>
      </c>
      <c r="F4716" s="3" t="s">
        <v>1373</v>
      </c>
      <c r="G4716" s="3" t="s">
        <v>1374</v>
      </c>
      <c r="H4716" s="2" t="s">
        <v>74</v>
      </c>
      <c r="I4716" s="2" t="s">
        <v>12233</v>
      </c>
      <c r="J4716" s="3" t="str">
        <f>HYPERLINK("https://www.boe.es/gazeta/dias/1810/07/06/pdfs/GEI-1810-42.pdf#page=8","Abrir facsímil")</f>
        <v>Abrir facsímil</v>
      </c>
      <c r="K4716" s="3" t="s">
        <v>76</v>
      </c>
    </row>
    <row r="4717" spans="1:11" ht="42" customHeight="1">
      <c r="A4717" s="2" t="s">
        <v>12234</v>
      </c>
      <c r="B4717" s="2" t="s">
        <v>12234</v>
      </c>
      <c r="C4717" s="2" t="s">
        <v>225</v>
      </c>
      <c r="D4717" s="2" t="s">
        <v>117</v>
      </c>
      <c r="E4717" s="4">
        <v>-32814</v>
      </c>
      <c r="F4717" s="3" t="s">
        <v>2410</v>
      </c>
      <c r="G4717" s="3" t="s">
        <v>180</v>
      </c>
      <c r="H4717" s="2" t="s">
        <v>74</v>
      </c>
      <c r="I4717" s="2" t="s">
        <v>12235</v>
      </c>
      <c r="J4717" s="3" t="str">
        <f>HYPERLINK("https://www.boe.es/gazeta/dias/1810/02/26/pdfs/GMD-1810-57.pdf#page=2","Abrir facsímil")</f>
        <v>Abrir facsímil</v>
      </c>
      <c r="K4717" s="3" t="s">
        <v>76</v>
      </c>
    </row>
    <row r="4718" spans="1:11" ht="42" customHeight="1">
      <c r="A4718" s="2" t="s">
        <v>12236</v>
      </c>
      <c r="B4718" s="2" t="s">
        <v>12236</v>
      </c>
      <c r="C4718" s="2" t="s">
        <v>88</v>
      </c>
      <c r="D4718" s="2" t="s">
        <v>27</v>
      </c>
      <c r="E4718" s="4">
        <v>-32528</v>
      </c>
      <c r="F4718" s="3" t="s">
        <v>3058</v>
      </c>
      <c r="G4718" s="3" t="s">
        <v>35</v>
      </c>
      <c r="H4718" s="2" t="s">
        <v>74</v>
      </c>
      <c r="I4718" s="2" t="s">
        <v>12237</v>
      </c>
      <c r="J4718" s="3" t="str">
        <f>HYPERLINK("https://www.boe.es/gazeta/dias/1810/12/09/pdfs/GMD-1810-343.pdf#page=2","Abrir facsímil")</f>
        <v>Abrir facsímil</v>
      </c>
      <c r="K4718" s="3" t="s">
        <v>76</v>
      </c>
    </row>
    <row r="4719" spans="1:11" ht="42" customHeight="1">
      <c r="A4719" s="2" t="s">
        <v>12238</v>
      </c>
      <c r="B4719" s="2" t="s">
        <v>12239</v>
      </c>
      <c r="C4719" s="2" t="s">
        <v>26</v>
      </c>
      <c r="D4719" s="2" t="s">
        <v>220</v>
      </c>
      <c r="E4719" s="4">
        <v>-32592</v>
      </c>
      <c r="F4719" s="3" t="s">
        <v>2782</v>
      </c>
      <c r="G4719" s="3" t="s">
        <v>2864</v>
      </c>
      <c r="H4719" s="2" t="s">
        <v>74</v>
      </c>
      <c r="I4719" s="2" t="s">
        <v>12240</v>
      </c>
      <c r="J4719" s="3" t="str">
        <f>HYPERLINK("https://www.boe.es/gazeta/dias/1810/10/06/pdfs/GMD-1810-279.pdf#page=4","Abrir facsímil")</f>
        <v>Abrir facsímil</v>
      </c>
      <c r="K4719" s="3" t="s">
        <v>76</v>
      </c>
    </row>
    <row r="4720" spans="1:11" ht="42" customHeight="1">
      <c r="A4720" s="2" t="s">
        <v>12241</v>
      </c>
      <c r="B4720" s="2" t="s">
        <v>12241</v>
      </c>
      <c r="C4720" s="2" t="s">
        <v>33</v>
      </c>
      <c r="D4720" s="2" t="s">
        <v>220</v>
      </c>
      <c r="E4720" s="4">
        <v>-32522</v>
      </c>
      <c r="F4720" s="3" t="s">
        <v>1168</v>
      </c>
      <c r="G4720" s="3" t="s">
        <v>1928</v>
      </c>
      <c r="H4720" s="2" t="s">
        <v>74</v>
      </c>
      <c r="I4720" s="2" t="s">
        <v>12242</v>
      </c>
      <c r="J4720" s="3" t="str">
        <f>HYPERLINK("https://www.boe.es/gazeta/dias/1810/12/15/pdfs/GMD-1810-349.pdf#page=2","Abrir facsímil")</f>
        <v>Abrir facsímil</v>
      </c>
      <c r="K4720" s="3" t="s">
        <v>76</v>
      </c>
    </row>
    <row r="4721" spans="1:11" ht="42" customHeight="1">
      <c r="A4721" s="2" t="s">
        <v>12243</v>
      </c>
      <c r="B4721" s="2" t="s">
        <v>12243</v>
      </c>
      <c r="C4721" s="2" t="s">
        <v>33</v>
      </c>
      <c r="D4721" s="2" t="s">
        <v>220</v>
      </c>
      <c r="E4721" s="4">
        <v>-32594</v>
      </c>
      <c r="F4721" s="3" t="s">
        <v>885</v>
      </c>
      <c r="G4721" s="3" t="s">
        <v>12244</v>
      </c>
      <c r="H4721" s="2" t="s">
        <v>74</v>
      </c>
      <c r="I4721" s="2" t="s">
        <v>12245</v>
      </c>
      <c r="J4721" s="3" t="str">
        <f>HYPERLINK("https://www.boe.es/gazeta/dias/1810/10/04/pdfs/GEI-1810-77.pdf#page=1","Abrir facsímil")</f>
        <v>Abrir facsímil</v>
      </c>
      <c r="K4721" s="3" t="s">
        <v>76</v>
      </c>
    </row>
    <row r="4722" spans="1:11" ht="42" customHeight="1">
      <c r="A4722" s="2" t="s">
        <v>12246</v>
      </c>
      <c r="B4722" s="2" t="s">
        <v>12246</v>
      </c>
      <c r="C4722" s="2" t="s">
        <v>88</v>
      </c>
      <c r="D4722" s="2" t="s">
        <v>18</v>
      </c>
      <c r="E4722" s="4">
        <v>-32687</v>
      </c>
      <c r="F4722" s="3" t="s">
        <v>221</v>
      </c>
      <c r="G4722" s="3" t="s">
        <v>20</v>
      </c>
      <c r="H4722" s="2" t="s">
        <v>74</v>
      </c>
      <c r="I4722" s="2" t="s">
        <v>12247</v>
      </c>
      <c r="J4722" s="3" t="str">
        <f>HYPERLINK("https://www.boe.es/gazeta/dias/1810/07/03/pdfs/GMD-1810-184.pdf#page=4","Abrir facsímil")</f>
        <v>Abrir facsímil</v>
      </c>
      <c r="K4722" s="3" t="s">
        <v>76</v>
      </c>
    </row>
    <row r="4723" spans="1:11" ht="42" customHeight="1">
      <c r="A4723" s="2" t="s">
        <v>12246</v>
      </c>
      <c r="B4723" s="2" t="s">
        <v>12246</v>
      </c>
      <c r="C4723" s="2" t="s">
        <v>88</v>
      </c>
      <c r="D4723" s="2" t="s">
        <v>117</v>
      </c>
      <c r="E4723" s="4">
        <v>-32515</v>
      </c>
      <c r="F4723" s="3" t="s">
        <v>745</v>
      </c>
      <c r="G4723" s="3" t="s">
        <v>213</v>
      </c>
      <c r="H4723" s="2" t="s">
        <v>74</v>
      </c>
      <c r="I4723" s="2" t="s">
        <v>12248</v>
      </c>
      <c r="J4723" s="3" t="str">
        <f>HYPERLINK("https://www.boe.es/gazeta/dias/1810/12/22/pdfs/GMD-1810-356.pdf#page=4","Abrir facsímil")</f>
        <v>Abrir facsímil</v>
      </c>
      <c r="K4723" s="3" t="s">
        <v>76</v>
      </c>
    </row>
    <row r="4724" spans="1:11" ht="42" customHeight="1">
      <c r="A4724" s="2" t="s">
        <v>12249</v>
      </c>
      <c r="B4724" s="2" t="s">
        <v>12250</v>
      </c>
      <c r="C4724" s="2" t="s">
        <v>33</v>
      </c>
      <c r="D4724" s="2" t="s">
        <v>220</v>
      </c>
      <c r="E4724" s="4">
        <v>-32586</v>
      </c>
      <c r="F4724" s="3" t="s">
        <v>7249</v>
      </c>
      <c r="G4724" s="3" t="s">
        <v>592</v>
      </c>
      <c r="H4724" s="2" t="s">
        <v>74</v>
      </c>
      <c r="I4724" s="2" t="s">
        <v>12251</v>
      </c>
      <c r="J4724" s="3" t="str">
        <f>HYPERLINK("https://www.boe.es/gazeta/dias/1810/10/12/pdfs/GMD-1810-285.pdf#page=2","Abrir facsímil")</f>
        <v>Abrir facsímil</v>
      </c>
      <c r="K4724" s="3" t="s">
        <v>76</v>
      </c>
    </row>
    <row r="4725" spans="1:11" ht="42" customHeight="1">
      <c r="A4725" s="2" t="s">
        <v>12252</v>
      </c>
      <c r="B4725" s="2" t="s">
        <v>12253</v>
      </c>
      <c r="C4725" s="2" t="s">
        <v>33</v>
      </c>
      <c r="D4725" s="2" t="s">
        <v>220</v>
      </c>
      <c r="E4725" s="4">
        <v>-32576</v>
      </c>
      <c r="F4725" s="3" t="s">
        <v>447</v>
      </c>
      <c r="G4725" s="3" t="s">
        <v>8762</v>
      </c>
      <c r="H4725" s="2" t="s">
        <v>74</v>
      </c>
      <c r="I4725" s="2" t="s">
        <v>12254</v>
      </c>
      <c r="J4725" s="3" t="str">
        <f>HYPERLINK("https://www.boe.es/gazeta/dias/1810/10/22/pdfs/GMD-1810-295.pdf#page=4","Abrir facsímil")</f>
        <v>Abrir facsímil</v>
      </c>
      <c r="K4725" s="3" t="s">
        <v>76</v>
      </c>
    </row>
    <row r="4726" spans="1:11" ht="42" customHeight="1">
      <c r="A4726" s="2" t="s">
        <v>12255</v>
      </c>
      <c r="B4726" s="2" t="s">
        <v>12256</v>
      </c>
      <c r="C4726" s="2" t="s">
        <v>33</v>
      </c>
      <c r="D4726" s="2" t="s">
        <v>220</v>
      </c>
      <c r="E4726" s="4">
        <v>-32687</v>
      </c>
      <c r="F4726" s="3" t="s">
        <v>221</v>
      </c>
      <c r="G4726" s="3" t="s">
        <v>4739</v>
      </c>
      <c r="H4726" s="2" t="s">
        <v>74</v>
      </c>
      <c r="I4726" s="2" t="s">
        <v>12257</v>
      </c>
      <c r="J4726" s="3" t="str">
        <f>HYPERLINK("https://www.boe.es/gazeta/dias/1810/07/03/pdfs/GMD-1810-184.pdf#page=3","Abrir facsímil")</f>
        <v>Abrir facsímil</v>
      </c>
      <c r="K4726" s="3" t="s">
        <v>76</v>
      </c>
    </row>
    <row r="4727" spans="1:11" ht="42" customHeight="1">
      <c r="A4727" s="2" t="s">
        <v>12258</v>
      </c>
      <c r="B4727" s="2" t="s">
        <v>12259</v>
      </c>
      <c r="C4727" s="2" t="s">
        <v>88</v>
      </c>
      <c r="D4727" s="2" t="s">
        <v>27</v>
      </c>
      <c r="E4727" s="4">
        <v>-32721</v>
      </c>
      <c r="F4727" s="3" t="s">
        <v>3437</v>
      </c>
      <c r="G4727" s="3" t="s">
        <v>20</v>
      </c>
      <c r="H4727" s="2" t="s">
        <v>74</v>
      </c>
      <c r="I4727" s="2" t="s">
        <v>12260</v>
      </c>
      <c r="J4727" s="3" t="str">
        <f>HYPERLINK("https://www.boe.es/gazeta/dias/1810/05/30/pdfs/GMD-1810-150.pdf#page=4","Abrir facsímil")</f>
        <v>Abrir facsímil</v>
      </c>
      <c r="K4727" s="3" t="s">
        <v>76</v>
      </c>
    </row>
    <row r="4728" spans="1:11" ht="42" customHeight="1">
      <c r="A4728" s="2" t="s">
        <v>12261</v>
      </c>
      <c r="B4728" s="2" t="s">
        <v>12261</v>
      </c>
      <c r="C4728" s="2" t="s">
        <v>88</v>
      </c>
      <c r="D4728" s="2" t="s">
        <v>117</v>
      </c>
      <c r="E4728" s="4">
        <v>-32575</v>
      </c>
      <c r="F4728" s="3" t="s">
        <v>135</v>
      </c>
      <c r="G4728" s="3" t="s">
        <v>1408</v>
      </c>
      <c r="H4728" s="2" t="s">
        <v>74</v>
      </c>
      <c r="I4728" s="2" t="s">
        <v>12262</v>
      </c>
      <c r="J4728" s="3" t="str">
        <f>HYPERLINK("https://www.boe.es/gazeta/dias/1810/10/23/pdfs/GEI-1810-85.pdf#page=6","Abrir facsímil")</f>
        <v>Abrir facsímil</v>
      </c>
      <c r="K4728" s="3" t="s">
        <v>76</v>
      </c>
    </row>
    <row r="4729" spans="1:11" ht="42" customHeight="1">
      <c r="A4729" s="2" t="s">
        <v>12263</v>
      </c>
      <c r="B4729" s="2" t="s">
        <v>12263</v>
      </c>
      <c r="C4729" s="2" t="s">
        <v>88</v>
      </c>
      <c r="D4729" s="2" t="s">
        <v>117</v>
      </c>
      <c r="E4729" s="4">
        <v>-32578</v>
      </c>
      <c r="F4729" s="3" t="s">
        <v>2333</v>
      </c>
      <c r="G4729" s="3" t="s">
        <v>3133</v>
      </c>
      <c r="H4729" s="2" t="s">
        <v>74</v>
      </c>
      <c r="I4729" s="2" t="s">
        <v>12264</v>
      </c>
      <c r="J4729" s="3" t="str">
        <f>HYPERLINK("https://www.boe.es/gazeta/dias/1810/10/20/pdfs/GEI-1810-84.pdf#page=6","Abrir facsímil")</f>
        <v>Abrir facsímil</v>
      </c>
      <c r="K4729" s="3" t="s">
        <v>76</v>
      </c>
    </row>
    <row r="4730" spans="1:11" ht="42" customHeight="1">
      <c r="A4730" s="2" t="s">
        <v>12263</v>
      </c>
      <c r="B4730" s="2" t="s">
        <v>12263</v>
      </c>
      <c r="C4730" s="2" t="s">
        <v>88</v>
      </c>
      <c r="D4730" s="2" t="s">
        <v>27</v>
      </c>
      <c r="E4730" s="4">
        <v>-32578</v>
      </c>
      <c r="F4730" s="3" t="s">
        <v>2333</v>
      </c>
      <c r="G4730" s="3" t="s">
        <v>645</v>
      </c>
      <c r="H4730" s="2" t="s">
        <v>74</v>
      </c>
      <c r="I4730" s="2" t="s">
        <v>12265</v>
      </c>
      <c r="J4730" s="3" t="str">
        <f>HYPERLINK("https://www.boe.es/gazeta/dias/1810/10/20/pdfs/GEI-1810-84.pdf#page=7","Abrir facsímil")</f>
        <v>Abrir facsímil</v>
      </c>
      <c r="K4730" s="3" t="s">
        <v>76</v>
      </c>
    </row>
    <row r="4731" spans="1:11" ht="42" customHeight="1">
      <c r="A4731" s="2" t="s">
        <v>12266</v>
      </c>
      <c r="B4731" s="2" t="s">
        <v>12267</v>
      </c>
      <c r="C4731" s="2" t="s">
        <v>111</v>
      </c>
      <c r="D4731" s="2" t="s">
        <v>27</v>
      </c>
      <c r="E4731" s="4">
        <v>-32753</v>
      </c>
      <c r="F4731" s="3" t="s">
        <v>2789</v>
      </c>
      <c r="G4731" s="3" t="s">
        <v>140</v>
      </c>
      <c r="H4731" s="2" t="s">
        <v>74</v>
      </c>
      <c r="I4731" s="2" t="s">
        <v>12268</v>
      </c>
      <c r="J4731" s="3" t="str">
        <f>HYPERLINK("https://www.boe.es/gazeta/dias/1810/04/28/pdfs/GMD-1810-118.pdf#page=1","Abrir facsímil")</f>
        <v>Abrir facsímil</v>
      </c>
      <c r="K4731" s="3" t="s">
        <v>76</v>
      </c>
    </row>
    <row r="4732" spans="1:11" ht="42" customHeight="1">
      <c r="A4732" s="2" t="s">
        <v>12269</v>
      </c>
      <c r="B4732" s="2" t="s">
        <v>12269</v>
      </c>
      <c r="C4732" s="2" t="s">
        <v>88</v>
      </c>
      <c r="D4732" s="2" t="s">
        <v>117</v>
      </c>
      <c r="E4732" s="4">
        <v>-32529</v>
      </c>
      <c r="F4732" s="3" t="s">
        <v>3700</v>
      </c>
      <c r="G4732" s="3" t="s">
        <v>213</v>
      </c>
      <c r="H4732" s="2" t="s">
        <v>74</v>
      </c>
      <c r="I4732" s="2" t="s">
        <v>12270</v>
      </c>
      <c r="J4732" s="3" t="str">
        <f>HYPERLINK("https://www.boe.es/gazeta/dias/1810/12/08/pdfs/GMD-1810-342.pdf#page=4","Abrir facsímil")</f>
        <v>Abrir facsímil</v>
      </c>
      <c r="K4732" s="3" t="s">
        <v>76</v>
      </c>
    </row>
    <row r="4733" spans="1:11" ht="42" customHeight="1">
      <c r="A4733" s="2" t="s">
        <v>12271</v>
      </c>
      <c r="B4733" s="2" t="s">
        <v>12271</v>
      </c>
      <c r="C4733" s="2" t="s">
        <v>88</v>
      </c>
      <c r="D4733" s="2" t="s">
        <v>117</v>
      </c>
      <c r="E4733" s="4">
        <v>-32529</v>
      </c>
      <c r="F4733" s="3" t="s">
        <v>3700</v>
      </c>
      <c r="G4733" s="3" t="s">
        <v>213</v>
      </c>
      <c r="H4733" s="2" t="s">
        <v>74</v>
      </c>
      <c r="I4733" s="2" t="s">
        <v>12272</v>
      </c>
      <c r="J4733" s="3" t="str">
        <f>HYPERLINK("https://www.boe.es/gazeta/dias/1810/12/08/pdfs/GMD-1810-342.pdf#page=4","Abrir facsímil")</f>
        <v>Abrir facsímil</v>
      </c>
      <c r="K4733" s="3" t="s">
        <v>76</v>
      </c>
    </row>
    <row r="4734" spans="1:11" ht="42" customHeight="1">
      <c r="A4734" s="2" t="s">
        <v>12273</v>
      </c>
      <c r="B4734" s="2" t="s">
        <v>12273</v>
      </c>
      <c r="C4734" s="2" t="s">
        <v>88</v>
      </c>
      <c r="D4734" s="2" t="s">
        <v>27</v>
      </c>
      <c r="E4734" s="4">
        <v>-32664</v>
      </c>
      <c r="F4734" s="3" t="s">
        <v>618</v>
      </c>
      <c r="G4734" s="3" t="s">
        <v>12274</v>
      </c>
      <c r="H4734" s="2" t="s">
        <v>74</v>
      </c>
      <c r="I4734" s="2" t="s">
        <v>12275</v>
      </c>
      <c r="J4734" s="3" t="str">
        <f>HYPERLINK("https://www.boe.es/gazeta/dias/1810/07/26/pdfs/GMD-1810-207.pdf#page=1","Abrir facsímil")</f>
        <v>Abrir facsímil</v>
      </c>
      <c r="K4734" s="3" t="s">
        <v>76</v>
      </c>
    </row>
    <row r="4735" spans="1:11" ht="42" customHeight="1">
      <c r="A4735" s="2" t="s">
        <v>12276</v>
      </c>
      <c r="B4735" s="2" t="s">
        <v>12277</v>
      </c>
      <c r="C4735" s="2" t="s">
        <v>225</v>
      </c>
      <c r="D4735" s="2" t="s">
        <v>27</v>
      </c>
      <c r="E4735" s="4">
        <v>-32721</v>
      </c>
      <c r="F4735" s="3" t="s">
        <v>3437</v>
      </c>
      <c r="G4735" s="3" t="s">
        <v>20</v>
      </c>
      <c r="H4735" s="2" t="s">
        <v>74</v>
      </c>
      <c r="I4735" s="2" t="s">
        <v>12278</v>
      </c>
      <c r="J4735" s="3" t="str">
        <f>HYPERLINK("https://www.boe.es/gazeta/dias/1810/05/30/pdfs/GMD-1810-150.pdf#page=4","Abrir facsímil")</f>
        <v>Abrir facsímil</v>
      </c>
      <c r="K4735" s="3" t="s">
        <v>76</v>
      </c>
    </row>
    <row r="4736" spans="1:11" ht="42" customHeight="1">
      <c r="A4736" s="2" t="s">
        <v>12279</v>
      </c>
      <c r="B4736" s="2" t="s">
        <v>12279</v>
      </c>
      <c r="C4736" s="2" t="s">
        <v>88</v>
      </c>
      <c r="D4736" s="2" t="s">
        <v>27</v>
      </c>
      <c r="E4736" s="4">
        <v>-32568</v>
      </c>
      <c r="F4736" s="3" t="s">
        <v>1233</v>
      </c>
      <c r="G4736" s="3" t="s">
        <v>29</v>
      </c>
      <c r="H4736" s="2" t="s">
        <v>74</v>
      </c>
      <c r="I4736" s="2" t="s">
        <v>12280</v>
      </c>
      <c r="J4736" s="3" t="str">
        <f>HYPERLINK("https://www.boe.es/gazeta/dias/1810/10/30/pdfs/GMD-1810-303.pdf#page=2","Abrir facsímil")</f>
        <v>Abrir facsímil</v>
      </c>
      <c r="K4736" s="3" t="s">
        <v>76</v>
      </c>
    </row>
    <row r="4737" spans="1:11" ht="42" customHeight="1">
      <c r="A4737" s="2" t="s">
        <v>12281</v>
      </c>
      <c r="B4737" s="2" t="s">
        <v>12281</v>
      </c>
      <c r="C4737" s="2" t="s">
        <v>88</v>
      </c>
      <c r="D4737" s="2" t="s">
        <v>117</v>
      </c>
      <c r="E4737" s="4">
        <v>-32606</v>
      </c>
      <c r="F4737" s="3" t="s">
        <v>1676</v>
      </c>
      <c r="G4737" s="3" t="s">
        <v>227</v>
      </c>
      <c r="H4737" s="2" t="s">
        <v>74</v>
      </c>
      <c r="I4737" s="2" t="s">
        <v>12282</v>
      </c>
      <c r="J4737" s="3" t="str">
        <f>HYPERLINK("https://www.boe.es/gazeta/dias/1810/09/22/pdfs/GMD-1810-265.pdf#page=3","Abrir facsímil")</f>
        <v>Abrir facsímil</v>
      </c>
      <c r="K4737" s="3" t="s">
        <v>76</v>
      </c>
    </row>
    <row r="4738" spans="1:11" ht="42" customHeight="1">
      <c r="A4738" s="2" t="s">
        <v>12283</v>
      </c>
      <c r="B4738" s="2" t="s">
        <v>12283</v>
      </c>
      <c r="C4738" s="2" t="s">
        <v>225</v>
      </c>
      <c r="D4738" s="2" t="s">
        <v>117</v>
      </c>
      <c r="E4738" s="4">
        <v>-32598</v>
      </c>
      <c r="F4738" s="3" t="s">
        <v>6961</v>
      </c>
      <c r="G4738" s="3" t="s">
        <v>180</v>
      </c>
      <c r="H4738" s="2" t="s">
        <v>74</v>
      </c>
      <c r="I4738" s="2" t="s">
        <v>12284</v>
      </c>
      <c r="J4738" s="3" t="str">
        <f>HYPERLINK("https://www.boe.es/gazeta/dias/1810/09/30/pdfs/GMD-1810-273.pdf#page=1","Abrir facsímil")</f>
        <v>Abrir facsímil</v>
      </c>
      <c r="K4738" s="3" t="s">
        <v>76</v>
      </c>
    </row>
    <row r="4739" spans="1:11" ht="42" customHeight="1">
      <c r="A4739" s="2" t="s">
        <v>12285</v>
      </c>
      <c r="B4739" s="2" t="s">
        <v>12285</v>
      </c>
      <c r="C4739" s="2" t="s">
        <v>88</v>
      </c>
      <c r="D4739" s="2" t="s">
        <v>27</v>
      </c>
      <c r="E4739" s="4">
        <v>-32663</v>
      </c>
      <c r="F4739" s="3" t="s">
        <v>1615</v>
      </c>
      <c r="G4739" s="3" t="s">
        <v>465</v>
      </c>
      <c r="H4739" s="2" t="s">
        <v>74</v>
      </c>
      <c r="I4739" s="2" t="s">
        <v>12286</v>
      </c>
      <c r="J4739" s="3" t="str">
        <f>HYPERLINK("https://www.boe.es/gazeta/dias/1810/07/27/pdfs/GMD-1810-208.pdf#page=4","Abrir facsímil")</f>
        <v>Abrir facsímil</v>
      </c>
      <c r="K4739" s="3" t="s">
        <v>76</v>
      </c>
    </row>
    <row r="4740" spans="1:11" ht="42" customHeight="1">
      <c r="A4740" s="2" t="s">
        <v>12287</v>
      </c>
      <c r="B4740" s="2" t="s">
        <v>12287</v>
      </c>
      <c r="C4740" s="2" t="s">
        <v>26</v>
      </c>
      <c r="D4740" s="2" t="s">
        <v>220</v>
      </c>
      <c r="E4740" s="4">
        <v>-32628</v>
      </c>
      <c r="F4740" s="3" t="s">
        <v>3118</v>
      </c>
      <c r="G4740" s="3" t="s">
        <v>9385</v>
      </c>
      <c r="H4740" s="2" t="s">
        <v>74</v>
      </c>
      <c r="I4740" s="2" t="s">
        <v>12288</v>
      </c>
      <c r="J4740" s="3" t="str">
        <f>HYPERLINK("https://www.boe.es/gazeta/dias/1810/08/31/pdfs/GEI-1810-62.pdf#page=1","Abrir facsímil")</f>
        <v>Abrir facsímil</v>
      </c>
      <c r="K4740" s="3" t="s">
        <v>76</v>
      </c>
    </row>
    <row r="4741" spans="1:11" ht="42" customHeight="1">
      <c r="A4741" s="2" t="s">
        <v>12289</v>
      </c>
      <c r="B4741" s="2" t="s">
        <v>12289</v>
      </c>
      <c r="C4741" s="2" t="s">
        <v>88</v>
      </c>
      <c r="D4741" s="2" t="s">
        <v>220</v>
      </c>
      <c r="E4741" s="4">
        <v>-32611</v>
      </c>
      <c r="F4741" s="3" t="s">
        <v>604</v>
      </c>
      <c r="G4741" s="3" t="s">
        <v>213</v>
      </c>
      <c r="H4741" s="2" t="s">
        <v>74</v>
      </c>
      <c r="I4741" s="2" t="s">
        <v>12290</v>
      </c>
      <c r="J4741" s="3" t="str">
        <f>HYPERLINK("https://www.boe.es/gazeta/dias/1810/09/17/pdfs/GMD-1810-260.pdf#page=1","Abrir facsímil")</f>
        <v>Abrir facsímil</v>
      </c>
      <c r="K4741" s="3" t="s">
        <v>76</v>
      </c>
    </row>
    <row r="4742" spans="1:11" ht="42" customHeight="1">
      <c r="A4742" s="2" t="s">
        <v>12291</v>
      </c>
      <c r="B4742" s="2" t="s">
        <v>12291</v>
      </c>
      <c r="C4742" s="2" t="s">
        <v>88</v>
      </c>
      <c r="D4742" s="2" t="s">
        <v>27</v>
      </c>
      <c r="E4742" s="4">
        <v>-32763</v>
      </c>
      <c r="F4742" s="3" t="s">
        <v>1146</v>
      </c>
      <c r="G4742" s="3" t="s">
        <v>140</v>
      </c>
      <c r="H4742" s="2" t="s">
        <v>74</v>
      </c>
      <c r="I4742" s="2" t="s">
        <v>12292</v>
      </c>
      <c r="J4742" s="3" t="str">
        <f>HYPERLINK("https://www.boe.es/gazeta/dias/1810/04/18/pdfs/GMD-1810-108.pdf#page=1","Abrir facsímil")</f>
        <v>Abrir facsímil</v>
      </c>
      <c r="K4742" s="3" t="s">
        <v>76</v>
      </c>
    </row>
    <row r="4743" spans="1:11" ht="42" customHeight="1">
      <c r="A4743" s="2" t="s">
        <v>12293</v>
      </c>
      <c r="B4743" s="2" t="s">
        <v>12294</v>
      </c>
      <c r="C4743" s="2" t="s">
        <v>26</v>
      </c>
      <c r="D4743" s="2" t="s">
        <v>39</v>
      </c>
      <c r="E4743" s="4">
        <v>-32701</v>
      </c>
      <c r="F4743" s="3" t="s">
        <v>40</v>
      </c>
      <c r="G4743" s="3" t="s">
        <v>333</v>
      </c>
      <c r="H4743" s="2" t="s">
        <v>21</v>
      </c>
      <c r="I4743" s="2" t="s">
        <v>12295</v>
      </c>
      <c r="J4743" s="3" t="str">
        <f>HYPERLINK("https://www.boe.es/gazeta/dias/1810/06/19/pdfs/GMD-C-1810-170.pdf#page=4","Abrir facsímil")</f>
        <v>Abrir facsímil</v>
      </c>
      <c r="K4743" s="3" t="s">
        <v>23</v>
      </c>
    </row>
    <row r="4744" spans="1:11" ht="42" customHeight="1">
      <c r="A4744" s="2" t="s">
        <v>12296</v>
      </c>
      <c r="B4744" s="2" t="s">
        <v>12297</v>
      </c>
      <c r="C4744" s="2" t="s">
        <v>88</v>
      </c>
      <c r="D4744" s="2" t="s">
        <v>27</v>
      </c>
      <c r="E4744" s="4">
        <v>-32716</v>
      </c>
      <c r="F4744" s="3" t="s">
        <v>624</v>
      </c>
      <c r="G4744" s="3" t="s">
        <v>140</v>
      </c>
      <c r="H4744" s="2" t="s">
        <v>21</v>
      </c>
      <c r="I4744" s="2" t="s">
        <v>12298</v>
      </c>
      <c r="J4744" s="3" t="str">
        <f>HYPERLINK("https://www.boe.es/gazeta/dias/1810/06/04/pdfs/GMD-1810-155.pdf#page=4","Abrir facsímil")</f>
        <v>Abrir facsímil</v>
      </c>
      <c r="K4744" s="3" t="s">
        <v>23</v>
      </c>
    </row>
    <row r="4745" spans="1:11" ht="42" customHeight="1">
      <c r="A4745" s="2" t="s">
        <v>12299</v>
      </c>
      <c r="B4745" s="2" t="s">
        <v>12300</v>
      </c>
      <c r="C4745" s="2" t="s">
        <v>26</v>
      </c>
      <c r="D4745" s="2" t="s">
        <v>27</v>
      </c>
      <c r="E4745" s="4">
        <v>-32820</v>
      </c>
      <c r="F4745" s="3" t="s">
        <v>226</v>
      </c>
      <c r="G4745" s="3" t="s">
        <v>356</v>
      </c>
      <c r="H4745" s="2" t="s">
        <v>74</v>
      </c>
      <c r="I4745" s="2" t="s">
        <v>12301</v>
      </c>
      <c r="J4745" s="3" t="str">
        <f>HYPERLINK("https://www.boe.es/gazeta/dias/1810/02/20/pdfs/GMD-1810-51.pdf#page=3","Abrir facsímil")</f>
        <v>Abrir facsímil</v>
      </c>
      <c r="K4745" s="3" t="s">
        <v>76</v>
      </c>
    </row>
    <row r="4746" spans="1:11" ht="42" customHeight="1">
      <c r="A4746" s="2" t="s">
        <v>12302</v>
      </c>
      <c r="B4746" s="2" t="s">
        <v>12303</v>
      </c>
      <c r="C4746" s="2" t="s">
        <v>88</v>
      </c>
      <c r="D4746" s="2" t="s">
        <v>117</v>
      </c>
      <c r="E4746" s="4">
        <v>-32545</v>
      </c>
      <c r="F4746" s="3" t="s">
        <v>165</v>
      </c>
      <c r="G4746" s="3" t="s">
        <v>1516</v>
      </c>
      <c r="H4746" s="2" t="s">
        <v>74</v>
      </c>
      <c r="I4746" s="2" t="s">
        <v>12304</v>
      </c>
      <c r="J4746" s="3" t="str">
        <f>HYPERLINK("https://www.boe.es/gazeta/dias/1810/11/22/pdfs/GEI-1810-98.pdf#page=7","Abrir facsímil")</f>
        <v>Abrir facsímil</v>
      </c>
      <c r="K4746" s="3" t="s">
        <v>76</v>
      </c>
    </row>
    <row r="4747" spans="1:11" ht="42" customHeight="1">
      <c r="A4747" s="2" t="s">
        <v>12305</v>
      </c>
      <c r="B4747" s="2" t="s">
        <v>12306</v>
      </c>
      <c r="C4747" s="2" t="s">
        <v>26</v>
      </c>
      <c r="D4747" s="2" t="s">
        <v>27</v>
      </c>
      <c r="E4747" s="4">
        <v>-32763</v>
      </c>
      <c r="F4747" s="3" t="s">
        <v>1146</v>
      </c>
      <c r="G4747" s="3" t="s">
        <v>20</v>
      </c>
      <c r="H4747" s="2" t="s">
        <v>74</v>
      </c>
      <c r="I4747" s="2" t="s">
        <v>12307</v>
      </c>
      <c r="J4747" s="3" t="str">
        <f>HYPERLINK("https://www.boe.es/gazeta/dias/1810/04/18/pdfs/GMD-1810-108.pdf#page=4","Abrir facsímil")</f>
        <v>Abrir facsímil</v>
      </c>
      <c r="K4747" s="3" t="s">
        <v>76</v>
      </c>
    </row>
    <row r="4748" spans="1:11" ht="42" customHeight="1">
      <c r="A4748" s="2" t="s">
        <v>12308</v>
      </c>
      <c r="B4748" s="2" t="s">
        <v>12309</v>
      </c>
      <c r="C4748" s="2" t="s">
        <v>111</v>
      </c>
      <c r="D4748" s="2" t="s">
        <v>220</v>
      </c>
      <c r="E4748" s="4">
        <v>-32632</v>
      </c>
      <c r="F4748" s="3" t="s">
        <v>358</v>
      </c>
      <c r="G4748" s="3" t="s">
        <v>359</v>
      </c>
      <c r="H4748" s="2" t="s">
        <v>74</v>
      </c>
      <c r="I4748" s="2" t="s">
        <v>12310</v>
      </c>
      <c r="J4748" s="3" t="str">
        <f>HYPERLINK("https://www.boe.es/gazeta/dias/1810/08/27/pdfs/GMD-1810-239.pdf#page=3","Abrir facsímil")</f>
        <v>Abrir facsímil</v>
      </c>
      <c r="K4748" s="3" t="s">
        <v>76</v>
      </c>
    </row>
    <row r="4749" spans="1:11" ht="42" customHeight="1">
      <c r="A4749" s="2" t="s">
        <v>12311</v>
      </c>
      <c r="B4749" s="2" t="s">
        <v>12312</v>
      </c>
      <c r="C4749" s="2" t="s">
        <v>317</v>
      </c>
      <c r="D4749" s="2" t="s">
        <v>39</v>
      </c>
      <c r="E4749" s="4">
        <v>-32661</v>
      </c>
      <c r="F4749" s="3" t="s">
        <v>157</v>
      </c>
      <c r="G4749" s="3" t="s">
        <v>158</v>
      </c>
      <c r="H4749" s="2" t="s">
        <v>74</v>
      </c>
      <c r="I4749" s="2" t="s">
        <v>12313</v>
      </c>
      <c r="J4749" s="3" t="str">
        <f>HYPERLINK("https://www.boe.es/gazeta/dias/1810/07/29/pdfs/GMD-C-1810-210.pdf#page=1","Abrir facsímil")</f>
        <v>Abrir facsímil</v>
      </c>
      <c r="K4749" s="3" t="s">
        <v>76</v>
      </c>
    </row>
    <row r="4750" spans="1:11" ht="42" customHeight="1">
      <c r="A4750" s="2" t="s">
        <v>12314</v>
      </c>
      <c r="B4750" s="2" t="s">
        <v>12315</v>
      </c>
      <c r="C4750" s="2" t="s">
        <v>26</v>
      </c>
      <c r="D4750" s="2" t="s">
        <v>39</v>
      </c>
      <c r="E4750" s="4">
        <v>-32701</v>
      </c>
      <c r="F4750" s="3" t="s">
        <v>40</v>
      </c>
      <c r="G4750" s="3" t="s">
        <v>333</v>
      </c>
      <c r="H4750" s="2" t="s">
        <v>74</v>
      </c>
      <c r="I4750" s="2" t="s">
        <v>12316</v>
      </c>
      <c r="J4750" s="3" t="str">
        <f>HYPERLINK("https://www.boe.es/gazeta/dias/1810/06/19/pdfs/GMD-C-1810-170.pdf#page=4","Abrir facsímil")</f>
        <v>Abrir facsímil</v>
      </c>
      <c r="K4750" s="3" t="s">
        <v>76</v>
      </c>
    </row>
    <row r="4751" spans="1:11" ht="42" customHeight="1">
      <c r="A4751" s="2" t="s">
        <v>12317</v>
      </c>
      <c r="B4751" s="2" t="s">
        <v>12318</v>
      </c>
      <c r="C4751" s="2" t="s">
        <v>26</v>
      </c>
      <c r="D4751" s="2" t="s">
        <v>27</v>
      </c>
      <c r="E4751" s="4">
        <v>-32710</v>
      </c>
      <c r="F4751" s="3" t="s">
        <v>126</v>
      </c>
      <c r="G4751" s="3" t="s">
        <v>184</v>
      </c>
      <c r="H4751" s="2" t="s">
        <v>74</v>
      </c>
      <c r="I4751" s="2" t="s">
        <v>12319</v>
      </c>
      <c r="J4751" s="3" t="str">
        <f>HYPERLINK("https://www.boe.es/gazeta/dias/1810/06/10/pdfs/GMD-1810-161.pdf#page=3","Abrir facsímil")</f>
        <v>Abrir facsímil</v>
      </c>
      <c r="K4751" s="3" t="s">
        <v>76</v>
      </c>
    </row>
    <row r="4752" spans="1:11" ht="42" customHeight="1">
      <c r="A4752" s="2" t="s">
        <v>12320</v>
      </c>
      <c r="B4752" s="2" t="s">
        <v>12321</v>
      </c>
      <c r="C4752" s="2" t="s">
        <v>26</v>
      </c>
      <c r="D4752" s="2" t="s">
        <v>39</v>
      </c>
      <c r="E4752" s="4">
        <v>-32701</v>
      </c>
      <c r="F4752" s="3" t="s">
        <v>40</v>
      </c>
      <c r="G4752" s="3" t="s">
        <v>41</v>
      </c>
      <c r="H4752" s="2" t="s">
        <v>74</v>
      </c>
      <c r="I4752" s="2" t="s">
        <v>12322</v>
      </c>
      <c r="J4752" s="3" t="str">
        <f>HYPERLINK("https://www.boe.es/gazeta/dias/1810/06/19/pdfs/GMD-C-1810-170.pdf#page=3","Abrir facsímil")</f>
        <v>Abrir facsímil</v>
      </c>
      <c r="K4752" s="3" t="s">
        <v>76</v>
      </c>
    </row>
    <row r="4753" spans="1:11" ht="42" customHeight="1">
      <c r="A4753" s="2" t="s">
        <v>12323</v>
      </c>
      <c r="B4753" s="2" t="s">
        <v>12324</v>
      </c>
      <c r="C4753" s="2" t="s">
        <v>88</v>
      </c>
      <c r="D4753" s="2" t="s">
        <v>220</v>
      </c>
      <c r="E4753" s="4">
        <v>-32832</v>
      </c>
      <c r="F4753" s="3" t="s">
        <v>5089</v>
      </c>
      <c r="G4753" s="3" t="s">
        <v>119</v>
      </c>
      <c r="H4753" s="2" t="s">
        <v>21</v>
      </c>
      <c r="I4753" s="2" t="s">
        <v>12325</v>
      </c>
      <c r="J4753" s="3" t="str">
        <f>HYPERLINK("https://www.boe.es/gazeta/dias/1810/02/08/pdfs/GMD-1810-39.pdf#page=2","Abrir facsímil")</f>
        <v>Abrir facsímil</v>
      </c>
      <c r="K4753" s="3" t="s">
        <v>23</v>
      </c>
    </row>
    <row r="4754" spans="1:11" ht="42" customHeight="1">
      <c r="A4754" s="2" t="s">
        <v>12326</v>
      </c>
      <c r="B4754" s="2" t="s">
        <v>12327</v>
      </c>
      <c r="C4754" s="2" t="s">
        <v>88</v>
      </c>
      <c r="D4754" s="2" t="s">
        <v>117</v>
      </c>
      <c r="E4754" s="4">
        <v>-32754</v>
      </c>
      <c r="F4754" s="3" t="s">
        <v>1057</v>
      </c>
      <c r="G4754" s="3" t="s">
        <v>1477</v>
      </c>
      <c r="H4754" s="2" t="s">
        <v>74</v>
      </c>
      <c r="I4754" s="2" t="s">
        <v>12328</v>
      </c>
      <c r="J4754" s="3" t="str">
        <f>HYPERLINK("https://www.boe.es/gazeta/dias/1810/04/27/pdfs/GEI-1810-18.pdf#page=5","Abrir facsímil")</f>
        <v>Abrir facsímil</v>
      </c>
      <c r="K4754" s="3" t="s">
        <v>76</v>
      </c>
    </row>
    <row r="4755" spans="1:11" ht="42" customHeight="1">
      <c r="A4755" s="2" t="s">
        <v>12329</v>
      </c>
      <c r="B4755" s="2" t="s">
        <v>12330</v>
      </c>
      <c r="C4755" s="2" t="s">
        <v>33</v>
      </c>
      <c r="D4755" s="2" t="s">
        <v>27</v>
      </c>
      <c r="E4755" s="4">
        <v>-32604</v>
      </c>
      <c r="F4755" s="3" t="s">
        <v>2233</v>
      </c>
      <c r="G4755" s="3" t="s">
        <v>131</v>
      </c>
      <c r="H4755" s="2" t="s">
        <v>74</v>
      </c>
      <c r="I4755" s="2" t="s">
        <v>12331</v>
      </c>
      <c r="J4755" s="3" t="str">
        <f>HYPERLINK("https://www.boe.es/gazeta/dias/1810/09/24/pdfs/GMD-1810-267.pdf#page=3","Abrir facsímil")</f>
        <v>Abrir facsímil</v>
      </c>
      <c r="K4755" s="3" t="s">
        <v>76</v>
      </c>
    </row>
    <row r="4756" spans="1:11" ht="42" customHeight="1">
      <c r="A4756" s="2" t="s">
        <v>12332</v>
      </c>
      <c r="B4756" s="2" t="s">
        <v>12333</v>
      </c>
      <c r="C4756" s="2" t="s">
        <v>26</v>
      </c>
      <c r="D4756" s="2" t="s">
        <v>27</v>
      </c>
      <c r="E4756" s="4">
        <v>-32526</v>
      </c>
      <c r="F4756" s="3" t="s">
        <v>530</v>
      </c>
      <c r="G4756" s="3" t="s">
        <v>531</v>
      </c>
      <c r="H4756" s="2" t="s">
        <v>74</v>
      </c>
      <c r="I4756" s="2" t="s">
        <v>12334</v>
      </c>
      <c r="J4756" s="3" t="str">
        <f>HYPERLINK("https://www.boe.es/gazeta/dias/1810/12/11/pdfs/GEI-1810-106.pdf#page=2","Abrir facsímil")</f>
        <v>Abrir facsímil</v>
      </c>
      <c r="K4756" s="3" t="s">
        <v>76</v>
      </c>
    </row>
    <row r="4757" spans="1:11" ht="42" customHeight="1">
      <c r="A4757" s="2" t="s">
        <v>12335</v>
      </c>
      <c r="B4757" s="2" t="s">
        <v>12336</v>
      </c>
      <c r="C4757" s="2" t="s">
        <v>26</v>
      </c>
      <c r="D4757" s="2" t="s">
        <v>39</v>
      </c>
      <c r="E4757" s="4">
        <v>-32701</v>
      </c>
      <c r="F4757" s="3" t="s">
        <v>40</v>
      </c>
      <c r="G4757" s="3" t="s">
        <v>333</v>
      </c>
      <c r="H4757" s="2" t="s">
        <v>74</v>
      </c>
      <c r="I4757" s="2" t="s">
        <v>12337</v>
      </c>
      <c r="J4757" s="3" t="str">
        <f>HYPERLINK("https://www.boe.es/gazeta/dias/1810/06/19/pdfs/GMD-C-1810-170.pdf#page=4","Abrir facsímil")</f>
        <v>Abrir facsímil</v>
      </c>
      <c r="K4757" s="3" t="s">
        <v>76</v>
      </c>
    </row>
    <row r="4758" spans="1:11" ht="42" customHeight="1">
      <c r="A4758" s="2" t="s">
        <v>12338</v>
      </c>
      <c r="B4758" s="2" t="s">
        <v>12339</v>
      </c>
      <c r="C4758" s="2" t="s">
        <v>26</v>
      </c>
      <c r="D4758" s="2" t="s">
        <v>39</v>
      </c>
      <c r="E4758" s="4">
        <v>-32661</v>
      </c>
      <c r="F4758" s="3" t="s">
        <v>157</v>
      </c>
      <c r="G4758" s="3" t="s">
        <v>158</v>
      </c>
      <c r="H4758" s="2" t="s">
        <v>74</v>
      </c>
      <c r="I4758" s="2" t="s">
        <v>12340</v>
      </c>
      <c r="J4758" s="3" t="str">
        <f>HYPERLINK("https://www.boe.es/gazeta/dias/1810/07/29/pdfs/GMD-C-1810-210.pdf#page=1","Abrir facsímil")</f>
        <v>Abrir facsímil</v>
      </c>
      <c r="K4758" s="3" t="s">
        <v>76</v>
      </c>
    </row>
    <row r="4759" spans="1:11" ht="42" customHeight="1">
      <c r="A4759" s="2" t="s">
        <v>12341</v>
      </c>
      <c r="B4759" s="2" t="s">
        <v>12342</v>
      </c>
      <c r="C4759" s="2" t="s">
        <v>88</v>
      </c>
      <c r="D4759" s="2" t="s">
        <v>27</v>
      </c>
      <c r="E4759" s="4">
        <v>-32820</v>
      </c>
      <c r="F4759" s="3" t="s">
        <v>226</v>
      </c>
      <c r="G4759" s="3" t="s">
        <v>227</v>
      </c>
      <c r="H4759" s="2" t="s">
        <v>74</v>
      </c>
      <c r="I4759" s="2" t="s">
        <v>12343</v>
      </c>
      <c r="J4759" s="3" t="str">
        <f>HYPERLINK("https://www.boe.es/gazeta/dias/1810/02/20/pdfs/GMD-1810-51.pdf#page=4","Abrir facsímil")</f>
        <v>Abrir facsímil</v>
      </c>
      <c r="K4759" s="3" t="s">
        <v>76</v>
      </c>
    </row>
    <row r="4760" spans="1:11" ht="42" customHeight="1">
      <c r="A4760" s="2" t="s">
        <v>12344</v>
      </c>
      <c r="B4760" s="2" t="s">
        <v>12345</v>
      </c>
      <c r="C4760" s="2" t="s">
        <v>33</v>
      </c>
      <c r="D4760" s="2" t="s">
        <v>27</v>
      </c>
      <c r="E4760" s="4">
        <v>-32557</v>
      </c>
      <c r="F4760" s="3" t="s">
        <v>837</v>
      </c>
      <c r="G4760" s="3" t="s">
        <v>8451</v>
      </c>
      <c r="H4760" s="2" t="s">
        <v>74</v>
      </c>
      <c r="I4760" s="2" t="s">
        <v>12346</v>
      </c>
      <c r="J4760" s="3" t="str">
        <f>HYPERLINK("https://www.boe.es/gazeta/dias/1810/11/10/pdfs/GEI-1810-93.pdf#page=8","Abrir facsímil")</f>
        <v>Abrir facsímil</v>
      </c>
      <c r="K4760" s="3" t="s">
        <v>76</v>
      </c>
    </row>
    <row r="4761" spans="1:11" ht="42" customHeight="1">
      <c r="A4761" s="2" t="s">
        <v>12347</v>
      </c>
      <c r="B4761" s="2" t="s">
        <v>12348</v>
      </c>
      <c r="C4761" s="2" t="s">
        <v>26</v>
      </c>
      <c r="D4761" s="2" t="s">
        <v>39</v>
      </c>
      <c r="E4761" s="4">
        <v>-32702</v>
      </c>
      <c r="F4761" s="3" t="s">
        <v>179</v>
      </c>
      <c r="G4761" s="3" t="s">
        <v>213</v>
      </c>
      <c r="H4761" s="2" t="s">
        <v>74</v>
      </c>
      <c r="I4761" s="2" t="s">
        <v>12349</v>
      </c>
      <c r="J4761" s="3" t="str">
        <f>HYPERLINK("https://www.boe.es/gazeta/dias/1810/06/18/pdfs/GMD-C-1810-169.pdf#page=4","Abrir facsímil")</f>
        <v>Abrir facsímil</v>
      </c>
      <c r="K4761" s="3" t="s">
        <v>76</v>
      </c>
    </row>
    <row r="4762" spans="1:11" ht="42" customHeight="1">
      <c r="A4762" s="2" t="s">
        <v>12350</v>
      </c>
      <c r="B4762" s="2" t="s">
        <v>12351</v>
      </c>
      <c r="C4762" s="2" t="s">
        <v>88</v>
      </c>
      <c r="D4762" s="2" t="s">
        <v>117</v>
      </c>
      <c r="E4762" s="4">
        <v>-32757</v>
      </c>
      <c r="F4762" s="3" t="s">
        <v>1136</v>
      </c>
      <c r="G4762" s="3" t="s">
        <v>592</v>
      </c>
      <c r="H4762" s="2" t="s">
        <v>74</v>
      </c>
      <c r="I4762" s="2" t="s">
        <v>12352</v>
      </c>
      <c r="J4762" s="3" t="str">
        <f>HYPERLINK("https://www.boe.es/gazeta/dias/1810/04/24/pdfs/GEI-1810-17.pdf#page=7","Abrir facsímil")</f>
        <v>Abrir facsímil</v>
      </c>
      <c r="K4762" s="3" t="s">
        <v>76</v>
      </c>
    </row>
    <row r="4763" spans="1:11" ht="42" customHeight="1">
      <c r="A4763" s="2" t="s">
        <v>12353</v>
      </c>
      <c r="B4763" s="2" t="s">
        <v>12354</v>
      </c>
      <c r="C4763" s="2" t="s">
        <v>26</v>
      </c>
      <c r="D4763" s="2" t="s">
        <v>27</v>
      </c>
      <c r="E4763" s="4">
        <v>-32827</v>
      </c>
      <c r="F4763" s="3" t="s">
        <v>290</v>
      </c>
      <c r="G4763" s="3" t="s">
        <v>291</v>
      </c>
      <c r="H4763" s="2" t="s">
        <v>74</v>
      </c>
      <c r="I4763" s="2" t="s">
        <v>12355</v>
      </c>
      <c r="J4763" s="3" t="str">
        <f>HYPERLINK("https://www.boe.es/gazeta/dias/1810/02/13/pdfs/GMD-1810-44.pdf#page=4","Abrir facsímil")</f>
        <v>Abrir facsímil</v>
      </c>
      <c r="K4763" s="3" t="s">
        <v>76</v>
      </c>
    </row>
    <row r="4764" spans="1:11" ht="42" customHeight="1">
      <c r="A4764" s="2" t="s">
        <v>12356</v>
      </c>
      <c r="B4764" s="2" t="s">
        <v>12357</v>
      </c>
      <c r="C4764" s="2" t="s">
        <v>26</v>
      </c>
      <c r="D4764" s="2" t="s">
        <v>27</v>
      </c>
      <c r="E4764" s="4">
        <v>-32712</v>
      </c>
      <c r="F4764" s="3" t="s">
        <v>6411</v>
      </c>
      <c r="G4764" s="3" t="s">
        <v>180</v>
      </c>
      <c r="H4764" s="2" t="s">
        <v>74</v>
      </c>
      <c r="I4764" s="2" t="s">
        <v>12358</v>
      </c>
      <c r="J4764" s="3" t="str">
        <f>HYPERLINK("https://www.boe.es/gazeta/dias/1810/06/08/pdfs/GMD-1810-159.pdf#page=1","Abrir facsímil")</f>
        <v>Abrir facsímil</v>
      </c>
      <c r="K4764" s="3" t="s">
        <v>76</v>
      </c>
    </row>
    <row r="4765" spans="1:11" ht="42" customHeight="1">
      <c r="A4765" s="2" t="s">
        <v>12359</v>
      </c>
      <c r="B4765" s="2" t="s">
        <v>12360</v>
      </c>
      <c r="C4765" s="2" t="s">
        <v>26</v>
      </c>
      <c r="D4765" s="2" t="s">
        <v>27</v>
      </c>
      <c r="E4765" s="4">
        <v>-32647</v>
      </c>
      <c r="F4765" s="3" t="s">
        <v>118</v>
      </c>
      <c r="G4765" s="3" t="s">
        <v>119</v>
      </c>
      <c r="H4765" s="2" t="s">
        <v>74</v>
      </c>
      <c r="I4765" s="2" t="s">
        <v>12361</v>
      </c>
      <c r="J4765" s="3" t="str">
        <f>HYPERLINK("https://www.boe.es/gazeta/dias/1810/08/12/pdfs/GMD-1810-224.pdf#page=3","Abrir facsímil")</f>
        <v>Abrir facsímil</v>
      </c>
      <c r="K4765" s="3" t="s">
        <v>76</v>
      </c>
    </row>
    <row r="4766" spans="1:11" ht="42" customHeight="1">
      <c r="A4766" s="2" t="s">
        <v>12362</v>
      </c>
      <c r="B4766" s="2" t="s">
        <v>12363</v>
      </c>
      <c r="C4766" s="2" t="s">
        <v>26</v>
      </c>
      <c r="D4766" s="2" t="s">
        <v>27</v>
      </c>
      <c r="E4766" s="4">
        <v>-32647</v>
      </c>
      <c r="F4766" s="3" t="s">
        <v>118</v>
      </c>
      <c r="G4766" s="3" t="s">
        <v>20</v>
      </c>
      <c r="H4766" s="2" t="s">
        <v>74</v>
      </c>
      <c r="I4766" s="2" t="s">
        <v>12364</v>
      </c>
      <c r="J4766" s="3" t="str">
        <f>HYPERLINK("https://www.boe.es/gazeta/dias/1810/08/12/pdfs/GMD-1810-224.pdf#page=4","Abrir facsímil")</f>
        <v>Abrir facsímil</v>
      </c>
      <c r="K4766" s="3" t="s">
        <v>76</v>
      </c>
    </row>
    <row r="4767" spans="1:11" ht="42" customHeight="1">
      <c r="A4767" s="2" t="s">
        <v>12362</v>
      </c>
      <c r="B4767" s="2" t="s">
        <v>12363</v>
      </c>
      <c r="C4767" s="2" t="s">
        <v>26</v>
      </c>
      <c r="D4767" s="2" t="s">
        <v>27</v>
      </c>
      <c r="E4767" s="4">
        <v>-32537</v>
      </c>
      <c r="F4767" s="3" t="s">
        <v>1091</v>
      </c>
      <c r="G4767" s="3" t="s">
        <v>20</v>
      </c>
      <c r="H4767" s="2" t="s">
        <v>74</v>
      </c>
      <c r="I4767" s="2" t="s">
        <v>12365</v>
      </c>
      <c r="J4767" s="3" t="str">
        <f>HYPERLINK("https://www.boe.es/gazeta/dias/1810/11/30/pdfs/GMD-1810-334.pdf#page=4","Abrir facsímil")</f>
        <v>Abrir facsímil</v>
      </c>
      <c r="K4767" s="3" t="s">
        <v>76</v>
      </c>
    </row>
    <row r="4768" spans="1:11" ht="42" customHeight="1">
      <c r="A4768" s="2" t="s">
        <v>12366</v>
      </c>
      <c r="B4768" s="2" t="s">
        <v>12367</v>
      </c>
      <c r="C4768" s="2" t="s">
        <v>26</v>
      </c>
      <c r="D4768" s="2" t="s">
        <v>27</v>
      </c>
      <c r="E4768" s="4">
        <v>-32714</v>
      </c>
      <c r="F4768" s="3" t="s">
        <v>977</v>
      </c>
      <c r="G4768" s="3" t="s">
        <v>180</v>
      </c>
      <c r="H4768" s="2" t="s">
        <v>74</v>
      </c>
      <c r="I4768" s="2" t="s">
        <v>12368</v>
      </c>
      <c r="J4768" s="3" t="str">
        <f>HYPERLINK("https://www.boe.es/gazeta/dias/1810/06/06/pdfs/GMD-1810-157.pdf#page=1","Abrir facsímil")</f>
        <v>Abrir facsímil</v>
      </c>
      <c r="K4768" s="3" t="s">
        <v>76</v>
      </c>
    </row>
    <row r="4769" spans="1:11" ht="42" customHeight="1">
      <c r="A4769" s="2" t="s">
        <v>12366</v>
      </c>
      <c r="B4769" s="2" t="s">
        <v>12367</v>
      </c>
      <c r="C4769" s="2" t="s">
        <v>26</v>
      </c>
      <c r="D4769" s="2" t="s">
        <v>27</v>
      </c>
      <c r="E4769" s="4">
        <v>-32693</v>
      </c>
      <c r="F4769" s="3" t="s">
        <v>54</v>
      </c>
      <c r="G4769" s="3" t="s">
        <v>20</v>
      </c>
      <c r="H4769" s="2" t="s">
        <v>74</v>
      </c>
      <c r="I4769" s="2" t="s">
        <v>12369</v>
      </c>
      <c r="J4769" s="3" t="str">
        <f>HYPERLINK("https://www.boe.es/gazeta/dias/1810/06/27/pdfs/GMD-1810-178.pdf#page=4","Abrir facsímil")</f>
        <v>Abrir facsímil</v>
      </c>
      <c r="K4769" s="3" t="s">
        <v>76</v>
      </c>
    </row>
    <row r="4770" spans="1:11" ht="42" customHeight="1">
      <c r="A4770" s="2" t="s">
        <v>12366</v>
      </c>
      <c r="B4770" s="2" t="s">
        <v>12367</v>
      </c>
      <c r="C4770" s="2" t="s">
        <v>26</v>
      </c>
      <c r="D4770" s="2" t="s">
        <v>27</v>
      </c>
      <c r="E4770" s="4">
        <v>-32675</v>
      </c>
      <c r="F4770" s="3" t="s">
        <v>729</v>
      </c>
      <c r="G4770" s="3" t="s">
        <v>1851</v>
      </c>
      <c r="H4770" s="2" t="s">
        <v>74</v>
      </c>
      <c r="I4770" s="2" t="s">
        <v>12370</v>
      </c>
      <c r="J4770" s="3" t="str">
        <f>HYPERLINK("https://www.boe.es/gazeta/dias/1810/07/15/pdfs/GMD-1810-196.pdf#page=1","Abrir facsímil")</f>
        <v>Abrir facsímil</v>
      </c>
      <c r="K4770" s="3" t="s">
        <v>76</v>
      </c>
    </row>
    <row r="4771" spans="1:11" ht="42" customHeight="1">
      <c r="A4771" s="2" t="s">
        <v>12371</v>
      </c>
      <c r="B4771" s="2" t="s">
        <v>12372</v>
      </c>
      <c r="C4771" s="2" t="s">
        <v>26</v>
      </c>
      <c r="D4771" s="2" t="s">
        <v>27</v>
      </c>
      <c r="E4771" s="4">
        <v>-32704</v>
      </c>
      <c r="F4771" s="3" t="s">
        <v>94</v>
      </c>
      <c r="G4771" s="3" t="s">
        <v>20</v>
      </c>
      <c r="H4771" s="2" t="s">
        <v>74</v>
      </c>
      <c r="I4771" s="2" t="s">
        <v>12373</v>
      </c>
      <c r="J4771" s="3" t="str">
        <f>HYPERLINK("https://www.boe.es/gazeta/dias/1810/06/16/pdfs/GMD-1810-167.pdf#page=4","Abrir facsímil")</f>
        <v>Abrir facsímil</v>
      </c>
      <c r="K4771" s="3" t="s">
        <v>76</v>
      </c>
    </row>
    <row r="4772" spans="1:11" ht="42" customHeight="1">
      <c r="A4772" s="2" t="s">
        <v>12374</v>
      </c>
      <c r="B4772" s="2" t="s">
        <v>12375</v>
      </c>
      <c r="C4772" s="2" t="s">
        <v>26</v>
      </c>
      <c r="D4772" s="2" t="s">
        <v>27</v>
      </c>
      <c r="E4772" s="4">
        <v>-32591</v>
      </c>
      <c r="F4772" s="3" t="s">
        <v>377</v>
      </c>
      <c r="G4772" s="3" t="s">
        <v>140</v>
      </c>
      <c r="H4772" s="2" t="s">
        <v>74</v>
      </c>
      <c r="I4772" s="2" t="s">
        <v>12376</v>
      </c>
      <c r="J4772" s="3" t="str">
        <f>HYPERLINK("https://www.boe.es/gazeta/dias/1810/10/07/pdfs/GMD-1810-280.pdf#page=4","Abrir facsímil")</f>
        <v>Abrir facsímil</v>
      </c>
      <c r="K4772" s="3" t="s">
        <v>76</v>
      </c>
    </row>
    <row r="4773" spans="1:11" ht="42" customHeight="1">
      <c r="A4773" s="2" t="s">
        <v>12377</v>
      </c>
      <c r="B4773" s="2" t="s">
        <v>12378</v>
      </c>
      <c r="C4773" s="2" t="s">
        <v>88</v>
      </c>
      <c r="D4773" s="2" t="s">
        <v>27</v>
      </c>
      <c r="E4773" s="4">
        <v>-32710</v>
      </c>
      <c r="F4773" s="3" t="s">
        <v>126</v>
      </c>
      <c r="G4773" s="3" t="s">
        <v>184</v>
      </c>
      <c r="H4773" s="2" t="s">
        <v>74</v>
      </c>
      <c r="I4773" s="2" t="s">
        <v>12379</v>
      </c>
      <c r="J4773" s="3" t="str">
        <f>HYPERLINK("https://www.boe.es/gazeta/dias/1810/06/10/pdfs/GMD-1810-161.pdf#page=3","Abrir facsímil")</f>
        <v>Abrir facsímil</v>
      </c>
      <c r="K4773" s="3" t="s">
        <v>76</v>
      </c>
    </row>
    <row r="4774" spans="1:11" ht="42" customHeight="1">
      <c r="A4774" s="2" t="s">
        <v>12380</v>
      </c>
      <c r="B4774" s="2" t="s">
        <v>12381</v>
      </c>
      <c r="C4774" s="2" t="s">
        <v>26</v>
      </c>
      <c r="D4774" s="2" t="s">
        <v>27</v>
      </c>
      <c r="E4774" s="4">
        <v>-32575</v>
      </c>
      <c r="F4774" s="3" t="s">
        <v>135</v>
      </c>
      <c r="G4774" s="3" t="s">
        <v>136</v>
      </c>
      <c r="H4774" s="2" t="s">
        <v>74</v>
      </c>
      <c r="I4774" s="2" t="s">
        <v>12382</v>
      </c>
      <c r="J4774" s="3" t="str">
        <f>HYPERLINK("https://www.boe.es/gazeta/dias/1810/10/23/pdfs/GEI-1810-85.pdf#page=11","Abrir facsímil")</f>
        <v>Abrir facsímil</v>
      </c>
      <c r="K4774" s="3" t="s">
        <v>76</v>
      </c>
    </row>
    <row r="4775" spans="1:11" ht="42" customHeight="1">
      <c r="A4775" s="2" t="s">
        <v>12383</v>
      </c>
      <c r="B4775" s="2" t="s">
        <v>12384</v>
      </c>
      <c r="C4775" s="2" t="s">
        <v>88</v>
      </c>
      <c r="D4775" s="2" t="s">
        <v>117</v>
      </c>
      <c r="E4775" s="4">
        <v>-32820</v>
      </c>
      <c r="F4775" s="3" t="s">
        <v>226</v>
      </c>
      <c r="G4775" s="3" t="s">
        <v>356</v>
      </c>
      <c r="H4775" s="2" t="s">
        <v>74</v>
      </c>
      <c r="I4775" s="2" t="s">
        <v>12385</v>
      </c>
      <c r="J4775" s="3" t="str">
        <f>HYPERLINK("https://www.boe.es/gazeta/dias/1810/02/20/pdfs/GMD-1810-51.pdf#page=3","Abrir facsímil")</f>
        <v>Abrir facsímil</v>
      </c>
      <c r="K4775" s="3" t="s">
        <v>76</v>
      </c>
    </row>
    <row r="4776" spans="1:11" ht="42" customHeight="1">
      <c r="A4776" s="2" t="s">
        <v>12386</v>
      </c>
      <c r="B4776" s="2" t="s">
        <v>12387</v>
      </c>
      <c r="C4776" s="2" t="s">
        <v>26</v>
      </c>
      <c r="D4776" s="2" t="s">
        <v>27</v>
      </c>
      <c r="E4776" s="4">
        <v>-32673</v>
      </c>
      <c r="F4776" s="3" t="s">
        <v>472</v>
      </c>
      <c r="G4776" s="3" t="s">
        <v>473</v>
      </c>
      <c r="H4776" s="2" t="s">
        <v>74</v>
      </c>
      <c r="I4776" s="2" t="s">
        <v>12388</v>
      </c>
      <c r="J4776" s="3" t="str">
        <f>HYPERLINK("https://www.boe.es/gazeta/dias/1810/07/17/pdfs/GMD-1810-198.pdf#page=1","Abrir facsímil")</f>
        <v>Abrir facsímil</v>
      </c>
      <c r="K4776" s="3" t="s">
        <v>76</v>
      </c>
    </row>
    <row r="4777" spans="1:11" ht="42" customHeight="1">
      <c r="A4777" s="2" t="s">
        <v>12389</v>
      </c>
      <c r="B4777" s="2" t="s">
        <v>12390</v>
      </c>
      <c r="C4777" s="2" t="s">
        <v>33</v>
      </c>
      <c r="D4777" s="2" t="s">
        <v>27</v>
      </c>
      <c r="E4777" s="4">
        <v>-32820</v>
      </c>
      <c r="F4777" s="3" t="s">
        <v>226</v>
      </c>
      <c r="G4777" s="3" t="s">
        <v>356</v>
      </c>
      <c r="H4777" s="2" t="s">
        <v>74</v>
      </c>
      <c r="I4777" s="2" t="s">
        <v>12391</v>
      </c>
      <c r="J4777" s="3" t="str">
        <f>HYPERLINK("https://www.boe.es/gazeta/dias/1810/02/20/pdfs/GMD-1810-51.pdf#page=3","Abrir facsímil")</f>
        <v>Abrir facsímil</v>
      </c>
      <c r="K4777" s="3" t="s">
        <v>76</v>
      </c>
    </row>
    <row r="4778" spans="1:11" ht="42" customHeight="1">
      <c r="A4778" s="2" t="s">
        <v>12392</v>
      </c>
      <c r="B4778" s="2" t="s">
        <v>12393</v>
      </c>
      <c r="C4778" s="2" t="s">
        <v>26</v>
      </c>
      <c r="D4778" s="2" t="s">
        <v>27</v>
      </c>
      <c r="E4778" s="4">
        <v>-32508</v>
      </c>
      <c r="F4778" s="3" t="s">
        <v>2609</v>
      </c>
      <c r="G4778" s="3" t="s">
        <v>2610</v>
      </c>
      <c r="H4778" s="2" t="s">
        <v>74</v>
      </c>
      <c r="I4778" s="2" t="s">
        <v>12394</v>
      </c>
      <c r="J4778" s="3" t="str">
        <f>HYPERLINK("https://www.boe.es/gazeta/dias/1810/12/29/pdfs/GMD-1810-363.pdf#page=3","Abrir facsímil")</f>
        <v>Abrir facsímil</v>
      </c>
      <c r="K4778" s="3" t="s">
        <v>76</v>
      </c>
    </row>
    <row r="4779" spans="1:11" ht="42" customHeight="1">
      <c r="A4779" s="2" t="s">
        <v>12395</v>
      </c>
      <c r="B4779" s="2" t="s">
        <v>12396</v>
      </c>
      <c r="C4779" s="2" t="s">
        <v>88</v>
      </c>
      <c r="D4779" s="2" t="s">
        <v>27</v>
      </c>
      <c r="E4779" s="4">
        <v>-32634</v>
      </c>
      <c r="F4779" s="3" t="s">
        <v>4472</v>
      </c>
      <c r="G4779" s="3" t="s">
        <v>213</v>
      </c>
      <c r="H4779" s="2" t="s">
        <v>74</v>
      </c>
      <c r="I4779" s="2" t="s">
        <v>12397</v>
      </c>
      <c r="J4779" s="3" t="str">
        <f>HYPERLINK("https://www.boe.es/gazeta/dias/1810/08/25/pdfs/GMD-1810-237.pdf#page=2","Abrir facsímil")</f>
        <v>Abrir facsímil</v>
      </c>
      <c r="K4779" s="3" t="s">
        <v>76</v>
      </c>
    </row>
    <row r="4780" spans="1:11" ht="42" customHeight="1">
      <c r="A4780" s="2" t="s">
        <v>12398</v>
      </c>
      <c r="B4780" s="2" t="s">
        <v>12399</v>
      </c>
      <c r="C4780" s="2" t="s">
        <v>26</v>
      </c>
      <c r="D4780" s="2" t="s">
        <v>39</v>
      </c>
      <c r="E4780" s="4">
        <v>-32599</v>
      </c>
      <c r="F4780" s="3" t="s">
        <v>662</v>
      </c>
      <c r="G4780" s="3" t="s">
        <v>668</v>
      </c>
      <c r="H4780" s="2" t="s">
        <v>74</v>
      </c>
      <c r="I4780" s="2" t="s">
        <v>12400</v>
      </c>
      <c r="J4780" s="3" t="str">
        <f>HYPERLINK("https://www.boe.es/gazeta/dias/1810/09/29/pdfs/GMD-C-1810-272.pdf#page=4","Abrir facsímil")</f>
        <v>Abrir facsímil</v>
      </c>
      <c r="K4780" s="3" t="s">
        <v>76</v>
      </c>
    </row>
    <row r="4781" spans="1:11" ht="42" customHeight="1">
      <c r="A4781" s="2" t="s">
        <v>12401</v>
      </c>
      <c r="B4781" s="2" t="s">
        <v>12402</v>
      </c>
      <c r="C4781" s="2" t="s">
        <v>33</v>
      </c>
      <c r="D4781" s="2" t="s">
        <v>27</v>
      </c>
      <c r="E4781" s="4">
        <v>-32761</v>
      </c>
      <c r="F4781" s="3" t="s">
        <v>811</v>
      </c>
      <c r="G4781" s="3" t="s">
        <v>140</v>
      </c>
      <c r="H4781" s="2" t="s">
        <v>74</v>
      </c>
      <c r="I4781" s="2" t="s">
        <v>12403</v>
      </c>
      <c r="J4781" s="3" t="str">
        <f>HYPERLINK("https://www.boe.es/gazeta/dias/1810/04/20/pdfs/GEI-1810-16.pdf#page=8","Abrir facsímil")</f>
        <v>Abrir facsímil</v>
      </c>
      <c r="K4781" s="3" t="s">
        <v>76</v>
      </c>
    </row>
    <row r="4782" spans="1:11" ht="42" customHeight="1">
      <c r="A4782" s="2" t="s">
        <v>12404</v>
      </c>
      <c r="B4782" s="2" t="s">
        <v>12405</v>
      </c>
      <c r="C4782" s="2" t="s">
        <v>17</v>
      </c>
      <c r="D4782" s="2" t="s">
        <v>27</v>
      </c>
      <c r="E4782" s="4">
        <v>-32647</v>
      </c>
      <c r="F4782" s="3" t="s">
        <v>118</v>
      </c>
      <c r="G4782" s="3" t="s">
        <v>20</v>
      </c>
      <c r="H4782" s="2" t="s">
        <v>74</v>
      </c>
      <c r="I4782" s="2" t="s">
        <v>12406</v>
      </c>
      <c r="J4782" s="3" t="str">
        <f>HYPERLINK("https://www.boe.es/gazeta/dias/1810/08/12/pdfs/GMD-1810-224.pdf#page=4","Abrir facsímil")</f>
        <v>Abrir facsímil</v>
      </c>
      <c r="K4782" s="3" t="s">
        <v>76</v>
      </c>
    </row>
    <row r="4783" spans="1:11" ht="42" customHeight="1">
      <c r="A4783" s="2" t="s">
        <v>12407</v>
      </c>
      <c r="B4783" s="2" t="s">
        <v>12408</v>
      </c>
      <c r="C4783" s="2" t="s">
        <v>88</v>
      </c>
      <c r="D4783" s="2" t="s">
        <v>117</v>
      </c>
      <c r="E4783" s="4">
        <v>-32617</v>
      </c>
      <c r="F4783" s="3" t="s">
        <v>3861</v>
      </c>
      <c r="G4783" s="3" t="s">
        <v>20</v>
      </c>
      <c r="H4783" s="2" t="s">
        <v>74</v>
      </c>
      <c r="I4783" s="2" t="s">
        <v>12409</v>
      </c>
      <c r="J4783" s="3" t="str">
        <f>HYPERLINK("https://www.boe.es/gazeta/dias/1810/09/11/pdfs/GMD-1810-254.pdf#page=4","Abrir facsímil")</f>
        <v>Abrir facsímil</v>
      </c>
      <c r="K4783" s="3" t="s">
        <v>76</v>
      </c>
    </row>
    <row r="4784" spans="1:11" ht="42" customHeight="1">
      <c r="A4784" s="2" t="s">
        <v>12410</v>
      </c>
      <c r="B4784" s="2" t="s">
        <v>12411</v>
      </c>
      <c r="C4784" s="2" t="s">
        <v>26</v>
      </c>
      <c r="D4784" s="2" t="s">
        <v>27</v>
      </c>
      <c r="E4784" s="4">
        <v>-32808</v>
      </c>
      <c r="F4784" s="3" t="s">
        <v>2034</v>
      </c>
      <c r="G4784" s="3" t="s">
        <v>2035</v>
      </c>
      <c r="H4784" s="2" t="s">
        <v>74</v>
      </c>
      <c r="I4784" s="2" t="s">
        <v>12412</v>
      </c>
      <c r="J4784" s="3" t="str">
        <f>HYPERLINK("https://www.boe.es/gazeta/dias/1810/03/04/pdfs/GMD-1810-63.pdf#page=1","Abrir facsímil")</f>
        <v>Abrir facsímil</v>
      </c>
      <c r="K4784" s="3" t="s">
        <v>76</v>
      </c>
    </row>
    <row r="4785" spans="1:11" ht="42" customHeight="1">
      <c r="A4785" s="2" t="s">
        <v>12413</v>
      </c>
      <c r="B4785" s="2" t="s">
        <v>12414</v>
      </c>
      <c r="C4785" s="2" t="s">
        <v>26</v>
      </c>
      <c r="D4785" s="2" t="s">
        <v>39</v>
      </c>
      <c r="E4785" s="4">
        <v>-32701</v>
      </c>
      <c r="F4785" s="3" t="s">
        <v>40</v>
      </c>
      <c r="G4785" s="3" t="s">
        <v>41</v>
      </c>
      <c r="H4785" s="2" t="s">
        <v>74</v>
      </c>
      <c r="I4785" s="2" t="s">
        <v>12415</v>
      </c>
      <c r="J4785" s="3" t="str">
        <f>HYPERLINK("https://www.boe.es/gazeta/dias/1810/06/19/pdfs/GMD-C-1810-170.pdf#page=3","Abrir facsímil")</f>
        <v>Abrir facsímil</v>
      </c>
      <c r="K4785" s="3" t="s">
        <v>76</v>
      </c>
    </row>
    <row r="4786" spans="1:11" ht="42" customHeight="1">
      <c r="A4786" s="2" t="s">
        <v>12416</v>
      </c>
      <c r="B4786" s="2" t="s">
        <v>12417</v>
      </c>
      <c r="C4786" s="2" t="s">
        <v>26</v>
      </c>
      <c r="D4786" s="2" t="s">
        <v>27</v>
      </c>
      <c r="E4786" s="4">
        <v>-32689</v>
      </c>
      <c r="F4786" s="3" t="s">
        <v>571</v>
      </c>
      <c r="G4786" s="3" t="s">
        <v>29</v>
      </c>
      <c r="H4786" s="2" t="s">
        <v>74</v>
      </c>
      <c r="I4786" s="2" t="s">
        <v>12418</v>
      </c>
      <c r="J4786" s="3" t="str">
        <f>HYPERLINK("https://www.boe.es/gazeta/dias/1810/07/01/pdfs/GMD-1810-182.pdf#page=3","Abrir facsímil")</f>
        <v>Abrir facsímil</v>
      </c>
      <c r="K4786" s="3" t="s">
        <v>76</v>
      </c>
    </row>
    <row r="4787" spans="1:11" ht="42" customHeight="1">
      <c r="A4787" s="2" t="s">
        <v>12419</v>
      </c>
      <c r="B4787" s="2" t="s">
        <v>12420</v>
      </c>
      <c r="C4787" s="2" t="s">
        <v>26</v>
      </c>
      <c r="D4787" s="2" t="s">
        <v>58</v>
      </c>
      <c r="E4787" s="4">
        <v>-32601</v>
      </c>
      <c r="F4787" s="3" t="s">
        <v>392</v>
      </c>
      <c r="G4787" s="3" t="s">
        <v>1430</v>
      </c>
      <c r="H4787" s="2" t="s">
        <v>74</v>
      </c>
      <c r="I4787" s="2" t="s">
        <v>12421</v>
      </c>
      <c r="J4787" s="3" t="str">
        <f>HYPERLINK("https://www.boe.es/gazeta/dias/1810/09/27/pdfs/GEI-1810-74E.pdf#page=3","Abrir facsímil")</f>
        <v>Abrir facsímil</v>
      </c>
      <c r="K4787" s="3" t="s">
        <v>76</v>
      </c>
    </row>
    <row r="4788" spans="1:11" ht="42" customHeight="1">
      <c r="A4788" s="2" t="s">
        <v>12422</v>
      </c>
      <c r="B4788" s="2" t="s">
        <v>12423</v>
      </c>
      <c r="C4788" s="2" t="s">
        <v>26</v>
      </c>
      <c r="D4788" s="2" t="s">
        <v>39</v>
      </c>
      <c r="E4788" s="4">
        <v>-32702</v>
      </c>
      <c r="F4788" s="3" t="s">
        <v>179</v>
      </c>
      <c r="G4788" s="3" t="s">
        <v>119</v>
      </c>
      <c r="H4788" s="2" t="s">
        <v>74</v>
      </c>
      <c r="I4788" s="2" t="s">
        <v>12424</v>
      </c>
      <c r="J4788" s="3" t="str">
        <f>HYPERLINK("https://www.boe.es/gazeta/dias/1810/06/18/pdfs/GMD-C-1810-169.pdf#page=1","Abrir facsímil")</f>
        <v>Abrir facsímil</v>
      </c>
      <c r="K4788" s="3" t="s">
        <v>76</v>
      </c>
    </row>
    <row r="4789" spans="1:11" ht="42" customHeight="1">
      <c r="A4789" s="2" t="s">
        <v>12425</v>
      </c>
      <c r="B4789" s="2" t="s">
        <v>12426</v>
      </c>
      <c r="C4789" s="2" t="s">
        <v>26</v>
      </c>
      <c r="D4789" s="2" t="s">
        <v>27</v>
      </c>
      <c r="E4789" s="4">
        <v>-32545</v>
      </c>
      <c r="F4789" s="3" t="s">
        <v>165</v>
      </c>
      <c r="G4789" s="3" t="s">
        <v>166</v>
      </c>
      <c r="H4789" s="2" t="s">
        <v>74</v>
      </c>
      <c r="I4789" s="2" t="s">
        <v>12427</v>
      </c>
      <c r="J4789" s="3" t="str">
        <f>HYPERLINK("https://www.boe.es/gazeta/dias/1810/11/22/pdfs/GEI-1810-98.pdf#page=8","Abrir facsímil")</f>
        <v>Abrir facsímil</v>
      </c>
      <c r="K4789" s="3" t="s">
        <v>76</v>
      </c>
    </row>
    <row r="4790" spans="1:11" ht="42" customHeight="1">
      <c r="A4790" s="2" t="s">
        <v>12428</v>
      </c>
      <c r="B4790" s="2" t="s">
        <v>12429</v>
      </c>
      <c r="C4790" s="2" t="s">
        <v>195</v>
      </c>
      <c r="D4790" s="2" t="s">
        <v>27</v>
      </c>
      <c r="E4790" s="4">
        <v>-32710</v>
      </c>
      <c r="F4790" s="3" t="s">
        <v>126</v>
      </c>
      <c r="G4790" s="3" t="s">
        <v>180</v>
      </c>
      <c r="H4790" s="2" t="s">
        <v>74</v>
      </c>
      <c r="I4790" s="2" t="s">
        <v>12430</v>
      </c>
      <c r="J4790" s="3" t="str">
        <f>HYPERLINK("https://www.boe.es/gazeta/dias/1810/06/10/pdfs/GMD-1810-161.pdf#page=1","Abrir facsímil")</f>
        <v>Abrir facsímil</v>
      </c>
      <c r="K4790" s="3" t="s">
        <v>76</v>
      </c>
    </row>
    <row r="4791" spans="1:11" ht="42" customHeight="1">
      <c r="A4791" s="2" t="s">
        <v>12431</v>
      </c>
      <c r="B4791" s="2" t="s">
        <v>12432</v>
      </c>
      <c r="C4791" s="2" t="s">
        <v>88</v>
      </c>
      <c r="D4791" s="2" t="s">
        <v>117</v>
      </c>
      <c r="E4791" s="4">
        <v>-32862</v>
      </c>
      <c r="F4791" s="3" t="s">
        <v>694</v>
      </c>
      <c r="G4791" s="3" t="s">
        <v>469</v>
      </c>
      <c r="H4791" s="2" t="s">
        <v>74</v>
      </c>
      <c r="I4791" s="2" t="s">
        <v>12433</v>
      </c>
      <c r="J4791" s="3" t="str">
        <f>HYPERLINK("https://www.boe.es/gazeta/dias/1810/01/09/pdfs/GGB-1810-4.pdf#page=6","Abrir facsímil")</f>
        <v>Abrir facsímil</v>
      </c>
      <c r="K4791" s="3" t="s">
        <v>76</v>
      </c>
    </row>
    <row r="4792" spans="1:11" ht="42" customHeight="1">
      <c r="A4792" s="2" t="s">
        <v>12434</v>
      </c>
      <c r="B4792" s="2" t="s">
        <v>12435</v>
      </c>
      <c r="C4792" s="2" t="s">
        <v>26</v>
      </c>
      <c r="D4792" s="2" t="s">
        <v>27</v>
      </c>
      <c r="E4792" s="4">
        <v>-32575</v>
      </c>
      <c r="F4792" s="3" t="s">
        <v>135</v>
      </c>
      <c r="G4792" s="3" t="s">
        <v>11524</v>
      </c>
      <c r="H4792" s="2" t="s">
        <v>74</v>
      </c>
      <c r="I4792" s="2" t="s">
        <v>12436</v>
      </c>
      <c r="J4792" s="3" t="str">
        <f>HYPERLINK("https://www.boe.es/gazeta/dias/1810/10/23/pdfs/GEI-1810-85.pdf#page=12","Abrir facsímil")</f>
        <v>Abrir facsímil</v>
      </c>
      <c r="K4792" s="3" t="s">
        <v>76</v>
      </c>
    </row>
    <row r="4793" spans="1:11" ht="42" customHeight="1">
      <c r="A4793" s="2" t="s">
        <v>12437</v>
      </c>
      <c r="B4793" s="2" t="s">
        <v>12438</v>
      </c>
      <c r="C4793" s="2" t="s">
        <v>88</v>
      </c>
      <c r="D4793" s="2" t="s">
        <v>27</v>
      </c>
      <c r="E4793" s="4">
        <v>-32614</v>
      </c>
      <c r="F4793" s="3" t="s">
        <v>1083</v>
      </c>
      <c r="G4793" s="3" t="s">
        <v>12439</v>
      </c>
      <c r="H4793" s="2" t="s">
        <v>74</v>
      </c>
      <c r="I4793" s="2" t="s">
        <v>12440</v>
      </c>
      <c r="J4793" s="3" t="str">
        <f>HYPERLINK("https://www.boe.es/gazeta/dias/1810/09/14/pdfs/GEI-1810-67.pdf#page=9","Abrir facsímil")</f>
        <v>Abrir facsímil</v>
      </c>
      <c r="K4793" s="3" t="s">
        <v>76</v>
      </c>
    </row>
    <row r="4794" spans="1:11" ht="42" customHeight="1">
      <c r="A4794" s="2" t="s">
        <v>12441</v>
      </c>
      <c r="B4794" s="2" t="s">
        <v>12442</v>
      </c>
      <c r="C4794" s="2" t="s">
        <v>26</v>
      </c>
      <c r="D4794" s="2" t="s">
        <v>27</v>
      </c>
      <c r="E4794" s="4">
        <v>-32526</v>
      </c>
      <c r="F4794" s="3" t="s">
        <v>530</v>
      </c>
      <c r="G4794" s="3" t="s">
        <v>531</v>
      </c>
      <c r="H4794" s="2" t="s">
        <v>74</v>
      </c>
      <c r="I4794" s="2" t="s">
        <v>12443</v>
      </c>
      <c r="J4794" s="3" t="str">
        <f>HYPERLINK("https://www.boe.es/gazeta/dias/1810/12/11/pdfs/GEI-1810-106.pdf#page=2","Abrir facsímil")</f>
        <v>Abrir facsímil</v>
      </c>
      <c r="K4794" s="3" t="s">
        <v>76</v>
      </c>
    </row>
    <row r="4795" spans="1:11" ht="42" customHeight="1">
      <c r="A4795" s="2" t="s">
        <v>12444</v>
      </c>
      <c r="B4795" s="2" t="s">
        <v>12445</v>
      </c>
      <c r="C4795" s="2" t="s">
        <v>26</v>
      </c>
      <c r="D4795" s="2" t="s">
        <v>27</v>
      </c>
      <c r="E4795" s="4">
        <v>-32839</v>
      </c>
      <c r="F4795" s="3" t="s">
        <v>28</v>
      </c>
      <c r="G4795" s="3" t="s">
        <v>140</v>
      </c>
      <c r="H4795" s="2" t="s">
        <v>74</v>
      </c>
      <c r="I4795" s="2" t="s">
        <v>12446</v>
      </c>
      <c r="J4795" s="3" t="str">
        <f>HYPERLINK("https://www.boe.es/gazeta/dias/1810/02/01/pdfs/GMD-1810-32.pdf#page=4","Abrir facsímil")</f>
        <v>Abrir facsímil</v>
      </c>
      <c r="K4795" s="3" t="s">
        <v>76</v>
      </c>
    </row>
    <row r="4796" spans="1:11" ht="42" customHeight="1">
      <c r="A4796" s="2" t="s">
        <v>12444</v>
      </c>
      <c r="B4796" s="2" t="s">
        <v>12445</v>
      </c>
      <c r="C4796" s="2" t="s">
        <v>26</v>
      </c>
      <c r="D4796" s="2" t="s">
        <v>27</v>
      </c>
      <c r="E4796" s="4">
        <v>-32755</v>
      </c>
      <c r="F4796" s="3" t="s">
        <v>1641</v>
      </c>
      <c r="G4796" s="3" t="s">
        <v>9132</v>
      </c>
      <c r="H4796" s="2" t="s">
        <v>74</v>
      </c>
      <c r="I4796" s="2" t="s">
        <v>12447</v>
      </c>
      <c r="J4796" s="3" t="str">
        <f>HYPERLINK("https://www.boe.es/gazeta/dias/1810/04/26/pdfs/GMD-1810-116.pdf#page=1","Abrir facsímil")</f>
        <v>Abrir facsímil</v>
      </c>
      <c r="K4796" s="3" t="s">
        <v>76</v>
      </c>
    </row>
    <row r="4797" spans="1:11" ht="42" customHeight="1">
      <c r="A4797" s="2" t="s">
        <v>12448</v>
      </c>
      <c r="B4797" s="2" t="s">
        <v>12449</v>
      </c>
      <c r="C4797" s="2" t="s">
        <v>33</v>
      </c>
      <c r="D4797" s="2" t="s">
        <v>27</v>
      </c>
      <c r="E4797" s="4">
        <v>-32528</v>
      </c>
      <c r="F4797" s="3" t="s">
        <v>3058</v>
      </c>
      <c r="G4797" s="3" t="s">
        <v>359</v>
      </c>
      <c r="H4797" s="2" t="s">
        <v>74</v>
      </c>
      <c r="I4797" s="2" t="s">
        <v>12450</v>
      </c>
      <c r="J4797" s="3" t="str">
        <f>HYPERLINK("https://www.boe.es/gazeta/dias/1810/12/09/pdfs/GMD-1810-343.pdf#page=3","Abrir facsímil")</f>
        <v>Abrir facsímil</v>
      </c>
      <c r="K4797" s="3" t="s">
        <v>76</v>
      </c>
    </row>
    <row r="4798" spans="1:11" ht="42" customHeight="1">
      <c r="A4798" s="2" t="s">
        <v>12451</v>
      </c>
      <c r="B4798" s="2" t="s">
        <v>12452</v>
      </c>
      <c r="C4798" s="2" t="s">
        <v>26</v>
      </c>
      <c r="D4798" s="2" t="s">
        <v>18</v>
      </c>
      <c r="E4798" s="4">
        <v>-32764</v>
      </c>
      <c r="F4798" s="3" t="s">
        <v>640</v>
      </c>
      <c r="G4798" s="3" t="s">
        <v>1347</v>
      </c>
      <c r="H4798" s="2" t="s">
        <v>74</v>
      </c>
      <c r="I4798" s="2" t="s">
        <v>12453</v>
      </c>
      <c r="J4798" s="3" t="str">
        <f>HYPERLINK("https://www.boe.es/gazeta/dias/1810/04/17/pdfs/GEI-1810-15.pdf#page=7","Abrir facsímil")</f>
        <v>Abrir facsímil</v>
      </c>
      <c r="K4798" s="3" t="s">
        <v>76</v>
      </c>
    </row>
    <row r="4799" spans="1:11" ht="42" customHeight="1">
      <c r="A4799" s="2" t="s">
        <v>12454</v>
      </c>
      <c r="B4799" s="2" t="s">
        <v>12455</v>
      </c>
      <c r="C4799" s="2" t="s">
        <v>88</v>
      </c>
      <c r="D4799" s="2" t="s">
        <v>117</v>
      </c>
      <c r="E4799" s="4">
        <v>-32649</v>
      </c>
      <c r="F4799" s="3" t="s">
        <v>1988</v>
      </c>
      <c r="G4799" s="3" t="s">
        <v>227</v>
      </c>
      <c r="H4799" s="2" t="s">
        <v>74</v>
      </c>
      <c r="I4799" s="2" t="s">
        <v>12456</v>
      </c>
      <c r="J4799" s="3" t="str">
        <f>HYPERLINK("https://www.boe.es/gazeta/dias/1810/08/10/pdfs/GMD-1810-222.pdf#page=4","Abrir facsímil")</f>
        <v>Abrir facsímil</v>
      </c>
      <c r="K4799" s="3" t="s">
        <v>76</v>
      </c>
    </row>
    <row r="4800" spans="1:11" ht="42" customHeight="1">
      <c r="A4800" s="2" t="s">
        <v>12457</v>
      </c>
      <c r="B4800" s="2" t="s">
        <v>12458</v>
      </c>
      <c r="C4800" s="2" t="s">
        <v>195</v>
      </c>
      <c r="D4800" s="2" t="s">
        <v>27</v>
      </c>
      <c r="E4800" s="4">
        <v>-32837</v>
      </c>
      <c r="F4800" s="3" t="s">
        <v>196</v>
      </c>
      <c r="G4800" s="3" t="s">
        <v>140</v>
      </c>
      <c r="H4800" s="2" t="s">
        <v>74</v>
      </c>
      <c r="I4800" s="2" t="s">
        <v>12459</v>
      </c>
      <c r="J4800" s="3" t="str">
        <f>HYPERLINK("https://www.boe.es/gazeta/dias/1810/02/03/pdfs/GMD-1810-34.pdf#page=4","Abrir facsímil")</f>
        <v>Abrir facsímil</v>
      </c>
      <c r="K4800" s="3" t="s">
        <v>76</v>
      </c>
    </row>
    <row r="4801" spans="1:11" ht="42" customHeight="1">
      <c r="A4801" s="2" t="s">
        <v>12460</v>
      </c>
      <c r="B4801" s="2" t="s">
        <v>12461</v>
      </c>
      <c r="C4801" s="2" t="s">
        <v>26</v>
      </c>
      <c r="D4801" s="2" t="s">
        <v>27</v>
      </c>
      <c r="E4801" s="4">
        <v>-32837</v>
      </c>
      <c r="F4801" s="3" t="s">
        <v>196</v>
      </c>
      <c r="G4801" s="3" t="s">
        <v>140</v>
      </c>
      <c r="H4801" s="2" t="s">
        <v>74</v>
      </c>
      <c r="I4801" s="2" t="s">
        <v>12462</v>
      </c>
      <c r="J4801" s="3" t="str">
        <f>HYPERLINK("https://www.boe.es/gazeta/dias/1810/02/03/pdfs/GMD-1810-34.pdf#page=4","Abrir facsímil")</f>
        <v>Abrir facsímil</v>
      </c>
      <c r="K4801" s="3" t="s">
        <v>76</v>
      </c>
    </row>
    <row r="4802" spans="1:11" ht="42" customHeight="1">
      <c r="A4802" s="2" t="s">
        <v>12463</v>
      </c>
      <c r="B4802" s="2" t="s">
        <v>12464</v>
      </c>
      <c r="C4802" s="2" t="s">
        <v>88</v>
      </c>
      <c r="D4802" s="2" t="s">
        <v>27</v>
      </c>
      <c r="E4802" s="4">
        <v>-32783</v>
      </c>
      <c r="F4802" s="3" t="s">
        <v>896</v>
      </c>
      <c r="G4802" s="3" t="s">
        <v>20</v>
      </c>
      <c r="H4802" s="2" t="s">
        <v>74</v>
      </c>
      <c r="I4802" s="2" t="s">
        <v>12465</v>
      </c>
      <c r="J4802" s="3" t="str">
        <f>HYPERLINK("https://www.boe.es/gazeta/dias/1810/03/29/pdfs/GMD-1810-88.pdf#page=4","Abrir facsímil")</f>
        <v>Abrir facsímil</v>
      </c>
      <c r="K4802" s="3" t="s">
        <v>76</v>
      </c>
    </row>
    <row r="4803" spans="1:11" ht="42" customHeight="1">
      <c r="A4803" s="2" t="s">
        <v>12466</v>
      </c>
      <c r="B4803" s="2" t="s">
        <v>12467</v>
      </c>
      <c r="C4803" s="2" t="s">
        <v>26</v>
      </c>
      <c r="D4803" s="2" t="s">
        <v>18</v>
      </c>
      <c r="E4803" s="4">
        <v>-32715</v>
      </c>
      <c r="F4803" s="3" t="s">
        <v>1029</v>
      </c>
      <c r="G4803" s="3" t="s">
        <v>6209</v>
      </c>
      <c r="H4803" s="2" t="s">
        <v>21</v>
      </c>
      <c r="I4803" s="2" t="s">
        <v>12468</v>
      </c>
      <c r="J4803" s="3" t="str">
        <f>HYPERLINK("https://www.boe.es/gazeta/dias/1810/06/05/pdfs/GEI-1810-33.pdf#page=6","Abrir facsímil")</f>
        <v>Abrir facsímil</v>
      </c>
      <c r="K4803" s="3" t="s">
        <v>23</v>
      </c>
    </row>
    <row r="4804" spans="1:11" ht="42" customHeight="1">
      <c r="A4804" s="2" t="s">
        <v>12469</v>
      </c>
      <c r="B4804" s="2" t="s">
        <v>12470</v>
      </c>
      <c r="C4804" s="2" t="s">
        <v>26</v>
      </c>
      <c r="D4804" s="2" t="s">
        <v>39</v>
      </c>
      <c r="E4804" s="4">
        <v>-32702</v>
      </c>
      <c r="F4804" s="3" t="s">
        <v>179</v>
      </c>
      <c r="G4804" s="3" t="s">
        <v>119</v>
      </c>
      <c r="H4804" s="2" t="s">
        <v>74</v>
      </c>
      <c r="I4804" s="2" t="s">
        <v>12471</v>
      </c>
      <c r="J4804" s="3" t="str">
        <f>HYPERLINK("https://www.boe.es/gazeta/dias/1810/06/18/pdfs/GMD-C-1810-169.pdf#page=1","Abrir facsímil")</f>
        <v>Abrir facsímil</v>
      </c>
      <c r="K4804" s="3" t="s">
        <v>76</v>
      </c>
    </row>
    <row r="4805" spans="1:11" ht="42" customHeight="1">
      <c r="A4805" s="2" t="s">
        <v>12472</v>
      </c>
      <c r="B4805" s="2" t="s">
        <v>12473</v>
      </c>
      <c r="C4805" s="2" t="s">
        <v>26</v>
      </c>
      <c r="D4805" s="2" t="s">
        <v>39</v>
      </c>
      <c r="E4805" s="4">
        <v>-32684</v>
      </c>
      <c r="F4805" s="3" t="s">
        <v>372</v>
      </c>
      <c r="G4805" s="3" t="s">
        <v>2049</v>
      </c>
      <c r="H4805" s="2" t="s">
        <v>74</v>
      </c>
      <c r="I4805" s="2" t="s">
        <v>12474</v>
      </c>
      <c r="J4805" s="3" t="str">
        <f>HYPERLINK("https://www.boe.es/gazeta/dias/1810/07/06/pdfs/GEI-D-1810-42.pdf#page=7","Abrir facsímil")</f>
        <v>Abrir facsímil</v>
      </c>
      <c r="K4805" s="3" t="s">
        <v>76</v>
      </c>
    </row>
    <row r="4806" spans="1:11" ht="42" customHeight="1">
      <c r="A4806" s="2" t="s">
        <v>12475</v>
      </c>
      <c r="B4806" s="2" t="s">
        <v>12476</v>
      </c>
      <c r="C4806" s="2" t="s">
        <v>26</v>
      </c>
      <c r="D4806" s="2" t="s">
        <v>27</v>
      </c>
      <c r="E4806" s="4">
        <v>-32545</v>
      </c>
      <c r="F4806" s="3" t="s">
        <v>165</v>
      </c>
      <c r="G4806" s="3" t="s">
        <v>166</v>
      </c>
      <c r="H4806" s="2" t="s">
        <v>74</v>
      </c>
      <c r="I4806" s="2" t="s">
        <v>12477</v>
      </c>
      <c r="J4806" s="3" t="str">
        <f>HYPERLINK("https://www.boe.es/gazeta/dias/1810/11/22/pdfs/GEI-1810-98.pdf#page=8","Abrir facsímil")</f>
        <v>Abrir facsímil</v>
      </c>
      <c r="K4806" s="3" t="s">
        <v>76</v>
      </c>
    </row>
    <row r="4807" spans="1:11" ht="42" customHeight="1">
      <c r="A4807" s="2" t="s">
        <v>12478</v>
      </c>
      <c r="B4807" s="2" t="s">
        <v>12479</v>
      </c>
      <c r="C4807" s="2" t="s">
        <v>26</v>
      </c>
      <c r="D4807" s="2" t="s">
        <v>27</v>
      </c>
      <c r="E4807" s="4">
        <v>-32729</v>
      </c>
      <c r="F4807" s="3" t="s">
        <v>174</v>
      </c>
      <c r="G4807" s="3" t="s">
        <v>886</v>
      </c>
      <c r="H4807" s="2" t="s">
        <v>74</v>
      </c>
      <c r="I4807" s="2" t="s">
        <v>12480</v>
      </c>
      <c r="J4807" s="3" t="str">
        <f>HYPERLINK("https://www.boe.es/gazeta/dias/1810/05/22/pdfs/GEI-1810-28.pdf#page=11","Abrir facsímil")</f>
        <v>Abrir facsímil</v>
      </c>
      <c r="K4807" s="3" t="s">
        <v>76</v>
      </c>
    </row>
    <row r="4808" spans="1:11" ht="42" customHeight="1">
      <c r="A4808" s="2" t="s">
        <v>12481</v>
      </c>
      <c r="B4808" s="2" t="s">
        <v>12482</v>
      </c>
      <c r="C4808" s="2" t="s">
        <v>26</v>
      </c>
      <c r="D4808" s="2" t="s">
        <v>27</v>
      </c>
      <c r="E4808" s="4">
        <v>-32522</v>
      </c>
      <c r="F4808" s="3" t="s">
        <v>1168</v>
      </c>
      <c r="G4808" s="3" t="s">
        <v>90</v>
      </c>
      <c r="H4808" s="2" t="s">
        <v>74</v>
      </c>
      <c r="I4808" s="2" t="s">
        <v>12483</v>
      </c>
      <c r="J4808" s="3" t="str">
        <f>HYPERLINK("https://www.boe.es/gazeta/dias/1810/12/15/pdfs/GMD-1810-349.pdf#page=3","Abrir facsímil")</f>
        <v>Abrir facsímil</v>
      </c>
      <c r="K4808" s="3" t="s">
        <v>76</v>
      </c>
    </row>
    <row r="4809" spans="1:11" ht="42" customHeight="1">
      <c r="A4809" s="2" t="s">
        <v>12484</v>
      </c>
      <c r="B4809" s="2" t="s">
        <v>12485</v>
      </c>
      <c r="C4809" s="2" t="s">
        <v>26</v>
      </c>
      <c r="D4809" s="2" t="s">
        <v>27</v>
      </c>
      <c r="E4809" s="4">
        <v>-32557</v>
      </c>
      <c r="F4809" s="3" t="s">
        <v>837</v>
      </c>
      <c r="G4809" s="3" t="s">
        <v>2073</v>
      </c>
      <c r="H4809" s="2" t="s">
        <v>74</v>
      </c>
      <c r="I4809" s="2" t="s">
        <v>12486</v>
      </c>
      <c r="J4809" s="3" t="str">
        <f>HYPERLINK("https://www.boe.es/gazeta/dias/1810/11/10/pdfs/GEI-1810-93.pdf#page=7","Abrir facsímil")</f>
        <v>Abrir facsímil</v>
      </c>
      <c r="K4809" s="3" t="s">
        <v>76</v>
      </c>
    </row>
    <row r="4810" spans="1:11" ht="42" customHeight="1">
      <c r="A4810" s="2" t="s">
        <v>12487</v>
      </c>
      <c r="B4810" s="2" t="s">
        <v>12488</v>
      </c>
      <c r="C4810" s="2" t="s">
        <v>26</v>
      </c>
      <c r="D4810" s="2" t="s">
        <v>18</v>
      </c>
      <c r="E4810" s="4">
        <v>-32867</v>
      </c>
      <c r="F4810" s="3" t="s">
        <v>712</v>
      </c>
      <c r="G4810" s="3" t="s">
        <v>291</v>
      </c>
      <c r="H4810" s="2" t="s">
        <v>74</v>
      </c>
      <c r="I4810" s="2" t="s">
        <v>12489</v>
      </c>
      <c r="J4810" s="3" t="str">
        <f>HYPERLINK("https://www.boe.es/gazeta/dias/1810/01/04/pdfs/GGB-1810-2.pdf#page=8","Abrir facsímil")</f>
        <v>Abrir facsímil</v>
      </c>
      <c r="K4810" s="3" t="s">
        <v>76</v>
      </c>
    </row>
    <row r="4811" spans="1:11" ht="42" customHeight="1">
      <c r="A4811" s="2" t="s">
        <v>12490</v>
      </c>
      <c r="B4811" s="2" t="s">
        <v>12491</v>
      </c>
      <c r="C4811" s="2" t="s">
        <v>26</v>
      </c>
      <c r="D4811" s="2" t="s">
        <v>27</v>
      </c>
      <c r="E4811" s="4">
        <v>-32722</v>
      </c>
      <c r="F4811" s="3" t="s">
        <v>856</v>
      </c>
      <c r="G4811" s="3" t="s">
        <v>668</v>
      </c>
      <c r="H4811" s="2" t="s">
        <v>74</v>
      </c>
      <c r="I4811" s="2" t="s">
        <v>12492</v>
      </c>
      <c r="J4811" s="3" t="str">
        <f>HYPERLINK("https://www.boe.es/gazeta/dias/1810/05/29/pdfs/GEI-1810-31.pdf#page=12","Abrir facsímil")</f>
        <v>Abrir facsímil</v>
      </c>
      <c r="K4811" s="3" t="s">
        <v>76</v>
      </c>
    </row>
    <row r="4812" spans="1:11" ht="42" customHeight="1">
      <c r="A4812" s="2" t="s">
        <v>12493</v>
      </c>
      <c r="B4812" s="2" t="s">
        <v>12494</v>
      </c>
      <c r="C4812" s="2" t="s">
        <v>26</v>
      </c>
      <c r="D4812" s="2" t="s">
        <v>27</v>
      </c>
      <c r="E4812" s="4">
        <v>-32575</v>
      </c>
      <c r="F4812" s="3" t="s">
        <v>135</v>
      </c>
      <c r="G4812" s="3" t="s">
        <v>136</v>
      </c>
      <c r="H4812" s="2" t="s">
        <v>74</v>
      </c>
      <c r="I4812" s="2" t="s">
        <v>12495</v>
      </c>
      <c r="J4812" s="3" t="str">
        <f>HYPERLINK("https://www.boe.es/gazeta/dias/1810/10/23/pdfs/GEI-1810-85.pdf#page=11","Abrir facsímil")</f>
        <v>Abrir facsímil</v>
      </c>
      <c r="K4812" s="3" t="s">
        <v>76</v>
      </c>
    </row>
    <row r="4813" spans="1:11" ht="42" customHeight="1">
      <c r="A4813" s="2" t="s">
        <v>12496</v>
      </c>
      <c r="B4813" s="2" t="s">
        <v>12497</v>
      </c>
      <c r="C4813" s="2" t="s">
        <v>26</v>
      </c>
      <c r="D4813" s="2" t="s">
        <v>27</v>
      </c>
      <c r="E4813" s="4">
        <v>-32837</v>
      </c>
      <c r="F4813" s="3" t="s">
        <v>196</v>
      </c>
      <c r="G4813" s="3" t="s">
        <v>213</v>
      </c>
      <c r="H4813" s="2" t="s">
        <v>74</v>
      </c>
      <c r="I4813" s="2" t="s">
        <v>12498</v>
      </c>
      <c r="J4813" s="3" t="str">
        <f>HYPERLINK("https://www.boe.es/gazeta/dias/1810/02/03/pdfs/GMD-1810-34.pdf#page=2","Abrir facsímil")</f>
        <v>Abrir facsímil</v>
      </c>
      <c r="K4813" s="3" t="s">
        <v>76</v>
      </c>
    </row>
    <row r="4814" spans="1:11" ht="42" customHeight="1">
      <c r="A4814" s="2" t="s">
        <v>12499</v>
      </c>
      <c r="B4814" s="2" t="s">
        <v>12500</v>
      </c>
      <c r="C4814" s="2" t="s">
        <v>26</v>
      </c>
      <c r="D4814" s="2" t="s">
        <v>27</v>
      </c>
      <c r="E4814" s="4">
        <v>-32837</v>
      </c>
      <c r="F4814" s="3" t="s">
        <v>196</v>
      </c>
      <c r="G4814" s="3" t="s">
        <v>140</v>
      </c>
      <c r="H4814" s="2" t="s">
        <v>74</v>
      </c>
      <c r="I4814" s="2" t="s">
        <v>12501</v>
      </c>
      <c r="J4814" s="3" t="str">
        <f>HYPERLINK("https://www.boe.es/gazeta/dias/1810/02/03/pdfs/GMD-1810-34.pdf#page=4","Abrir facsímil")</f>
        <v>Abrir facsímil</v>
      </c>
      <c r="K4814" s="3" t="s">
        <v>76</v>
      </c>
    </row>
    <row r="4815" spans="1:11" ht="42" customHeight="1">
      <c r="A4815" s="2" t="s">
        <v>12502</v>
      </c>
      <c r="B4815" s="2" t="s">
        <v>12503</v>
      </c>
      <c r="C4815" s="2" t="s">
        <v>26</v>
      </c>
      <c r="D4815" s="2" t="s">
        <v>27</v>
      </c>
      <c r="E4815" s="4">
        <v>-32526</v>
      </c>
      <c r="F4815" s="3" t="s">
        <v>530</v>
      </c>
      <c r="G4815" s="3" t="s">
        <v>531</v>
      </c>
      <c r="H4815" s="2" t="s">
        <v>74</v>
      </c>
      <c r="I4815" s="2" t="s">
        <v>12504</v>
      </c>
      <c r="J4815" s="3" t="str">
        <f>HYPERLINK("https://www.boe.es/gazeta/dias/1810/12/11/pdfs/GEI-1810-106.pdf#page=2","Abrir facsímil")</f>
        <v>Abrir facsímil</v>
      </c>
      <c r="K4815" s="3" t="s">
        <v>76</v>
      </c>
    </row>
    <row r="4816" spans="1:11" ht="42" customHeight="1">
      <c r="A4816" s="2" t="s">
        <v>12505</v>
      </c>
      <c r="B4816" s="2" t="s">
        <v>12506</v>
      </c>
      <c r="C4816" s="2" t="s">
        <v>33</v>
      </c>
      <c r="D4816" s="2" t="s">
        <v>27</v>
      </c>
      <c r="E4816" s="4">
        <v>-32543</v>
      </c>
      <c r="F4816" s="3" t="s">
        <v>69</v>
      </c>
      <c r="G4816" s="3" t="s">
        <v>70</v>
      </c>
      <c r="H4816" s="2" t="s">
        <v>74</v>
      </c>
      <c r="I4816" s="2" t="s">
        <v>12507</v>
      </c>
      <c r="J4816" s="3" t="str">
        <f>HYPERLINK("https://www.boe.es/gazeta/dias/1810/11/24/pdfs/GEI-1810-99.pdf#page=8","Abrir facsímil")</f>
        <v>Abrir facsímil</v>
      </c>
      <c r="K4816" s="3" t="s">
        <v>76</v>
      </c>
    </row>
    <row r="4817" spans="1:11" ht="42" customHeight="1">
      <c r="A4817" s="2" t="s">
        <v>12508</v>
      </c>
      <c r="B4817" s="2" t="s">
        <v>12509</v>
      </c>
      <c r="C4817" s="2" t="s">
        <v>26</v>
      </c>
      <c r="D4817" s="2" t="s">
        <v>39</v>
      </c>
      <c r="E4817" s="4">
        <v>-32684</v>
      </c>
      <c r="F4817" s="3" t="s">
        <v>372</v>
      </c>
      <c r="G4817" s="3" t="s">
        <v>2049</v>
      </c>
      <c r="H4817" s="2" t="s">
        <v>74</v>
      </c>
      <c r="I4817" s="2" t="s">
        <v>12510</v>
      </c>
      <c r="J4817" s="3" t="str">
        <f>HYPERLINK("https://www.boe.es/gazeta/dias/1810/07/06/pdfs/GEI-D-1810-42.pdf#page=7","Abrir facsímil")</f>
        <v>Abrir facsímil</v>
      </c>
      <c r="K4817" s="3" t="s">
        <v>76</v>
      </c>
    </row>
    <row r="4818" spans="1:11" ht="42" customHeight="1">
      <c r="A4818" s="2" t="s">
        <v>12511</v>
      </c>
      <c r="B4818" s="2" t="s">
        <v>12512</v>
      </c>
      <c r="C4818" s="2" t="s">
        <v>26</v>
      </c>
      <c r="D4818" s="2" t="s">
        <v>27</v>
      </c>
      <c r="E4818" s="4">
        <v>-32526</v>
      </c>
      <c r="F4818" s="3" t="s">
        <v>530</v>
      </c>
      <c r="G4818" s="3" t="s">
        <v>531</v>
      </c>
      <c r="H4818" s="2" t="s">
        <v>74</v>
      </c>
      <c r="I4818" s="2" t="s">
        <v>12513</v>
      </c>
      <c r="J4818" s="3" t="str">
        <f>HYPERLINK("https://www.boe.es/gazeta/dias/1810/12/11/pdfs/GEI-1810-106.pdf#page=2","Abrir facsímil")</f>
        <v>Abrir facsímil</v>
      </c>
      <c r="K4818" s="3" t="s">
        <v>76</v>
      </c>
    </row>
    <row r="4819" spans="1:11" ht="42" customHeight="1">
      <c r="A4819" s="2" t="s">
        <v>12514</v>
      </c>
      <c r="B4819" s="2" t="s">
        <v>12515</v>
      </c>
      <c r="C4819" s="2" t="s">
        <v>26</v>
      </c>
      <c r="D4819" s="2" t="s">
        <v>18</v>
      </c>
      <c r="E4819" s="4">
        <v>-32656</v>
      </c>
      <c r="F4819" s="3" t="s">
        <v>1909</v>
      </c>
      <c r="G4819" s="3" t="s">
        <v>227</v>
      </c>
      <c r="H4819" s="2" t="s">
        <v>74</v>
      </c>
      <c r="I4819" s="2" t="s">
        <v>12516</v>
      </c>
      <c r="J4819" s="3" t="str">
        <f>HYPERLINK("https://www.boe.es/gazeta/dias/1810/08/03/pdfs/GEI-1810-50.pdf#page=8","Abrir facsímil")</f>
        <v>Abrir facsímil</v>
      </c>
      <c r="K4819" s="3" t="s">
        <v>76</v>
      </c>
    </row>
    <row r="4820" spans="1:11" ht="42" customHeight="1">
      <c r="A4820" s="2" t="s">
        <v>12517</v>
      </c>
      <c r="B4820" s="2" t="s">
        <v>12518</v>
      </c>
      <c r="C4820" s="2" t="s">
        <v>26</v>
      </c>
      <c r="D4820" s="2" t="s">
        <v>18</v>
      </c>
      <c r="E4820" s="4">
        <v>-32701</v>
      </c>
      <c r="F4820" s="3" t="s">
        <v>40</v>
      </c>
      <c r="G4820" s="3" t="s">
        <v>333</v>
      </c>
      <c r="H4820" s="2" t="s">
        <v>74</v>
      </c>
      <c r="I4820" s="2" t="s">
        <v>12519</v>
      </c>
      <c r="J4820" s="3" t="str">
        <f>HYPERLINK("https://www.boe.es/gazeta/dias/1810/06/19/pdfs/GMD-C-1810-170.pdf#page=4","Abrir facsímil")</f>
        <v>Abrir facsímil</v>
      </c>
      <c r="K4820" s="3" t="s">
        <v>76</v>
      </c>
    </row>
    <row r="4821" spans="1:11" ht="42" customHeight="1">
      <c r="A4821" s="2" t="s">
        <v>12520</v>
      </c>
      <c r="B4821" s="2" t="s">
        <v>12521</v>
      </c>
      <c r="C4821" s="2" t="s">
        <v>26</v>
      </c>
      <c r="D4821" s="2" t="s">
        <v>18</v>
      </c>
      <c r="E4821" s="4">
        <v>-32661</v>
      </c>
      <c r="F4821" s="3" t="s">
        <v>157</v>
      </c>
      <c r="G4821" s="3" t="s">
        <v>158</v>
      </c>
      <c r="H4821" s="2" t="s">
        <v>74</v>
      </c>
      <c r="I4821" s="2" t="s">
        <v>12522</v>
      </c>
      <c r="J4821" s="3" t="str">
        <f>HYPERLINK("https://www.boe.es/gazeta/dias/1810/07/29/pdfs/GMD-C-1810-210.pdf#page=1","Abrir facsímil")</f>
        <v>Abrir facsímil</v>
      </c>
      <c r="K4821" s="3" t="s">
        <v>76</v>
      </c>
    </row>
    <row r="4822" spans="1:11" ht="42" customHeight="1">
      <c r="A4822" s="2" t="s">
        <v>12523</v>
      </c>
      <c r="B4822" s="2" t="s">
        <v>12524</v>
      </c>
      <c r="C4822" s="2" t="s">
        <v>26</v>
      </c>
      <c r="D4822" s="2" t="s">
        <v>18</v>
      </c>
      <c r="E4822" s="4">
        <v>-32659</v>
      </c>
      <c r="F4822" s="3" t="s">
        <v>1684</v>
      </c>
      <c r="G4822" s="3" t="s">
        <v>29</v>
      </c>
      <c r="H4822" s="2" t="s">
        <v>74</v>
      </c>
      <c r="I4822" s="2" t="s">
        <v>12525</v>
      </c>
      <c r="J4822" s="3" t="str">
        <f>HYPERLINK("https://www.boe.es/gazeta/dias/1810/07/31/pdfs/GMD-1810-212.pdf#page=4","Abrir facsímil")</f>
        <v>Abrir facsímil</v>
      </c>
      <c r="K4822" s="3" t="s">
        <v>76</v>
      </c>
    </row>
    <row r="4823" spans="1:11" ht="42" customHeight="1">
      <c r="A4823" s="2" t="s">
        <v>12526</v>
      </c>
      <c r="B4823" s="2" t="s">
        <v>12527</v>
      </c>
      <c r="C4823" s="2" t="s">
        <v>111</v>
      </c>
      <c r="D4823" s="2" t="s">
        <v>27</v>
      </c>
      <c r="E4823" s="4">
        <v>-32632</v>
      </c>
      <c r="F4823" s="3" t="s">
        <v>358</v>
      </c>
      <c r="G4823" s="3" t="s">
        <v>359</v>
      </c>
      <c r="H4823" s="2" t="s">
        <v>74</v>
      </c>
      <c r="I4823" s="2" t="s">
        <v>12528</v>
      </c>
      <c r="J4823" s="3" t="str">
        <f>HYPERLINK("https://www.boe.es/gazeta/dias/1810/08/27/pdfs/GMD-1810-239.pdf#page=3","Abrir facsímil")</f>
        <v>Abrir facsímil</v>
      </c>
      <c r="K4823" s="3" t="s">
        <v>76</v>
      </c>
    </row>
    <row r="4824" spans="1:11" ht="42" customHeight="1">
      <c r="A4824" s="2" t="s">
        <v>12529</v>
      </c>
      <c r="B4824" s="2" t="s">
        <v>12530</v>
      </c>
      <c r="C4824" s="2" t="s">
        <v>88</v>
      </c>
      <c r="D4824" s="2" t="s">
        <v>27</v>
      </c>
      <c r="E4824" s="4">
        <v>-32803</v>
      </c>
      <c r="F4824" s="3" t="s">
        <v>4052</v>
      </c>
      <c r="G4824" s="3" t="s">
        <v>695</v>
      </c>
      <c r="H4824" s="2" t="s">
        <v>74</v>
      </c>
      <c r="I4824" s="2" t="s">
        <v>12531</v>
      </c>
      <c r="J4824" s="3" t="str">
        <f>HYPERLINK("https://www.boe.es/gazeta/dias/1810/03/09/pdfs/GMD-1810-68.pdf#page=4","Abrir facsímil")</f>
        <v>Abrir facsímil</v>
      </c>
      <c r="K4824" s="3" t="s">
        <v>76</v>
      </c>
    </row>
    <row r="4825" spans="1:11" ht="42" customHeight="1">
      <c r="A4825" s="2" t="s">
        <v>12532</v>
      </c>
      <c r="B4825" s="2" t="s">
        <v>12533</v>
      </c>
      <c r="C4825" s="2" t="s">
        <v>17</v>
      </c>
      <c r="D4825" s="2" t="s">
        <v>27</v>
      </c>
      <c r="E4825" s="4">
        <v>-32638</v>
      </c>
      <c r="F4825" s="3" t="s">
        <v>489</v>
      </c>
      <c r="G4825" s="3" t="s">
        <v>8802</v>
      </c>
      <c r="H4825" s="2" t="s">
        <v>74</v>
      </c>
      <c r="I4825" s="2" t="s">
        <v>12534</v>
      </c>
      <c r="J4825" s="3" t="str">
        <f>HYPERLINK("https://www.boe.es/gazeta/dias/1810/08/21/pdfs/GMD-1810-233.pdf#page=3","Abrir facsímil")</f>
        <v>Abrir facsímil</v>
      </c>
      <c r="K4825" s="3" t="s">
        <v>76</v>
      </c>
    </row>
    <row r="4826" spans="1:11" ht="42" customHeight="1">
      <c r="A4826" s="2" t="s">
        <v>12535</v>
      </c>
      <c r="B4826" s="2" t="s">
        <v>12536</v>
      </c>
      <c r="C4826" s="2" t="s">
        <v>88</v>
      </c>
      <c r="D4826" s="2" t="s">
        <v>27</v>
      </c>
      <c r="E4826" s="4">
        <v>-32710</v>
      </c>
      <c r="F4826" s="3" t="s">
        <v>126</v>
      </c>
      <c r="G4826" s="3" t="s">
        <v>35</v>
      </c>
      <c r="H4826" s="2" t="s">
        <v>74</v>
      </c>
      <c r="I4826" s="2" t="s">
        <v>12537</v>
      </c>
      <c r="J4826" s="3" t="str">
        <f>HYPERLINK("https://www.boe.es/gazeta/dias/1810/06/10/pdfs/GMD-1810-161.pdf#page=2","Abrir facsímil")</f>
        <v>Abrir facsímil</v>
      </c>
      <c r="K4826" s="3" t="s">
        <v>76</v>
      </c>
    </row>
    <row r="4827" spans="1:11" ht="42" customHeight="1">
      <c r="A4827" s="2" t="s">
        <v>12538</v>
      </c>
      <c r="B4827" s="2" t="s">
        <v>12539</v>
      </c>
      <c r="C4827" s="2" t="s">
        <v>225</v>
      </c>
      <c r="D4827" s="2" t="s">
        <v>27</v>
      </c>
      <c r="E4827" s="4">
        <v>-32698</v>
      </c>
      <c r="F4827" s="3" t="s">
        <v>2705</v>
      </c>
      <c r="G4827" s="3" t="s">
        <v>2706</v>
      </c>
      <c r="H4827" s="2" t="s">
        <v>74</v>
      </c>
      <c r="I4827" s="2" t="s">
        <v>12540</v>
      </c>
      <c r="J4827" s="3" t="str">
        <f>HYPERLINK("https://www.boe.es/gazeta/dias/1810/06/22/pdfs/GEI-1810-38.pdf#page=8","Abrir facsímil")</f>
        <v>Abrir facsímil</v>
      </c>
      <c r="K4827" s="3" t="s">
        <v>76</v>
      </c>
    </row>
    <row r="4828" spans="1:11" ht="42" customHeight="1">
      <c r="A4828" s="2" t="s">
        <v>12541</v>
      </c>
      <c r="B4828" s="2" t="s">
        <v>12542</v>
      </c>
      <c r="C4828" s="2" t="s">
        <v>225</v>
      </c>
      <c r="D4828" s="2" t="s">
        <v>27</v>
      </c>
      <c r="E4828" s="4">
        <v>-32698</v>
      </c>
      <c r="F4828" s="3" t="s">
        <v>2705</v>
      </c>
      <c r="G4828" s="3" t="s">
        <v>2706</v>
      </c>
      <c r="H4828" s="2" t="s">
        <v>74</v>
      </c>
      <c r="I4828" s="2" t="s">
        <v>12543</v>
      </c>
      <c r="J4828" s="3" t="str">
        <f>HYPERLINK("https://www.boe.es/gazeta/dias/1810/06/22/pdfs/GEI-1810-38.pdf#page=8","Abrir facsímil")</f>
        <v>Abrir facsímil</v>
      </c>
      <c r="K4828" s="3" t="s">
        <v>76</v>
      </c>
    </row>
    <row r="4829" spans="1:11" ht="42" customHeight="1">
      <c r="A4829" s="2" t="s">
        <v>12544</v>
      </c>
      <c r="B4829" s="2" t="s">
        <v>12545</v>
      </c>
      <c r="C4829" s="2" t="s">
        <v>26</v>
      </c>
      <c r="D4829" s="2" t="s">
        <v>18</v>
      </c>
      <c r="E4829" s="4">
        <v>-32820</v>
      </c>
      <c r="F4829" s="3" t="s">
        <v>226</v>
      </c>
      <c r="G4829" s="3" t="s">
        <v>227</v>
      </c>
      <c r="H4829" s="2" t="s">
        <v>74</v>
      </c>
      <c r="I4829" s="2" t="s">
        <v>12546</v>
      </c>
      <c r="J4829" s="3" t="str">
        <f>HYPERLINK("https://www.boe.es/gazeta/dias/1810/02/20/pdfs/GMD-1810-51.pdf#page=4","Abrir facsímil")</f>
        <v>Abrir facsímil</v>
      </c>
      <c r="K4829" s="3" t="s">
        <v>76</v>
      </c>
    </row>
    <row r="4830" spans="1:11" ht="42" customHeight="1">
      <c r="A4830" s="2" t="s">
        <v>12547</v>
      </c>
      <c r="B4830" s="2" t="s">
        <v>12548</v>
      </c>
      <c r="C4830" s="2" t="s">
        <v>26</v>
      </c>
      <c r="D4830" s="2" t="s">
        <v>39</v>
      </c>
      <c r="E4830" s="4">
        <v>-32669</v>
      </c>
      <c r="F4830" s="3" t="s">
        <v>1110</v>
      </c>
      <c r="G4830" s="3" t="s">
        <v>1222</v>
      </c>
      <c r="H4830" s="2" t="s">
        <v>74</v>
      </c>
      <c r="I4830" s="2" t="s">
        <v>12549</v>
      </c>
      <c r="J4830" s="3" t="str">
        <f>HYPERLINK("https://www.boe.es/gazeta/dias/1810/07/21/pdfs/GMD-C-1810-202.pdf#page=2","Abrir facsímil")</f>
        <v>Abrir facsímil</v>
      </c>
      <c r="K4830" s="3" t="s">
        <v>76</v>
      </c>
    </row>
    <row r="4831" spans="1:11" ht="42" customHeight="1">
      <c r="A4831" s="2" t="s">
        <v>12550</v>
      </c>
      <c r="B4831" s="2" t="s">
        <v>12551</v>
      </c>
      <c r="C4831" s="2" t="s">
        <v>225</v>
      </c>
      <c r="D4831" s="2" t="s">
        <v>18</v>
      </c>
      <c r="E4831" s="4">
        <v>-32705</v>
      </c>
      <c r="F4831" s="3" t="s">
        <v>1158</v>
      </c>
      <c r="G4831" s="3" t="s">
        <v>1711</v>
      </c>
      <c r="H4831" s="2" t="s">
        <v>21</v>
      </c>
      <c r="I4831" s="2" t="s">
        <v>12552</v>
      </c>
      <c r="J4831" s="3" t="str">
        <f>HYPERLINK("https://www.boe.es/gazeta/dias/1810/06/15/pdfs/GMD-1810-166.pdf#page=4","Abrir facsímil")</f>
        <v>Abrir facsímil</v>
      </c>
      <c r="K4831" s="3" t="s">
        <v>23</v>
      </c>
    </row>
    <row r="4832" spans="1:11" ht="42" customHeight="1">
      <c r="A4832" s="2" t="s">
        <v>12553</v>
      </c>
      <c r="B4832" s="2" t="s">
        <v>12554</v>
      </c>
      <c r="C4832" s="2" t="s">
        <v>26</v>
      </c>
      <c r="D4832" s="2" t="s">
        <v>27</v>
      </c>
      <c r="E4832" s="4">
        <v>-32591</v>
      </c>
      <c r="F4832" s="3" t="s">
        <v>377</v>
      </c>
      <c r="G4832" s="3" t="s">
        <v>140</v>
      </c>
      <c r="H4832" s="2" t="s">
        <v>21</v>
      </c>
      <c r="I4832" s="2" t="s">
        <v>12555</v>
      </c>
      <c r="J4832" s="3" t="str">
        <f>HYPERLINK("https://www.boe.es/gazeta/dias/1810/10/07/pdfs/GMD-1810-280.pdf#page=4","Abrir facsímil")</f>
        <v>Abrir facsímil</v>
      </c>
      <c r="K4832" s="3" t="s">
        <v>23</v>
      </c>
    </row>
    <row r="4833" spans="1:11" ht="42" customHeight="1">
      <c r="A4833" s="2" t="s">
        <v>12556</v>
      </c>
      <c r="B4833" s="2" t="s">
        <v>12557</v>
      </c>
      <c r="C4833" s="2" t="s">
        <v>930</v>
      </c>
      <c r="D4833" s="2" t="s">
        <v>27</v>
      </c>
      <c r="E4833" s="4">
        <v>-32515</v>
      </c>
      <c r="F4833" s="3" t="s">
        <v>351</v>
      </c>
      <c r="G4833" s="3" t="s">
        <v>352</v>
      </c>
      <c r="H4833" s="2" t="s">
        <v>74</v>
      </c>
      <c r="I4833" s="2" t="s">
        <v>12558</v>
      </c>
      <c r="J4833" s="3" t="str">
        <f>HYPERLINK("https://www.boe.es/gazeta/dias/1810/12/22/pdfs/GEI-1810-111.pdf#page=8","Abrir facsímil")</f>
        <v>Abrir facsímil</v>
      </c>
      <c r="K4833" s="3" t="s">
        <v>76</v>
      </c>
    </row>
    <row r="4834" spans="1:11" ht="42" customHeight="1">
      <c r="A4834" s="2" t="s">
        <v>12559</v>
      </c>
      <c r="B4834" s="2" t="s">
        <v>12560</v>
      </c>
      <c r="C4834" s="2" t="s">
        <v>26</v>
      </c>
      <c r="D4834" s="2" t="s">
        <v>58</v>
      </c>
      <c r="E4834" s="4">
        <v>-32601</v>
      </c>
      <c r="F4834" s="3" t="s">
        <v>392</v>
      </c>
      <c r="G4834" s="3" t="s">
        <v>1430</v>
      </c>
      <c r="H4834" s="2" t="s">
        <v>74</v>
      </c>
      <c r="I4834" s="2" t="s">
        <v>12561</v>
      </c>
      <c r="J4834" s="3" t="str">
        <f>HYPERLINK("https://www.boe.es/gazeta/dias/1810/09/27/pdfs/GEI-1810-74E.pdf#page=3","Abrir facsímil")</f>
        <v>Abrir facsímil</v>
      </c>
      <c r="K4834" s="3" t="s">
        <v>76</v>
      </c>
    </row>
    <row r="4835" spans="1:11" ht="42" customHeight="1">
      <c r="A4835" s="2" t="s">
        <v>12562</v>
      </c>
      <c r="B4835" s="2" t="s">
        <v>12563</v>
      </c>
      <c r="C4835" s="2" t="s">
        <v>26</v>
      </c>
      <c r="D4835" s="2" t="s">
        <v>27</v>
      </c>
      <c r="E4835" s="4">
        <v>-32863</v>
      </c>
      <c r="F4835" s="3" t="s">
        <v>2391</v>
      </c>
      <c r="G4835" s="3" t="s">
        <v>180</v>
      </c>
      <c r="H4835" s="2" t="s">
        <v>74</v>
      </c>
      <c r="I4835" s="2" t="s">
        <v>12564</v>
      </c>
      <c r="J4835" s="3" t="str">
        <f>HYPERLINK("https://www.boe.es/gazeta/dias/1810/01/08/pdfs/GMD-1810-8.pdf#page=3","Abrir facsímil")</f>
        <v>Abrir facsímil</v>
      </c>
      <c r="K4835" s="3" t="s">
        <v>76</v>
      </c>
    </row>
    <row r="4836" spans="1:11" ht="42" customHeight="1">
      <c r="A4836" s="2" t="s">
        <v>12562</v>
      </c>
      <c r="B4836" s="2" t="s">
        <v>12563</v>
      </c>
      <c r="C4836" s="2" t="s">
        <v>26</v>
      </c>
      <c r="D4836" s="2" t="s">
        <v>27</v>
      </c>
      <c r="E4836" s="4">
        <v>-32805</v>
      </c>
      <c r="F4836" s="3" t="s">
        <v>2068</v>
      </c>
      <c r="G4836" s="3" t="s">
        <v>70</v>
      </c>
      <c r="H4836" s="2" t="s">
        <v>74</v>
      </c>
      <c r="I4836" s="2" t="s">
        <v>12565</v>
      </c>
      <c r="J4836" s="3" t="str">
        <f>HYPERLINK("https://www.boe.es/gazeta/dias/1810/03/07/pdfs/GMD-1810-66.pdf#page=3","Abrir facsímil")</f>
        <v>Abrir facsímil</v>
      </c>
      <c r="K4836" s="3" t="s">
        <v>76</v>
      </c>
    </row>
    <row r="4837" spans="1:11" ht="42" customHeight="1">
      <c r="A4837" s="2" t="s">
        <v>12562</v>
      </c>
      <c r="B4837" s="2" t="s">
        <v>12563</v>
      </c>
      <c r="C4837" s="2" t="s">
        <v>88</v>
      </c>
      <c r="D4837" s="2" t="s">
        <v>117</v>
      </c>
      <c r="E4837" s="4">
        <v>-32772</v>
      </c>
      <c r="F4837" s="3" t="s">
        <v>398</v>
      </c>
      <c r="G4837" s="3" t="s">
        <v>227</v>
      </c>
      <c r="H4837" s="2" t="s">
        <v>74</v>
      </c>
      <c r="I4837" s="2" t="s">
        <v>12566</v>
      </c>
      <c r="J4837" s="3" t="str">
        <f>HYPERLINK("https://www.boe.es/gazeta/dias/1810/04/09/pdfs/GMD-1810-99.pdf#page=4","Abrir facsímil")</f>
        <v>Abrir facsímil</v>
      </c>
      <c r="K4837" s="3" t="s">
        <v>76</v>
      </c>
    </row>
    <row r="4838" spans="1:11" ht="42" customHeight="1">
      <c r="A4838" s="2" t="s">
        <v>12562</v>
      </c>
      <c r="B4838" s="2" t="s">
        <v>12563</v>
      </c>
      <c r="C4838" s="2" t="s">
        <v>17</v>
      </c>
      <c r="D4838" s="2" t="s">
        <v>18</v>
      </c>
      <c r="E4838" s="4">
        <v>-32633</v>
      </c>
      <c r="F4838" s="3" t="s">
        <v>1230</v>
      </c>
      <c r="G4838" s="3" t="s">
        <v>131</v>
      </c>
      <c r="H4838" s="2" t="s">
        <v>74</v>
      </c>
      <c r="I4838" s="2" t="s">
        <v>12567</v>
      </c>
      <c r="J4838" s="3" t="str">
        <f>HYPERLINK("https://www.boe.es/gazeta/dias/1810/08/26/pdfs/GMD-1810-238.pdf#page=3","Abrir facsímil")</f>
        <v>Abrir facsímil</v>
      </c>
      <c r="K4838" s="3" t="s">
        <v>76</v>
      </c>
    </row>
    <row r="4839" spans="1:11" ht="42" customHeight="1">
      <c r="A4839" s="2" t="s">
        <v>12562</v>
      </c>
      <c r="B4839" s="2" t="s">
        <v>12563</v>
      </c>
      <c r="C4839" s="2" t="s">
        <v>33</v>
      </c>
      <c r="D4839" s="2" t="s">
        <v>18</v>
      </c>
      <c r="E4839" s="4">
        <v>-32575</v>
      </c>
      <c r="F4839" s="3" t="s">
        <v>135</v>
      </c>
      <c r="G4839" s="3" t="s">
        <v>90</v>
      </c>
      <c r="H4839" s="2" t="s">
        <v>74</v>
      </c>
      <c r="I4839" s="2" t="s">
        <v>12568</v>
      </c>
      <c r="J4839" s="3" t="str">
        <f>HYPERLINK("https://www.boe.es/gazeta/dias/1810/10/23/pdfs/GEI-1810-85.pdf#page=9","Abrir facsímil")</f>
        <v>Abrir facsímil</v>
      </c>
      <c r="K4839" s="3" t="s">
        <v>76</v>
      </c>
    </row>
    <row r="4840" spans="1:11" ht="42" customHeight="1">
      <c r="A4840" s="2" t="s">
        <v>12569</v>
      </c>
      <c r="B4840" s="2" t="s">
        <v>12570</v>
      </c>
      <c r="C4840" s="2" t="s">
        <v>17</v>
      </c>
      <c r="D4840" s="2" t="s">
        <v>27</v>
      </c>
      <c r="E4840" s="4">
        <v>-32522</v>
      </c>
      <c r="F4840" s="3" t="s">
        <v>1168</v>
      </c>
      <c r="G4840" s="3" t="s">
        <v>90</v>
      </c>
      <c r="H4840" s="2" t="s">
        <v>74</v>
      </c>
      <c r="I4840" s="2" t="s">
        <v>12571</v>
      </c>
      <c r="J4840" s="3" t="str">
        <f>HYPERLINK("https://www.boe.es/gazeta/dias/1810/12/15/pdfs/GMD-1810-349.pdf#page=3","Abrir facsímil")</f>
        <v>Abrir facsímil</v>
      </c>
      <c r="K4840" s="3" t="s">
        <v>76</v>
      </c>
    </row>
    <row r="4841" spans="1:11" ht="42" customHeight="1">
      <c r="A4841" s="2" t="s">
        <v>12572</v>
      </c>
      <c r="B4841" s="2" t="s">
        <v>12573</v>
      </c>
      <c r="C4841" s="2" t="s">
        <v>26</v>
      </c>
      <c r="D4841" s="2" t="s">
        <v>39</v>
      </c>
      <c r="E4841" s="4">
        <v>-32701</v>
      </c>
      <c r="F4841" s="3" t="s">
        <v>40</v>
      </c>
      <c r="G4841" s="3" t="s">
        <v>333</v>
      </c>
      <c r="H4841" s="2" t="s">
        <v>74</v>
      </c>
      <c r="I4841" s="2" t="s">
        <v>12574</v>
      </c>
      <c r="J4841" s="3" t="str">
        <f>HYPERLINK("https://www.boe.es/gazeta/dias/1810/06/19/pdfs/GMD-C-1810-170.pdf#page=4","Abrir facsímil")</f>
        <v>Abrir facsímil</v>
      </c>
      <c r="K4841" s="3" t="s">
        <v>76</v>
      </c>
    </row>
    <row r="4842" spans="1:11" ht="42" customHeight="1">
      <c r="A4842" s="2" t="s">
        <v>12575</v>
      </c>
      <c r="B4842" s="2" t="s">
        <v>12576</v>
      </c>
      <c r="C4842" s="2" t="s">
        <v>26</v>
      </c>
      <c r="D4842" s="2" t="s">
        <v>27</v>
      </c>
      <c r="E4842" s="4">
        <v>-32647</v>
      </c>
      <c r="F4842" s="3" t="s">
        <v>118</v>
      </c>
      <c r="G4842" s="3" t="s">
        <v>119</v>
      </c>
      <c r="H4842" s="2" t="s">
        <v>74</v>
      </c>
      <c r="I4842" s="2" t="s">
        <v>12577</v>
      </c>
      <c r="J4842" s="3" t="str">
        <f>HYPERLINK("https://www.boe.es/gazeta/dias/1810/08/12/pdfs/GMD-1810-224.pdf#page=3","Abrir facsímil")</f>
        <v>Abrir facsímil</v>
      </c>
      <c r="K4842" s="3" t="s">
        <v>76</v>
      </c>
    </row>
    <row r="4843" spans="1:11" ht="42" customHeight="1">
      <c r="A4843" s="2" t="s">
        <v>12578</v>
      </c>
      <c r="B4843" s="2" t="s">
        <v>12579</v>
      </c>
      <c r="C4843" s="2" t="s">
        <v>88</v>
      </c>
      <c r="D4843" s="2" t="s">
        <v>117</v>
      </c>
      <c r="E4843" s="4">
        <v>-32677</v>
      </c>
      <c r="F4843" s="3" t="s">
        <v>549</v>
      </c>
      <c r="G4843" s="3" t="s">
        <v>70</v>
      </c>
      <c r="H4843" s="2" t="s">
        <v>74</v>
      </c>
      <c r="I4843" s="2" t="s">
        <v>12580</v>
      </c>
      <c r="J4843" s="3" t="str">
        <f>HYPERLINK("https://www.boe.es/gazeta/dias/1810/07/13/pdfs/GEI-D-1810-44.pdf#page=8","Abrir facsímil")</f>
        <v>Abrir facsímil</v>
      </c>
      <c r="K4843" s="3" t="s">
        <v>76</v>
      </c>
    </row>
    <row r="4844" spans="1:11" ht="42" customHeight="1">
      <c r="A4844" s="2" t="s">
        <v>12581</v>
      </c>
      <c r="B4844" s="2" t="s">
        <v>12582</v>
      </c>
      <c r="C4844" s="2" t="s">
        <v>26</v>
      </c>
      <c r="D4844" s="2" t="s">
        <v>27</v>
      </c>
      <c r="E4844" s="4">
        <v>-32710</v>
      </c>
      <c r="F4844" s="3" t="s">
        <v>126</v>
      </c>
      <c r="G4844" s="3" t="s">
        <v>184</v>
      </c>
      <c r="H4844" s="2" t="s">
        <v>74</v>
      </c>
      <c r="I4844" s="2" t="s">
        <v>12583</v>
      </c>
      <c r="J4844" s="3" t="str">
        <f>HYPERLINK("https://www.boe.es/gazeta/dias/1810/06/10/pdfs/GMD-1810-161.pdf#page=3","Abrir facsímil")</f>
        <v>Abrir facsímil</v>
      </c>
      <c r="K4844" s="3" t="s">
        <v>76</v>
      </c>
    </row>
    <row r="4845" spans="1:11" ht="42" customHeight="1">
      <c r="A4845" s="2" t="s">
        <v>12584</v>
      </c>
      <c r="B4845" s="2" t="s">
        <v>12585</v>
      </c>
      <c r="C4845" s="2" t="s">
        <v>88</v>
      </c>
      <c r="D4845" s="2" t="s">
        <v>27</v>
      </c>
      <c r="E4845" s="4">
        <v>-32710</v>
      </c>
      <c r="F4845" s="3" t="s">
        <v>126</v>
      </c>
      <c r="G4845" s="3" t="s">
        <v>35</v>
      </c>
      <c r="H4845" s="2" t="s">
        <v>74</v>
      </c>
      <c r="I4845" s="2" t="s">
        <v>12586</v>
      </c>
      <c r="J4845" s="3" t="str">
        <f>HYPERLINK("https://www.boe.es/gazeta/dias/1810/06/10/pdfs/GMD-1810-161.pdf#page=2","Abrir facsímil")</f>
        <v>Abrir facsímil</v>
      </c>
      <c r="K4845" s="3" t="s">
        <v>76</v>
      </c>
    </row>
    <row r="4846" spans="1:11" ht="42" customHeight="1">
      <c r="A4846" s="2" t="s">
        <v>12587</v>
      </c>
      <c r="B4846" s="2" t="s">
        <v>12588</v>
      </c>
      <c r="C4846" s="2" t="s">
        <v>26</v>
      </c>
      <c r="D4846" s="2" t="s">
        <v>39</v>
      </c>
      <c r="E4846" s="4">
        <v>-32599</v>
      </c>
      <c r="F4846" s="3" t="s">
        <v>662</v>
      </c>
      <c r="G4846" s="3" t="s">
        <v>3346</v>
      </c>
      <c r="H4846" s="2" t="s">
        <v>74</v>
      </c>
      <c r="I4846" s="2" t="s">
        <v>12589</v>
      </c>
      <c r="J4846" s="3" t="str">
        <f>HYPERLINK("https://www.boe.es/gazeta/dias/1810/09/29/pdfs/GMD-C-1810-272.pdf#page=5","Abrir facsímil")</f>
        <v>Abrir facsímil</v>
      </c>
      <c r="K4846" s="3" t="s">
        <v>76</v>
      </c>
    </row>
    <row r="4847" spans="1:11" ht="42" customHeight="1">
      <c r="A4847" s="2" t="s">
        <v>12590</v>
      </c>
      <c r="B4847" s="2" t="s">
        <v>12591</v>
      </c>
      <c r="C4847" s="2" t="s">
        <v>26</v>
      </c>
      <c r="D4847" s="2" t="s">
        <v>27</v>
      </c>
      <c r="E4847" s="4">
        <v>-32710</v>
      </c>
      <c r="F4847" s="3" t="s">
        <v>126</v>
      </c>
      <c r="G4847" s="3" t="s">
        <v>35</v>
      </c>
      <c r="H4847" s="2" t="s">
        <v>74</v>
      </c>
      <c r="I4847" s="2" t="s">
        <v>12592</v>
      </c>
      <c r="J4847" s="3" t="str">
        <f>HYPERLINK("https://www.boe.es/gazeta/dias/1810/06/10/pdfs/GMD-1810-161.pdf#page=2","Abrir facsímil")</f>
        <v>Abrir facsímil</v>
      </c>
      <c r="K4847" s="3" t="s">
        <v>76</v>
      </c>
    </row>
    <row r="4848" spans="1:11" ht="42" customHeight="1">
      <c r="A4848" s="2" t="s">
        <v>12593</v>
      </c>
      <c r="B4848" s="2" t="s">
        <v>12594</v>
      </c>
      <c r="C4848" s="2" t="s">
        <v>26</v>
      </c>
      <c r="D4848" s="2" t="s">
        <v>39</v>
      </c>
      <c r="E4848" s="4">
        <v>-32645</v>
      </c>
      <c r="F4848" s="3" t="s">
        <v>2492</v>
      </c>
      <c r="G4848" s="3" t="s">
        <v>119</v>
      </c>
      <c r="H4848" s="2" t="s">
        <v>74</v>
      </c>
      <c r="I4848" s="2" t="s">
        <v>12595</v>
      </c>
      <c r="J4848" s="3" t="str">
        <f>HYPERLINK("https://www.boe.es/gazeta/dias/1810/08/14/pdfs/GEI-D-1810-56.pdf#page=3","Abrir facsímil")</f>
        <v>Abrir facsímil</v>
      </c>
      <c r="K4848" s="3" t="s">
        <v>76</v>
      </c>
    </row>
    <row r="4849" spans="1:11" ht="42" customHeight="1">
      <c r="A4849" s="2" t="s">
        <v>12596</v>
      </c>
      <c r="B4849" s="2" t="s">
        <v>12597</v>
      </c>
      <c r="C4849" s="2" t="s">
        <v>195</v>
      </c>
      <c r="D4849" s="2" t="s">
        <v>27</v>
      </c>
      <c r="E4849" s="4">
        <v>-32761</v>
      </c>
      <c r="F4849" s="3" t="s">
        <v>2093</v>
      </c>
      <c r="G4849" s="3" t="s">
        <v>2094</v>
      </c>
      <c r="H4849" s="2" t="s">
        <v>74</v>
      </c>
      <c r="I4849" s="2" t="s">
        <v>12598</v>
      </c>
      <c r="J4849" s="3" t="str">
        <f>HYPERLINK("https://www.boe.es/gazeta/dias/1810/04/20/pdfs/GMD-1810-110.pdf#page=2","Abrir facsímil")</f>
        <v>Abrir facsímil</v>
      </c>
      <c r="K4849" s="3" t="s">
        <v>76</v>
      </c>
    </row>
    <row r="4850" spans="1:11" ht="42" customHeight="1">
      <c r="A4850" s="2" t="s">
        <v>12599</v>
      </c>
      <c r="B4850" s="2" t="s">
        <v>12600</v>
      </c>
      <c r="C4850" s="2" t="s">
        <v>26</v>
      </c>
      <c r="D4850" s="2" t="s">
        <v>39</v>
      </c>
      <c r="E4850" s="4">
        <v>-32701</v>
      </c>
      <c r="F4850" s="3" t="s">
        <v>40</v>
      </c>
      <c r="G4850" s="3" t="s">
        <v>333</v>
      </c>
      <c r="H4850" s="2" t="s">
        <v>74</v>
      </c>
      <c r="I4850" s="2" t="s">
        <v>12601</v>
      </c>
      <c r="J4850" s="3" t="str">
        <f>HYPERLINK("https://www.boe.es/gazeta/dias/1810/06/19/pdfs/GMD-C-1810-170.pdf#page=4","Abrir facsímil")</f>
        <v>Abrir facsímil</v>
      </c>
      <c r="K4850" s="3" t="s">
        <v>76</v>
      </c>
    </row>
    <row r="4851" spans="1:11" ht="42" customHeight="1">
      <c r="A4851" s="2" t="s">
        <v>12602</v>
      </c>
      <c r="B4851" s="2" t="s">
        <v>12603</v>
      </c>
      <c r="C4851" s="2" t="s">
        <v>88</v>
      </c>
      <c r="D4851" s="2" t="s">
        <v>27</v>
      </c>
      <c r="E4851" s="4">
        <v>-32700</v>
      </c>
      <c r="F4851" s="3" t="s">
        <v>89</v>
      </c>
      <c r="G4851" s="3" t="s">
        <v>29</v>
      </c>
      <c r="H4851" s="2" t="s">
        <v>74</v>
      </c>
      <c r="I4851" s="2" t="s">
        <v>12604</v>
      </c>
      <c r="J4851" s="3" t="str">
        <f>HYPERLINK("https://www.boe.es/gazeta/dias/1810/06/20/pdfs/GMD-1810-171.pdf#page=3","Abrir facsímil")</f>
        <v>Abrir facsímil</v>
      </c>
      <c r="K4851" s="3" t="s">
        <v>76</v>
      </c>
    </row>
    <row r="4852" spans="1:11" ht="42" customHeight="1">
      <c r="A4852" s="2" t="s">
        <v>12605</v>
      </c>
      <c r="B4852" s="2" t="s">
        <v>12606</v>
      </c>
      <c r="C4852" s="2" t="s">
        <v>26</v>
      </c>
      <c r="D4852" s="2" t="s">
        <v>27</v>
      </c>
      <c r="E4852" s="4">
        <v>-32609</v>
      </c>
      <c r="F4852" s="3" t="s">
        <v>5358</v>
      </c>
      <c r="G4852" s="3" t="s">
        <v>180</v>
      </c>
      <c r="H4852" s="2" t="s">
        <v>74</v>
      </c>
      <c r="I4852" s="2" t="s">
        <v>12607</v>
      </c>
      <c r="J4852" s="3" t="str">
        <f>HYPERLINK("https://www.boe.es/gazeta/dias/1810/09/19/pdfs/GMD-1810-262.pdf#page=3","Abrir facsímil")</f>
        <v>Abrir facsímil</v>
      </c>
      <c r="K4852" s="3" t="s">
        <v>76</v>
      </c>
    </row>
    <row r="4853" spans="1:11" ht="42" customHeight="1">
      <c r="A4853" s="2" t="s">
        <v>12608</v>
      </c>
      <c r="B4853" s="2" t="s">
        <v>12609</v>
      </c>
      <c r="C4853" s="2" t="s">
        <v>88</v>
      </c>
      <c r="D4853" s="2" t="s">
        <v>27</v>
      </c>
      <c r="E4853" s="4">
        <v>-32710</v>
      </c>
      <c r="F4853" s="3" t="s">
        <v>126</v>
      </c>
      <c r="G4853" s="3" t="s">
        <v>180</v>
      </c>
      <c r="H4853" s="2" t="s">
        <v>74</v>
      </c>
      <c r="I4853" s="2" t="s">
        <v>12610</v>
      </c>
      <c r="J4853" s="3" t="str">
        <f>HYPERLINK("https://www.boe.es/gazeta/dias/1810/06/10/pdfs/GMD-1810-161.pdf#page=1","Abrir facsímil")</f>
        <v>Abrir facsímil</v>
      </c>
      <c r="K4853" s="3" t="s">
        <v>76</v>
      </c>
    </row>
    <row r="4854" spans="1:11" ht="42" customHeight="1">
      <c r="A4854" s="2" t="s">
        <v>12611</v>
      </c>
      <c r="B4854" s="2" t="s">
        <v>12612</v>
      </c>
      <c r="C4854" s="2" t="s">
        <v>26</v>
      </c>
      <c r="D4854" s="2" t="s">
        <v>27</v>
      </c>
      <c r="E4854" s="4">
        <v>-32647</v>
      </c>
      <c r="F4854" s="3" t="s">
        <v>118</v>
      </c>
      <c r="G4854" s="3" t="s">
        <v>20</v>
      </c>
      <c r="H4854" s="2" t="s">
        <v>74</v>
      </c>
      <c r="I4854" s="2" t="s">
        <v>12613</v>
      </c>
      <c r="J4854" s="3" t="str">
        <f>HYPERLINK("https://www.boe.es/gazeta/dias/1810/08/12/pdfs/GMD-1810-224.pdf#page=4","Abrir facsímil")</f>
        <v>Abrir facsímil</v>
      </c>
      <c r="K4854" s="3" t="s">
        <v>76</v>
      </c>
    </row>
    <row r="4855" spans="1:11" ht="42" customHeight="1">
      <c r="A4855" s="2" t="s">
        <v>12614</v>
      </c>
      <c r="B4855" s="2" t="s">
        <v>12615</v>
      </c>
      <c r="C4855" s="2" t="s">
        <v>88</v>
      </c>
      <c r="D4855" s="2" t="s">
        <v>117</v>
      </c>
      <c r="E4855" s="4">
        <v>-32631</v>
      </c>
      <c r="F4855" s="3" t="s">
        <v>497</v>
      </c>
      <c r="G4855" s="3" t="s">
        <v>498</v>
      </c>
      <c r="H4855" s="2" t="s">
        <v>74</v>
      </c>
      <c r="I4855" s="2" t="s">
        <v>12616</v>
      </c>
      <c r="J4855" s="3" t="str">
        <f>HYPERLINK("https://www.boe.es/gazeta/dias/1810/08/28/pdfs/GMD-1810-240.pdf#page=2","Abrir facsímil")</f>
        <v>Abrir facsímil</v>
      </c>
      <c r="K4855" s="3" t="s">
        <v>76</v>
      </c>
    </row>
    <row r="4856" spans="1:11" ht="42" customHeight="1">
      <c r="A4856" s="2" t="s">
        <v>12617</v>
      </c>
      <c r="B4856" s="2" t="s">
        <v>12618</v>
      </c>
      <c r="C4856" s="2" t="s">
        <v>111</v>
      </c>
      <c r="D4856" s="2" t="s">
        <v>18</v>
      </c>
      <c r="E4856" s="4">
        <v>-32515</v>
      </c>
      <c r="F4856" s="3" t="s">
        <v>351</v>
      </c>
      <c r="G4856" s="3" t="s">
        <v>352</v>
      </c>
      <c r="H4856" s="2" t="s">
        <v>74</v>
      </c>
      <c r="I4856" s="2" t="s">
        <v>12619</v>
      </c>
      <c r="J4856" s="3" t="str">
        <f>HYPERLINK("https://www.boe.es/gazeta/dias/1810/12/22/pdfs/GEI-1810-111.pdf#page=8","Abrir facsímil")</f>
        <v>Abrir facsímil</v>
      </c>
      <c r="K4856" s="3" t="s">
        <v>76</v>
      </c>
    </row>
    <row r="4857" spans="1:11" ht="42" customHeight="1">
      <c r="A4857" s="2" t="s">
        <v>12620</v>
      </c>
      <c r="B4857" s="2" t="s">
        <v>12621</v>
      </c>
      <c r="C4857" s="2" t="s">
        <v>26</v>
      </c>
      <c r="D4857" s="2" t="s">
        <v>27</v>
      </c>
      <c r="E4857" s="4">
        <v>-32689</v>
      </c>
      <c r="F4857" s="3" t="s">
        <v>571</v>
      </c>
      <c r="G4857" s="3" t="s">
        <v>29</v>
      </c>
      <c r="H4857" s="2" t="s">
        <v>74</v>
      </c>
      <c r="I4857" s="2" t="s">
        <v>12622</v>
      </c>
      <c r="J4857" s="3" t="str">
        <f>HYPERLINK("https://www.boe.es/gazeta/dias/1810/07/01/pdfs/GMD-1810-182.pdf#page=3","Abrir facsímil")</f>
        <v>Abrir facsímil</v>
      </c>
      <c r="K4857" s="3" t="s">
        <v>76</v>
      </c>
    </row>
    <row r="4858" spans="1:11" ht="42" customHeight="1">
      <c r="A4858" s="2" t="s">
        <v>12623</v>
      </c>
      <c r="B4858" s="2" t="s">
        <v>12624</v>
      </c>
      <c r="C4858" s="2" t="s">
        <v>26</v>
      </c>
      <c r="D4858" s="2" t="s">
        <v>27</v>
      </c>
      <c r="E4858" s="4">
        <v>-32782</v>
      </c>
      <c r="F4858" s="3" t="s">
        <v>79</v>
      </c>
      <c r="G4858" s="3" t="s">
        <v>80</v>
      </c>
      <c r="H4858" s="2" t="s">
        <v>74</v>
      </c>
      <c r="I4858" s="2" t="s">
        <v>12625</v>
      </c>
      <c r="J4858" s="3" t="str">
        <f>HYPERLINK("https://www.boe.es/gazeta/dias/1810/03/30/pdfs/GEI-1810-9.pdf#page=7","Abrir facsímil")</f>
        <v>Abrir facsímil</v>
      </c>
      <c r="K4858" s="3" t="s">
        <v>76</v>
      </c>
    </row>
    <row r="4859" spans="1:11" ht="42" customHeight="1">
      <c r="A4859" s="2" t="s">
        <v>12626</v>
      </c>
      <c r="B4859" s="2" t="s">
        <v>12626</v>
      </c>
      <c r="C4859" s="2" t="s">
        <v>88</v>
      </c>
      <c r="D4859" s="2" t="s">
        <v>117</v>
      </c>
      <c r="E4859" s="4">
        <v>-32684</v>
      </c>
      <c r="F4859" s="3" t="s">
        <v>1373</v>
      </c>
      <c r="G4859" s="3" t="s">
        <v>613</v>
      </c>
      <c r="H4859" s="2" t="s">
        <v>74</v>
      </c>
      <c r="I4859" s="2" t="s">
        <v>12627</v>
      </c>
      <c r="J4859" s="3" t="str">
        <f>HYPERLINK("https://www.boe.es/gazeta/dias/1810/07/06/pdfs/GEI-1810-42.pdf#page=4","Abrir facsímil")</f>
        <v>Abrir facsímil</v>
      </c>
      <c r="K4859" s="3" t="s">
        <v>76</v>
      </c>
    </row>
    <row r="4860" spans="1:11" ht="42" customHeight="1">
      <c r="A4860" s="2" t="s">
        <v>12626</v>
      </c>
      <c r="B4860" s="2" t="s">
        <v>12626</v>
      </c>
      <c r="C4860" s="2" t="s">
        <v>88</v>
      </c>
      <c r="D4860" s="2" t="s">
        <v>220</v>
      </c>
      <c r="E4860" s="4">
        <v>-32677</v>
      </c>
      <c r="F4860" s="3" t="s">
        <v>1940</v>
      </c>
      <c r="G4860" s="3" t="s">
        <v>5645</v>
      </c>
      <c r="H4860" s="2" t="s">
        <v>74</v>
      </c>
      <c r="I4860" s="2" t="s">
        <v>12628</v>
      </c>
      <c r="J4860" s="3" t="str">
        <f>HYPERLINK("https://www.boe.es/gazeta/dias/1810/07/13/pdfs/GEI-1810-44.pdf#page=4","Abrir facsímil")</f>
        <v>Abrir facsímil</v>
      </c>
      <c r="K4860" s="3" t="s">
        <v>76</v>
      </c>
    </row>
    <row r="4861" spans="1:11" ht="42" customHeight="1">
      <c r="A4861" s="2" t="s">
        <v>12626</v>
      </c>
      <c r="B4861" s="2" t="s">
        <v>12626</v>
      </c>
      <c r="C4861" s="2" t="s">
        <v>88</v>
      </c>
      <c r="D4861" s="2" t="s">
        <v>27</v>
      </c>
      <c r="E4861" s="4">
        <v>-32573</v>
      </c>
      <c r="F4861" s="3" t="s">
        <v>3120</v>
      </c>
      <c r="G4861" s="3" t="s">
        <v>1656</v>
      </c>
      <c r="H4861" s="2" t="s">
        <v>74</v>
      </c>
      <c r="I4861" s="2" t="s">
        <v>12629</v>
      </c>
      <c r="J4861" s="3" t="str">
        <f>HYPERLINK("https://www.boe.es/gazeta/dias/1810/10/25/pdfs/GEI-1810-86.pdf#page=3","Abrir facsímil")</f>
        <v>Abrir facsímil</v>
      </c>
      <c r="K4861" s="3" t="s">
        <v>76</v>
      </c>
    </row>
    <row r="4862" spans="1:11" ht="42" customHeight="1">
      <c r="A4862" s="2" t="s">
        <v>12626</v>
      </c>
      <c r="B4862" s="2" t="s">
        <v>12626</v>
      </c>
      <c r="C4862" s="2" t="s">
        <v>88</v>
      </c>
      <c r="D4862" s="2" t="s">
        <v>117</v>
      </c>
      <c r="E4862" s="4">
        <v>-32573</v>
      </c>
      <c r="F4862" s="3" t="s">
        <v>3120</v>
      </c>
      <c r="G4862" s="3" t="s">
        <v>12630</v>
      </c>
      <c r="H4862" s="2" t="s">
        <v>74</v>
      </c>
      <c r="I4862" s="2" t="s">
        <v>12631</v>
      </c>
      <c r="J4862" s="3" t="str">
        <f>HYPERLINK("https://www.boe.es/gazeta/dias/1810/10/25/pdfs/GEI-1810-86.pdf#page=4","Abrir facsímil")</f>
        <v>Abrir facsímil</v>
      </c>
      <c r="K4862" s="3" t="s">
        <v>76</v>
      </c>
    </row>
    <row r="4863" spans="1:11" ht="42" customHeight="1">
      <c r="A4863" s="2" t="s">
        <v>12632</v>
      </c>
      <c r="B4863" s="2" t="s">
        <v>12633</v>
      </c>
      <c r="C4863" s="2" t="s">
        <v>17</v>
      </c>
      <c r="D4863" s="2" t="s">
        <v>27</v>
      </c>
      <c r="E4863" s="4">
        <v>-32741</v>
      </c>
      <c r="F4863" s="3" t="s">
        <v>98</v>
      </c>
      <c r="G4863" s="3" t="s">
        <v>90</v>
      </c>
      <c r="H4863" s="2" t="s">
        <v>74</v>
      </c>
      <c r="I4863" s="2" t="s">
        <v>12634</v>
      </c>
      <c r="J4863" s="3" t="str">
        <f>HYPERLINK("https://www.boe.es/gazeta/dias/1810/05/10/pdfs/GMD-1810-130.pdf#page=4","Abrir facsímil")</f>
        <v>Abrir facsímil</v>
      </c>
      <c r="K4863" s="3" t="s">
        <v>76</v>
      </c>
    </row>
    <row r="4864" spans="1:11" ht="42" customHeight="1">
      <c r="A4864" s="2" t="s">
        <v>12635</v>
      </c>
      <c r="B4864" s="2" t="s">
        <v>12635</v>
      </c>
      <c r="C4864" s="2" t="s">
        <v>88</v>
      </c>
      <c r="D4864" s="2" t="s">
        <v>117</v>
      </c>
      <c r="E4864" s="4">
        <v>-32848</v>
      </c>
      <c r="F4864" s="3" t="s">
        <v>558</v>
      </c>
      <c r="G4864" s="3" t="s">
        <v>9393</v>
      </c>
      <c r="H4864" s="2" t="s">
        <v>74</v>
      </c>
      <c r="I4864" s="2" t="s">
        <v>12636</v>
      </c>
      <c r="J4864" s="3" t="str">
        <f>HYPERLINK("https://www.boe.es/gazeta/dias/1810/01/23/pdfs/GGB-1810-10.pdf#page=4","Abrir facsímil")</f>
        <v>Abrir facsímil</v>
      </c>
      <c r="K4864" s="3" t="s">
        <v>76</v>
      </c>
    </row>
    <row r="4865" spans="1:11" ht="42" customHeight="1">
      <c r="A4865" s="2" t="s">
        <v>12637</v>
      </c>
      <c r="B4865" s="2" t="s">
        <v>12638</v>
      </c>
      <c r="C4865" s="2" t="s">
        <v>26</v>
      </c>
      <c r="D4865" s="2" t="s">
        <v>27</v>
      </c>
      <c r="E4865" s="4">
        <v>-32545</v>
      </c>
      <c r="F4865" s="3" t="s">
        <v>165</v>
      </c>
      <c r="G4865" s="3" t="s">
        <v>166</v>
      </c>
      <c r="H4865" s="2" t="s">
        <v>74</v>
      </c>
      <c r="I4865" s="2" t="s">
        <v>12639</v>
      </c>
      <c r="J4865" s="3" t="str">
        <f>HYPERLINK("https://www.boe.es/gazeta/dias/1810/11/22/pdfs/GEI-1810-98.pdf#page=8","Abrir facsímil")</f>
        <v>Abrir facsímil</v>
      </c>
      <c r="K4865" s="3" t="s">
        <v>76</v>
      </c>
    </row>
    <row r="4866" spans="1:11" ht="42" customHeight="1">
      <c r="A4866" s="2" t="s">
        <v>12640</v>
      </c>
      <c r="B4866" s="2" t="s">
        <v>12640</v>
      </c>
      <c r="C4866" s="2" t="s">
        <v>88</v>
      </c>
      <c r="D4866" s="2" t="s">
        <v>27</v>
      </c>
      <c r="E4866" s="4">
        <v>-32557</v>
      </c>
      <c r="F4866" s="3" t="s">
        <v>8182</v>
      </c>
      <c r="G4866" s="3" t="s">
        <v>180</v>
      </c>
      <c r="H4866" s="2" t="s">
        <v>74</v>
      </c>
      <c r="I4866" s="2" t="s">
        <v>12641</v>
      </c>
      <c r="J4866" s="3" t="str">
        <f>HYPERLINK("https://www.boe.es/gazeta/dias/1810/11/10/pdfs/GMD-1810-314.pdf#page=3","Abrir facsímil")</f>
        <v>Abrir facsímil</v>
      </c>
      <c r="K4866" s="3" t="s">
        <v>76</v>
      </c>
    </row>
    <row r="4867" spans="1:11" ht="42" customHeight="1">
      <c r="A4867" s="2" t="s">
        <v>12642</v>
      </c>
      <c r="B4867" s="2" t="s">
        <v>12642</v>
      </c>
      <c r="C4867" s="2" t="s">
        <v>88</v>
      </c>
      <c r="D4867" s="2" t="s">
        <v>117</v>
      </c>
      <c r="E4867" s="4">
        <v>-32557</v>
      </c>
      <c r="F4867" s="3" t="s">
        <v>8182</v>
      </c>
      <c r="G4867" s="3" t="s">
        <v>213</v>
      </c>
      <c r="H4867" s="2" t="s">
        <v>74</v>
      </c>
      <c r="I4867" s="2" t="s">
        <v>12643</v>
      </c>
      <c r="J4867" s="3" t="str">
        <f>HYPERLINK("https://www.boe.es/gazeta/dias/1810/11/10/pdfs/GMD-1810-314.pdf#page=4","Abrir facsímil")</f>
        <v>Abrir facsímil</v>
      </c>
      <c r="K4867" s="3" t="s">
        <v>76</v>
      </c>
    </row>
    <row r="4868" spans="1:11" ht="42" customHeight="1">
      <c r="A4868" s="2" t="s">
        <v>12644</v>
      </c>
      <c r="B4868" s="2" t="s">
        <v>12645</v>
      </c>
      <c r="C4868" s="2" t="s">
        <v>26</v>
      </c>
      <c r="D4868" s="2" t="s">
        <v>27</v>
      </c>
      <c r="E4868" s="4">
        <v>-32520</v>
      </c>
      <c r="F4868" s="3" t="s">
        <v>2109</v>
      </c>
      <c r="G4868" s="3" t="s">
        <v>2110</v>
      </c>
      <c r="H4868" s="2" t="s">
        <v>74</v>
      </c>
      <c r="I4868" s="2" t="s">
        <v>12646</v>
      </c>
      <c r="J4868" s="3" t="str">
        <f>HYPERLINK("https://www.boe.es/gazeta/dias/1810/12/17/pdfs/GMD-1810-351.pdf#page=2","Abrir facsímil")</f>
        <v>Abrir facsímil</v>
      </c>
      <c r="K4868" s="3" t="s">
        <v>76</v>
      </c>
    </row>
    <row r="4869" spans="1:11" ht="42" customHeight="1">
      <c r="A4869" s="2" t="s">
        <v>12647</v>
      </c>
      <c r="B4869" s="2" t="s">
        <v>12648</v>
      </c>
      <c r="C4869" s="2" t="s">
        <v>26</v>
      </c>
      <c r="D4869" s="2" t="s">
        <v>27</v>
      </c>
      <c r="E4869" s="4">
        <v>-32756</v>
      </c>
      <c r="F4869" s="3" t="s">
        <v>203</v>
      </c>
      <c r="G4869" s="3" t="s">
        <v>180</v>
      </c>
      <c r="H4869" s="2" t="s">
        <v>74</v>
      </c>
      <c r="I4869" s="2" t="s">
        <v>12649</v>
      </c>
      <c r="J4869" s="3" t="str">
        <f>HYPERLINK("https://www.boe.es/gazeta/dias/1810/04/25/pdfs/GMD-1810-115.pdf#page=4","Abrir facsímil")</f>
        <v>Abrir facsímil</v>
      </c>
      <c r="K4869" s="3" t="s">
        <v>76</v>
      </c>
    </row>
    <row r="4870" spans="1:11" ht="42" customHeight="1">
      <c r="A4870" s="2" t="s">
        <v>12650</v>
      </c>
      <c r="B4870" s="2" t="s">
        <v>12651</v>
      </c>
      <c r="C4870" s="2" t="s">
        <v>26</v>
      </c>
      <c r="D4870" s="2" t="s">
        <v>27</v>
      </c>
      <c r="E4870" s="4">
        <v>-32771</v>
      </c>
      <c r="F4870" s="3" t="s">
        <v>543</v>
      </c>
      <c r="G4870" s="3" t="s">
        <v>65</v>
      </c>
      <c r="H4870" s="2" t="s">
        <v>74</v>
      </c>
      <c r="I4870" s="2" t="s">
        <v>12652</v>
      </c>
      <c r="J4870" s="3" t="str">
        <f>HYPERLINK("https://www.boe.es/gazeta/dias/1810/04/10/pdfs/GEI-1810-13.pdf#page=7","Abrir facsímil")</f>
        <v>Abrir facsímil</v>
      </c>
      <c r="K4870" s="3" t="s">
        <v>76</v>
      </c>
    </row>
    <row r="4871" spans="1:11" ht="42" customHeight="1">
      <c r="A4871" s="2" t="s">
        <v>12653</v>
      </c>
      <c r="B4871" s="2" t="s">
        <v>12653</v>
      </c>
      <c r="C4871" s="2" t="s">
        <v>88</v>
      </c>
      <c r="D4871" s="2" t="s">
        <v>27</v>
      </c>
      <c r="E4871" s="4">
        <v>-32534</v>
      </c>
      <c r="F4871" s="3" t="s">
        <v>2242</v>
      </c>
      <c r="G4871" s="3" t="s">
        <v>180</v>
      </c>
      <c r="H4871" s="2" t="s">
        <v>74</v>
      </c>
      <c r="I4871" s="2" t="s">
        <v>12654</v>
      </c>
      <c r="J4871" s="3" t="str">
        <f>HYPERLINK("https://www.boe.es/gazeta/dias/1810/12/03/pdfs/GMD-1810-337.pdf#page=3","Abrir facsímil")</f>
        <v>Abrir facsímil</v>
      </c>
      <c r="K4871" s="3" t="s">
        <v>76</v>
      </c>
    </row>
    <row r="4872" spans="1:11" ht="42" customHeight="1">
      <c r="A4872" s="2" t="s">
        <v>12655</v>
      </c>
      <c r="B4872" s="2" t="s">
        <v>12655</v>
      </c>
      <c r="C4872" s="2" t="s">
        <v>88</v>
      </c>
      <c r="D4872" s="2" t="s">
        <v>117</v>
      </c>
      <c r="E4872" s="4">
        <v>-32638</v>
      </c>
      <c r="F4872" s="3" t="s">
        <v>2498</v>
      </c>
      <c r="G4872" s="3" t="s">
        <v>29</v>
      </c>
      <c r="H4872" s="2" t="s">
        <v>74</v>
      </c>
      <c r="I4872" s="2" t="s">
        <v>12656</v>
      </c>
      <c r="J4872" s="3" t="str">
        <f>HYPERLINK("https://www.boe.es/gazeta/dias/1810/08/21/pdfs/GEI-1810-58.pdf#page=8","Abrir facsímil")</f>
        <v>Abrir facsímil</v>
      </c>
      <c r="K4872" s="3" t="s">
        <v>76</v>
      </c>
    </row>
    <row r="4873" spans="1:11" ht="42" customHeight="1">
      <c r="A4873" s="2" t="s">
        <v>12657</v>
      </c>
      <c r="B4873" s="2" t="s">
        <v>12657</v>
      </c>
      <c r="C4873" s="2" t="s">
        <v>26</v>
      </c>
      <c r="D4873" s="2" t="s">
        <v>27</v>
      </c>
      <c r="E4873" s="4">
        <v>-32865</v>
      </c>
      <c r="F4873" s="3" t="s">
        <v>1377</v>
      </c>
      <c r="G4873" s="3" t="s">
        <v>29</v>
      </c>
      <c r="H4873" s="2" t="s">
        <v>74</v>
      </c>
      <c r="I4873" s="2" t="s">
        <v>12658</v>
      </c>
      <c r="J4873" s="3" t="str">
        <f>HYPERLINK("https://www.boe.es/gazeta/dias/1810/01/06/pdfs/GMD-1810-6.pdf#page=3","Abrir facsímil")</f>
        <v>Abrir facsímil</v>
      </c>
      <c r="K4873" s="3" t="s">
        <v>76</v>
      </c>
    </row>
    <row r="4874" spans="1:11" ht="42" customHeight="1">
      <c r="A4874" s="2" t="s">
        <v>12657</v>
      </c>
      <c r="B4874" s="2" t="s">
        <v>12657</v>
      </c>
      <c r="C4874" s="2" t="s">
        <v>111</v>
      </c>
      <c r="D4874" s="2" t="s">
        <v>27</v>
      </c>
      <c r="E4874" s="4">
        <v>-32642</v>
      </c>
      <c r="F4874" s="3" t="s">
        <v>2607</v>
      </c>
      <c r="G4874" s="3" t="s">
        <v>227</v>
      </c>
      <c r="H4874" s="2" t="s">
        <v>74</v>
      </c>
      <c r="I4874" s="2" t="s">
        <v>12659</v>
      </c>
      <c r="J4874" s="3" t="str">
        <f>HYPERLINK("https://www.boe.es/gazeta/dias/1810/08/17/pdfs/GMD-1810-229.pdf#page=4","Abrir facsímil")</f>
        <v>Abrir facsímil</v>
      </c>
      <c r="K4874" s="3" t="s">
        <v>76</v>
      </c>
    </row>
    <row r="4875" spans="1:11" ht="42" customHeight="1">
      <c r="A4875" s="2" t="s">
        <v>12660</v>
      </c>
      <c r="B4875" s="2" t="s">
        <v>12661</v>
      </c>
      <c r="C4875" s="2" t="s">
        <v>88</v>
      </c>
      <c r="D4875" s="2" t="s">
        <v>27</v>
      </c>
      <c r="E4875" s="4">
        <v>-32554</v>
      </c>
      <c r="F4875" s="3" t="s">
        <v>5190</v>
      </c>
      <c r="G4875" s="3" t="s">
        <v>5191</v>
      </c>
      <c r="H4875" s="2" t="s">
        <v>74</v>
      </c>
      <c r="I4875" s="2" t="s">
        <v>12662</v>
      </c>
      <c r="J4875" s="3" t="str">
        <f>HYPERLINK("https://www.boe.es/gazeta/dias/1810/11/13/pdfs/GEI-1810-94.pdf#page=8","Abrir facsímil")</f>
        <v>Abrir facsímil</v>
      </c>
      <c r="K4875" s="3" t="s">
        <v>76</v>
      </c>
    </row>
    <row r="4876" spans="1:11" ht="42" customHeight="1">
      <c r="A4876" s="2" t="s">
        <v>12663</v>
      </c>
      <c r="B4876" s="2" t="s">
        <v>12664</v>
      </c>
      <c r="C4876" s="2" t="s">
        <v>88</v>
      </c>
      <c r="D4876" s="2" t="s">
        <v>27</v>
      </c>
      <c r="E4876" s="4">
        <v>-32842</v>
      </c>
      <c r="F4876" s="3" t="s">
        <v>1291</v>
      </c>
      <c r="G4876" s="3" t="s">
        <v>1292</v>
      </c>
      <c r="H4876" s="2" t="s">
        <v>74</v>
      </c>
      <c r="I4876" s="2" t="s">
        <v>12665</v>
      </c>
      <c r="J4876" s="3" t="str">
        <f>HYPERLINK("https://www.boe.es/gazeta/dias/1810/01/29/pdfs/GMD-1810-29.pdf#page=3","Abrir facsímil")</f>
        <v>Abrir facsímil</v>
      </c>
      <c r="K4876" s="3" t="s">
        <v>76</v>
      </c>
    </row>
    <row r="4877" spans="1:11" ht="42" customHeight="1">
      <c r="A4877" s="2" t="s">
        <v>12663</v>
      </c>
      <c r="B4877" s="2" t="s">
        <v>12664</v>
      </c>
      <c r="C4877" s="2" t="s">
        <v>26</v>
      </c>
      <c r="D4877" s="2" t="s">
        <v>27</v>
      </c>
      <c r="E4877" s="4">
        <v>-32809</v>
      </c>
      <c r="F4877" s="3" t="s">
        <v>1873</v>
      </c>
      <c r="G4877" s="3" t="s">
        <v>735</v>
      </c>
      <c r="H4877" s="2" t="s">
        <v>74</v>
      </c>
      <c r="I4877" s="2" t="s">
        <v>12666</v>
      </c>
      <c r="J4877" s="3" t="str">
        <f>HYPERLINK("https://www.boe.es/gazeta/dias/1810/03/03/pdfs/GMD-1810-62.pdf#page=4","Abrir facsímil")</f>
        <v>Abrir facsímil</v>
      </c>
      <c r="K4877" s="3" t="s">
        <v>76</v>
      </c>
    </row>
    <row r="4878" spans="1:11" ht="42" customHeight="1">
      <c r="A4878" s="2" t="s">
        <v>12667</v>
      </c>
      <c r="B4878" s="2" t="s">
        <v>12667</v>
      </c>
      <c r="C4878" s="2" t="s">
        <v>88</v>
      </c>
      <c r="D4878" s="2" t="s">
        <v>18</v>
      </c>
      <c r="E4878" s="4">
        <v>-32645</v>
      </c>
      <c r="F4878" s="3" t="s">
        <v>122</v>
      </c>
      <c r="G4878" s="3" t="s">
        <v>3133</v>
      </c>
      <c r="H4878" s="2" t="s">
        <v>74</v>
      </c>
      <c r="I4878" s="2" t="s">
        <v>12668</v>
      </c>
      <c r="J4878" s="3" t="str">
        <f>HYPERLINK("https://www.boe.es/gazeta/dias/1810/08/14/pdfs/GEI-1810-56.pdf#page=1","Abrir facsímil")</f>
        <v>Abrir facsímil</v>
      </c>
      <c r="K4878" s="3" t="s">
        <v>76</v>
      </c>
    </row>
    <row r="4879" spans="1:11" ht="42" customHeight="1">
      <c r="A4879" s="2" t="s">
        <v>12667</v>
      </c>
      <c r="B4879" s="2" t="s">
        <v>12667</v>
      </c>
      <c r="C4879" s="2" t="s">
        <v>88</v>
      </c>
      <c r="D4879" s="2" t="s">
        <v>58</v>
      </c>
      <c r="E4879" s="4">
        <v>-32629</v>
      </c>
      <c r="F4879" s="3" t="s">
        <v>4320</v>
      </c>
      <c r="G4879" s="3" t="s">
        <v>4321</v>
      </c>
      <c r="H4879" s="2" t="s">
        <v>74</v>
      </c>
      <c r="I4879" s="2" t="s">
        <v>12669</v>
      </c>
      <c r="J4879" s="3" t="str">
        <f>HYPERLINK("https://www.boe.es/gazeta/dias/1810/08/30/pdfs/GEI-1810-61E.pdf#page=1","Abrir facsímil")</f>
        <v>Abrir facsímil</v>
      </c>
      <c r="K4879" s="3" t="s">
        <v>76</v>
      </c>
    </row>
    <row r="4880" spans="1:11" ht="42" customHeight="1">
      <c r="A4880" s="2" t="s">
        <v>12667</v>
      </c>
      <c r="B4880" s="2" t="s">
        <v>12667</v>
      </c>
      <c r="C4880" s="2" t="s">
        <v>88</v>
      </c>
      <c r="D4880" s="2" t="s">
        <v>117</v>
      </c>
      <c r="E4880" s="4">
        <v>-32629</v>
      </c>
      <c r="F4880" s="3" t="s">
        <v>4320</v>
      </c>
      <c r="G4880" s="3" t="s">
        <v>12670</v>
      </c>
      <c r="H4880" s="2" t="s">
        <v>74</v>
      </c>
      <c r="I4880" s="2" t="s">
        <v>12671</v>
      </c>
      <c r="J4880" s="3" t="str">
        <f>HYPERLINK("https://www.boe.es/gazeta/dias/1810/08/30/pdfs/GEI-1810-61E.pdf#page=2","Abrir facsímil")</f>
        <v>Abrir facsímil</v>
      </c>
      <c r="K4880" s="3" t="s">
        <v>76</v>
      </c>
    </row>
    <row r="4881" spans="1:11" ht="42" customHeight="1">
      <c r="A4881" s="2" t="s">
        <v>12667</v>
      </c>
      <c r="B4881" s="2" t="s">
        <v>12667</v>
      </c>
      <c r="C4881" s="2" t="s">
        <v>88</v>
      </c>
      <c r="D4881" s="2" t="s">
        <v>117</v>
      </c>
      <c r="E4881" s="4">
        <v>-32629</v>
      </c>
      <c r="F4881" s="3" t="s">
        <v>4320</v>
      </c>
      <c r="G4881" s="3" t="s">
        <v>104</v>
      </c>
      <c r="H4881" s="2" t="s">
        <v>74</v>
      </c>
      <c r="I4881" s="2" t="s">
        <v>12672</v>
      </c>
      <c r="J4881" s="3" t="str">
        <f>HYPERLINK("https://www.boe.es/gazeta/dias/1810/08/30/pdfs/GEI-1810-61E.pdf#page=3","Abrir facsímil")</f>
        <v>Abrir facsímil</v>
      </c>
      <c r="K4881" s="3" t="s">
        <v>76</v>
      </c>
    </row>
    <row r="4882" spans="1:11" ht="42" customHeight="1">
      <c r="A4882" s="2" t="s">
        <v>12667</v>
      </c>
      <c r="B4882" s="2" t="s">
        <v>12667</v>
      </c>
      <c r="C4882" s="2" t="s">
        <v>88</v>
      </c>
      <c r="D4882" s="2" t="s">
        <v>117</v>
      </c>
      <c r="E4882" s="4">
        <v>-32629</v>
      </c>
      <c r="F4882" s="3" t="s">
        <v>4320</v>
      </c>
      <c r="G4882" s="3" t="s">
        <v>191</v>
      </c>
      <c r="H4882" s="2" t="s">
        <v>74</v>
      </c>
      <c r="I4882" s="2" t="s">
        <v>12673</v>
      </c>
      <c r="J4882" s="3" t="str">
        <f>HYPERLINK("https://www.boe.es/gazeta/dias/1810/08/30/pdfs/GEI-1810-61E.pdf#page=4","Abrir facsímil")</f>
        <v>Abrir facsímil</v>
      </c>
      <c r="K4882" s="3" t="s">
        <v>76</v>
      </c>
    </row>
    <row r="4883" spans="1:11" ht="42" customHeight="1">
      <c r="A4883" s="2" t="s">
        <v>12667</v>
      </c>
      <c r="B4883" s="2" t="s">
        <v>12667</v>
      </c>
      <c r="C4883" s="2" t="s">
        <v>88</v>
      </c>
      <c r="D4883" s="2" t="s">
        <v>27</v>
      </c>
      <c r="E4883" s="4">
        <v>-32585</v>
      </c>
      <c r="F4883" s="3" t="s">
        <v>260</v>
      </c>
      <c r="G4883" s="3" t="s">
        <v>99</v>
      </c>
      <c r="H4883" s="2" t="s">
        <v>74</v>
      </c>
      <c r="I4883" s="2" t="s">
        <v>12674</v>
      </c>
      <c r="J4883" s="3" t="str">
        <f>HYPERLINK("https://www.boe.es/gazeta/dias/1810/10/13/pdfs/GEI-1810-81.pdf#page=3","Abrir facsímil")</f>
        <v>Abrir facsímil</v>
      </c>
      <c r="K4883" s="3" t="s">
        <v>76</v>
      </c>
    </row>
    <row r="4884" spans="1:11" ht="42" customHeight="1">
      <c r="A4884" s="2" t="s">
        <v>12675</v>
      </c>
      <c r="B4884" s="2" t="s">
        <v>12676</v>
      </c>
      <c r="C4884" s="2" t="s">
        <v>26</v>
      </c>
      <c r="D4884" s="2" t="s">
        <v>27</v>
      </c>
      <c r="E4884" s="4">
        <v>-32645</v>
      </c>
      <c r="F4884" s="3" t="s">
        <v>122</v>
      </c>
      <c r="G4884" s="3" t="s">
        <v>12677</v>
      </c>
      <c r="H4884" s="2" t="s">
        <v>74</v>
      </c>
      <c r="I4884" s="2" t="s">
        <v>12678</v>
      </c>
      <c r="J4884" s="3" t="str">
        <f>HYPERLINK("https://www.boe.es/gazeta/dias/1810/08/14/pdfs/GEI-1810-56.pdf#page=5","Abrir facsímil")</f>
        <v>Abrir facsímil</v>
      </c>
      <c r="K4884" s="3" t="s">
        <v>76</v>
      </c>
    </row>
    <row r="4885" spans="1:11" ht="42" customHeight="1">
      <c r="A4885" s="2" t="s">
        <v>12679</v>
      </c>
      <c r="B4885" s="2" t="s">
        <v>12680</v>
      </c>
      <c r="C4885" s="2" t="s">
        <v>225</v>
      </c>
      <c r="D4885" s="2" t="s">
        <v>27</v>
      </c>
      <c r="E4885" s="4">
        <v>-32764</v>
      </c>
      <c r="F4885" s="3" t="s">
        <v>640</v>
      </c>
      <c r="G4885" s="3" t="s">
        <v>641</v>
      </c>
      <c r="H4885" s="2" t="s">
        <v>74</v>
      </c>
      <c r="I4885" s="2" t="s">
        <v>12681</v>
      </c>
      <c r="J4885" s="3" t="str">
        <f>HYPERLINK("https://www.boe.es/gazeta/dias/1810/04/17/pdfs/GEI-1810-15.pdf#page=8","Abrir facsímil")</f>
        <v>Abrir facsímil</v>
      </c>
      <c r="K4885" s="3" t="s">
        <v>76</v>
      </c>
    </row>
    <row r="4886" spans="1:11" ht="42" customHeight="1">
      <c r="A4886" s="2" t="s">
        <v>12682</v>
      </c>
      <c r="B4886" s="2" t="s">
        <v>12683</v>
      </c>
      <c r="C4886" s="2" t="s">
        <v>26</v>
      </c>
      <c r="D4886" s="2" t="s">
        <v>39</v>
      </c>
      <c r="E4886" s="4">
        <v>-32661</v>
      </c>
      <c r="F4886" s="3" t="s">
        <v>157</v>
      </c>
      <c r="G4886" s="3" t="s">
        <v>592</v>
      </c>
      <c r="H4886" s="2" t="s">
        <v>74</v>
      </c>
      <c r="I4886" s="2" t="s">
        <v>12684</v>
      </c>
      <c r="J4886" s="3" t="str">
        <f>HYPERLINK("https://www.boe.es/gazeta/dias/1810/07/29/pdfs/GMD-C-1810-210.pdf#page=2","Abrir facsímil")</f>
        <v>Abrir facsímil</v>
      </c>
      <c r="K4886" s="3" t="s">
        <v>76</v>
      </c>
    </row>
    <row r="4887" spans="1:11" ht="42" customHeight="1">
      <c r="A4887" s="2" t="s">
        <v>12685</v>
      </c>
      <c r="B4887" s="2" t="s">
        <v>12686</v>
      </c>
      <c r="C4887" s="2" t="s">
        <v>26</v>
      </c>
      <c r="D4887" s="2" t="s">
        <v>18</v>
      </c>
      <c r="E4887" s="4">
        <v>-32820</v>
      </c>
      <c r="F4887" s="3" t="s">
        <v>226</v>
      </c>
      <c r="G4887" s="3" t="s">
        <v>356</v>
      </c>
      <c r="H4887" s="2" t="s">
        <v>74</v>
      </c>
      <c r="I4887" s="2" t="s">
        <v>12687</v>
      </c>
      <c r="J4887" s="3" t="str">
        <f>HYPERLINK("https://www.boe.es/gazeta/dias/1810/02/20/pdfs/GMD-1810-51.pdf#page=3","Abrir facsímil")</f>
        <v>Abrir facsímil</v>
      </c>
      <c r="K4887" s="3" t="s">
        <v>76</v>
      </c>
    </row>
    <row r="4888" spans="1:11" ht="42" customHeight="1">
      <c r="A4888" s="2" t="s">
        <v>12688</v>
      </c>
      <c r="B4888" s="2" t="s">
        <v>12689</v>
      </c>
      <c r="C4888" s="2" t="s">
        <v>88</v>
      </c>
      <c r="D4888" s="2" t="s">
        <v>117</v>
      </c>
      <c r="E4888" s="4">
        <v>-32566</v>
      </c>
      <c r="F4888" s="3" t="s">
        <v>405</v>
      </c>
      <c r="G4888" s="3" t="s">
        <v>469</v>
      </c>
      <c r="H4888" s="2" t="s">
        <v>74</v>
      </c>
      <c r="I4888" s="2" t="s">
        <v>12690</v>
      </c>
      <c r="J4888" s="3" t="str">
        <f>HYPERLINK("https://www.boe.es/gazeta/dias/1810/11/01/pdfs/GMD-1810-305.pdf#page=2","Abrir facsímil")</f>
        <v>Abrir facsímil</v>
      </c>
      <c r="K4888" s="3" t="s">
        <v>76</v>
      </c>
    </row>
    <row r="4889" spans="1:11" ht="42" customHeight="1">
      <c r="A4889" s="2" t="s">
        <v>12691</v>
      </c>
      <c r="B4889" s="2" t="s">
        <v>12691</v>
      </c>
      <c r="C4889" s="2" t="s">
        <v>26</v>
      </c>
      <c r="D4889" s="2" t="s">
        <v>220</v>
      </c>
      <c r="E4889" s="4">
        <v>-32641</v>
      </c>
      <c r="F4889" s="3" t="s">
        <v>10757</v>
      </c>
      <c r="G4889" s="3" t="s">
        <v>567</v>
      </c>
      <c r="H4889" s="2" t="s">
        <v>74</v>
      </c>
      <c r="I4889" s="2" t="s">
        <v>12692</v>
      </c>
      <c r="J4889" s="3" t="str">
        <f>HYPERLINK("https://www.boe.es/gazeta/dias/1810/08/18/pdfs/GMD-1810-230.pdf#page=3","Abrir facsímil")</f>
        <v>Abrir facsímil</v>
      </c>
      <c r="K4889" s="3" t="s">
        <v>76</v>
      </c>
    </row>
    <row r="4890" spans="1:11" ht="42" customHeight="1">
      <c r="A4890" s="2" t="s">
        <v>12691</v>
      </c>
      <c r="B4890" s="2" t="s">
        <v>12691</v>
      </c>
      <c r="C4890" s="2" t="s">
        <v>26</v>
      </c>
      <c r="D4890" s="2" t="s">
        <v>18</v>
      </c>
      <c r="E4890" s="4">
        <v>-32621</v>
      </c>
      <c r="F4890" s="3" t="s">
        <v>6491</v>
      </c>
      <c r="G4890" s="3" t="s">
        <v>3133</v>
      </c>
      <c r="H4890" s="2" t="s">
        <v>74</v>
      </c>
      <c r="I4890" s="2" t="s">
        <v>12693</v>
      </c>
      <c r="J4890" s="3" t="str">
        <f>HYPERLINK("https://www.boe.es/gazeta/dias/1810/09/07/pdfs/GEI-D-1810-65.pdf#page=10","Abrir facsímil")</f>
        <v>Abrir facsímil</v>
      </c>
      <c r="K4890" s="3" t="s">
        <v>76</v>
      </c>
    </row>
    <row r="4891" spans="1:11" ht="42" customHeight="1">
      <c r="A4891" s="2" t="s">
        <v>12691</v>
      </c>
      <c r="B4891" s="2" t="s">
        <v>12691</v>
      </c>
      <c r="C4891" s="2" t="s">
        <v>88</v>
      </c>
      <c r="D4891" s="2" t="s">
        <v>117</v>
      </c>
      <c r="E4891" s="4">
        <v>-32585</v>
      </c>
      <c r="F4891" s="3" t="s">
        <v>260</v>
      </c>
      <c r="G4891" s="3" t="s">
        <v>180</v>
      </c>
      <c r="H4891" s="2" t="s">
        <v>74</v>
      </c>
      <c r="I4891" s="2" t="s">
        <v>12694</v>
      </c>
      <c r="J4891" s="3" t="str">
        <f>HYPERLINK("https://www.boe.es/gazeta/dias/1810/10/13/pdfs/GEI-1810-81.pdf#page=4","Abrir facsímil")</f>
        <v>Abrir facsímil</v>
      </c>
      <c r="K4891" s="3" t="s">
        <v>76</v>
      </c>
    </row>
    <row r="4892" spans="1:11" ht="42" customHeight="1">
      <c r="A4892" s="2" t="s">
        <v>12695</v>
      </c>
      <c r="B4892" s="2" t="s">
        <v>12695</v>
      </c>
      <c r="C4892" s="2" t="s">
        <v>88</v>
      </c>
      <c r="D4892" s="2" t="s">
        <v>27</v>
      </c>
      <c r="E4892" s="4">
        <v>-32862</v>
      </c>
      <c r="F4892" s="3" t="s">
        <v>694</v>
      </c>
      <c r="G4892" s="3" t="s">
        <v>715</v>
      </c>
      <c r="H4892" s="2" t="s">
        <v>74</v>
      </c>
      <c r="I4892" s="2" t="s">
        <v>12696</v>
      </c>
      <c r="J4892" s="3" t="str">
        <f>HYPERLINK("https://www.boe.es/gazeta/dias/1810/01/09/pdfs/GGB-1810-4.pdf#page=3","Abrir facsímil")</f>
        <v>Abrir facsímil</v>
      </c>
      <c r="K4892" s="3" t="s">
        <v>76</v>
      </c>
    </row>
    <row r="4893" spans="1:11" ht="42" customHeight="1">
      <c r="A4893" s="2" t="s">
        <v>12697</v>
      </c>
      <c r="B4893" s="2" t="s">
        <v>12697</v>
      </c>
      <c r="C4893" s="2" t="s">
        <v>88</v>
      </c>
      <c r="D4893" s="2" t="s">
        <v>27</v>
      </c>
      <c r="E4893" s="4">
        <v>-32587</v>
      </c>
      <c r="F4893" s="3" t="s">
        <v>103</v>
      </c>
      <c r="G4893" s="3" t="s">
        <v>4607</v>
      </c>
      <c r="H4893" s="2" t="s">
        <v>74</v>
      </c>
      <c r="I4893" s="2" t="s">
        <v>12698</v>
      </c>
      <c r="J4893" s="3" t="str">
        <f>HYPERLINK("https://www.boe.es/gazeta/dias/1810/10/11/pdfs/GEI-1810-80.pdf#page=1","Abrir facsímil")</f>
        <v>Abrir facsímil</v>
      </c>
      <c r="K4893" s="3" t="s">
        <v>76</v>
      </c>
    </row>
    <row r="4894" spans="1:11" ht="42" customHeight="1">
      <c r="A4894" s="2" t="s">
        <v>12699</v>
      </c>
      <c r="B4894" s="2" t="s">
        <v>12700</v>
      </c>
      <c r="C4894" s="2" t="s">
        <v>26</v>
      </c>
      <c r="D4894" s="2" t="s">
        <v>27</v>
      </c>
      <c r="E4894" s="4">
        <v>-32743</v>
      </c>
      <c r="F4894" s="3" t="s">
        <v>2265</v>
      </c>
      <c r="G4894" s="3" t="s">
        <v>1540</v>
      </c>
      <c r="H4894" s="2" t="s">
        <v>74</v>
      </c>
      <c r="I4894" s="2" t="s">
        <v>12701</v>
      </c>
      <c r="J4894" s="3" t="str">
        <f>HYPERLINK("https://www.boe.es/gazeta/dias/1810/05/08/pdfs/GEI-1810-22.pdf#page=4","Abrir facsímil")</f>
        <v>Abrir facsímil</v>
      </c>
      <c r="K4894" s="3" t="s">
        <v>76</v>
      </c>
    </row>
    <row r="4895" spans="1:11" ht="42" customHeight="1">
      <c r="A4895" s="2" t="s">
        <v>12702</v>
      </c>
      <c r="B4895" s="2" t="s">
        <v>12703</v>
      </c>
      <c r="C4895" s="2" t="s">
        <v>26</v>
      </c>
      <c r="D4895" s="2" t="s">
        <v>27</v>
      </c>
      <c r="E4895" s="4">
        <v>-32526</v>
      </c>
      <c r="F4895" s="3" t="s">
        <v>530</v>
      </c>
      <c r="G4895" s="3" t="s">
        <v>531</v>
      </c>
      <c r="H4895" s="2" t="s">
        <v>74</v>
      </c>
      <c r="I4895" s="2" t="s">
        <v>12704</v>
      </c>
      <c r="J4895" s="3" t="str">
        <f>HYPERLINK("https://www.boe.es/gazeta/dias/1810/12/11/pdfs/GEI-1810-106.pdf#page=2","Abrir facsímil")</f>
        <v>Abrir facsímil</v>
      </c>
      <c r="K4895" s="3" t="s">
        <v>76</v>
      </c>
    </row>
    <row r="4896" spans="1:11" ht="42" customHeight="1">
      <c r="A4896" s="2" t="s">
        <v>12705</v>
      </c>
      <c r="B4896" s="2" t="s">
        <v>12706</v>
      </c>
      <c r="C4896" s="2" t="s">
        <v>26</v>
      </c>
      <c r="D4896" s="2" t="s">
        <v>27</v>
      </c>
      <c r="E4896" s="4">
        <v>-32568</v>
      </c>
      <c r="F4896" s="3" t="s">
        <v>683</v>
      </c>
      <c r="G4896" s="3" t="s">
        <v>10563</v>
      </c>
      <c r="H4896" s="2" t="s">
        <v>74</v>
      </c>
      <c r="I4896" s="2" t="s">
        <v>12707</v>
      </c>
      <c r="J4896" s="3" t="str">
        <f>HYPERLINK("https://www.boe.es/gazeta/dias/1810/10/30/pdfs/GEI-1810-88.pdf#page=10","Abrir facsímil")</f>
        <v>Abrir facsímil</v>
      </c>
      <c r="K4896" s="3" t="s">
        <v>76</v>
      </c>
    </row>
    <row r="4897" spans="1:11" ht="42" customHeight="1">
      <c r="A4897" s="2" t="s">
        <v>12708</v>
      </c>
      <c r="B4897" s="2" t="s">
        <v>12708</v>
      </c>
      <c r="C4897" s="2" t="s">
        <v>88</v>
      </c>
      <c r="D4897" s="2" t="s">
        <v>27</v>
      </c>
      <c r="E4897" s="4">
        <v>-32612</v>
      </c>
      <c r="F4897" s="3" t="s">
        <v>7236</v>
      </c>
      <c r="G4897" s="3" t="s">
        <v>3133</v>
      </c>
      <c r="H4897" s="2" t="s">
        <v>74</v>
      </c>
      <c r="I4897" s="2" t="s">
        <v>12709</v>
      </c>
      <c r="J4897" s="3" t="str">
        <f>HYPERLINK("https://www.boe.es/gazeta/dias/1810/09/16/pdfs/GMD-1810-259.pdf#page=1","Abrir facsímil")</f>
        <v>Abrir facsímil</v>
      </c>
      <c r="K4897" s="3" t="s">
        <v>76</v>
      </c>
    </row>
    <row r="4898" spans="1:11" ht="42" customHeight="1">
      <c r="A4898" s="2" t="s">
        <v>12710</v>
      </c>
      <c r="B4898" s="2" t="s">
        <v>12711</v>
      </c>
      <c r="C4898" s="2" t="s">
        <v>26</v>
      </c>
      <c r="D4898" s="2" t="s">
        <v>27</v>
      </c>
      <c r="E4898" s="4">
        <v>-32764</v>
      </c>
      <c r="F4898" s="3" t="s">
        <v>640</v>
      </c>
      <c r="G4898" s="3" t="s">
        <v>641</v>
      </c>
      <c r="H4898" s="2" t="s">
        <v>74</v>
      </c>
      <c r="I4898" s="2" t="s">
        <v>12712</v>
      </c>
      <c r="J4898" s="3" t="str">
        <f>HYPERLINK("https://www.boe.es/gazeta/dias/1810/04/17/pdfs/GEI-1810-15.pdf#page=8","Abrir facsímil")</f>
        <v>Abrir facsímil</v>
      </c>
      <c r="K4898" s="3" t="s">
        <v>76</v>
      </c>
    </row>
    <row r="4899" spans="1:11" ht="42" customHeight="1">
      <c r="A4899" s="2" t="s">
        <v>12713</v>
      </c>
      <c r="B4899" s="2" t="s">
        <v>12714</v>
      </c>
      <c r="C4899" s="2" t="s">
        <v>26</v>
      </c>
      <c r="D4899" s="2" t="s">
        <v>27</v>
      </c>
      <c r="E4899" s="4">
        <v>-32608</v>
      </c>
      <c r="F4899" s="3" t="s">
        <v>781</v>
      </c>
      <c r="G4899" s="3" t="s">
        <v>782</v>
      </c>
      <c r="H4899" s="2" t="s">
        <v>74</v>
      </c>
      <c r="I4899" s="2" t="s">
        <v>12715</v>
      </c>
      <c r="J4899" s="3" t="str">
        <f>HYPERLINK("https://www.boe.es/gazeta/dias/1810/09/20/pdfs/GEI-1810-70.pdf#page=5","Abrir facsímil")</f>
        <v>Abrir facsímil</v>
      </c>
      <c r="K4899" s="3" t="s">
        <v>76</v>
      </c>
    </row>
    <row r="4900" spans="1:11" ht="42" customHeight="1">
      <c r="A4900" s="2" t="s">
        <v>12716</v>
      </c>
      <c r="B4900" s="2" t="s">
        <v>12717</v>
      </c>
      <c r="C4900" s="2" t="s">
        <v>26</v>
      </c>
      <c r="D4900" s="2" t="s">
        <v>27</v>
      </c>
      <c r="E4900" s="4">
        <v>-32526</v>
      </c>
      <c r="F4900" s="3" t="s">
        <v>530</v>
      </c>
      <c r="G4900" s="3" t="s">
        <v>531</v>
      </c>
      <c r="H4900" s="2" t="s">
        <v>74</v>
      </c>
      <c r="I4900" s="2" t="s">
        <v>12718</v>
      </c>
      <c r="J4900" s="3" t="str">
        <f>HYPERLINK("https://www.boe.es/gazeta/dias/1810/12/11/pdfs/GEI-1810-106.pdf#page=2","Abrir facsímil")</f>
        <v>Abrir facsímil</v>
      </c>
      <c r="K4900" s="3" t="s">
        <v>76</v>
      </c>
    </row>
    <row r="4901" spans="1:11" ht="42" customHeight="1">
      <c r="A4901" s="2" t="s">
        <v>12719</v>
      </c>
      <c r="B4901" s="2" t="s">
        <v>12720</v>
      </c>
      <c r="C4901" s="2" t="s">
        <v>26</v>
      </c>
      <c r="D4901" s="2" t="s">
        <v>27</v>
      </c>
      <c r="E4901" s="4">
        <v>-32545</v>
      </c>
      <c r="F4901" s="3" t="s">
        <v>165</v>
      </c>
      <c r="G4901" s="3" t="s">
        <v>691</v>
      </c>
      <c r="H4901" s="2" t="s">
        <v>74</v>
      </c>
      <c r="I4901" s="2" t="s">
        <v>12721</v>
      </c>
      <c r="J4901" s="3" t="str">
        <f>HYPERLINK("https://www.boe.es/gazeta/dias/1810/11/22/pdfs/GEI-1810-98.pdf#page=6","Abrir facsímil")</f>
        <v>Abrir facsímil</v>
      </c>
      <c r="K4901" s="3" t="s">
        <v>76</v>
      </c>
    </row>
    <row r="4902" spans="1:11" ht="42" customHeight="1">
      <c r="A4902" s="2" t="s">
        <v>12722</v>
      </c>
      <c r="B4902" s="2" t="s">
        <v>12722</v>
      </c>
      <c r="C4902" s="2" t="s">
        <v>88</v>
      </c>
      <c r="D4902" s="2" t="s">
        <v>27</v>
      </c>
      <c r="E4902" s="4">
        <v>-32664</v>
      </c>
      <c r="F4902" s="3" t="s">
        <v>618</v>
      </c>
      <c r="G4902" s="3" t="s">
        <v>1985</v>
      </c>
      <c r="H4902" s="2" t="s">
        <v>74</v>
      </c>
      <c r="I4902" s="2" t="s">
        <v>12723</v>
      </c>
      <c r="J4902" s="3" t="str">
        <f>HYPERLINK("https://www.boe.es/gazeta/dias/1810/07/26/pdfs/GMD-1810-207.pdf#page=4","Abrir facsímil")</f>
        <v>Abrir facsímil</v>
      </c>
      <c r="K4902" s="3" t="s">
        <v>76</v>
      </c>
    </row>
    <row r="4903" spans="1:11" ht="42" customHeight="1">
      <c r="A4903" s="2" t="s">
        <v>12722</v>
      </c>
      <c r="B4903" s="2" t="s">
        <v>12722</v>
      </c>
      <c r="C4903" s="2" t="s">
        <v>111</v>
      </c>
      <c r="D4903" s="2" t="s">
        <v>27</v>
      </c>
      <c r="E4903" s="4">
        <v>-32643</v>
      </c>
      <c r="F4903" s="3" t="s">
        <v>4246</v>
      </c>
      <c r="G4903" s="3" t="s">
        <v>99</v>
      </c>
      <c r="H4903" s="2" t="s">
        <v>74</v>
      </c>
      <c r="I4903" s="2" t="s">
        <v>12724</v>
      </c>
      <c r="J4903" s="3" t="str">
        <f>HYPERLINK("https://www.boe.es/gazeta/dias/1810/08/16/pdfs/GMD-1810-228.pdf#page=3","Abrir facsímil")</f>
        <v>Abrir facsímil</v>
      </c>
      <c r="K4903" s="3" t="s">
        <v>76</v>
      </c>
    </row>
    <row r="4904" spans="1:11" ht="42" customHeight="1">
      <c r="A4904" s="2" t="s">
        <v>12722</v>
      </c>
      <c r="B4904" s="2" t="s">
        <v>12722</v>
      </c>
      <c r="C4904" s="2" t="s">
        <v>111</v>
      </c>
      <c r="D4904" s="2" t="s">
        <v>27</v>
      </c>
      <c r="E4904" s="4">
        <v>-32643</v>
      </c>
      <c r="F4904" s="3" t="s">
        <v>4246</v>
      </c>
      <c r="G4904" s="3" t="s">
        <v>213</v>
      </c>
      <c r="H4904" s="2" t="s">
        <v>74</v>
      </c>
      <c r="I4904" s="2" t="s">
        <v>12725</v>
      </c>
      <c r="J4904" s="3" t="str">
        <f>HYPERLINK("https://www.boe.es/gazeta/dias/1810/08/16/pdfs/GMD-1810-228.pdf#page=4","Abrir facsímil")</f>
        <v>Abrir facsímil</v>
      </c>
      <c r="K4904" s="3" t="s">
        <v>76</v>
      </c>
    </row>
    <row r="4905" spans="1:11" ht="42" customHeight="1">
      <c r="A4905" s="2" t="s">
        <v>12726</v>
      </c>
      <c r="B4905" s="2" t="s">
        <v>12726</v>
      </c>
      <c r="C4905" s="2" t="s">
        <v>88</v>
      </c>
      <c r="D4905" s="2" t="s">
        <v>117</v>
      </c>
      <c r="E4905" s="4">
        <v>-32508</v>
      </c>
      <c r="F4905" s="3" t="s">
        <v>2609</v>
      </c>
      <c r="G4905" s="3" t="s">
        <v>2610</v>
      </c>
      <c r="H4905" s="2" t="s">
        <v>74</v>
      </c>
      <c r="I4905" s="2" t="s">
        <v>12727</v>
      </c>
      <c r="J4905" s="3" t="str">
        <f>HYPERLINK("https://www.boe.es/gazeta/dias/1810/12/29/pdfs/GMD-1810-363.pdf#page=3","Abrir facsímil")</f>
        <v>Abrir facsímil</v>
      </c>
      <c r="K4905" s="3" t="s">
        <v>76</v>
      </c>
    </row>
    <row r="4906" spans="1:11" ht="42" customHeight="1">
      <c r="A4906" s="2" t="s">
        <v>12728</v>
      </c>
      <c r="B4906" s="2" t="s">
        <v>12729</v>
      </c>
      <c r="C4906" s="2" t="s">
        <v>26</v>
      </c>
      <c r="D4906" s="2" t="s">
        <v>18</v>
      </c>
      <c r="E4906" s="4">
        <v>-32601</v>
      </c>
      <c r="F4906" s="3" t="s">
        <v>392</v>
      </c>
      <c r="G4906" s="3" t="s">
        <v>35</v>
      </c>
      <c r="H4906" s="2" t="s">
        <v>74</v>
      </c>
      <c r="I4906" s="2" t="s">
        <v>12730</v>
      </c>
      <c r="J4906" s="3" t="str">
        <f>HYPERLINK("https://www.boe.es/gazeta/dias/1810/09/27/pdfs/GEI-1810-74E.pdf#page=2","Abrir facsímil")</f>
        <v>Abrir facsímil</v>
      </c>
      <c r="K4906" s="3" t="s">
        <v>76</v>
      </c>
    </row>
    <row r="4907" spans="1:11" ht="42" customHeight="1">
      <c r="A4907" s="2" t="s">
        <v>12731</v>
      </c>
      <c r="B4907" s="2" t="s">
        <v>12732</v>
      </c>
      <c r="C4907" s="2" t="s">
        <v>26</v>
      </c>
      <c r="D4907" s="2" t="s">
        <v>27</v>
      </c>
      <c r="E4907" s="4">
        <v>-32732</v>
      </c>
      <c r="F4907" s="3" t="s">
        <v>545</v>
      </c>
      <c r="G4907" s="3" t="s">
        <v>90</v>
      </c>
      <c r="H4907" s="2" t="s">
        <v>74</v>
      </c>
      <c r="I4907" s="2" t="s">
        <v>12733</v>
      </c>
      <c r="J4907" s="3" t="str">
        <f>HYPERLINK("https://www.boe.es/gazeta/dias/1810/05/19/pdfs/GMD-1810-139.pdf#page=4","Abrir facsímil")</f>
        <v>Abrir facsímil</v>
      </c>
      <c r="K4907" s="3" t="s">
        <v>76</v>
      </c>
    </row>
    <row r="4908" spans="1:11" ht="42" customHeight="1">
      <c r="A4908" s="2" t="s">
        <v>12734</v>
      </c>
      <c r="B4908" s="2" t="s">
        <v>12735</v>
      </c>
      <c r="C4908" s="2" t="s">
        <v>88</v>
      </c>
      <c r="D4908" s="2" t="s">
        <v>27</v>
      </c>
      <c r="E4908" s="4">
        <v>-32557</v>
      </c>
      <c r="F4908" s="3" t="s">
        <v>837</v>
      </c>
      <c r="G4908" s="3" t="s">
        <v>2073</v>
      </c>
      <c r="H4908" s="2" t="s">
        <v>74</v>
      </c>
      <c r="I4908" s="2" t="s">
        <v>12736</v>
      </c>
      <c r="J4908" s="3" t="str">
        <f>HYPERLINK("https://www.boe.es/gazeta/dias/1810/11/10/pdfs/GEI-1810-93.pdf#page=7","Abrir facsímil")</f>
        <v>Abrir facsímil</v>
      </c>
      <c r="K4908" s="3" t="s">
        <v>76</v>
      </c>
    </row>
    <row r="4909" spans="1:11" ht="42" customHeight="1">
      <c r="A4909" s="2" t="s">
        <v>12737</v>
      </c>
      <c r="B4909" s="2" t="s">
        <v>12738</v>
      </c>
      <c r="C4909" s="2" t="s">
        <v>26</v>
      </c>
      <c r="D4909" s="2" t="s">
        <v>27</v>
      </c>
      <c r="E4909" s="4">
        <v>-32761</v>
      </c>
      <c r="F4909" s="3" t="s">
        <v>2093</v>
      </c>
      <c r="G4909" s="3" t="s">
        <v>2094</v>
      </c>
      <c r="H4909" s="2" t="s">
        <v>74</v>
      </c>
      <c r="I4909" s="2" t="s">
        <v>12739</v>
      </c>
      <c r="J4909" s="3" t="str">
        <f>HYPERLINK("https://www.boe.es/gazeta/dias/1810/04/20/pdfs/GMD-1810-110.pdf#page=2","Abrir facsímil")</f>
        <v>Abrir facsímil</v>
      </c>
      <c r="K4909" s="3" t="s">
        <v>76</v>
      </c>
    </row>
    <row r="4910" spans="1:11" ht="42" customHeight="1">
      <c r="A4910" s="2" t="s">
        <v>12740</v>
      </c>
      <c r="B4910" s="2" t="s">
        <v>12740</v>
      </c>
      <c r="C4910" s="2" t="s">
        <v>88</v>
      </c>
      <c r="D4910" s="2" t="s">
        <v>18</v>
      </c>
      <c r="E4910" s="4">
        <v>-32515</v>
      </c>
      <c r="F4910" s="3" t="s">
        <v>745</v>
      </c>
      <c r="G4910" s="3" t="s">
        <v>213</v>
      </c>
      <c r="H4910" s="2" t="s">
        <v>74</v>
      </c>
      <c r="I4910" s="2" t="s">
        <v>12741</v>
      </c>
      <c r="J4910" s="3" t="str">
        <f>HYPERLINK("https://www.boe.es/gazeta/dias/1810/12/22/pdfs/GMD-1810-356.pdf#page=4","Abrir facsímil")</f>
        <v>Abrir facsímil</v>
      </c>
      <c r="K4910" s="3" t="s">
        <v>76</v>
      </c>
    </row>
    <row r="4911" spans="1:11" ht="42" customHeight="1">
      <c r="A4911" s="2" t="s">
        <v>12742</v>
      </c>
      <c r="B4911" s="2" t="s">
        <v>12742</v>
      </c>
      <c r="C4911" s="2" t="s">
        <v>88</v>
      </c>
      <c r="D4911" s="2" t="s">
        <v>18</v>
      </c>
      <c r="E4911" s="4">
        <v>-32572</v>
      </c>
      <c r="F4911" s="3" t="s">
        <v>2967</v>
      </c>
      <c r="G4911" s="3" t="s">
        <v>2968</v>
      </c>
      <c r="H4911" s="2" t="s">
        <v>74</v>
      </c>
      <c r="I4911" s="2" t="s">
        <v>12743</v>
      </c>
      <c r="J4911" s="3" t="str">
        <f>HYPERLINK("https://www.boe.es/gazeta/dias/1810/10/26/pdfs/GMD-1810-299.pdf#page=4","Abrir facsímil")</f>
        <v>Abrir facsímil</v>
      </c>
      <c r="K4911" s="3" t="s">
        <v>76</v>
      </c>
    </row>
    <row r="4912" spans="1:11" ht="42" customHeight="1">
      <c r="A4912" s="2" t="s">
        <v>12744</v>
      </c>
      <c r="B4912" s="2" t="s">
        <v>12744</v>
      </c>
      <c r="C4912" s="2" t="s">
        <v>88</v>
      </c>
      <c r="D4912" s="2" t="s">
        <v>27</v>
      </c>
      <c r="E4912" s="4">
        <v>-32515</v>
      </c>
      <c r="F4912" s="3" t="s">
        <v>745</v>
      </c>
      <c r="G4912" s="3" t="s">
        <v>213</v>
      </c>
      <c r="H4912" s="2" t="s">
        <v>74</v>
      </c>
      <c r="I4912" s="2" t="s">
        <v>12745</v>
      </c>
      <c r="J4912" s="3" t="str">
        <f>HYPERLINK("https://www.boe.es/gazeta/dias/1810/12/22/pdfs/GMD-1810-356.pdf#page=4","Abrir facsímil")</f>
        <v>Abrir facsímil</v>
      </c>
      <c r="K4912" s="3" t="s">
        <v>76</v>
      </c>
    </row>
    <row r="4913" spans="1:11" ht="42" customHeight="1">
      <c r="A4913" s="2" t="s">
        <v>12746</v>
      </c>
      <c r="B4913" s="2" t="s">
        <v>12746</v>
      </c>
      <c r="C4913" s="2" t="s">
        <v>88</v>
      </c>
      <c r="D4913" s="2" t="s">
        <v>27</v>
      </c>
      <c r="E4913" s="4">
        <v>-32733</v>
      </c>
      <c r="F4913" s="3" t="s">
        <v>644</v>
      </c>
      <c r="G4913" s="3" t="s">
        <v>35</v>
      </c>
      <c r="H4913" s="2" t="s">
        <v>74</v>
      </c>
      <c r="I4913" s="2" t="s">
        <v>12747</v>
      </c>
      <c r="J4913" s="3" t="str">
        <f>HYPERLINK("https://www.boe.es/gazeta/dias/1810/05/18/pdfs/GMD-1810-138.pdf#page=2","Abrir facsímil")</f>
        <v>Abrir facsímil</v>
      </c>
      <c r="K4913" s="3" t="s">
        <v>76</v>
      </c>
    </row>
    <row r="4914" spans="1:11" ht="42" customHeight="1">
      <c r="A4914" s="2" t="s">
        <v>12748</v>
      </c>
      <c r="B4914" s="2" t="s">
        <v>12748</v>
      </c>
      <c r="C4914" s="2" t="s">
        <v>88</v>
      </c>
      <c r="D4914" s="2" t="s">
        <v>27</v>
      </c>
      <c r="E4914" s="4">
        <v>-32641</v>
      </c>
      <c r="F4914" s="3" t="s">
        <v>10757</v>
      </c>
      <c r="G4914" s="3" t="s">
        <v>213</v>
      </c>
      <c r="H4914" s="2" t="s">
        <v>74</v>
      </c>
      <c r="I4914" s="2" t="s">
        <v>12749</v>
      </c>
      <c r="J4914" s="3" t="str">
        <f>HYPERLINK("https://www.boe.es/gazeta/dias/1810/08/18/pdfs/GMD-1810-230.pdf#page=2","Abrir facsímil")</f>
        <v>Abrir facsímil</v>
      </c>
      <c r="K4914" s="3" t="s">
        <v>76</v>
      </c>
    </row>
    <row r="4915" spans="1:11" ht="42" customHeight="1">
      <c r="A4915" s="2" t="s">
        <v>12750</v>
      </c>
      <c r="B4915" s="2" t="s">
        <v>12750</v>
      </c>
      <c r="C4915" s="2" t="s">
        <v>88</v>
      </c>
      <c r="D4915" s="2" t="s">
        <v>117</v>
      </c>
      <c r="E4915" s="4">
        <v>-32697</v>
      </c>
      <c r="F4915" s="3" t="s">
        <v>1859</v>
      </c>
      <c r="G4915" s="3" t="s">
        <v>70</v>
      </c>
      <c r="H4915" s="2" t="s">
        <v>74</v>
      </c>
      <c r="I4915" s="2" t="s">
        <v>12751</v>
      </c>
      <c r="J4915" s="3" t="str">
        <f>HYPERLINK("https://www.boe.es/gazeta/dias/1810/06/23/pdfs/GMD-1810-174.pdf#page=4","Abrir facsímil")</f>
        <v>Abrir facsímil</v>
      </c>
      <c r="K4915" s="3" t="s">
        <v>76</v>
      </c>
    </row>
    <row r="4916" spans="1:11" ht="42" customHeight="1">
      <c r="A4916" s="2" t="s">
        <v>12752</v>
      </c>
      <c r="B4916" s="2" t="s">
        <v>12752</v>
      </c>
      <c r="C4916" s="2" t="s">
        <v>225</v>
      </c>
      <c r="D4916" s="2" t="s">
        <v>27</v>
      </c>
      <c r="E4916" s="4">
        <v>-32544</v>
      </c>
      <c r="F4916" s="3" t="s">
        <v>1239</v>
      </c>
      <c r="G4916" s="3" t="s">
        <v>140</v>
      </c>
      <c r="H4916" s="2" t="s">
        <v>74</v>
      </c>
      <c r="I4916" s="2" t="s">
        <v>12753</v>
      </c>
      <c r="J4916" s="3" t="str">
        <f>HYPERLINK("https://www.boe.es/gazeta/dias/1810/11/23/pdfs/GMD-1810-327.pdf#page=1","Abrir facsímil")</f>
        <v>Abrir facsímil</v>
      </c>
      <c r="K4916" s="3" t="s">
        <v>76</v>
      </c>
    </row>
    <row r="4917" spans="1:11" ht="42" customHeight="1">
      <c r="A4917" s="2" t="s">
        <v>12754</v>
      </c>
      <c r="B4917" s="2" t="s">
        <v>12754</v>
      </c>
      <c r="C4917" s="2" t="s">
        <v>88</v>
      </c>
      <c r="D4917" s="2" t="s">
        <v>27</v>
      </c>
      <c r="E4917" s="4">
        <v>-32695</v>
      </c>
      <c r="F4917" s="3" t="s">
        <v>1646</v>
      </c>
      <c r="G4917" s="3" t="s">
        <v>29</v>
      </c>
      <c r="H4917" s="2" t="s">
        <v>74</v>
      </c>
      <c r="I4917" s="2" t="s">
        <v>12755</v>
      </c>
      <c r="J4917" s="3" t="str">
        <f>HYPERLINK("https://www.boe.es/gazeta/dias/1810/06/25/pdfs/GMD-1810-176.pdf#page=4","Abrir facsímil")</f>
        <v>Abrir facsímil</v>
      </c>
      <c r="K4917" s="3" t="s">
        <v>76</v>
      </c>
    </row>
    <row r="4918" spans="1:11" ht="42" customHeight="1">
      <c r="A4918" s="2" t="s">
        <v>12756</v>
      </c>
      <c r="B4918" s="2" t="s">
        <v>12756</v>
      </c>
      <c r="C4918" s="2" t="s">
        <v>88</v>
      </c>
      <c r="D4918" s="2" t="s">
        <v>27</v>
      </c>
      <c r="E4918" s="4">
        <v>-32621</v>
      </c>
      <c r="F4918" s="3" t="s">
        <v>1897</v>
      </c>
      <c r="G4918" s="3" t="s">
        <v>4676</v>
      </c>
      <c r="H4918" s="2" t="s">
        <v>74</v>
      </c>
      <c r="I4918" s="2" t="s">
        <v>12757</v>
      </c>
      <c r="J4918" s="3" t="str">
        <f>HYPERLINK("https://www.boe.es/gazeta/dias/1810/09/07/pdfs/GMD-1810-250.pdf#page=3","Abrir facsímil")</f>
        <v>Abrir facsímil</v>
      </c>
      <c r="K4918" s="3" t="s">
        <v>76</v>
      </c>
    </row>
    <row r="4919" spans="1:11" ht="42" customHeight="1">
      <c r="A4919" s="2" t="s">
        <v>12758</v>
      </c>
      <c r="B4919" s="2" t="s">
        <v>12759</v>
      </c>
      <c r="C4919" s="2" t="s">
        <v>88</v>
      </c>
      <c r="D4919" s="2" t="s">
        <v>27</v>
      </c>
      <c r="E4919" s="4">
        <v>-32649</v>
      </c>
      <c r="F4919" s="3" t="s">
        <v>190</v>
      </c>
      <c r="G4919" s="3" t="s">
        <v>1414</v>
      </c>
      <c r="H4919" s="2" t="s">
        <v>74</v>
      </c>
      <c r="I4919" s="2" t="s">
        <v>12760</v>
      </c>
      <c r="J4919" s="3" t="str">
        <f>HYPERLINK("https://www.boe.es/gazeta/dias/1810/08/10/pdfs/GEI-1810-54.pdf#page=9","Abrir facsímil")</f>
        <v>Abrir facsímil</v>
      </c>
      <c r="K4919" s="3" t="s">
        <v>76</v>
      </c>
    </row>
    <row r="4920" spans="1:11" ht="42" customHeight="1">
      <c r="A4920" s="2" t="s">
        <v>12761</v>
      </c>
      <c r="B4920" s="2" t="s">
        <v>12761</v>
      </c>
      <c r="C4920" s="2" t="s">
        <v>88</v>
      </c>
      <c r="D4920" s="2" t="s">
        <v>27</v>
      </c>
      <c r="E4920" s="4">
        <v>-32774</v>
      </c>
      <c r="F4920" s="3" t="s">
        <v>10556</v>
      </c>
      <c r="G4920" s="3" t="s">
        <v>99</v>
      </c>
      <c r="H4920" s="2" t="s">
        <v>74</v>
      </c>
      <c r="I4920" s="2" t="s">
        <v>12762</v>
      </c>
      <c r="J4920" s="3" t="str">
        <f>HYPERLINK("https://www.boe.es/gazeta/dias/1810/04/07/pdfs/GMD-1810-97.pdf#page=3","Abrir facsímil")</f>
        <v>Abrir facsímil</v>
      </c>
      <c r="K4920" s="3" t="s">
        <v>76</v>
      </c>
    </row>
    <row r="4921" spans="1:11" ht="42" customHeight="1">
      <c r="A4921" s="2" t="s">
        <v>12763</v>
      </c>
      <c r="B4921" s="2" t="s">
        <v>12764</v>
      </c>
      <c r="C4921" s="2" t="s">
        <v>26</v>
      </c>
      <c r="D4921" s="2" t="s">
        <v>39</v>
      </c>
      <c r="E4921" s="4">
        <v>-32702</v>
      </c>
      <c r="F4921" s="3" t="s">
        <v>179</v>
      </c>
      <c r="G4921" s="3" t="s">
        <v>517</v>
      </c>
      <c r="H4921" s="2" t="s">
        <v>74</v>
      </c>
      <c r="I4921" s="2" t="s">
        <v>12765</v>
      </c>
      <c r="J4921" s="3" t="str">
        <f>HYPERLINK("https://www.boe.es/gazeta/dias/1810/06/18/pdfs/GMD-C-1810-169.pdf#page=3","Abrir facsímil")</f>
        <v>Abrir facsímil</v>
      </c>
      <c r="K4921" s="3" t="s">
        <v>76</v>
      </c>
    </row>
    <row r="4922" spans="1:11" ht="42" customHeight="1">
      <c r="A4922" s="2" t="s">
        <v>12766</v>
      </c>
      <c r="B4922" s="2" t="s">
        <v>12767</v>
      </c>
      <c r="C4922" s="2" t="s">
        <v>26</v>
      </c>
      <c r="D4922" s="2" t="s">
        <v>27</v>
      </c>
      <c r="E4922" s="4">
        <v>-32729</v>
      </c>
      <c r="F4922" s="3" t="s">
        <v>174</v>
      </c>
      <c r="G4922" s="3" t="s">
        <v>70</v>
      </c>
      <c r="H4922" s="2" t="s">
        <v>74</v>
      </c>
      <c r="I4922" s="2" t="s">
        <v>12768</v>
      </c>
      <c r="J4922" s="3" t="str">
        <f>HYPERLINK("https://www.boe.es/gazeta/dias/1810/05/22/pdfs/GEI-1810-28.pdf#page=7","Abrir facsímil")</f>
        <v>Abrir facsímil</v>
      </c>
      <c r="K4922" s="3" t="s">
        <v>76</v>
      </c>
    </row>
    <row r="4923" spans="1:11" ht="42" customHeight="1">
      <c r="A4923" s="2" t="s">
        <v>12769</v>
      </c>
      <c r="B4923" s="2" t="s">
        <v>12770</v>
      </c>
      <c r="C4923" s="2" t="s">
        <v>88</v>
      </c>
      <c r="D4923" s="2" t="s">
        <v>27</v>
      </c>
      <c r="E4923" s="4">
        <v>-32853</v>
      </c>
      <c r="F4923" s="3" t="s">
        <v>12771</v>
      </c>
      <c r="G4923" s="3" t="s">
        <v>1894</v>
      </c>
      <c r="H4923" s="2" t="s">
        <v>74</v>
      </c>
      <c r="I4923" s="2" t="s">
        <v>12772</v>
      </c>
      <c r="J4923" s="3" t="str">
        <f>HYPERLINK("https://www.boe.es/gazeta/dias/1810/01/18/pdfs/GMD-1810-18.pdf#page=4","Abrir facsímil")</f>
        <v>Abrir facsímil</v>
      </c>
      <c r="K4923" s="3" t="s">
        <v>76</v>
      </c>
    </row>
    <row r="4924" spans="1:11" ht="42" customHeight="1">
      <c r="A4924" s="2" t="s">
        <v>12773</v>
      </c>
      <c r="B4924" s="2" t="s">
        <v>12774</v>
      </c>
      <c r="C4924" s="2" t="s">
        <v>26</v>
      </c>
      <c r="D4924" s="2" t="s">
        <v>39</v>
      </c>
      <c r="E4924" s="4">
        <v>-32701</v>
      </c>
      <c r="F4924" s="3" t="s">
        <v>40</v>
      </c>
      <c r="G4924" s="3" t="s">
        <v>170</v>
      </c>
      <c r="H4924" s="2" t="s">
        <v>74</v>
      </c>
      <c r="I4924" s="2" t="s">
        <v>12775</v>
      </c>
      <c r="J4924" s="3" t="str">
        <f>HYPERLINK("https://www.boe.es/gazeta/dias/1810/06/19/pdfs/GMD-C-1810-170.pdf#page=1","Abrir facsímil")</f>
        <v>Abrir facsímil</v>
      </c>
      <c r="K4924" s="3" t="s">
        <v>76</v>
      </c>
    </row>
    <row r="4925" spans="1:11" ht="42" customHeight="1">
      <c r="A4925" s="2" t="s">
        <v>12776</v>
      </c>
      <c r="B4925" s="2" t="s">
        <v>12776</v>
      </c>
      <c r="C4925" s="2" t="s">
        <v>88</v>
      </c>
      <c r="D4925" s="2" t="s">
        <v>117</v>
      </c>
      <c r="E4925" s="4">
        <v>-32598</v>
      </c>
      <c r="F4925" s="3" t="s">
        <v>6961</v>
      </c>
      <c r="G4925" s="3" t="s">
        <v>180</v>
      </c>
      <c r="H4925" s="2" t="s">
        <v>74</v>
      </c>
      <c r="I4925" s="2" t="s">
        <v>12777</v>
      </c>
      <c r="J4925" s="3" t="str">
        <f>HYPERLINK("https://www.boe.es/gazeta/dias/1810/09/30/pdfs/GMD-1810-273.pdf#page=1","Abrir facsímil")</f>
        <v>Abrir facsímil</v>
      </c>
      <c r="K4925" s="3" t="s">
        <v>76</v>
      </c>
    </row>
    <row r="4926" spans="1:11" ht="42" customHeight="1">
      <c r="A4926" s="2" t="s">
        <v>12778</v>
      </c>
      <c r="B4926" s="2" t="s">
        <v>12778</v>
      </c>
      <c r="C4926" s="2" t="s">
        <v>88</v>
      </c>
      <c r="D4926" s="2" t="s">
        <v>220</v>
      </c>
      <c r="E4926" s="4">
        <v>-32655</v>
      </c>
      <c r="F4926" s="3" t="s">
        <v>1040</v>
      </c>
      <c r="G4926" s="3" t="s">
        <v>213</v>
      </c>
      <c r="H4926" s="2" t="s">
        <v>74</v>
      </c>
      <c r="I4926" s="2" t="s">
        <v>12779</v>
      </c>
      <c r="J4926" s="3" t="str">
        <f>HYPERLINK("https://www.boe.es/gazeta/dias/1810/08/04/pdfs/GMD-1810-216.pdf#page=1","Abrir facsímil")</f>
        <v>Abrir facsímil</v>
      </c>
      <c r="K4926" s="3" t="s">
        <v>76</v>
      </c>
    </row>
    <row r="4927" spans="1:11" ht="42" customHeight="1">
      <c r="A4927" s="2" t="s">
        <v>12778</v>
      </c>
      <c r="B4927" s="2" t="s">
        <v>12778</v>
      </c>
      <c r="C4927" s="2" t="s">
        <v>26</v>
      </c>
      <c r="D4927" s="2" t="s">
        <v>27</v>
      </c>
      <c r="E4927" s="4">
        <v>-32638</v>
      </c>
      <c r="F4927" s="3" t="s">
        <v>489</v>
      </c>
      <c r="G4927" s="3" t="s">
        <v>1590</v>
      </c>
      <c r="H4927" s="2" t="s">
        <v>74</v>
      </c>
      <c r="I4927" s="2" t="s">
        <v>12780</v>
      </c>
      <c r="J4927" s="3" t="str">
        <f>HYPERLINK("https://www.boe.es/gazeta/dias/1810/08/21/pdfs/GMD-1810-233.pdf#page=1","Abrir facsímil")</f>
        <v>Abrir facsímil</v>
      </c>
      <c r="K4927" s="3" t="s">
        <v>76</v>
      </c>
    </row>
    <row r="4928" spans="1:11" ht="42" customHeight="1">
      <c r="A4928" s="2" t="s">
        <v>12778</v>
      </c>
      <c r="B4928" s="2" t="s">
        <v>12778</v>
      </c>
      <c r="C4928" s="2" t="s">
        <v>88</v>
      </c>
      <c r="D4928" s="2" t="s">
        <v>27</v>
      </c>
      <c r="E4928" s="4">
        <v>-32606</v>
      </c>
      <c r="F4928" s="3" t="s">
        <v>1676</v>
      </c>
      <c r="G4928" s="3" t="s">
        <v>227</v>
      </c>
      <c r="H4928" s="2" t="s">
        <v>74</v>
      </c>
      <c r="I4928" s="2" t="s">
        <v>12781</v>
      </c>
      <c r="J4928" s="3" t="str">
        <f>HYPERLINK("https://www.boe.es/gazeta/dias/1810/09/22/pdfs/GMD-1810-265.pdf#page=3","Abrir facsímil")</f>
        <v>Abrir facsímil</v>
      </c>
      <c r="K4928" s="3" t="s">
        <v>76</v>
      </c>
    </row>
    <row r="4929" spans="1:11" ht="42" customHeight="1">
      <c r="A4929" s="2" t="s">
        <v>12778</v>
      </c>
      <c r="B4929" s="2" t="s">
        <v>12778</v>
      </c>
      <c r="C4929" s="2" t="s">
        <v>88</v>
      </c>
      <c r="D4929" s="2" t="s">
        <v>117</v>
      </c>
      <c r="E4929" s="4">
        <v>-32592</v>
      </c>
      <c r="F4929" s="3" t="s">
        <v>2782</v>
      </c>
      <c r="G4929" s="3" t="s">
        <v>12782</v>
      </c>
      <c r="H4929" s="2" t="s">
        <v>74</v>
      </c>
      <c r="I4929" s="2" t="s">
        <v>12783</v>
      </c>
      <c r="J4929" s="3" t="str">
        <f>HYPERLINK("https://www.boe.es/gazeta/dias/1810/10/06/pdfs/GMD-1810-279.pdf#page=1","Abrir facsímil")</f>
        <v>Abrir facsímil</v>
      </c>
      <c r="K4929" s="3" t="s">
        <v>76</v>
      </c>
    </row>
    <row r="4930" spans="1:11" ht="42" customHeight="1">
      <c r="A4930" s="2" t="s">
        <v>12778</v>
      </c>
      <c r="B4930" s="2" t="s">
        <v>12778</v>
      </c>
      <c r="C4930" s="2" t="s">
        <v>88</v>
      </c>
      <c r="D4930" s="2" t="s">
        <v>27</v>
      </c>
      <c r="E4930" s="4">
        <v>-32559</v>
      </c>
      <c r="F4930" s="3" t="s">
        <v>2260</v>
      </c>
      <c r="G4930" s="3" t="s">
        <v>12784</v>
      </c>
      <c r="H4930" s="2" t="s">
        <v>74</v>
      </c>
      <c r="I4930" s="2" t="s">
        <v>12785</v>
      </c>
      <c r="J4930" s="3" t="str">
        <f>HYPERLINK("https://www.boe.es/gazeta/dias/1810/11/08/pdfs/GMD-1810-312.pdf#page=1","Abrir facsímil")</f>
        <v>Abrir facsímil</v>
      </c>
      <c r="K4930" s="3" t="s">
        <v>76</v>
      </c>
    </row>
    <row r="4931" spans="1:11" ht="42" customHeight="1">
      <c r="A4931" s="2" t="s">
        <v>12778</v>
      </c>
      <c r="B4931" s="2" t="s">
        <v>12778</v>
      </c>
      <c r="C4931" s="2" t="s">
        <v>88</v>
      </c>
      <c r="D4931" s="2" t="s">
        <v>117</v>
      </c>
      <c r="E4931" s="4">
        <v>-32559</v>
      </c>
      <c r="F4931" s="3" t="s">
        <v>2260</v>
      </c>
      <c r="G4931" s="3" t="s">
        <v>140</v>
      </c>
      <c r="H4931" s="2" t="s">
        <v>74</v>
      </c>
      <c r="I4931" s="2" t="s">
        <v>12786</v>
      </c>
      <c r="J4931" s="3" t="str">
        <f>HYPERLINK("https://www.boe.es/gazeta/dias/1810/11/08/pdfs/GMD-1810-312.pdf#page=2","Abrir facsímil")</f>
        <v>Abrir facsímil</v>
      </c>
      <c r="K4931" s="3" t="s">
        <v>76</v>
      </c>
    </row>
    <row r="4932" spans="1:11" ht="42" customHeight="1">
      <c r="A4932" s="2" t="s">
        <v>12787</v>
      </c>
      <c r="B4932" s="2" t="s">
        <v>12787</v>
      </c>
      <c r="C4932" s="2" t="s">
        <v>111</v>
      </c>
      <c r="D4932" s="2" t="s">
        <v>27</v>
      </c>
      <c r="E4932" s="4">
        <v>-32772</v>
      </c>
      <c r="F4932" s="3" t="s">
        <v>398</v>
      </c>
      <c r="G4932" s="3" t="s">
        <v>90</v>
      </c>
      <c r="H4932" s="2" t="s">
        <v>74</v>
      </c>
      <c r="I4932" s="2" t="s">
        <v>12788</v>
      </c>
      <c r="J4932" s="3" t="str">
        <f>HYPERLINK("https://www.boe.es/gazeta/dias/1810/04/09/pdfs/GMD-1810-99.pdf#page=1","Abrir facsímil")</f>
        <v>Abrir facsímil</v>
      </c>
      <c r="K4932" s="3" t="s">
        <v>76</v>
      </c>
    </row>
    <row r="4933" spans="1:11" ht="42" customHeight="1">
      <c r="A4933" s="2" t="s">
        <v>12789</v>
      </c>
      <c r="B4933" s="2" t="s">
        <v>12789</v>
      </c>
      <c r="C4933" s="2" t="s">
        <v>88</v>
      </c>
      <c r="D4933" s="2" t="s">
        <v>117</v>
      </c>
      <c r="E4933" s="4">
        <v>-32701</v>
      </c>
      <c r="F4933" s="3" t="s">
        <v>1019</v>
      </c>
      <c r="G4933" s="3" t="s">
        <v>465</v>
      </c>
      <c r="H4933" s="2" t="s">
        <v>74</v>
      </c>
      <c r="I4933" s="2" t="s">
        <v>12790</v>
      </c>
      <c r="J4933" s="3" t="str">
        <f>HYPERLINK("https://www.boe.es/gazeta/dias/1810/06/19/pdfs/GMD-1810-170.pdf#page=3","Abrir facsímil")</f>
        <v>Abrir facsímil</v>
      </c>
      <c r="K4933" s="3" t="s">
        <v>76</v>
      </c>
    </row>
    <row r="4934" spans="1:11" ht="42" customHeight="1">
      <c r="A4934" s="2" t="s">
        <v>12789</v>
      </c>
      <c r="B4934" s="2" t="s">
        <v>12789</v>
      </c>
      <c r="C4934" s="2" t="s">
        <v>26</v>
      </c>
      <c r="D4934" s="2" t="s">
        <v>27</v>
      </c>
      <c r="E4934" s="4">
        <v>-32692</v>
      </c>
      <c r="F4934" s="3" t="s">
        <v>3698</v>
      </c>
      <c r="G4934" s="3" t="s">
        <v>1590</v>
      </c>
      <c r="H4934" s="2" t="s">
        <v>74</v>
      </c>
      <c r="I4934" s="2" t="s">
        <v>12791</v>
      </c>
      <c r="J4934" s="3" t="str">
        <f>HYPERLINK("https://www.boe.es/gazeta/dias/1810/06/28/pdfs/GMD-1810-179.pdf#page=3","Abrir facsímil")</f>
        <v>Abrir facsímil</v>
      </c>
      <c r="K4934" s="3" t="s">
        <v>76</v>
      </c>
    </row>
    <row r="4935" spans="1:11" ht="42" customHeight="1">
      <c r="A4935" s="2" t="s">
        <v>12792</v>
      </c>
      <c r="B4935" s="2" t="s">
        <v>12792</v>
      </c>
      <c r="C4935" s="2" t="s">
        <v>88</v>
      </c>
      <c r="D4935" s="2" t="s">
        <v>27</v>
      </c>
      <c r="E4935" s="4">
        <v>-32771</v>
      </c>
      <c r="F4935" s="3" t="s">
        <v>8719</v>
      </c>
      <c r="G4935" s="3" t="s">
        <v>180</v>
      </c>
      <c r="H4935" s="2" t="s">
        <v>74</v>
      </c>
      <c r="I4935" s="2" t="s">
        <v>12793</v>
      </c>
      <c r="J4935" s="3" t="str">
        <f>HYPERLINK("https://www.boe.es/gazeta/dias/1810/04/10/pdfs/GMD-1810-100.pdf#page=1","Abrir facsímil")</f>
        <v>Abrir facsímil</v>
      </c>
      <c r="K4935" s="3" t="s">
        <v>76</v>
      </c>
    </row>
    <row r="4936" spans="1:11" ht="42" customHeight="1">
      <c r="A4936" s="2" t="s">
        <v>12794</v>
      </c>
      <c r="B4936" s="2" t="s">
        <v>12795</v>
      </c>
      <c r="C4936" s="2" t="s">
        <v>225</v>
      </c>
      <c r="D4936" s="2" t="s">
        <v>117</v>
      </c>
      <c r="E4936" s="4">
        <v>-32782</v>
      </c>
      <c r="F4936" s="3" t="s">
        <v>79</v>
      </c>
      <c r="G4936" s="3" t="s">
        <v>80</v>
      </c>
      <c r="H4936" s="2" t="s">
        <v>74</v>
      </c>
      <c r="I4936" s="2" t="s">
        <v>12796</v>
      </c>
      <c r="J4936" s="3" t="str">
        <f>HYPERLINK("https://www.boe.es/gazeta/dias/1810/03/30/pdfs/GEI-1810-9.pdf#page=7","Abrir facsímil")</f>
        <v>Abrir facsímil</v>
      </c>
      <c r="K4936" s="3" t="s">
        <v>76</v>
      </c>
    </row>
    <row r="4937" spans="1:11" ht="42" customHeight="1">
      <c r="A4937" s="2" t="s">
        <v>12797</v>
      </c>
      <c r="B4937" s="2" t="s">
        <v>12798</v>
      </c>
      <c r="C4937" s="2" t="s">
        <v>26</v>
      </c>
      <c r="D4937" s="2" t="s">
        <v>27</v>
      </c>
      <c r="E4937" s="4">
        <v>-32862</v>
      </c>
      <c r="F4937" s="3" t="s">
        <v>878</v>
      </c>
      <c r="G4937" s="3" t="s">
        <v>99</v>
      </c>
      <c r="H4937" s="2" t="s">
        <v>74</v>
      </c>
      <c r="I4937" s="2" t="s">
        <v>12799</v>
      </c>
      <c r="J4937" s="3" t="str">
        <f>HYPERLINK("https://www.boe.es/gazeta/dias/1810/01/09/pdfs/GMD-1810-9.pdf#page=3","Abrir facsímil")</f>
        <v>Abrir facsímil</v>
      </c>
      <c r="K4937" s="3" t="s">
        <v>76</v>
      </c>
    </row>
    <row r="4938" spans="1:11" ht="42" customHeight="1">
      <c r="A4938" s="2" t="s">
        <v>12800</v>
      </c>
      <c r="B4938" s="2" t="s">
        <v>12801</v>
      </c>
      <c r="C4938" s="2" t="s">
        <v>88</v>
      </c>
      <c r="D4938" s="2" t="s">
        <v>117</v>
      </c>
      <c r="E4938" s="4">
        <v>-32666</v>
      </c>
      <c r="F4938" s="3" t="s">
        <v>1913</v>
      </c>
      <c r="G4938" s="3" t="s">
        <v>1914</v>
      </c>
      <c r="H4938" s="2" t="s">
        <v>74</v>
      </c>
      <c r="I4938" s="2" t="s">
        <v>12802</v>
      </c>
      <c r="J4938" s="3" t="str">
        <f>HYPERLINK("https://www.boe.es/gazeta/dias/1810/07/24/pdfs/GMD-1810-205.pdf#page=4","Abrir facsímil")</f>
        <v>Abrir facsímil</v>
      </c>
      <c r="K4938" s="3" t="s">
        <v>76</v>
      </c>
    </row>
    <row r="4939" spans="1:11" ht="42" customHeight="1">
      <c r="A4939" s="2" t="s">
        <v>12803</v>
      </c>
      <c r="B4939" s="2" t="s">
        <v>12804</v>
      </c>
      <c r="C4939" s="2" t="s">
        <v>88</v>
      </c>
      <c r="D4939" s="2" t="s">
        <v>27</v>
      </c>
      <c r="E4939" s="4">
        <v>-32789</v>
      </c>
      <c r="F4939" s="3" t="s">
        <v>1468</v>
      </c>
      <c r="G4939" s="3" t="s">
        <v>140</v>
      </c>
      <c r="H4939" s="2" t="s">
        <v>74</v>
      </c>
      <c r="I4939" s="2" t="s">
        <v>12805</v>
      </c>
      <c r="J4939" s="3" t="str">
        <f>HYPERLINK("https://www.boe.es/gazeta/dias/1810/03/23/pdfs/GEI-1810-5.pdf#page=8","Abrir facsímil")</f>
        <v>Abrir facsímil</v>
      </c>
      <c r="K4939" s="3" t="s">
        <v>76</v>
      </c>
    </row>
    <row r="4940" spans="1:11" ht="42" customHeight="1">
      <c r="A4940" s="2" t="s">
        <v>12806</v>
      </c>
      <c r="B4940" s="2" t="s">
        <v>12806</v>
      </c>
      <c r="C4940" s="2" t="s">
        <v>88</v>
      </c>
      <c r="D4940" s="2" t="s">
        <v>27</v>
      </c>
      <c r="E4940" s="4">
        <v>-32858</v>
      </c>
      <c r="F4940" s="3" t="s">
        <v>3069</v>
      </c>
      <c r="G4940" s="3" t="s">
        <v>35</v>
      </c>
      <c r="H4940" s="2" t="s">
        <v>74</v>
      </c>
      <c r="I4940" s="2" t="s">
        <v>12807</v>
      </c>
      <c r="J4940" s="3" t="str">
        <f>HYPERLINK("https://www.boe.es/gazeta/dias/1810/01/13/pdfs/GMD-1810-13.pdf#page=2","Abrir facsímil")</f>
        <v>Abrir facsímil</v>
      </c>
      <c r="K4940" s="3" t="s">
        <v>76</v>
      </c>
    </row>
    <row r="4941" spans="1:11" ht="42" customHeight="1">
      <c r="A4941" s="2" t="s">
        <v>12808</v>
      </c>
      <c r="B4941" s="2" t="s">
        <v>12809</v>
      </c>
      <c r="C4941" s="2" t="s">
        <v>26</v>
      </c>
      <c r="D4941" s="2" t="s">
        <v>39</v>
      </c>
      <c r="E4941" s="4">
        <v>-32701</v>
      </c>
      <c r="F4941" s="3" t="s">
        <v>40</v>
      </c>
      <c r="G4941" s="3" t="s">
        <v>41</v>
      </c>
      <c r="H4941" s="2" t="s">
        <v>74</v>
      </c>
      <c r="I4941" s="2" t="s">
        <v>12810</v>
      </c>
      <c r="J4941" s="3" t="str">
        <f>HYPERLINK("https://www.boe.es/gazeta/dias/1810/06/19/pdfs/GMD-C-1810-170.pdf#page=3","Abrir facsímil")</f>
        <v>Abrir facsímil</v>
      </c>
      <c r="K4941" s="3" t="s">
        <v>76</v>
      </c>
    </row>
    <row r="4942" spans="1:11" ht="42" customHeight="1">
      <c r="A4942" s="2" t="s">
        <v>12811</v>
      </c>
      <c r="B4942" s="2" t="s">
        <v>12811</v>
      </c>
      <c r="C4942" s="2" t="s">
        <v>111</v>
      </c>
      <c r="D4942" s="2" t="s">
        <v>27</v>
      </c>
      <c r="E4942" s="4">
        <v>-32642</v>
      </c>
      <c r="F4942" s="3" t="s">
        <v>2607</v>
      </c>
      <c r="G4942" s="3" t="s">
        <v>99</v>
      </c>
      <c r="H4942" s="2" t="s">
        <v>74</v>
      </c>
      <c r="I4942" s="2" t="s">
        <v>12812</v>
      </c>
      <c r="J4942" s="3" t="str">
        <f>HYPERLINK("https://www.boe.es/gazeta/dias/1810/08/17/pdfs/GMD-1810-229.pdf#page=3","Abrir facsímil")</f>
        <v>Abrir facsímil</v>
      </c>
      <c r="K4942" s="3" t="s">
        <v>76</v>
      </c>
    </row>
    <row r="4943" spans="1:11" ht="42" customHeight="1">
      <c r="A4943" s="2" t="s">
        <v>12813</v>
      </c>
      <c r="B4943" s="2" t="s">
        <v>12813</v>
      </c>
      <c r="C4943" s="2" t="s">
        <v>26</v>
      </c>
      <c r="D4943" s="2" t="s">
        <v>27</v>
      </c>
      <c r="E4943" s="4">
        <v>-32805</v>
      </c>
      <c r="F4943" s="3" t="s">
        <v>2068</v>
      </c>
      <c r="G4943" s="3" t="s">
        <v>213</v>
      </c>
      <c r="H4943" s="2" t="s">
        <v>74</v>
      </c>
      <c r="I4943" s="2" t="s">
        <v>12814</v>
      </c>
      <c r="J4943" s="3" t="str">
        <f>HYPERLINK("https://www.boe.es/gazeta/dias/1810/03/07/pdfs/GMD-1810-66.pdf#page=2","Abrir facsímil")</f>
        <v>Abrir facsímil</v>
      </c>
      <c r="K4943" s="3" t="s">
        <v>76</v>
      </c>
    </row>
    <row r="4944" spans="1:11" ht="42" customHeight="1">
      <c r="A4944" s="2" t="s">
        <v>12815</v>
      </c>
      <c r="B4944" s="2" t="s">
        <v>12815</v>
      </c>
      <c r="C4944" s="2" t="s">
        <v>33</v>
      </c>
      <c r="D4944" s="2" t="s">
        <v>27</v>
      </c>
      <c r="E4944" s="4">
        <v>-32807</v>
      </c>
      <c r="F4944" s="3" t="s">
        <v>1338</v>
      </c>
      <c r="G4944" s="3" t="s">
        <v>180</v>
      </c>
      <c r="H4944" s="2" t="s">
        <v>74</v>
      </c>
      <c r="I4944" s="2" t="s">
        <v>12816</v>
      </c>
      <c r="J4944" s="3" t="str">
        <f>HYPERLINK("https://www.boe.es/gazeta/dias/1810/03/05/pdfs/GMD-1810-64.pdf#page=1","Abrir facsímil")</f>
        <v>Abrir facsímil</v>
      </c>
      <c r="K4944" s="3" t="s">
        <v>76</v>
      </c>
    </row>
    <row r="4945" spans="1:11" ht="42" customHeight="1">
      <c r="A4945" s="2" t="s">
        <v>12817</v>
      </c>
      <c r="B4945" s="2" t="s">
        <v>12818</v>
      </c>
      <c r="C4945" s="2" t="s">
        <v>26</v>
      </c>
      <c r="D4945" s="2" t="s">
        <v>27</v>
      </c>
      <c r="E4945" s="4">
        <v>-32543</v>
      </c>
      <c r="F4945" s="3" t="s">
        <v>69</v>
      </c>
      <c r="G4945" s="3" t="s">
        <v>70</v>
      </c>
      <c r="H4945" s="2" t="s">
        <v>74</v>
      </c>
      <c r="I4945" s="2" t="s">
        <v>12819</v>
      </c>
      <c r="J4945" s="3" t="str">
        <f>HYPERLINK("https://www.boe.es/gazeta/dias/1810/11/24/pdfs/GEI-1810-99.pdf#page=8","Abrir facsímil")</f>
        <v>Abrir facsímil</v>
      </c>
      <c r="K4945" s="3" t="s">
        <v>76</v>
      </c>
    </row>
    <row r="4946" spans="1:11" ht="42" customHeight="1">
      <c r="A4946" s="2" t="s">
        <v>12820</v>
      </c>
      <c r="B4946" s="2" t="s">
        <v>12821</v>
      </c>
      <c r="C4946" s="2" t="s">
        <v>26</v>
      </c>
      <c r="D4946" s="2" t="s">
        <v>27</v>
      </c>
      <c r="E4946" s="4">
        <v>-32762</v>
      </c>
      <c r="F4946" s="3" t="s">
        <v>231</v>
      </c>
      <c r="G4946" s="3" t="s">
        <v>140</v>
      </c>
      <c r="H4946" s="2" t="s">
        <v>74</v>
      </c>
      <c r="I4946" s="2" t="s">
        <v>12822</v>
      </c>
      <c r="J4946" s="3" t="str">
        <f>HYPERLINK("https://www.boe.es/gazeta/dias/1810/04/19/pdfs/GMD-1810-109.pdf#page=3","Abrir facsímil")</f>
        <v>Abrir facsímil</v>
      </c>
      <c r="K4946" s="3" t="s">
        <v>76</v>
      </c>
    </row>
    <row r="4947" spans="1:11" ht="42" customHeight="1">
      <c r="A4947" s="2" t="s">
        <v>12823</v>
      </c>
      <c r="B4947" s="2" t="s">
        <v>12824</v>
      </c>
      <c r="C4947" s="2" t="s">
        <v>26</v>
      </c>
      <c r="D4947" s="2" t="s">
        <v>27</v>
      </c>
      <c r="E4947" s="4">
        <v>-32729</v>
      </c>
      <c r="F4947" s="3" t="s">
        <v>174</v>
      </c>
      <c r="G4947" s="3" t="s">
        <v>175</v>
      </c>
      <c r="H4947" s="2" t="s">
        <v>74</v>
      </c>
      <c r="I4947" s="2" t="s">
        <v>12825</v>
      </c>
      <c r="J4947" s="3" t="str">
        <f>HYPERLINK("https://www.boe.es/gazeta/dias/1810/05/22/pdfs/GEI-1810-28.pdf#page=10","Abrir facsímil")</f>
        <v>Abrir facsímil</v>
      </c>
      <c r="K4947" s="3" t="s">
        <v>76</v>
      </c>
    </row>
    <row r="4948" spans="1:11" ht="42" customHeight="1">
      <c r="A4948" s="2" t="s">
        <v>12826</v>
      </c>
      <c r="B4948" s="2" t="s">
        <v>12827</v>
      </c>
      <c r="C4948" s="2" t="s">
        <v>88</v>
      </c>
      <c r="D4948" s="2" t="s">
        <v>27</v>
      </c>
      <c r="E4948" s="4">
        <v>-32510</v>
      </c>
      <c r="F4948" s="3" t="s">
        <v>1955</v>
      </c>
      <c r="G4948" s="3" t="s">
        <v>4006</v>
      </c>
      <c r="H4948" s="2" t="s">
        <v>74</v>
      </c>
      <c r="I4948" s="2" t="s">
        <v>12828</v>
      </c>
      <c r="J4948" s="3" t="str">
        <f>HYPERLINK("https://www.boe.es/gazeta/dias/1810/12/27/pdfs/GEI-1810-113.pdf#page=3","Abrir facsímil")</f>
        <v>Abrir facsímil</v>
      </c>
      <c r="K4948" s="3" t="s">
        <v>76</v>
      </c>
    </row>
    <row r="4949" spans="1:11" ht="42" customHeight="1">
      <c r="A4949" s="2" t="s">
        <v>12829</v>
      </c>
      <c r="B4949" s="2" t="s">
        <v>12830</v>
      </c>
      <c r="C4949" s="2" t="s">
        <v>26</v>
      </c>
      <c r="D4949" s="2" t="s">
        <v>27</v>
      </c>
      <c r="E4949" s="4">
        <v>-32647</v>
      </c>
      <c r="F4949" s="3" t="s">
        <v>118</v>
      </c>
      <c r="G4949" s="3" t="s">
        <v>140</v>
      </c>
      <c r="H4949" s="2" t="s">
        <v>74</v>
      </c>
      <c r="I4949" s="2" t="s">
        <v>12831</v>
      </c>
      <c r="J4949" s="3" t="str">
        <f>HYPERLINK("https://www.boe.es/gazeta/dias/1810/08/12/pdfs/GMD-1810-224.pdf#page=2","Abrir facsímil")</f>
        <v>Abrir facsímil</v>
      </c>
      <c r="K4949" s="3" t="s">
        <v>76</v>
      </c>
    </row>
    <row r="4950" spans="1:11" ht="42" customHeight="1">
      <c r="A4950" s="2" t="s">
        <v>12832</v>
      </c>
      <c r="B4950" s="2" t="s">
        <v>12832</v>
      </c>
      <c r="C4950" s="2" t="s">
        <v>26</v>
      </c>
      <c r="D4950" s="2" t="s">
        <v>220</v>
      </c>
      <c r="E4950" s="4">
        <v>-32865</v>
      </c>
      <c r="F4950" s="3" t="s">
        <v>1377</v>
      </c>
      <c r="G4950" s="3" t="s">
        <v>782</v>
      </c>
      <c r="H4950" s="2" t="s">
        <v>74</v>
      </c>
      <c r="I4950" s="2" t="s">
        <v>12833</v>
      </c>
      <c r="J4950" s="3" t="str">
        <f>HYPERLINK("https://www.boe.es/gazeta/dias/1810/01/06/pdfs/GMD-1810-6.pdf#page=5","Abrir facsímil")</f>
        <v>Abrir facsímil</v>
      </c>
      <c r="K4950" s="3" t="s">
        <v>76</v>
      </c>
    </row>
    <row r="4951" spans="1:11" ht="42" customHeight="1">
      <c r="A4951" s="2" t="s">
        <v>12834</v>
      </c>
      <c r="B4951" s="2" t="s">
        <v>12834</v>
      </c>
      <c r="C4951" s="2" t="s">
        <v>88</v>
      </c>
      <c r="D4951" s="2" t="s">
        <v>117</v>
      </c>
      <c r="E4951" s="4">
        <v>-32664</v>
      </c>
      <c r="F4951" s="3" t="s">
        <v>618</v>
      </c>
      <c r="G4951" s="3" t="s">
        <v>1985</v>
      </c>
      <c r="H4951" s="2" t="s">
        <v>74</v>
      </c>
      <c r="I4951" s="2" t="s">
        <v>12835</v>
      </c>
      <c r="J4951" s="3" t="str">
        <f>HYPERLINK("https://www.boe.es/gazeta/dias/1810/07/26/pdfs/GMD-1810-207.pdf#page=4","Abrir facsímil")</f>
        <v>Abrir facsímil</v>
      </c>
      <c r="K4951" s="3" t="s">
        <v>76</v>
      </c>
    </row>
    <row r="4952" spans="1:11" ht="42" customHeight="1">
      <c r="A4952" s="2" t="s">
        <v>12836</v>
      </c>
      <c r="B4952" s="2" t="s">
        <v>12837</v>
      </c>
      <c r="C4952" s="2" t="s">
        <v>26</v>
      </c>
      <c r="D4952" s="2" t="s">
        <v>27</v>
      </c>
      <c r="E4952" s="4">
        <v>-32710</v>
      </c>
      <c r="F4952" s="3" t="s">
        <v>126</v>
      </c>
      <c r="G4952" s="3" t="s">
        <v>35</v>
      </c>
      <c r="H4952" s="2" t="s">
        <v>74</v>
      </c>
      <c r="I4952" s="2" t="s">
        <v>12838</v>
      </c>
      <c r="J4952" s="3" t="str">
        <f>HYPERLINK("https://www.boe.es/gazeta/dias/1810/06/10/pdfs/GMD-1810-161.pdf#page=2","Abrir facsímil")</f>
        <v>Abrir facsímil</v>
      </c>
      <c r="K4952" s="3" t="s">
        <v>76</v>
      </c>
    </row>
    <row r="4953" spans="1:11" ht="42" customHeight="1">
      <c r="A4953" s="2" t="s">
        <v>12839</v>
      </c>
      <c r="B4953" s="2" t="s">
        <v>12840</v>
      </c>
      <c r="C4953" s="2" t="s">
        <v>26</v>
      </c>
      <c r="D4953" s="2" t="s">
        <v>27</v>
      </c>
      <c r="E4953" s="4">
        <v>-32710</v>
      </c>
      <c r="F4953" s="3" t="s">
        <v>126</v>
      </c>
      <c r="G4953" s="3" t="s">
        <v>35</v>
      </c>
      <c r="H4953" s="2" t="s">
        <v>74</v>
      </c>
      <c r="I4953" s="2" t="s">
        <v>12841</v>
      </c>
      <c r="J4953" s="3" t="str">
        <f>HYPERLINK("https://www.boe.es/gazeta/dias/1810/06/10/pdfs/GMD-1810-161.pdf#page=2","Abrir facsímil")</f>
        <v>Abrir facsímil</v>
      </c>
      <c r="K4953" s="3" t="s">
        <v>76</v>
      </c>
    </row>
    <row r="4954" spans="1:11" ht="42" customHeight="1">
      <c r="A4954" s="2" t="s">
        <v>12842</v>
      </c>
      <c r="B4954" s="2" t="s">
        <v>12843</v>
      </c>
      <c r="C4954" s="2" t="s">
        <v>225</v>
      </c>
      <c r="D4954" s="2" t="s">
        <v>27</v>
      </c>
      <c r="E4954" s="4">
        <v>-32771</v>
      </c>
      <c r="F4954" s="3" t="s">
        <v>543</v>
      </c>
      <c r="G4954" s="3" t="s">
        <v>65</v>
      </c>
      <c r="H4954" s="2" t="s">
        <v>74</v>
      </c>
      <c r="I4954" s="2" t="s">
        <v>12844</v>
      </c>
      <c r="J4954" s="3" t="str">
        <f>HYPERLINK("https://www.boe.es/gazeta/dias/1810/04/10/pdfs/GEI-1810-13.pdf#page=7","Abrir facsímil")</f>
        <v>Abrir facsímil</v>
      </c>
      <c r="K4954" s="3" t="s">
        <v>76</v>
      </c>
    </row>
    <row r="4955" spans="1:11" ht="42" customHeight="1">
      <c r="A4955" s="2" t="s">
        <v>12845</v>
      </c>
      <c r="B4955" s="2" t="s">
        <v>12846</v>
      </c>
      <c r="C4955" s="2" t="s">
        <v>26</v>
      </c>
      <c r="D4955" s="2" t="s">
        <v>18</v>
      </c>
      <c r="E4955" s="4">
        <v>-32701</v>
      </c>
      <c r="F4955" s="3" t="s">
        <v>40</v>
      </c>
      <c r="G4955" s="3" t="s">
        <v>333</v>
      </c>
      <c r="H4955" s="2" t="s">
        <v>74</v>
      </c>
      <c r="I4955" s="2" t="s">
        <v>12847</v>
      </c>
      <c r="J4955" s="3" t="str">
        <f>HYPERLINK("https://www.boe.es/gazeta/dias/1810/06/19/pdfs/GMD-C-1810-170.pdf#page=4","Abrir facsímil")</f>
        <v>Abrir facsímil</v>
      </c>
      <c r="K4955" s="3" t="s">
        <v>76</v>
      </c>
    </row>
    <row r="4956" spans="1:11" ht="42" customHeight="1">
      <c r="A4956" s="2" t="s">
        <v>12848</v>
      </c>
      <c r="B4956" s="2" t="s">
        <v>12849</v>
      </c>
      <c r="C4956" s="2" t="s">
        <v>26</v>
      </c>
      <c r="D4956" s="2" t="s">
        <v>39</v>
      </c>
      <c r="E4956" s="4">
        <v>-32661</v>
      </c>
      <c r="F4956" s="3" t="s">
        <v>157</v>
      </c>
      <c r="G4956" s="3" t="s">
        <v>158</v>
      </c>
      <c r="H4956" s="2" t="s">
        <v>74</v>
      </c>
      <c r="I4956" s="2" t="s">
        <v>12850</v>
      </c>
      <c r="J4956" s="3" t="str">
        <f>HYPERLINK("https://www.boe.es/gazeta/dias/1810/07/29/pdfs/GMD-C-1810-210.pdf#page=1","Abrir facsímil")</f>
        <v>Abrir facsímil</v>
      </c>
      <c r="K4956" s="3" t="s">
        <v>76</v>
      </c>
    </row>
    <row r="4957" spans="1:11" ht="42" customHeight="1">
      <c r="A4957" s="2" t="s">
        <v>12848</v>
      </c>
      <c r="B4957" s="2" t="s">
        <v>12849</v>
      </c>
      <c r="C4957" s="2" t="s">
        <v>26</v>
      </c>
      <c r="D4957" s="2" t="s">
        <v>39</v>
      </c>
      <c r="E4957" s="4">
        <v>-32661</v>
      </c>
      <c r="F4957" s="3" t="s">
        <v>157</v>
      </c>
      <c r="G4957" s="3" t="s">
        <v>592</v>
      </c>
      <c r="H4957" s="2" t="s">
        <v>74</v>
      </c>
      <c r="I4957" s="2" t="s">
        <v>12851</v>
      </c>
      <c r="J4957" s="3" t="str">
        <f>HYPERLINK("https://www.boe.es/gazeta/dias/1810/07/29/pdfs/GMD-C-1810-210.pdf#page=2","Abrir facsímil")</f>
        <v>Abrir facsímil</v>
      </c>
      <c r="K4957" s="3" t="s">
        <v>76</v>
      </c>
    </row>
    <row r="4958" spans="1:11" ht="42" customHeight="1">
      <c r="A4958" s="2" t="s">
        <v>12852</v>
      </c>
      <c r="B4958" s="2" t="s">
        <v>12853</v>
      </c>
      <c r="C4958" s="2" t="s">
        <v>88</v>
      </c>
      <c r="D4958" s="2" t="s">
        <v>27</v>
      </c>
      <c r="E4958" s="4">
        <v>-32524</v>
      </c>
      <c r="F4958" s="3" t="s">
        <v>281</v>
      </c>
      <c r="G4958" s="3" t="s">
        <v>29</v>
      </c>
      <c r="H4958" s="2" t="s">
        <v>74</v>
      </c>
      <c r="I4958" s="2" t="s">
        <v>12854</v>
      </c>
      <c r="J4958" s="3" t="str">
        <f>HYPERLINK("https://www.boe.es/gazeta/dias/1810/12/13/pdfs/GEI-1810-107.pdf#page=3","Abrir facsímil")</f>
        <v>Abrir facsímil</v>
      </c>
      <c r="K4958" s="3" t="s">
        <v>76</v>
      </c>
    </row>
    <row r="4959" spans="1:11" ht="42" customHeight="1">
      <c r="A4959" s="2" t="s">
        <v>12855</v>
      </c>
      <c r="B4959" s="2" t="s">
        <v>12856</v>
      </c>
      <c r="C4959" s="2" t="s">
        <v>26</v>
      </c>
      <c r="D4959" s="2" t="s">
        <v>27</v>
      </c>
      <c r="E4959" s="4">
        <v>-32710</v>
      </c>
      <c r="F4959" s="3" t="s">
        <v>126</v>
      </c>
      <c r="G4959" s="3" t="s">
        <v>35</v>
      </c>
      <c r="H4959" s="2" t="s">
        <v>74</v>
      </c>
      <c r="I4959" s="2" t="s">
        <v>12857</v>
      </c>
      <c r="J4959" s="3" t="str">
        <f>HYPERLINK("https://www.boe.es/gazeta/dias/1810/06/10/pdfs/GMD-1810-161.pdf#page=2","Abrir facsímil")</f>
        <v>Abrir facsímil</v>
      </c>
      <c r="K4959" s="3" t="s">
        <v>76</v>
      </c>
    </row>
    <row r="4960" spans="1:11" ht="42" customHeight="1">
      <c r="A4960" s="2" t="s">
        <v>12858</v>
      </c>
      <c r="B4960" s="2" t="s">
        <v>12859</v>
      </c>
      <c r="C4960" s="2" t="s">
        <v>26</v>
      </c>
      <c r="D4960" s="2" t="s">
        <v>18</v>
      </c>
      <c r="E4960" s="4">
        <v>-32809</v>
      </c>
      <c r="F4960" s="3" t="s">
        <v>1873</v>
      </c>
      <c r="G4960" s="3" t="s">
        <v>735</v>
      </c>
      <c r="H4960" s="2" t="s">
        <v>74</v>
      </c>
      <c r="I4960" s="2" t="s">
        <v>12860</v>
      </c>
      <c r="J4960" s="3" t="str">
        <f>HYPERLINK("https://www.boe.es/gazeta/dias/1810/03/03/pdfs/GMD-1810-62.pdf#page=4","Abrir facsímil")</f>
        <v>Abrir facsímil</v>
      </c>
      <c r="K4960" s="3" t="s">
        <v>76</v>
      </c>
    </row>
    <row r="4961" spans="1:11" ht="42" customHeight="1">
      <c r="A4961" s="2" t="s">
        <v>12858</v>
      </c>
      <c r="B4961" s="2" t="s">
        <v>12859</v>
      </c>
      <c r="C4961" s="2" t="s">
        <v>26</v>
      </c>
      <c r="D4961" s="2" t="s">
        <v>39</v>
      </c>
      <c r="E4961" s="4">
        <v>-32661</v>
      </c>
      <c r="F4961" s="3" t="s">
        <v>157</v>
      </c>
      <c r="G4961" s="3" t="s">
        <v>592</v>
      </c>
      <c r="H4961" s="2" t="s">
        <v>74</v>
      </c>
      <c r="I4961" s="2" t="s">
        <v>12861</v>
      </c>
      <c r="J4961" s="3" t="str">
        <f>HYPERLINK("https://www.boe.es/gazeta/dias/1810/07/29/pdfs/GMD-C-1810-210.pdf#page=2","Abrir facsímil")</f>
        <v>Abrir facsímil</v>
      </c>
      <c r="K4961" s="3" t="s">
        <v>76</v>
      </c>
    </row>
    <row r="4962" spans="1:11" ht="42" customHeight="1">
      <c r="A4962" s="2" t="s">
        <v>12862</v>
      </c>
      <c r="B4962" s="2" t="s">
        <v>12863</v>
      </c>
      <c r="C4962" s="2" t="s">
        <v>88</v>
      </c>
      <c r="D4962" s="2" t="s">
        <v>117</v>
      </c>
      <c r="E4962" s="4">
        <v>-32545</v>
      </c>
      <c r="F4962" s="3" t="s">
        <v>165</v>
      </c>
      <c r="G4962" s="3" t="s">
        <v>65</v>
      </c>
      <c r="H4962" s="2" t="s">
        <v>74</v>
      </c>
      <c r="I4962" s="2" t="s">
        <v>12864</v>
      </c>
      <c r="J4962" s="3" t="str">
        <f>HYPERLINK("https://www.boe.es/gazeta/dias/1810/11/22/pdfs/GEI-1810-98.pdf#page=5","Abrir facsímil")</f>
        <v>Abrir facsímil</v>
      </c>
      <c r="K4962" s="3" t="s">
        <v>76</v>
      </c>
    </row>
    <row r="4963" spans="1:11" ht="42" customHeight="1">
      <c r="A4963" s="2" t="s">
        <v>12865</v>
      </c>
      <c r="B4963" s="2" t="s">
        <v>12866</v>
      </c>
      <c r="C4963" s="2" t="s">
        <v>26</v>
      </c>
      <c r="D4963" s="2" t="s">
        <v>18</v>
      </c>
      <c r="E4963" s="4">
        <v>-32575</v>
      </c>
      <c r="F4963" s="3" t="s">
        <v>135</v>
      </c>
      <c r="G4963" s="3" t="s">
        <v>136</v>
      </c>
      <c r="H4963" s="2" t="s">
        <v>74</v>
      </c>
      <c r="I4963" s="2" t="s">
        <v>12867</v>
      </c>
      <c r="J4963" s="3" t="str">
        <f>HYPERLINK("https://www.boe.es/gazeta/dias/1810/10/23/pdfs/GEI-1810-85.pdf#page=11","Abrir facsímil")</f>
        <v>Abrir facsímil</v>
      </c>
      <c r="K4963" s="3" t="s">
        <v>76</v>
      </c>
    </row>
    <row r="4964" spans="1:11" ht="42" customHeight="1">
      <c r="A4964" s="2" t="s">
        <v>12868</v>
      </c>
      <c r="B4964" s="2" t="s">
        <v>12869</v>
      </c>
      <c r="C4964" s="2" t="s">
        <v>26</v>
      </c>
      <c r="D4964" s="2" t="s">
        <v>27</v>
      </c>
      <c r="E4964" s="4">
        <v>-32771</v>
      </c>
      <c r="F4964" s="3" t="s">
        <v>543</v>
      </c>
      <c r="G4964" s="3" t="s">
        <v>65</v>
      </c>
      <c r="H4964" s="2" t="s">
        <v>74</v>
      </c>
      <c r="I4964" s="2" t="s">
        <v>12870</v>
      </c>
      <c r="J4964" s="3" t="str">
        <f>HYPERLINK("https://www.boe.es/gazeta/dias/1810/04/10/pdfs/GEI-1810-13.pdf#page=7","Abrir facsímil")</f>
        <v>Abrir facsímil</v>
      </c>
      <c r="K4964" s="3" t="s">
        <v>76</v>
      </c>
    </row>
    <row r="4965" spans="1:11" ht="42" customHeight="1">
      <c r="A4965" s="2" t="s">
        <v>12871</v>
      </c>
      <c r="B4965" s="2" t="s">
        <v>12872</v>
      </c>
      <c r="C4965" s="2" t="s">
        <v>88</v>
      </c>
      <c r="D4965" s="2" t="s">
        <v>18</v>
      </c>
      <c r="E4965" s="4">
        <v>-32728</v>
      </c>
      <c r="F4965" s="3" t="s">
        <v>269</v>
      </c>
      <c r="G4965" s="3" t="s">
        <v>119</v>
      </c>
      <c r="H4965" s="2" t="s">
        <v>74</v>
      </c>
      <c r="I4965" s="2" t="s">
        <v>12873</v>
      </c>
      <c r="J4965" s="3" t="str">
        <f>HYPERLINK("https://www.boe.es/gazeta/dias/1810/05/23/pdfs/GMD-1810-143.pdf#page=3","Abrir facsímil")</f>
        <v>Abrir facsímil</v>
      </c>
      <c r="K4965" s="3" t="s">
        <v>76</v>
      </c>
    </row>
    <row r="4966" spans="1:11" ht="42" customHeight="1">
      <c r="A4966" s="2" t="s">
        <v>12871</v>
      </c>
      <c r="B4966" s="2" t="s">
        <v>12872</v>
      </c>
      <c r="C4966" s="2" t="s">
        <v>88</v>
      </c>
      <c r="D4966" s="2" t="s">
        <v>117</v>
      </c>
      <c r="E4966" s="4">
        <v>-32647</v>
      </c>
      <c r="F4966" s="3" t="s">
        <v>118</v>
      </c>
      <c r="G4966" s="3" t="s">
        <v>119</v>
      </c>
      <c r="H4966" s="2" t="s">
        <v>74</v>
      </c>
      <c r="I4966" s="2" t="s">
        <v>12874</v>
      </c>
      <c r="J4966" s="3" t="str">
        <f>HYPERLINK("https://www.boe.es/gazeta/dias/1810/08/12/pdfs/GMD-1810-224.pdf#page=3","Abrir facsímil")</f>
        <v>Abrir facsímil</v>
      </c>
      <c r="K4966" s="3" t="s">
        <v>76</v>
      </c>
    </row>
    <row r="4967" spans="1:11" ht="42" customHeight="1">
      <c r="A4967" s="2" t="s">
        <v>12875</v>
      </c>
      <c r="B4967" s="2" t="s">
        <v>12876</v>
      </c>
      <c r="C4967" s="2" t="s">
        <v>26</v>
      </c>
      <c r="D4967" s="2" t="s">
        <v>27</v>
      </c>
      <c r="E4967" s="4">
        <v>-32839</v>
      </c>
      <c r="F4967" s="3" t="s">
        <v>28</v>
      </c>
      <c r="G4967" s="3" t="s">
        <v>29</v>
      </c>
      <c r="H4967" s="2" t="s">
        <v>21</v>
      </c>
      <c r="I4967" s="2" t="s">
        <v>12877</v>
      </c>
      <c r="J4967" s="3" t="str">
        <f>HYPERLINK("https://www.boe.es/gazeta/dias/1810/02/01/pdfs/GMD-1810-32.pdf#page=3","Abrir facsímil")</f>
        <v>Abrir facsímil</v>
      </c>
      <c r="K4967" s="3" t="s">
        <v>23</v>
      </c>
    </row>
    <row r="4968" spans="1:11" ht="42" customHeight="1">
      <c r="A4968" s="2" t="s">
        <v>12878</v>
      </c>
      <c r="B4968" s="2" t="s">
        <v>12879</v>
      </c>
      <c r="C4968" s="2" t="s">
        <v>88</v>
      </c>
      <c r="D4968" s="2" t="s">
        <v>58</v>
      </c>
      <c r="E4968" s="4">
        <v>-32651</v>
      </c>
      <c r="F4968" s="3" t="s">
        <v>59</v>
      </c>
      <c r="G4968" s="3" t="s">
        <v>60</v>
      </c>
      <c r="H4968" s="2" t="s">
        <v>74</v>
      </c>
      <c r="I4968" s="2" t="s">
        <v>12880</v>
      </c>
      <c r="J4968" s="3" t="str">
        <f>HYPERLINK("https://www.boe.es/gazeta/dias/1810/08/08/pdfs/GEI-1810-53E.pdf#page=3","Abrir facsímil")</f>
        <v>Abrir facsímil</v>
      </c>
      <c r="K4968" s="3" t="s">
        <v>76</v>
      </c>
    </row>
    <row r="4969" spans="1:11" ht="42" customHeight="1">
      <c r="A4969" s="2" t="s">
        <v>12881</v>
      </c>
      <c r="B4969" s="2" t="s">
        <v>12882</v>
      </c>
      <c r="C4969" s="2" t="s">
        <v>88</v>
      </c>
      <c r="D4969" s="2" t="s">
        <v>27</v>
      </c>
      <c r="E4969" s="4">
        <v>-32656</v>
      </c>
      <c r="F4969" s="3" t="s">
        <v>1909</v>
      </c>
      <c r="G4969" s="3" t="s">
        <v>151</v>
      </c>
      <c r="H4969" s="2" t="s">
        <v>74</v>
      </c>
      <c r="I4969" s="2" t="s">
        <v>12883</v>
      </c>
      <c r="J4969" s="3" t="str">
        <f>HYPERLINK("https://www.boe.es/gazeta/dias/1810/08/03/pdfs/GEI-1810-50.pdf#page=5","Abrir facsímil")</f>
        <v>Abrir facsímil</v>
      </c>
      <c r="K4969" s="3" t="s">
        <v>76</v>
      </c>
    </row>
    <row r="4970" spans="1:11" ht="42" customHeight="1">
      <c r="A4970" s="2" t="s">
        <v>12884</v>
      </c>
      <c r="B4970" s="2" t="s">
        <v>12885</v>
      </c>
      <c r="C4970" s="2" t="s">
        <v>26</v>
      </c>
      <c r="D4970" s="2" t="s">
        <v>27</v>
      </c>
      <c r="E4970" s="4">
        <v>-32526</v>
      </c>
      <c r="F4970" s="3" t="s">
        <v>530</v>
      </c>
      <c r="G4970" s="3" t="s">
        <v>531</v>
      </c>
      <c r="H4970" s="2" t="s">
        <v>74</v>
      </c>
      <c r="I4970" s="2" t="s">
        <v>12886</v>
      </c>
      <c r="J4970" s="3" t="str">
        <f>HYPERLINK("https://www.boe.es/gazeta/dias/1810/12/11/pdfs/GEI-1810-106.pdf#page=2","Abrir facsímil")</f>
        <v>Abrir facsímil</v>
      </c>
      <c r="K4970" s="3" t="s">
        <v>76</v>
      </c>
    </row>
    <row r="4971" spans="1:11" ht="42" customHeight="1">
      <c r="A4971" s="2" t="s">
        <v>12887</v>
      </c>
      <c r="B4971" s="2" t="s">
        <v>12888</v>
      </c>
      <c r="C4971" s="2" t="s">
        <v>26</v>
      </c>
      <c r="D4971" s="2" t="s">
        <v>27</v>
      </c>
      <c r="E4971" s="4">
        <v>-32531</v>
      </c>
      <c r="F4971" s="3" t="s">
        <v>2023</v>
      </c>
      <c r="G4971" s="3" t="s">
        <v>29</v>
      </c>
      <c r="H4971" s="2" t="s">
        <v>74</v>
      </c>
      <c r="I4971" s="2" t="s">
        <v>12889</v>
      </c>
      <c r="J4971" s="3" t="str">
        <f>HYPERLINK("https://www.boe.es/gazeta/dias/1810/12/06/pdfs/GMD-1810-340.pdf#page=4","Abrir facsímil")</f>
        <v>Abrir facsímil</v>
      </c>
      <c r="K4971" s="3" t="s">
        <v>76</v>
      </c>
    </row>
    <row r="4972" spans="1:11" ht="42" customHeight="1">
      <c r="A4972" s="2" t="s">
        <v>12890</v>
      </c>
      <c r="B4972" s="2" t="s">
        <v>12891</v>
      </c>
      <c r="C4972" s="2" t="s">
        <v>33</v>
      </c>
      <c r="D4972" s="2" t="s">
        <v>27</v>
      </c>
      <c r="E4972" s="4">
        <v>-32784</v>
      </c>
      <c r="F4972" s="3" t="s">
        <v>429</v>
      </c>
      <c r="G4972" s="3" t="s">
        <v>131</v>
      </c>
      <c r="H4972" s="2" t="s">
        <v>74</v>
      </c>
      <c r="I4972" s="2" t="s">
        <v>12892</v>
      </c>
      <c r="J4972" s="3" t="str">
        <f>HYPERLINK("https://www.boe.es/gazeta/dias/1810/03/28/pdfs/GMD-1810-87.pdf#page=3","Abrir facsímil")</f>
        <v>Abrir facsímil</v>
      </c>
      <c r="K4972" s="3" t="s">
        <v>76</v>
      </c>
    </row>
    <row r="4973" spans="1:11" ht="42" customHeight="1">
      <c r="A4973" s="2" t="s">
        <v>12893</v>
      </c>
      <c r="B4973" s="2" t="s">
        <v>12894</v>
      </c>
      <c r="C4973" s="2" t="s">
        <v>26</v>
      </c>
      <c r="D4973" s="2" t="s">
        <v>39</v>
      </c>
      <c r="E4973" s="4">
        <v>-32667</v>
      </c>
      <c r="F4973" s="3" t="s">
        <v>924</v>
      </c>
      <c r="G4973" s="3" t="s">
        <v>213</v>
      </c>
      <c r="H4973" s="2" t="s">
        <v>74</v>
      </c>
      <c r="I4973" s="2" t="s">
        <v>12895</v>
      </c>
      <c r="J4973" s="3" t="str">
        <f>HYPERLINK("https://www.boe.es/gazeta/dias/1810/07/23/pdfs/GMD-C-1810-204.pdf#page=1","Abrir facsímil")</f>
        <v>Abrir facsímil</v>
      </c>
      <c r="K4973" s="3" t="s">
        <v>76</v>
      </c>
    </row>
    <row r="4974" spans="1:11" ht="42" customHeight="1">
      <c r="A4974" s="2" t="s">
        <v>12896</v>
      </c>
      <c r="B4974" s="2" t="s">
        <v>12897</v>
      </c>
      <c r="C4974" s="2" t="s">
        <v>195</v>
      </c>
      <c r="D4974" s="2" t="s">
        <v>27</v>
      </c>
      <c r="E4974" s="4">
        <v>-32756</v>
      </c>
      <c r="F4974" s="3" t="s">
        <v>203</v>
      </c>
      <c r="G4974" s="3" t="s">
        <v>180</v>
      </c>
      <c r="H4974" s="2" t="s">
        <v>74</v>
      </c>
      <c r="I4974" s="2" t="s">
        <v>12898</v>
      </c>
      <c r="J4974" s="3" t="str">
        <f>HYPERLINK("https://www.boe.es/gazeta/dias/1810/04/25/pdfs/GMD-1810-115.pdf#page=4","Abrir facsímil")</f>
        <v>Abrir facsímil</v>
      </c>
      <c r="K4974" s="3" t="s">
        <v>76</v>
      </c>
    </row>
    <row r="4975" spans="1:11" ht="42" customHeight="1">
      <c r="A4975" s="2" t="s">
        <v>12899</v>
      </c>
      <c r="B4975" s="2" t="s">
        <v>12899</v>
      </c>
      <c r="C4975" s="2" t="s">
        <v>88</v>
      </c>
      <c r="D4975" s="2" t="s">
        <v>27</v>
      </c>
      <c r="E4975" s="4">
        <v>-32541</v>
      </c>
      <c r="F4975" s="3" t="s">
        <v>748</v>
      </c>
      <c r="G4975" s="3" t="s">
        <v>3125</v>
      </c>
      <c r="H4975" s="2" t="s">
        <v>74</v>
      </c>
      <c r="I4975" s="2" t="s">
        <v>12900</v>
      </c>
      <c r="J4975" s="3" t="str">
        <f>HYPERLINK("https://www.boe.es/gazeta/dias/1810/11/26/pdfs/GMD-1810-330.pdf#page=3","Abrir facsímil")</f>
        <v>Abrir facsímil</v>
      </c>
      <c r="K4975" s="3" t="s">
        <v>76</v>
      </c>
    </row>
    <row r="4976" spans="1:11" ht="42" customHeight="1">
      <c r="A4976" s="2" t="s">
        <v>12901</v>
      </c>
      <c r="B4976" s="2" t="s">
        <v>12901</v>
      </c>
      <c r="C4976" s="2" t="s">
        <v>17</v>
      </c>
      <c r="D4976" s="2" t="s">
        <v>27</v>
      </c>
      <c r="E4976" s="4">
        <v>-32522</v>
      </c>
      <c r="F4976" s="3" t="s">
        <v>1168</v>
      </c>
      <c r="G4976" s="3" t="s">
        <v>90</v>
      </c>
      <c r="H4976" s="2" t="s">
        <v>74</v>
      </c>
      <c r="I4976" s="2" t="s">
        <v>12902</v>
      </c>
      <c r="J4976" s="3" t="str">
        <f>HYPERLINK("https://www.boe.es/gazeta/dias/1810/12/15/pdfs/GMD-1810-349.pdf#page=3","Abrir facsímil")</f>
        <v>Abrir facsímil</v>
      </c>
      <c r="K4976" s="3" t="s">
        <v>76</v>
      </c>
    </row>
    <row r="4977" spans="1:11" ht="42" customHeight="1">
      <c r="A4977" s="2" t="s">
        <v>12903</v>
      </c>
      <c r="B4977" s="2" t="s">
        <v>12903</v>
      </c>
      <c r="C4977" s="2" t="s">
        <v>88</v>
      </c>
      <c r="D4977" s="2" t="s">
        <v>220</v>
      </c>
      <c r="E4977" s="4">
        <v>-32619</v>
      </c>
      <c r="F4977" s="3" t="s">
        <v>1270</v>
      </c>
      <c r="G4977" s="3" t="s">
        <v>90</v>
      </c>
      <c r="H4977" s="2" t="s">
        <v>74</v>
      </c>
      <c r="I4977" s="2" t="s">
        <v>12904</v>
      </c>
      <c r="J4977" s="3" t="str">
        <f>HYPERLINK("https://www.boe.es/gazeta/dias/1810/09/09/pdfs/GMD-1810-252.pdf#page=3","Abrir facsímil")</f>
        <v>Abrir facsímil</v>
      </c>
      <c r="K4977" s="3" t="s">
        <v>76</v>
      </c>
    </row>
    <row r="4978" spans="1:11" ht="42" customHeight="1">
      <c r="A4978" s="2" t="s">
        <v>12905</v>
      </c>
      <c r="B4978" s="2" t="s">
        <v>12906</v>
      </c>
      <c r="C4978" s="2" t="s">
        <v>26</v>
      </c>
      <c r="D4978" s="2" t="s">
        <v>39</v>
      </c>
      <c r="E4978" s="4">
        <v>-32701</v>
      </c>
      <c r="F4978" s="3" t="s">
        <v>40</v>
      </c>
      <c r="G4978" s="3" t="s">
        <v>315</v>
      </c>
      <c r="H4978" s="2" t="s">
        <v>74</v>
      </c>
      <c r="I4978" s="2" t="s">
        <v>12907</v>
      </c>
      <c r="J4978" s="3" t="str">
        <f>HYPERLINK("https://www.boe.es/gazeta/dias/1810/06/19/pdfs/GMD-C-1810-170.pdf#page=2","Abrir facsímil")</f>
        <v>Abrir facsímil</v>
      </c>
      <c r="K4978" s="3" t="s">
        <v>76</v>
      </c>
    </row>
    <row r="4979" spans="1:11" ht="42" customHeight="1">
      <c r="A4979" s="2" t="s">
        <v>12908</v>
      </c>
      <c r="B4979" s="2" t="s">
        <v>12908</v>
      </c>
      <c r="C4979" s="2" t="s">
        <v>88</v>
      </c>
      <c r="D4979" s="2" t="s">
        <v>27</v>
      </c>
      <c r="E4979" s="4">
        <v>-32788</v>
      </c>
      <c r="F4979" s="3" t="s">
        <v>1254</v>
      </c>
      <c r="G4979" s="3" t="s">
        <v>3327</v>
      </c>
      <c r="H4979" s="2" t="s">
        <v>74</v>
      </c>
      <c r="I4979" s="2" t="s">
        <v>12909</v>
      </c>
      <c r="J4979" s="3" t="str">
        <f>HYPERLINK("https://www.boe.es/gazeta/dias/1810/03/24/pdfs/GMD-1810-83.pdf#page=3","Abrir facsímil")</f>
        <v>Abrir facsímil</v>
      </c>
      <c r="K4979" s="3" t="s">
        <v>76</v>
      </c>
    </row>
    <row r="4980" spans="1:11" ht="42" customHeight="1">
      <c r="A4980" s="2" t="s">
        <v>12908</v>
      </c>
      <c r="B4980" s="2" t="s">
        <v>12908</v>
      </c>
      <c r="C4980" s="2" t="s">
        <v>33</v>
      </c>
      <c r="D4980" s="2" t="s">
        <v>27</v>
      </c>
      <c r="E4980" s="4">
        <v>-32771</v>
      </c>
      <c r="F4980" s="3" t="s">
        <v>8719</v>
      </c>
      <c r="G4980" s="3" t="s">
        <v>180</v>
      </c>
      <c r="H4980" s="2" t="s">
        <v>74</v>
      </c>
      <c r="I4980" s="2" t="s">
        <v>12910</v>
      </c>
      <c r="J4980" s="3" t="str">
        <f>HYPERLINK("https://www.boe.es/gazeta/dias/1810/04/10/pdfs/GMD-1810-100.pdf#page=1","Abrir facsímil")</f>
        <v>Abrir facsímil</v>
      </c>
      <c r="K4980" s="3" t="s">
        <v>76</v>
      </c>
    </row>
    <row r="4981" spans="1:11" ht="42" customHeight="1">
      <c r="A4981" s="2" t="s">
        <v>12908</v>
      </c>
      <c r="B4981" s="2" t="s">
        <v>12908</v>
      </c>
      <c r="C4981" s="2" t="s">
        <v>88</v>
      </c>
      <c r="D4981" s="2" t="s">
        <v>27</v>
      </c>
      <c r="E4981" s="4">
        <v>-32645</v>
      </c>
      <c r="F4981" s="3" t="s">
        <v>4819</v>
      </c>
      <c r="G4981" s="3" t="s">
        <v>227</v>
      </c>
      <c r="H4981" s="2" t="s">
        <v>74</v>
      </c>
      <c r="I4981" s="2" t="s">
        <v>12911</v>
      </c>
      <c r="J4981" s="3" t="str">
        <f>HYPERLINK("https://www.boe.es/gazeta/dias/1810/08/14/pdfs/GMD-1810-226.pdf#page=4","Abrir facsímil")</f>
        <v>Abrir facsímil</v>
      </c>
      <c r="K4981" s="3" t="s">
        <v>76</v>
      </c>
    </row>
    <row r="4982" spans="1:11" ht="42" customHeight="1">
      <c r="A4982" s="2" t="s">
        <v>12912</v>
      </c>
      <c r="B4982" s="2" t="s">
        <v>12913</v>
      </c>
      <c r="C4982" s="2" t="s">
        <v>26</v>
      </c>
      <c r="D4982" s="2" t="s">
        <v>27</v>
      </c>
      <c r="E4982" s="4">
        <v>-32526</v>
      </c>
      <c r="F4982" s="3" t="s">
        <v>530</v>
      </c>
      <c r="G4982" s="3" t="s">
        <v>531</v>
      </c>
      <c r="H4982" s="2" t="s">
        <v>74</v>
      </c>
      <c r="I4982" s="2" t="s">
        <v>12914</v>
      </c>
      <c r="J4982" s="3" t="str">
        <f>HYPERLINK("https://www.boe.es/gazeta/dias/1810/12/11/pdfs/GEI-1810-106.pdf#page=2","Abrir facsímil")</f>
        <v>Abrir facsímil</v>
      </c>
      <c r="K4982" s="3" t="s">
        <v>76</v>
      </c>
    </row>
    <row r="4983" spans="1:11" ht="42" customHeight="1">
      <c r="A4983" s="2" t="s">
        <v>12915</v>
      </c>
      <c r="B4983" s="2" t="s">
        <v>12915</v>
      </c>
      <c r="C4983" s="2" t="s">
        <v>88</v>
      </c>
      <c r="D4983" s="2" t="s">
        <v>27</v>
      </c>
      <c r="E4983" s="4">
        <v>-32722</v>
      </c>
      <c r="F4983" s="3" t="s">
        <v>2619</v>
      </c>
      <c r="G4983" s="3" t="s">
        <v>465</v>
      </c>
      <c r="H4983" s="2" t="s">
        <v>74</v>
      </c>
      <c r="I4983" s="2" t="s">
        <v>12916</v>
      </c>
      <c r="J4983" s="3" t="str">
        <f>HYPERLINK("https://www.boe.es/gazeta/dias/1810/05/29/pdfs/GMD-1810-149.pdf#page=3","Abrir facsímil")</f>
        <v>Abrir facsímil</v>
      </c>
      <c r="K4983" s="3" t="s">
        <v>76</v>
      </c>
    </row>
    <row r="4984" spans="1:11" ht="42" customHeight="1">
      <c r="A4984" s="2" t="s">
        <v>12915</v>
      </c>
      <c r="B4984" s="2" t="s">
        <v>12915</v>
      </c>
      <c r="C4984" s="2" t="s">
        <v>88</v>
      </c>
      <c r="D4984" s="2" t="s">
        <v>27</v>
      </c>
      <c r="E4984" s="4">
        <v>-32635</v>
      </c>
      <c r="F4984" s="3" t="s">
        <v>8979</v>
      </c>
      <c r="G4984" s="3" t="s">
        <v>90</v>
      </c>
      <c r="H4984" s="2" t="s">
        <v>74</v>
      </c>
      <c r="I4984" s="2" t="s">
        <v>12917</v>
      </c>
      <c r="J4984" s="3" t="str">
        <f>HYPERLINK("https://www.boe.es/gazeta/dias/1810/08/24/pdfs/GMD-1810-236.pdf#page=4","Abrir facsímil")</f>
        <v>Abrir facsímil</v>
      </c>
      <c r="K4984" s="3" t="s">
        <v>76</v>
      </c>
    </row>
    <row r="4985" spans="1:11" ht="42" customHeight="1">
      <c r="A4985" s="2" t="s">
        <v>12915</v>
      </c>
      <c r="B4985" s="2" t="s">
        <v>12915</v>
      </c>
      <c r="C4985" s="2" t="s">
        <v>88</v>
      </c>
      <c r="D4985" s="2" t="s">
        <v>117</v>
      </c>
      <c r="E4985" s="4">
        <v>-32615</v>
      </c>
      <c r="F4985" s="3" t="s">
        <v>4119</v>
      </c>
      <c r="G4985" s="3" t="s">
        <v>1292</v>
      </c>
      <c r="H4985" s="2" t="s">
        <v>74</v>
      </c>
      <c r="I4985" s="2" t="s">
        <v>12918</v>
      </c>
      <c r="J4985" s="3" t="str">
        <f>HYPERLINK("https://www.boe.es/gazeta/dias/1810/09/13/pdfs/GMD-1810-256.pdf#page=3","Abrir facsímil")</f>
        <v>Abrir facsímil</v>
      </c>
      <c r="K4985" s="3" t="s">
        <v>76</v>
      </c>
    </row>
    <row r="4986" spans="1:11" ht="42" customHeight="1">
      <c r="A4986" s="2" t="s">
        <v>12919</v>
      </c>
      <c r="B4986" s="2" t="s">
        <v>12920</v>
      </c>
      <c r="C4986" s="2" t="s">
        <v>26</v>
      </c>
      <c r="D4986" s="2" t="s">
        <v>18</v>
      </c>
      <c r="E4986" s="4">
        <v>-32601</v>
      </c>
      <c r="F4986" s="3" t="s">
        <v>392</v>
      </c>
      <c r="G4986" s="3" t="s">
        <v>35</v>
      </c>
      <c r="H4986" s="2" t="s">
        <v>74</v>
      </c>
      <c r="I4986" s="2" t="s">
        <v>12921</v>
      </c>
      <c r="J4986" s="3" t="str">
        <f>HYPERLINK("https://www.boe.es/gazeta/dias/1810/09/27/pdfs/GEI-1810-74E.pdf#page=2","Abrir facsímil")</f>
        <v>Abrir facsímil</v>
      </c>
      <c r="K4986" s="3" t="s">
        <v>76</v>
      </c>
    </row>
    <row r="4987" spans="1:11" ht="42" customHeight="1">
      <c r="A4987" s="2" t="s">
        <v>12922</v>
      </c>
      <c r="B4987" s="2" t="s">
        <v>12923</v>
      </c>
      <c r="C4987" s="2" t="s">
        <v>26</v>
      </c>
      <c r="D4987" s="2" t="s">
        <v>27</v>
      </c>
      <c r="E4987" s="4">
        <v>-32543</v>
      </c>
      <c r="F4987" s="3" t="s">
        <v>69</v>
      </c>
      <c r="G4987" s="3" t="s">
        <v>84</v>
      </c>
      <c r="H4987" s="2" t="s">
        <v>74</v>
      </c>
      <c r="I4987" s="2" t="s">
        <v>12924</v>
      </c>
      <c r="J4987" s="3" t="str">
        <f>HYPERLINK("https://www.boe.es/gazeta/dias/1810/11/24/pdfs/GEI-1810-99.pdf#page=7","Abrir facsímil")</f>
        <v>Abrir facsímil</v>
      </c>
      <c r="K4987" s="3" t="s">
        <v>76</v>
      </c>
    </row>
    <row r="4988" spans="1:11" ht="42" customHeight="1">
      <c r="A4988" s="2" t="s">
        <v>12925</v>
      </c>
      <c r="B4988" s="2" t="s">
        <v>12926</v>
      </c>
      <c r="C4988" s="2" t="s">
        <v>26</v>
      </c>
      <c r="D4988" s="2" t="s">
        <v>58</v>
      </c>
      <c r="E4988" s="4">
        <v>-32601</v>
      </c>
      <c r="F4988" s="3" t="s">
        <v>392</v>
      </c>
      <c r="G4988" s="3" t="s">
        <v>35</v>
      </c>
      <c r="H4988" s="2" t="s">
        <v>74</v>
      </c>
      <c r="I4988" s="2" t="s">
        <v>12927</v>
      </c>
      <c r="J4988" s="3" t="str">
        <f>HYPERLINK("https://www.boe.es/gazeta/dias/1810/09/27/pdfs/GEI-1810-74E.pdf#page=2","Abrir facsímil")</f>
        <v>Abrir facsímil</v>
      </c>
      <c r="K4988" s="3" t="s">
        <v>76</v>
      </c>
    </row>
    <row r="4989" spans="1:11" ht="42" customHeight="1">
      <c r="A4989" s="2" t="s">
        <v>12928</v>
      </c>
      <c r="B4989" s="2" t="s">
        <v>12929</v>
      </c>
      <c r="C4989" s="2" t="s">
        <v>88</v>
      </c>
      <c r="D4989" s="2" t="s">
        <v>117</v>
      </c>
      <c r="E4989" s="4">
        <v>-32842</v>
      </c>
      <c r="F4989" s="3" t="s">
        <v>1291</v>
      </c>
      <c r="G4989" s="3" t="s">
        <v>1292</v>
      </c>
      <c r="H4989" s="2" t="s">
        <v>74</v>
      </c>
      <c r="I4989" s="2" t="s">
        <v>12930</v>
      </c>
      <c r="J4989" s="3" t="str">
        <f>HYPERLINK("https://www.boe.es/gazeta/dias/1810/01/29/pdfs/GMD-1810-29.pdf#page=3","Abrir facsímil")</f>
        <v>Abrir facsímil</v>
      </c>
      <c r="K4989" s="3" t="s">
        <v>76</v>
      </c>
    </row>
    <row r="4990" spans="1:11" ht="42" customHeight="1">
      <c r="A4990" s="2" t="s">
        <v>12931</v>
      </c>
      <c r="B4990" s="2" t="s">
        <v>12932</v>
      </c>
      <c r="C4990" s="2" t="s">
        <v>88</v>
      </c>
      <c r="D4990" s="2" t="s">
        <v>117</v>
      </c>
      <c r="E4990" s="4">
        <v>-32631</v>
      </c>
      <c r="F4990" s="3" t="s">
        <v>497</v>
      </c>
      <c r="G4990" s="3" t="s">
        <v>498</v>
      </c>
      <c r="H4990" s="2" t="s">
        <v>74</v>
      </c>
      <c r="I4990" s="2" t="s">
        <v>12933</v>
      </c>
      <c r="J4990" s="3" t="str">
        <f>HYPERLINK("https://www.boe.es/gazeta/dias/1810/08/28/pdfs/GMD-1810-240.pdf#page=2","Abrir facsímil")</f>
        <v>Abrir facsímil</v>
      </c>
      <c r="K4990" s="3" t="s">
        <v>76</v>
      </c>
    </row>
    <row r="4991" spans="1:11" ht="42" customHeight="1">
      <c r="A4991" s="2" t="s">
        <v>12934</v>
      </c>
      <c r="B4991" s="2" t="s">
        <v>12935</v>
      </c>
      <c r="C4991" s="2" t="s">
        <v>111</v>
      </c>
      <c r="D4991" s="2" t="s">
        <v>27</v>
      </c>
      <c r="E4991" s="4">
        <v>-32830</v>
      </c>
      <c r="F4991" s="3" t="s">
        <v>3354</v>
      </c>
      <c r="G4991" s="3" t="s">
        <v>90</v>
      </c>
      <c r="H4991" s="2" t="s">
        <v>74</v>
      </c>
      <c r="I4991" s="2" t="s">
        <v>12936</v>
      </c>
      <c r="J4991" s="3" t="str">
        <f>HYPERLINK("https://www.boe.es/gazeta/dias/1810/02/10/pdfs/GMD-1810-41.pdf#page=4","Abrir facsímil")</f>
        <v>Abrir facsímil</v>
      </c>
      <c r="K4991" s="3" t="s">
        <v>76</v>
      </c>
    </row>
    <row r="4992" spans="1:11" ht="42" customHeight="1">
      <c r="A4992" s="2" t="s">
        <v>12937</v>
      </c>
      <c r="B4992" s="2" t="s">
        <v>12938</v>
      </c>
      <c r="C4992" s="2" t="s">
        <v>26</v>
      </c>
      <c r="D4992" s="2" t="s">
        <v>27</v>
      </c>
      <c r="E4992" s="4">
        <v>-32647</v>
      </c>
      <c r="F4992" s="3" t="s">
        <v>118</v>
      </c>
      <c r="G4992" s="3" t="s">
        <v>140</v>
      </c>
      <c r="H4992" s="2" t="s">
        <v>74</v>
      </c>
      <c r="I4992" s="2" t="s">
        <v>12939</v>
      </c>
      <c r="J4992" s="3" t="str">
        <f>HYPERLINK("https://www.boe.es/gazeta/dias/1810/08/12/pdfs/GMD-1810-224.pdf#page=2","Abrir facsímil")</f>
        <v>Abrir facsímil</v>
      </c>
      <c r="K4992" s="3" t="s">
        <v>76</v>
      </c>
    </row>
    <row r="4993" spans="1:11" ht="42" customHeight="1">
      <c r="A4993" s="2" t="s">
        <v>12940</v>
      </c>
      <c r="B4993" s="2" t="s">
        <v>12940</v>
      </c>
      <c r="C4993" s="2" t="s">
        <v>88</v>
      </c>
      <c r="D4993" s="2" t="s">
        <v>117</v>
      </c>
      <c r="E4993" s="4">
        <v>-32578</v>
      </c>
      <c r="F4993" s="3" t="s">
        <v>2333</v>
      </c>
      <c r="G4993" s="3" t="s">
        <v>213</v>
      </c>
      <c r="H4993" s="2" t="s">
        <v>74</v>
      </c>
      <c r="I4993" s="2" t="s">
        <v>12941</v>
      </c>
      <c r="J4993" s="3" t="str">
        <f>HYPERLINK("https://www.boe.es/gazeta/dias/1810/10/20/pdfs/GEI-1810-84.pdf#page=2","Abrir facsímil")</f>
        <v>Abrir facsímil</v>
      </c>
      <c r="K4993" s="3" t="s">
        <v>76</v>
      </c>
    </row>
    <row r="4994" spans="1:11" ht="42" customHeight="1">
      <c r="A4994" s="2" t="s">
        <v>12942</v>
      </c>
      <c r="B4994" s="2" t="s">
        <v>12943</v>
      </c>
      <c r="C4994" s="2" t="s">
        <v>26</v>
      </c>
      <c r="D4994" s="2" t="s">
        <v>27</v>
      </c>
      <c r="E4994" s="4">
        <v>-32763</v>
      </c>
      <c r="F4994" s="3" t="s">
        <v>1146</v>
      </c>
      <c r="G4994" s="3" t="s">
        <v>140</v>
      </c>
      <c r="H4994" s="2" t="s">
        <v>74</v>
      </c>
      <c r="I4994" s="2" t="s">
        <v>12944</v>
      </c>
      <c r="J4994" s="3" t="str">
        <f>HYPERLINK("https://www.boe.es/gazeta/dias/1810/04/18/pdfs/GMD-1810-108.pdf#page=3","Abrir facsímil")</f>
        <v>Abrir facsímil</v>
      </c>
      <c r="K4994" s="3" t="s">
        <v>76</v>
      </c>
    </row>
    <row r="4995" spans="1:11" ht="42" customHeight="1">
      <c r="A4995" s="2" t="s">
        <v>12942</v>
      </c>
      <c r="B4995" s="2" t="s">
        <v>12943</v>
      </c>
      <c r="C4995" s="2" t="s">
        <v>33</v>
      </c>
      <c r="D4995" s="2" t="s">
        <v>27</v>
      </c>
      <c r="E4995" s="4">
        <v>-32757</v>
      </c>
      <c r="F4995" s="3" t="s">
        <v>1136</v>
      </c>
      <c r="G4995" s="3" t="s">
        <v>1901</v>
      </c>
      <c r="H4995" s="2" t="s">
        <v>74</v>
      </c>
      <c r="I4995" s="2" t="s">
        <v>12945</v>
      </c>
      <c r="J4995" s="3" t="str">
        <f>HYPERLINK("https://www.boe.es/gazeta/dias/1810/04/24/pdfs/GEI-1810-17.pdf#page=8","Abrir facsímil")</f>
        <v>Abrir facsímil</v>
      </c>
      <c r="K4995" s="3" t="s">
        <v>76</v>
      </c>
    </row>
    <row r="4996" spans="1:11" ht="42" customHeight="1">
      <c r="A4996" s="2" t="s">
        <v>12946</v>
      </c>
      <c r="B4996" s="2" t="s">
        <v>12946</v>
      </c>
      <c r="C4996" s="2" t="s">
        <v>225</v>
      </c>
      <c r="D4996" s="2" t="s">
        <v>27</v>
      </c>
      <c r="E4996" s="4">
        <v>-32771</v>
      </c>
      <c r="F4996" s="3" t="s">
        <v>543</v>
      </c>
      <c r="G4996" s="3" t="s">
        <v>65</v>
      </c>
      <c r="H4996" s="2" t="s">
        <v>74</v>
      </c>
      <c r="I4996" s="2" t="s">
        <v>12947</v>
      </c>
      <c r="J4996" s="3" t="str">
        <f>HYPERLINK("https://www.boe.es/gazeta/dias/1810/04/10/pdfs/GEI-1810-13.pdf#page=7","Abrir facsímil")</f>
        <v>Abrir facsímil</v>
      </c>
      <c r="K4996" s="3" t="s">
        <v>76</v>
      </c>
    </row>
    <row r="4997" spans="1:11" ht="42" customHeight="1">
      <c r="A4997" s="2" t="s">
        <v>12948</v>
      </c>
      <c r="B4997" s="2" t="s">
        <v>12948</v>
      </c>
      <c r="C4997" s="2" t="s">
        <v>195</v>
      </c>
      <c r="D4997" s="2" t="s">
        <v>27</v>
      </c>
      <c r="E4997" s="4">
        <v>-32563</v>
      </c>
      <c r="F4997" s="3" t="s">
        <v>535</v>
      </c>
      <c r="G4997" s="3" t="s">
        <v>536</v>
      </c>
      <c r="H4997" s="2" t="s">
        <v>74</v>
      </c>
      <c r="I4997" s="2" t="s">
        <v>12949</v>
      </c>
      <c r="J4997" s="3" t="str">
        <f>HYPERLINK("https://www.boe.es/gazeta/dias/1810/11/04/pdfs/GMD-1810-308.pdf#page=9","Abrir facsímil")</f>
        <v>Abrir facsímil</v>
      </c>
      <c r="K4997" s="3" t="s">
        <v>76</v>
      </c>
    </row>
    <row r="4998" spans="1:11" ht="42" customHeight="1">
      <c r="A4998" s="2" t="s">
        <v>12950</v>
      </c>
      <c r="B4998" s="2" t="s">
        <v>12950</v>
      </c>
      <c r="C4998" s="2" t="s">
        <v>225</v>
      </c>
      <c r="D4998" s="2" t="s">
        <v>18</v>
      </c>
      <c r="E4998" s="4">
        <v>-32648</v>
      </c>
      <c r="F4998" s="3" t="s">
        <v>575</v>
      </c>
      <c r="G4998" s="3" t="s">
        <v>70</v>
      </c>
      <c r="H4998" s="2" t="s">
        <v>74</v>
      </c>
      <c r="I4998" s="2" t="s">
        <v>12951</v>
      </c>
      <c r="J4998" s="3" t="str">
        <f>HYPERLINK("https://www.boe.es/gazeta/dias/1810/08/11/pdfs/GMD-1810-223.pdf#page=2","Abrir facsímil")</f>
        <v>Abrir facsímil</v>
      </c>
      <c r="K4998" s="3" t="s">
        <v>76</v>
      </c>
    </row>
    <row r="4999" spans="1:11" ht="42" customHeight="1">
      <c r="A4999" s="2" t="s">
        <v>12952</v>
      </c>
      <c r="B4999" s="2" t="s">
        <v>12953</v>
      </c>
      <c r="C4999" s="2" t="s">
        <v>26</v>
      </c>
      <c r="D4999" s="2" t="s">
        <v>27</v>
      </c>
      <c r="E4999" s="4">
        <v>-32710</v>
      </c>
      <c r="F4999" s="3" t="s">
        <v>126</v>
      </c>
      <c r="G4999" s="3" t="s">
        <v>35</v>
      </c>
      <c r="H4999" s="2" t="s">
        <v>74</v>
      </c>
      <c r="I4999" s="2" t="s">
        <v>12954</v>
      </c>
      <c r="J4999" s="3" t="str">
        <f>HYPERLINK("https://www.boe.es/gazeta/dias/1810/06/10/pdfs/GMD-1810-161.pdf#page=2","Abrir facsímil")</f>
        <v>Abrir facsímil</v>
      </c>
      <c r="K4999" s="3" t="s">
        <v>76</v>
      </c>
    </row>
    <row r="5000" spans="1:11" ht="42" customHeight="1">
      <c r="A5000" s="2" t="s">
        <v>12955</v>
      </c>
      <c r="B5000" s="2" t="s">
        <v>12955</v>
      </c>
      <c r="C5000" s="2" t="s">
        <v>88</v>
      </c>
      <c r="D5000" s="2" t="s">
        <v>27</v>
      </c>
      <c r="E5000" s="4">
        <v>-32755</v>
      </c>
      <c r="F5000" s="3" t="s">
        <v>1641</v>
      </c>
      <c r="G5000" s="3" t="s">
        <v>9132</v>
      </c>
      <c r="H5000" s="2" t="s">
        <v>74</v>
      </c>
      <c r="I5000" s="2" t="s">
        <v>12956</v>
      </c>
      <c r="J5000" s="3" t="str">
        <f>HYPERLINK("https://www.boe.es/gazeta/dias/1810/04/26/pdfs/GMD-1810-116.pdf#page=1","Abrir facsímil")</f>
        <v>Abrir facsímil</v>
      </c>
      <c r="K5000" s="3" t="s">
        <v>76</v>
      </c>
    </row>
    <row r="5001" spans="1:11" ht="42" customHeight="1">
      <c r="A5001" s="2" t="s">
        <v>12957</v>
      </c>
      <c r="B5001" s="2" t="s">
        <v>12958</v>
      </c>
      <c r="C5001" s="2" t="s">
        <v>26</v>
      </c>
      <c r="D5001" s="2" t="s">
        <v>27</v>
      </c>
      <c r="E5001" s="4">
        <v>-32710</v>
      </c>
      <c r="F5001" s="3" t="s">
        <v>126</v>
      </c>
      <c r="G5001" s="3" t="s">
        <v>180</v>
      </c>
      <c r="H5001" s="2" t="s">
        <v>74</v>
      </c>
      <c r="I5001" s="2" t="s">
        <v>12959</v>
      </c>
      <c r="J5001" s="3" t="str">
        <f>HYPERLINK("https://www.boe.es/gazeta/dias/1810/06/10/pdfs/GMD-1810-161.pdf#page=1","Abrir facsímil")</f>
        <v>Abrir facsímil</v>
      </c>
      <c r="K5001" s="3" t="s">
        <v>76</v>
      </c>
    </row>
    <row r="5002" spans="1:11" ht="42" customHeight="1">
      <c r="A5002" s="2" t="s">
        <v>12960</v>
      </c>
      <c r="B5002" s="2" t="s">
        <v>12961</v>
      </c>
      <c r="C5002" s="2" t="s">
        <v>930</v>
      </c>
      <c r="D5002" s="2" t="s">
        <v>18</v>
      </c>
      <c r="E5002" s="4">
        <v>-32508</v>
      </c>
      <c r="F5002" s="3" t="s">
        <v>864</v>
      </c>
      <c r="G5002" s="3" t="s">
        <v>691</v>
      </c>
      <c r="H5002" s="2" t="s">
        <v>74</v>
      </c>
      <c r="I5002" s="2" t="s">
        <v>12962</v>
      </c>
      <c r="J5002" s="3" t="str">
        <f>HYPERLINK("https://www.boe.es/gazeta/dias/1810/12/29/pdfs/GEI-1810-114.pdf#page=8","Abrir facsímil")</f>
        <v>Abrir facsímil</v>
      </c>
      <c r="K5002" s="3" t="s">
        <v>76</v>
      </c>
    </row>
    <row r="5003" spans="1:11" ht="42" customHeight="1">
      <c r="A5003" s="2" t="s">
        <v>12963</v>
      </c>
      <c r="B5003" s="2" t="s">
        <v>12963</v>
      </c>
      <c r="C5003" s="2" t="s">
        <v>88</v>
      </c>
      <c r="D5003" s="2" t="s">
        <v>27</v>
      </c>
      <c r="E5003" s="4">
        <v>-32812</v>
      </c>
      <c r="F5003" s="3" t="s">
        <v>627</v>
      </c>
      <c r="G5003" s="3" t="s">
        <v>29</v>
      </c>
      <c r="H5003" s="2" t="s">
        <v>74</v>
      </c>
      <c r="I5003" s="2" t="s">
        <v>12964</v>
      </c>
      <c r="J5003" s="3" t="str">
        <f>HYPERLINK("https://www.boe.es/gazeta/dias/1810/02/28/pdfs/GMD-1810-59.pdf#page=2","Abrir facsímil")</f>
        <v>Abrir facsímil</v>
      </c>
      <c r="K5003" s="3" t="s">
        <v>76</v>
      </c>
    </row>
    <row r="5004" spans="1:11" ht="42" customHeight="1">
      <c r="A5004" s="2" t="s">
        <v>12965</v>
      </c>
      <c r="B5004" s="2" t="s">
        <v>12965</v>
      </c>
      <c r="C5004" s="2" t="s">
        <v>88</v>
      </c>
      <c r="D5004" s="2" t="s">
        <v>27</v>
      </c>
      <c r="E5004" s="4">
        <v>-32727</v>
      </c>
      <c r="F5004" s="3" t="s">
        <v>1611</v>
      </c>
      <c r="G5004" s="3" t="s">
        <v>1928</v>
      </c>
      <c r="H5004" s="2" t="s">
        <v>74</v>
      </c>
      <c r="I5004" s="2" t="s">
        <v>12966</v>
      </c>
      <c r="J5004" s="3" t="str">
        <f>HYPERLINK("https://www.boe.es/gazeta/dias/1810/05/24/pdfs/GMD-1810-144.pdf#page=2","Abrir facsímil")</f>
        <v>Abrir facsímil</v>
      </c>
      <c r="K5004" s="3" t="s">
        <v>76</v>
      </c>
    </row>
    <row r="5005" spans="1:11" ht="42" customHeight="1">
      <c r="A5005" s="2" t="s">
        <v>12967</v>
      </c>
      <c r="B5005" s="2" t="s">
        <v>12967</v>
      </c>
      <c r="C5005" s="2" t="s">
        <v>26</v>
      </c>
      <c r="D5005" s="2" t="s">
        <v>18</v>
      </c>
      <c r="E5005" s="4">
        <v>-32697</v>
      </c>
      <c r="F5005" s="3" t="s">
        <v>1859</v>
      </c>
      <c r="G5005" s="3" t="s">
        <v>12968</v>
      </c>
      <c r="H5005" s="2" t="s">
        <v>74</v>
      </c>
      <c r="I5005" s="2" t="s">
        <v>12969</v>
      </c>
      <c r="J5005" s="3" t="str">
        <f>HYPERLINK("https://www.boe.es/gazeta/dias/1810/06/23/pdfs/GMD-1810-174.pdf#page=1","Abrir facsímil")</f>
        <v>Abrir facsímil</v>
      </c>
      <c r="K5005" s="3" t="s">
        <v>76</v>
      </c>
    </row>
    <row r="5006" spans="1:11" ht="42" customHeight="1">
      <c r="A5006" s="2" t="s">
        <v>12970</v>
      </c>
      <c r="B5006" s="2" t="s">
        <v>12971</v>
      </c>
      <c r="C5006" s="2" t="s">
        <v>26</v>
      </c>
      <c r="D5006" s="2" t="s">
        <v>27</v>
      </c>
      <c r="E5006" s="4">
        <v>-32647</v>
      </c>
      <c r="F5006" s="3" t="s">
        <v>118</v>
      </c>
      <c r="G5006" s="3" t="s">
        <v>119</v>
      </c>
      <c r="H5006" s="2" t="s">
        <v>74</v>
      </c>
      <c r="I5006" s="2" t="s">
        <v>12972</v>
      </c>
      <c r="J5006" s="3" t="str">
        <f>HYPERLINK("https://www.boe.es/gazeta/dias/1810/08/12/pdfs/GMD-1810-224.pdf#page=3","Abrir facsímil")</f>
        <v>Abrir facsímil</v>
      </c>
      <c r="K5006" s="3" t="s">
        <v>76</v>
      </c>
    </row>
    <row r="5007" spans="1:11" ht="42" customHeight="1">
      <c r="A5007" s="2" t="s">
        <v>12973</v>
      </c>
      <c r="B5007" s="2" t="s">
        <v>12973</v>
      </c>
      <c r="C5007" s="2" t="s">
        <v>317</v>
      </c>
      <c r="D5007" s="2" t="s">
        <v>117</v>
      </c>
      <c r="E5007" s="4">
        <v>-32584</v>
      </c>
      <c r="F5007" s="3" t="s">
        <v>1560</v>
      </c>
      <c r="G5007" s="3" t="s">
        <v>971</v>
      </c>
      <c r="H5007" s="2" t="s">
        <v>74</v>
      </c>
      <c r="I5007" s="2" t="s">
        <v>12974</v>
      </c>
      <c r="J5007" s="3" t="str">
        <f>HYPERLINK("https://www.boe.es/gazeta/dias/1810/10/14/pdfs/GMD-1810-287.pdf#page=3","Abrir facsímil")</f>
        <v>Abrir facsímil</v>
      </c>
      <c r="K5007" s="3" t="s">
        <v>76</v>
      </c>
    </row>
    <row r="5008" spans="1:11" ht="42" customHeight="1">
      <c r="A5008" s="2" t="s">
        <v>12973</v>
      </c>
      <c r="B5008" s="2" t="s">
        <v>12973</v>
      </c>
      <c r="C5008" s="2" t="s">
        <v>88</v>
      </c>
      <c r="D5008" s="2" t="s">
        <v>117</v>
      </c>
      <c r="E5008" s="4">
        <v>-32578</v>
      </c>
      <c r="F5008" s="3" t="s">
        <v>2333</v>
      </c>
      <c r="G5008" s="3" t="s">
        <v>4095</v>
      </c>
      <c r="H5008" s="2" t="s">
        <v>74</v>
      </c>
      <c r="I5008" s="2" t="s">
        <v>12975</v>
      </c>
      <c r="J5008" s="3" t="str">
        <f>HYPERLINK("https://www.boe.es/gazeta/dias/1810/10/20/pdfs/GEI-1810-84.pdf#page=3","Abrir facsímil")</f>
        <v>Abrir facsímil</v>
      </c>
      <c r="K5008" s="3" t="s">
        <v>76</v>
      </c>
    </row>
    <row r="5009" spans="1:11" ht="42" customHeight="1">
      <c r="A5009" s="2" t="s">
        <v>12973</v>
      </c>
      <c r="B5009" s="2" t="s">
        <v>12973</v>
      </c>
      <c r="C5009" s="2" t="s">
        <v>88</v>
      </c>
      <c r="D5009" s="2" t="s">
        <v>117</v>
      </c>
      <c r="E5009" s="4">
        <v>-32578</v>
      </c>
      <c r="F5009" s="3" t="s">
        <v>2333</v>
      </c>
      <c r="G5009" s="3" t="s">
        <v>2334</v>
      </c>
      <c r="H5009" s="2" t="s">
        <v>74</v>
      </c>
      <c r="I5009" s="2" t="s">
        <v>12976</v>
      </c>
      <c r="J5009" s="3" t="str">
        <f>HYPERLINK("https://www.boe.es/gazeta/dias/1810/10/20/pdfs/GEI-1810-84.pdf#page=4","Abrir facsímil")</f>
        <v>Abrir facsímil</v>
      </c>
      <c r="K5009" s="3" t="s">
        <v>76</v>
      </c>
    </row>
    <row r="5010" spans="1:11" ht="42" customHeight="1">
      <c r="A5010" s="2" t="s">
        <v>12973</v>
      </c>
      <c r="B5010" s="2" t="s">
        <v>12973</v>
      </c>
      <c r="C5010" s="2" t="s">
        <v>88</v>
      </c>
      <c r="D5010" s="2" t="s">
        <v>117</v>
      </c>
      <c r="E5010" s="4">
        <v>-32539</v>
      </c>
      <c r="F5010" s="3" t="s">
        <v>11216</v>
      </c>
      <c r="G5010" s="3" t="s">
        <v>12977</v>
      </c>
      <c r="H5010" s="2" t="s">
        <v>74</v>
      </c>
      <c r="I5010" s="2" t="s">
        <v>12978</v>
      </c>
      <c r="J5010" s="3" t="str">
        <f>HYPERLINK("https://www.boe.es/gazeta/dias/1810/11/28/pdfs/GMD-1810-332.pdf#page=2","Abrir facsímil")</f>
        <v>Abrir facsímil</v>
      </c>
      <c r="K5010" s="3" t="s">
        <v>76</v>
      </c>
    </row>
    <row r="5011" spans="1:11" ht="42" customHeight="1">
      <c r="A5011" s="2" t="s">
        <v>12973</v>
      </c>
      <c r="B5011" s="2" t="s">
        <v>12973</v>
      </c>
      <c r="C5011" s="2" t="s">
        <v>88</v>
      </c>
      <c r="D5011" s="2" t="s">
        <v>27</v>
      </c>
      <c r="E5011" s="4">
        <v>-32531</v>
      </c>
      <c r="F5011" s="3" t="s">
        <v>2483</v>
      </c>
      <c r="G5011" s="3" t="s">
        <v>749</v>
      </c>
      <c r="H5011" s="2" t="s">
        <v>74</v>
      </c>
      <c r="I5011" s="2" t="s">
        <v>12979</v>
      </c>
      <c r="J5011" s="3" t="str">
        <f>HYPERLINK("https://www.boe.es/gazeta/dias/1810/12/06/pdfs/GEI-1810-104.pdf#page=3","Abrir facsímil")</f>
        <v>Abrir facsímil</v>
      </c>
      <c r="K5011" s="3" t="s">
        <v>76</v>
      </c>
    </row>
    <row r="5012" spans="1:11" ht="42" customHeight="1">
      <c r="A5012" s="2" t="s">
        <v>12980</v>
      </c>
      <c r="B5012" s="2" t="s">
        <v>12981</v>
      </c>
      <c r="C5012" s="2" t="s">
        <v>111</v>
      </c>
      <c r="D5012" s="2" t="s">
        <v>27</v>
      </c>
      <c r="E5012" s="4">
        <v>-32800</v>
      </c>
      <c r="F5012" s="3" t="s">
        <v>388</v>
      </c>
      <c r="G5012" s="3" t="s">
        <v>90</v>
      </c>
      <c r="H5012" s="2" t="s">
        <v>74</v>
      </c>
      <c r="I5012" s="2" t="s">
        <v>12982</v>
      </c>
      <c r="J5012" s="3" t="str">
        <f>HYPERLINK("https://www.boe.es/gazeta/dias/1810/03/12/pdfs/GMD-1810-71.pdf#page=4","Abrir facsímil")</f>
        <v>Abrir facsímil</v>
      </c>
      <c r="K5012" s="3" t="s">
        <v>76</v>
      </c>
    </row>
    <row r="5013" spans="1:11" ht="42" customHeight="1">
      <c r="A5013" s="2" t="s">
        <v>12983</v>
      </c>
      <c r="B5013" s="2" t="s">
        <v>12984</v>
      </c>
      <c r="C5013" s="2" t="s">
        <v>26</v>
      </c>
      <c r="D5013" s="2" t="s">
        <v>18</v>
      </c>
      <c r="E5013" s="4">
        <v>-32697</v>
      </c>
      <c r="F5013" s="3" t="s">
        <v>1859</v>
      </c>
      <c r="G5013" s="3" t="s">
        <v>70</v>
      </c>
      <c r="H5013" s="2" t="s">
        <v>74</v>
      </c>
      <c r="I5013" s="2" t="s">
        <v>12985</v>
      </c>
      <c r="J5013" s="3" t="str">
        <f>HYPERLINK("https://www.boe.es/gazeta/dias/1810/06/23/pdfs/GMD-1810-174.pdf#page=4","Abrir facsímil")</f>
        <v>Abrir facsímil</v>
      </c>
      <c r="K5013" s="3" t="s">
        <v>76</v>
      </c>
    </row>
    <row r="5014" spans="1:11" ht="42" customHeight="1">
      <c r="A5014" s="2" t="s">
        <v>12986</v>
      </c>
      <c r="B5014" s="2" t="s">
        <v>12986</v>
      </c>
      <c r="C5014" s="2" t="s">
        <v>88</v>
      </c>
      <c r="D5014" s="2" t="s">
        <v>27</v>
      </c>
      <c r="E5014" s="4">
        <v>-32575</v>
      </c>
      <c r="F5014" s="3" t="s">
        <v>135</v>
      </c>
      <c r="G5014" s="3" t="s">
        <v>3467</v>
      </c>
      <c r="H5014" s="2" t="s">
        <v>74</v>
      </c>
      <c r="I5014" s="2" t="s">
        <v>12987</v>
      </c>
      <c r="J5014" s="3" t="str">
        <f>HYPERLINK("https://www.boe.es/gazeta/dias/1810/10/23/pdfs/GEI-1810-85.pdf#page=2","Abrir facsímil")</f>
        <v>Abrir facsímil</v>
      </c>
      <c r="K5014" s="3" t="s">
        <v>76</v>
      </c>
    </row>
    <row r="5015" spans="1:11" ht="42" customHeight="1">
      <c r="A5015" s="2" t="s">
        <v>12988</v>
      </c>
      <c r="B5015" s="2" t="s">
        <v>12989</v>
      </c>
      <c r="C5015" s="2" t="s">
        <v>26</v>
      </c>
      <c r="D5015" s="2" t="s">
        <v>27</v>
      </c>
      <c r="E5015" s="4">
        <v>-32782</v>
      </c>
      <c r="F5015" s="3" t="s">
        <v>79</v>
      </c>
      <c r="G5015" s="3" t="s">
        <v>80</v>
      </c>
      <c r="H5015" s="2" t="s">
        <v>74</v>
      </c>
      <c r="I5015" s="2" t="s">
        <v>12990</v>
      </c>
      <c r="J5015" s="3" t="str">
        <f>HYPERLINK("https://www.boe.es/gazeta/dias/1810/03/30/pdfs/GEI-1810-9.pdf#page=7","Abrir facsímil")</f>
        <v>Abrir facsímil</v>
      </c>
      <c r="K5015" s="3" t="s">
        <v>76</v>
      </c>
    </row>
    <row r="5016" spans="1:11" ht="42" customHeight="1">
      <c r="A5016" s="2" t="s">
        <v>12991</v>
      </c>
      <c r="B5016" s="2" t="s">
        <v>12991</v>
      </c>
      <c r="C5016" s="2" t="s">
        <v>26</v>
      </c>
      <c r="D5016" s="2" t="s">
        <v>27</v>
      </c>
      <c r="E5016" s="4">
        <v>-32725</v>
      </c>
      <c r="F5016" s="3" t="s">
        <v>417</v>
      </c>
      <c r="G5016" s="3" t="s">
        <v>140</v>
      </c>
      <c r="H5016" s="2" t="s">
        <v>74</v>
      </c>
      <c r="I5016" s="2" t="s">
        <v>12992</v>
      </c>
      <c r="J5016" s="3" t="str">
        <f>HYPERLINK("https://www.boe.es/gazeta/dias/1810/05/26/pdfs/GMD-1810-146.pdf#page=4","Abrir facsímil")</f>
        <v>Abrir facsímil</v>
      </c>
      <c r="K5016" s="3" t="s">
        <v>76</v>
      </c>
    </row>
    <row r="5017" spans="1:11" ht="42" customHeight="1">
      <c r="A5017" s="2" t="s">
        <v>12991</v>
      </c>
      <c r="B5017" s="2" t="s">
        <v>12991</v>
      </c>
      <c r="C5017" s="2" t="s">
        <v>26</v>
      </c>
      <c r="D5017" s="2" t="s">
        <v>27</v>
      </c>
      <c r="E5017" s="4">
        <v>-32541</v>
      </c>
      <c r="F5017" s="3" t="s">
        <v>748</v>
      </c>
      <c r="G5017" s="3" t="s">
        <v>3125</v>
      </c>
      <c r="H5017" s="2" t="s">
        <v>74</v>
      </c>
      <c r="I5017" s="2" t="s">
        <v>12993</v>
      </c>
      <c r="J5017" s="3" t="str">
        <f>HYPERLINK("https://www.boe.es/gazeta/dias/1810/11/26/pdfs/GMD-1810-330.pdf#page=3","Abrir facsímil")</f>
        <v>Abrir facsímil</v>
      </c>
      <c r="K5017" s="3" t="s">
        <v>76</v>
      </c>
    </row>
    <row r="5018" spans="1:11" ht="42" customHeight="1">
      <c r="A5018" s="2" t="s">
        <v>12994</v>
      </c>
      <c r="B5018" s="2" t="s">
        <v>12994</v>
      </c>
      <c r="C5018" s="2" t="s">
        <v>88</v>
      </c>
      <c r="D5018" s="2" t="s">
        <v>117</v>
      </c>
      <c r="E5018" s="4">
        <v>-32861</v>
      </c>
      <c r="F5018" s="3" t="s">
        <v>796</v>
      </c>
      <c r="G5018" s="3" t="s">
        <v>99</v>
      </c>
      <c r="H5018" s="2" t="s">
        <v>74</v>
      </c>
      <c r="I5018" s="2" t="s">
        <v>12995</v>
      </c>
      <c r="J5018" s="3" t="str">
        <f>HYPERLINK("https://www.boe.es/gazeta/dias/1810/01/10/pdfs/GMD-1810-10.pdf#page=3","Abrir facsímil")</f>
        <v>Abrir facsímil</v>
      </c>
      <c r="K5018" s="3" t="s">
        <v>76</v>
      </c>
    </row>
    <row r="5019" spans="1:11" ht="42" customHeight="1">
      <c r="A5019" s="2" t="s">
        <v>12994</v>
      </c>
      <c r="B5019" s="2" t="s">
        <v>12994</v>
      </c>
      <c r="C5019" s="2" t="s">
        <v>17</v>
      </c>
      <c r="D5019" s="2" t="s">
        <v>27</v>
      </c>
      <c r="E5019" s="4">
        <v>-32537</v>
      </c>
      <c r="F5019" s="3" t="s">
        <v>1091</v>
      </c>
      <c r="G5019" s="3" t="s">
        <v>20</v>
      </c>
      <c r="H5019" s="2" t="s">
        <v>74</v>
      </c>
      <c r="I5019" s="2" t="s">
        <v>12996</v>
      </c>
      <c r="J5019" s="3" t="str">
        <f>HYPERLINK("https://www.boe.es/gazeta/dias/1810/11/30/pdfs/GMD-1810-334.pdf#page=4","Abrir facsímil")</f>
        <v>Abrir facsímil</v>
      </c>
      <c r="K5019" s="3" t="s">
        <v>76</v>
      </c>
    </row>
    <row r="5020" spans="1:11" ht="42" customHeight="1">
      <c r="A5020" s="2" t="s">
        <v>12997</v>
      </c>
      <c r="B5020" s="2" t="s">
        <v>12998</v>
      </c>
      <c r="C5020" s="2" t="s">
        <v>26</v>
      </c>
      <c r="D5020" s="2" t="s">
        <v>27</v>
      </c>
      <c r="E5020" s="4">
        <v>-32531</v>
      </c>
      <c r="F5020" s="3" t="s">
        <v>2023</v>
      </c>
      <c r="G5020" s="3" t="s">
        <v>29</v>
      </c>
      <c r="H5020" s="2" t="s">
        <v>74</v>
      </c>
      <c r="I5020" s="2" t="s">
        <v>12999</v>
      </c>
      <c r="J5020" s="3" t="str">
        <f>HYPERLINK("https://www.boe.es/gazeta/dias/1810/12/06/pdfs/GMD-1810-340.pdf#page=4","Abrir facsímil")</f>
        <v>Abrir facsímil</v>
      </c>
      <c r="K5020" s="3" t="s">
        <v>76</v>
      </c>
    </row>
    <row r="5021" spans="1:11" ht="42" customHeight="1">
      <c r="A5021" s="2" t="s">
        <v>13000</v>
      </c>
      <c r="B5021" s="2" t="s">
        <v>13001</v>
      </c>
      <c r="C5021" s="2" t="s">
        <v>26</v>
      </c>
      <c r="D5021" s="2" t="s">
        <v>27</v>
      </c>
      <c r="E5021" s="4">
        <v>-32515</v>
      </c>
      <c r="F5021" s="3" t="s">
        <v>351</v>
      </c>
      <c r="G5021" s="3" t="s">
        <v>352</v>
      </c>
      <c r="H5021" s="2" t="s">
        <v>74</v>
      </c>
      <c r="I5021" s="2" t="s">
        <v>13002</v>
      </c>
      <c r="J5021" s="3" t="str">
        <f>HYPERLINK("https://www.boe.es/gazeta/dias/1810/12/22/pdfs/GEI-1810-111.pdf#page=8","Abrir facsímil")</f>
        <v>Abrir facsímil</v>
      </c>
      <c r="K5021" s="3" t="s">
        <v>76</v>
      </c>
    </row>
    <row r="5022" spans="1:11" ht="42" customHeight="1">
      <c r="A5022" s="2" t="s">
        <v>13003</v>
      </c>
      <c r="B5022" s="2" t="s">
        <v>13004</v>
      </c>
      <c r="C5022" s="2" t="s">
        <v>26</v>
      </c>
      <c r="D5022" s="2" t="s">
        <v>27</v>
      </c>
      <c r="E5022" s="4">
        <v>-32563</v>
      </c>
      <c r="F5022" s="3" t="s">
        <v>535</v>
      </c>
      <c r="G5022" s="3" t="s">
        <v>13005</v>
      </c>
      <c r="H5022" s="2" t="s">
        <v>74</v>
      </c>
      <c r="I5022" s="2" t="s">
        <v>13006</v>
      </c>
      <c r="J5022" s="3" t="str">
        <f>HYPERLINK("https://www.boe.es/gazeta/dias/1810/11/04/pdfs/GMD-1810-308.pdf#page=22","Abrir facsímil")</f>
        <v>Abrir facsímil</v>
      </c>
      <c r="K5022" s="3" t="s">
        <v>76</v>
      </c>
    </row>
    <row r="5023" spans="1:11" ht="42" customHeight="1">
      <c r="A5023" s="2" t="s">
        <v>13007</v>
      </c>
      <c r="B5023" s="2" t="s">
        <v>13008</v>
      </c>
      <c r="C5023" s="2" t="s">
        <v>26</v>
      </c>
      <c r="D5023" s="2" t="s">
        <v>27</v>
      </c>
      <c r="E5023" s="4">
        <v>-32531</v>
      </c>
      <c r="F5023" s="3" t="s">
        <v>2023</v>
      </c>
      <c r="G5023" s="3" t="s">
        <v>29</v>
      </c>
      <c r="H5023" s="2" t="s">
        <v>74</v>
      </c>
      <c r="I5023" s="2" t="s">
        <v>13009</v>
      </c>
      <c r="J5023" s="3" t="str">
        <f>HYPERLINK("https://www.boe.es/gazeta/dias/1810/12/06/pdfs/GMD-1810-340.pdf#page=4","Abrir facsímil")</f>
        <v>Abrir facsímil</v>
      </c>
      <c r="K5023" s="3" t="s">
        <v>76</v>
      </c>
    </row>
    <row r="5024" spans="1:11" ht="42" customHeight="1">
      <c r="A5024" s="2" t="s">
        <v>13010</v>
      </c>
      <c r="B5024" s="2" t="s">
        <v>13011</v>
      </c>
      <c r="C5024" s="2" t="s">
        <v>26</v>
      </c>
      <c r="D5024" s="2" t="s">
        <v>27</v>
      </c>
      <c r="E5024" s="4">
        <v>-32562</v>
      </c>
      <c r="F5024" s="3" t="s">
        <v>1186</v>
      </c>
      <c r="G5024" s="3" t="s">
        <v>90</v>
      </c>
      <c r="H5024" s="2" t="s">
        <v>74</v>
      </c>
      <c r="I5024" s="2" t="s">
        <v>13012</v>
      </c>
      <c r="J5024" s="3" t="str">
        <f>HYPERLINK("https://www.boe.es/gazeta/dias/1810/11/05/pdfs/GMD-1810-309.pdf#page=3","Abrir facsímil")</f>
        <v>Abrir facsímil</v>
      </c>
      <c r="K5024" s="3" t="s">
        <v>76</v>
      </c>
    </row>
    <row r="5025" spans="1:11" ht="42" customHeight="1">
      <c r="A5025" s="2" t="s">
        <v>13013</v>
      </c>
      <c r="B5025" s="2" t="s">
        <v>13014</v>
      </c>
      <c r="C5025" s="2" t="s">
        <v>26</v>
      </c>
      <c r="D5025" s="2" t="s">
        <v>27</v>
      </c>
      <c r="E5025" s="4">
        <v>-32568</v>
      </c>
      <c r="F5025" s="3" t="s">
        <v>1233</v>
      </c>
      <c r="G5025" s="3" t="s">
        <v>140</v>
      </c>
      <c r="H5025" s="2" t="s">
        <v>74</v>
      </c>
      <c r="I5025" s="2" t="s">
        <v>13015</v>
      </c>
      <c r="J5025" s="3" t="str">
        <f>HYPERLINK("https://www.boe.es/gazeta/dias/1810/10/30/pdfs/GMD-1810-303.pdf#page=4","Abrir facsímil")</f>
        <v>Abrir facsímil</v>
      </c>
      <c r="K5025" s="3" t="s">
        <v>76</v>
      </c>
    </row>
    <row r="5026" spans="1:11" ht="42" customHeight="1">
      <c r="A5026" s="2" t="s">
        <v>13016</v>
      </c>
      <c r="B5026" s="2" t="s">
        <v>13016</v>
      </c>
      <c r="C5026" s="2" t="s">
        <v>88</v>
      </c>
      <c r="D5026" s="2" t="s">
        <v>117</v>
      </c>
      <c r="E5026" s="4">
        <v>-32566</v>
      </c>
      <c r="F5026" s="3" t="s">
        <v>405</v>
      </c>
      <c r="G5026" s="3" t="s">
        <v>469</v>
      </c>
      <c r="H5026" s="2" t="s">
        <v>74</v>
      </c>
      <c r="I5026" s="2" t="s">
        <v>13017</v>
      </c>
      <c r="J5026" s="3" t="str">
        <f>HYPERLINK("https://www.boe.es/gazeta/dias/1810/11/01/pdfs/GMD-1810-305.pdf#page=2","Abrir facsímil")</f>
        <v>Abrir facsímil</v>
      </c>
      <c r="K5026" s="3" t="s">
        <v>76</v>
      </c>
    </row>
    <row r="5027" spans="1:11" ht="42" customHeight="1">
      <c r="A5027" s="2" t="s">
        <v>13018</v>
      </c>
      <c r="B5027" s="2" t="s">
        <v>13019</v>
      </c>
      <c r="C5027" s="2" t="s">
        <v>26</v>
      </c>
      <c r="D5027" s="2" t="s">
        <v>27</v>
      </c>
      <c r="E5027" s="4">
        <v>-32647</v>
      </c>
      <c r="F5027" s="3" t="s">
        <v>118</v>
      </c>
      <c r="G5027" s="3" t="s">
        <v>20</v>
      </c>
      <c r="H5027" s="2" t="s">
        <v>74</v>
      </c>
      <c r="I5027" s="2" t="s">
        <v>13020</v>
      </c>
      <c r="J5027" s="3" t="str">
        <f>HYPERLINK("https://www.boe.es/gazeta/dias/1810/08/12/pdfs/GMD-1810-224.pdf#page=4","Abrir facsímil")</f>
        <v>Abrir facsímil</v>
      </c>
      <c r="K5027" s="3" t="s">
        <v>76</v>
      </c>
    </row>
    <row r="5028" spans="1:11" ht="42" customHeight="1">
      <c r="A5028" s="2" t="s">
        <v>13021</v>
      </c>
      <c r="B5028" s="2" t="s">
        <v>13021</v>
      </c>
      <c r="C5028" s="2" t="s">
        <v>26</v>
      </c>
      <c r="D5028" s="2" t="s">
        <v>27</v>
      </c>
      <c r="E5028" s="4">
        <v>-32726</v>
      </c>
      <c r="F5028" s="3" t="s">
        <v>3350</v>
      </c>
      <c r="G5028" s="3" t="s">
        <v>227</v>
      </c>
      <c r="H5028" s="2" t="s">
        <v>74</v>
      </c>
      <c r="I5028" s="2" t="s">
        <v>13022</v>
      </c>
      <c r="J5028" s="3" t="str">
        <f>HYPERLINK("https://www.boe.es/gazeta/dias/1810/05/25/pdfs/GMD-1810-145.pdf#page=1","Abrir facsímil")</f>
        <v>Abrir facsímil</v>
      </c>
      <c r="K5028" s="3" t="s">
        <v>76</v>
      </c>
    </row>
    <row r="5029" spans="1:11" ht="42" customHeight="1">
      <c r="A5029" s="2" t="s">
        <v>13021</v>
      </c>
      <c r="B5029" s="2" t="s">
        <v>13021</v>
      </c>
      <c r="C5029" s="2" t="s">
        <v>111</v>
      </c>
      <c r="D5029" s="2" t="s">
        <v>27</v>
      </c>
      <c r="E5029" s="4">
        <v>-32726</v>
      </c>
      <c r="F5029" s="3" t="s">
        <v>3350</v>
      </c>
      <c r="G5029" s="3" t="s">
        <v>35</v>
      </c>
      <c r="H5029" s="2" t="s">
        <v>74</v>
      </c>
      <c r="I5029" s="2" t="s">
        <v>13023</v>
      </c>
      <c r="J5029" s="3" t="str">
        <f>HYPERLINK("https://www.boe.es/gazeta/dias/1810/05/25/pdfs/GMD-1810-145.pdf#page=2","Abrir facsímil")</f>
        <v>Abrir facsímil</v>
      </c>
      <c r="K5029" s="3" t="s">
        <v>76</v>
      </c>
    </row>
    <row r="5030" spans="1:11" ht="42" customHeight="1">
      <c r="A5030" s="2" t="s">
        <v>13021</v>
      </c>
      <c r="B5030" s="2" t="s">
        <v>13021</v>
      </c>
      <c r="C5030" s="2" t="s">
        <v>26</v>
      </c>
      <c r="D5030" s="2" t="s">
        <v>27</v>
      </c>
      <c r="E5030" s="4">
        <v>-32726</v>
      </c>
      <c r="F5030" s="3" t="s">
        <v>3350</v>
      </c>
      <c r="G5030" s="3" t="s">
        <v>29</v>
      </c>
      <c r="H5030" s="2" t="s">
        <v>74</v>
      </c>
      <c r="I5030" s="2" t="s">
        <v>13024</v>
      </c>
      <c r="J5030" s="3" t="str">
        <f>HYPERLINK("https://www.boe.es/gazeta/dias/1810/05/25/pdfs/GMD-1810-145.pdf#page=4","Abrir facsímil")</f>
        <v>Abrir facsímil</v>
      </c>
      <c r="K5030" s="3" t="s">
        <v>76</v>
      </c>
    </row>
    <row r="5031" spans="1:11" ht="42" customHeight="1">
      <c r="A5031" s="2" t="s">
        <v>13021</v>
      </c>
      <c r="B5031" s="2" t="s">
        <v>13021</v>
      </c>
      <c r="C5031" s="2" t="s">
        <v>26</v>
      </c>
      <c r="D5031" s="2" t="s">
        <v>27</v>
      </c>
      <c r="E5031" s="4">
        <v>-32614</v>
      </c>
      <c r="F5031" s="3" t="s">
        <v>403</v>
      </c>
      <c r="G5031" s="3" t="s">
        <v>140</v>
      </c>
      <c r="H5031" s="2" t="s">
        <v>74</v>
      </c>
      <c r="I5031" s="2" t="s">
        <v>13025</v>
      </c>
      <c r="J5031" s="3" t="str">
        <f>HYPERLINK("https://www.boe.es/gazeta/dias/1810/09/14/pdfs/GMD-1810-257.pdf#page=2","Abrir facsímil")</f>
        <v>Abrir facsímil</v>
      </c>
      <c r="K5031" s="3" t="s">
        <v>76</v>
      </c>
    </row>
    <row r="5032" spans="1:11" ht="42" customHeight="1">
      <c r="A5032" s="2" t="s">
        <v>13021</v>
      </c>
      <c r="B5032" s="2" t="s">
        <v>13021</v>
      </c>
      <c r="C5032" s="2" t="s">
        <v>26</v>
      </c>
      <c r="D5032" s="2" t="s">
        <v>27</v>
      </c>
      <c r="E5032" s="4">
        <v>-32591</v>
      </c>
      <c r="F5032" s="3" t="s">
        <v>377</v>
      </c>
      <c r="G5032" s="3" t="s">
        <v>886</v>
      </c>
      <c r="H5032" s="2" t="s">
        <v>74</v>
      </c>
      <c r="I5032" s="2" t="s">
        <v>13026</v>
      </c>
      <c r="J5032" s="3" t="str">
        <f>HYPERLINK("https://www.boe.es/gazeta/dias/1810/10/07/pdfs/GMD-1810-280.pdf#page=1","Abrir facsímil")</f>
        <v>Abrir facsímil</v>
      </c>
      <c r="K5032" s="3" t="s">
        <v>76</v>
      </c>
    </row>
    <row r="5033" spans="1:11" ht="42" customHeight="1">
      <c r="A5033" s="2" t="s">
        <v>13021</v>
      </c>
      <c r="B5033" s="2" t="s">
        <v>13021</v>
      </c>
      <c r="C5033" s="2" t="s">
        <v>26</v>
      </c>
      <c r="D5033" s="2" t="s">
        <v>27</v>
      </c>
      <c r="E5033" s="4">
        <v>-32591</v>
      </c>
      <c r="F5033" s="3" t="s">
        <v>377</v>
      </c>
      <c r="G5033" s="3" t="s">
        <v>35</v>
      </c>
      <c r="H5033" s="2" t="s">
        <v>74</v>
      </c>
      <c r="I5033" s="2" t="s">
        <v>13027</v>
      </c>
      <c r="J5033" s="3" t="str">
        <f>HYPERLINK("https://www.boe.es/gazeta/dias/1810/10/07/pdfs/GMD-1810-280.pdf#page=2","Abrir facsímil")</f>
        <v>Abrir facsímil</v>
      </c>
      <c r="K5033" s="3" t="s">
        <v>76</v>
      </c>
    </row>
    <row r="5034" spans="1:11" ht="42" customHeight="1">
      <c r="A5034" s="2" t="s">
        <v>13021</v>
      </c>
      <c r="B5034" s="2" t="s">
        <v>13021</v>
      </c>
      <c r="C5034" s="2" t="s">
        <v>26</v>
      </c>
      <c r="D5034" s="2" t="s">
        <v>27</v>
      </c>
      <c r="E5034" s="4">
        <v>-32563</v>
      </c>
      <c r="F5034" s="3" t="s">
        <v>535</v>
      </c>
      <c r="G5034" s="3" t="s">
        <v>8537</v>
      </c>
      <c r="H5034" s="2" t="s">
        <v>74</v>
      </c>
      <c r="I5034" s="2" t="s">
        <v>13028</v>
      </c>
      <c r="J5034" s="3" t="str">
        <f>HYPERLINK("https://www.boe.es/gazeta/dias/1810/11/04/pdfs/GMD-1810-308.pdf#page=24","Abrir facsímil")</f>
        <v>Abrir facsímil</v>
      </c>
      <c r="K5034" s="3" t="s">
        <v>76</v>
      </c>
    </row>
    <row r="5035" spans="1:11" ht="42" customHeight="1">
      <c r="A5035" s="2" t="s">
        <v>13029</v>
      </c>
      <c r="B5035" s="2" t="s">
        <v>13029</v>
      </c>
      <c r="C5035" s="2" t="s">
        <v>26</v>
      </c>
      <c r="D5035" s="2" t="s">
        <v>27</v>
      </c>
      <c r="E5035" s="4">
        <v>-32692</v>
      </c>
      <c r="F5035" s="3" t="s">
        <v>3698</v>
      </c>
      <c r="G5035" s="3" t="s">
        <v>1590</v>
      </c>
      <c r="H5035" s="2" t="s">
        <v>74</v>
      </c>
      <c r="I5035" s="2" t="s">
        <v>13030</v>
      </c>
      <c r="J5035" s="3" t="str">
        <f>HYPERLINK("https://www.boe.es/gazeta/dias/1810/06/28/pdfs/GMD-1810-179.pdf#page=3","Abrir facsímil")</f>
        <v>Abrir facsímil</v>
      </c>
      <c r="K5035" s="3" t="s">
        <v>76</v>
      </c>
    </row>
    <row r="5036" spans="1:11" ht="42" customHeight="1">
      <c r="A5036" s="2" t="s">
        <v>13031</v>
      </c>
      <c r="B5036" s="2" t="s">
        <v>13031</v>
      </c>
      <c r="C5036" s="2" t="s">
        <v>195</v>
      </c>
      <c r="D5036" s="2" t="s">
        <v>27</v>
      </c>
      <c r="E5036" s="4">
        <v>-32650</v>
      </c>
      <c r="F5036" s="3" t="s">
        <v>9008</v>
      </c>
      <c r="G5036" s="3" t="s">
        <v>35</v>
      </c>
      <c r="H5036" s="2" t="s">
        <v>74</v>
      </c>
      <c r="I5036" s="2" t="s">
        <v>13032</v>
      </c>
      <c r="J5036" s="3" t="str">
        <f>HYPERLINK("https://www.boe.es/gazeta/dias/1810/08/09/pdfs/GMD-1810-221.pdf#page=2","Abrir facsímil")</f>
        <v>Abrir facsímil</v>
      </c>
      <c r="K5036" s="3" t="s">
        <v>76</v>
      </c>
    </row>
    <row r="5037" spans="1:11" ht="42" customHeight="1">
      <c r="A5037" s="2" t="s">
        <v>13033</v>
      </c>
      <c r="B5037" s="2" t="s">
        <v>13034</v>
      </c>
      <c r="C5037" s="2" t="s">
        <v>26</v>
      </c>
      <c r="D5037" s="2" t="s">
        <v>39</v>
      </c>
      <c r="E5037" s="4">
        <v>-32701</v>
      </c>
      <c r="F5037" s="3" t="s">
        <v>40</v>
      </c>
      <c r="G5037" s="3" t="s">
        <v>170</v>
      </c>
      <c r="H5037" s="2" t="s">
        <v>74</v>
      </c>
      <c r="I5037" s="2" t="s">
        <v>13035</v>
      </c>
      <c r="J5037" s="3" t="str">
        <f>HYPERLINK("https://www.boe.es/gazeta/dias/1810/06/19/pdfs/GMD-C-1810-170.pdf#page=1","Abrir facsímil")</f>
        <v>Abrir facsímil</v>
      </c>
      <c r="K5037" s="3" t="s">
        <v>76</v>
      </c>
    </row>
    <row r="5038" spans="1:11" ht="42" customHeight="1">
      <c r="A5038" s="2" t="s">
        <v>13036</v>
      </c>
      <c r="B5038" s="2" t="s">
        <v>13036</v>
      </c>
      <c r="C5038" s="2" t="s">
        <v>88</v>
      </c>
      <c r="D5038" s="2" t="s">
        <v>117</v>
      </c>
      <c r="E5038" s="4">
        <v>-32855</v>
      </c>
      <c r="F5038" s="3" t="s">
        <v>3911</v>
      </c>
      <c r="G5038" s="3" t="s">
        <v>613</v>
      </c>
      <c r="H5038" s="2" t="s">
        <v>74</v>
      </c>
      <c r="I5038" s="2" t="s">
        <v>13037</v>
      </c>
      <c r="J5038" s="3" t="str">
        <f>HYPERLINK("https://www.boe.es/gazeta/dias/1810/01/16/pdfs/GGB-1810-7.pdf#page=1","Abrir facsímil")</f>
        <v>Abrir facsímil</v>
      </c>
      <c r="K5038" s="3" t="s">
        <v>76</v>
      </c>
    </row>
    <row r="5039" spans="1:11" ht="42" customHeight="1">
      <c r="A5039" s="2" t="s">
        <v>13036</v>
      </c>
      <c r="B5039" s="2" t="s">
        <v>13036</v>
      </c>
      <c r="C5039" s="2" t="s">
        <v>88</v>
      </c>
      <c r="D5039" s="2" t="s">
        <v>27</v>
      </c>
      <c r="E5039" s="4">
        <v>-32676</v>
      </c>
      <c r="F5039" s="3" t="s">
        <v>2863</v>
      </c>
      <c r="G5039" s="3" t="s">
        <v>592</v>
      </c>
      <c r="H5039" s="2" t="s">
        <v>74</v>
      </c>
      <c r="I5039" s="2" t="s">
        <v>13038</v>
      </c>
      <c r="J5039" s="3" t="str">
        <f>HYPERLINK("https://www.boe.es/gazeta/dias/1810/07/14/pdfs/GMD-1810-195.pdf#page=4","Abrir facsímil")</f>
        <v>Abrir facsímil</v>
      </c>
      <c r="K5039" s="3" t="s">
        <v>76</v>
      </c>
    </row>
    <row r="5040" spans="1:11" ht="42" customHeight="1">
      <c r="A5040" s="2" t="s">
        <v>13036</v>
      </c>
      <c r="B5040" s="2" t="s">
        <v>13036</v>
      </c>
      <c r="C5040" s="2" t="s">
        <v>88</v>
      </c>
      <c r="D5040" s="2" t="s">
        <v>117</v>
      </c>
      <c r="E5040" s="4">
        <v>-32566</v>
      </c>
      <c r="F5040" s="3" t="s">
        <v>405</v>
      </c>
      <c r="G5040" s="3" t="s">
        <v>469</v>
      </c>
      <c r="H5040" s="2" t="s">
        <v>74</v>
      </c>
      <c r="I5040" s="2" t="s">
        <v>13039</v>
      </c>
      <c r="J5040" s="3" t="str">
        <f>HYPERLINK("https://www.boe.es/gazeta/dias/1810/11/01/pdfs/GMD-1810-305.pdf#page=2","Abrir facsímil")</f>
        <v>Abrir facsímil</v>
      </c>
      <c r="K5040" s="3" t="s">
        <v>76</v>
      </c>
    </row>
    <row r="5041" spans="1:11" ht="42" customHeight="1">
      <c r="A5041" s="2" t="s">
        <v>13036</v>
      </c>
      <c r="B5041" s="2" t="s">
        <v>13036</v>
      </c>
      <c r="C5041" s="2" t="s">
        <v>88</v>
      </c>
      <c r="D5041" s="2" t="s">
        <v>27</v>
      </c>
      <c r="E5041" s="4">
        <v>-32566</v>
      </c>
      <c r="F5041" s="3" t="s">
        <v>405</v>
      </c>
      <c r="G5041" s="3" t="s">
        <v>99</v>
      </c>
      <c r="H5041" s="2" t="s">
        <v>74</v>
      </c>
      <c r="I5041" s="2" t="s">
        <v>13040</v>
      </c>
      <c r="J5041" s="3" t="str">
        <f>HYPERLINK("https://www.boe.es/gazeta/dias/1810/11/01/pdfs/GMD-1810-305.pdf#page=3","Abrir facsímil")</f>
        <v>Abrir facsímil</v>
      </c>
      <c r="K5041" s="3" t="s">
        <v>76</v>
      </c>
    </row>
    <row r="5042" spans="1:11" ht="42" customHeight="1">
      <c r="A5042" s="2" t="s">
        <v>13041</v>
      </c>
      <c r="B5042" s="2" t="s">
        <v>13042</v>
      </c>
      <c r="C5042" s="2" t="s">
        <v>26</v>
      </c>
      <c r="D5042" s="2" t="s">
        <v>27</v>
      </c>
      <c r="E5042" s="4">
        <v>-32654</v>
      </c>
      <c r="F5042" s="3" t="s">
        <v>1226</v>
      </c>
      <c r="G5042" s="3" t="s">
        <v>180</v>
      </c>
      <c r="H5042" s="2" t="s">
        <v>74</v>
      </c>
      <c r="I5042" s="2" t="s">
        <v>13043</v>
      </c>
      <c r="J5042" s="3" t="str">
        <f>HYPERLINK("https://www.boe.es/gazeta/dias/1810/08/05/pdfs/GMD-1810-217.pdf#page=4","Abrir facsímil")</f>
        <v>Abrir facsímil</v>
      </c>
      <c r="K5042" s="3" t="s">
        <v>76</v>
      </c>
    </row>
    <row r="5043" spans="1:11" ht="42" customHeight="1">
      <c r="A5043" s="2" t="s">
        <v>13044</v>
      </c>
      <c r="B5043" s="2" t="s">
        <v>13045</v>
      </c>
      <c r="C5043" s="2" t="s">
        <v>26</v>
      </c>
      <c r="D5043" s="2" t="s">
        <v>39</v>
      </c>
      <c r="E5043" s="4">
        <v>-32702</v>
      </c>
      <c r="F5043" s="3" t="s">
        <v>179</v>
      </c>
      <c r="G5043" s="3" t="s">
        <v>119</v>
      </c>
      <c r="H5043" s="2" t="s">
        <v>74</v>
      </c>
      <c r="I5043" s="2" t="s">
        <v>13046</v>
      </c>
      <c r="J5043" s="3" t="str">
        <f>HYPERLINK("https://www.boe.es/gazeta/dias/1810/06/18/pdfs/GMD-C-1810-169.pdf#page=1","Abrir facsímil")</f>
        <v>Abrir facsímil</v>
      </c>
      <c r="K5043" s="3" t="s">
        <v>76</v>
      </c>
    </row>
    <row r="5044" spans="1:11" ht="42" customHeight="1">
      <c r="A5044" s="2" t="s">
        <v>13044</v>
      </c>
      <c r="B5044" s="2" t="s">
        <v>13045</v>
      </c>
      <c r="C5044" s="2" t="s">
        <v>26</v>
      </c>
      <c r="D5044" s="2" t="s">
        <v>39</v>
      </c>
      <c r="E5044" s="4">
        <v>-32661</v>
      </c>
      <c r="F5044" s="3" t="s">
        <v>157</v>
      </c>
      <c r="G5044" s="3" t="s">
        <v>158</v>
      </c>
      <c r="H5044" s="2" t="s">
        <v>74</v>
      </c>
      <c r="I5044" s="2" t="s">
        <v>13047</v>
      </c>
      <c r="J5044" s="3" t="str">
        <f>HYPERLINK("https://www.boe.es/gazeta/dias/1810/07/29/pdfs/GMD-C-1810-210.pdf#page=1","Abrir facsímil")</f>
        <v>Abrir facsímil</v>
      </c>
      <c r="K5044" s="3" t="s">
        <v>76</v>
      </c>
    </row>
    <row r="5045" spans="1:11" ht="42" customHeight="1">
      <c r="A5045" s="2" t="s">
        <v>13048</v>
      </c>
      <c r="B5045" s="2" t="s">
        <v>13048</v>
      </c>
      <c r="C5045" s="2" t="s">
        <v>26</v>
      </c>
      <c r="D5045" s="2" t="s">
        <v>27</v>
      </c>
      <c r="E5045" s="4">
        <v>-32854</v>
      </c>
      <c r="F5045" s="3" t="s">
        <v>11701</v>
      </c>
      <c r="G5045" s="3" t="s">
        <v>2928</v>
      </c>
      <c r="H5045" s="2" t="s">
        <v>74</v>
      </c>
      <c r="I5045" s="2" t="s">
        <v>13049</v>
      </c>
      <c r="J5045" s="3" t="str">
        <f>HYPERLINK("https://www.boe.es/gazeta/dias/1810/01/17/pdfs/GMD-1810-17.pdf#page=2","Abrir facsímil")</f>
        <v>Abrir facsímil</v>
      </c>
      <c r="K5045" s="3" t="s">
        <v>76</v>
      </c>
    </row>
    <row r="5046" spans="1:11" ht="42" customHeight="1">
      <c r="A5046" s="2" t="s">
        <v>13050</v>
      </c>
      <c r="B5046" s="2" t="s">
        <v>13051</v>
      </c>
      <c r="C5046" s="2" t="s">
        <v>26</v>
      </c>
      <c r="D5046" s="2" t="s">
        <v>27</v>
      </c>
      <c r="E5046" s="4">
        <v>-32725</v>
      </c>
      <c r="F5046" s="3" t="s">
        <v>417</v>
      </c>
      <c r="G5046" s="3" t="s">
        <v>140</v>
      </c>
      <c r="H5046" s="2" t="s">
        <v>74</v>
      </c>
      <c r="I5046" s="2" t="s">
        <v>13052</v>
      </c>
      <c r="J5046" s="3" t="str">
        <f>HYPERLINK("https://www.boe.es/gazeta/dias/1810/05/26/pdfs/GMD-1810-146.pdf#page=4","Abrir facsímil")</f>
        <v>Abrir facsímil</v>
      </c>
      <c r="K5046" s="3" t="s">
        <v>76</v>
      </c>
    </row>
    <row r="5047" spans="1:11" ht="42" customHeight="1">
      <c r="A5047" s="2" t="s">
        <v>13053</v>
      </c>
      <c r="B5047" s="2" t="s">
        <v>13054</v>
      </c>
      <c r="C5047" s="2" t="s">
        <v>88</v>
      </c>
      <c r="D5047" s="2" t="s">
        <v>27</v>
      </c>
      <c r="E5047" s="4">
        <v>-32855</v>
      </c>
      <c r="F5047" s="3" t="s">
        <v>4239</v>
      </c>
      <c r="G5047" s="3" t="s">
        <v>291</v>
      </c>
      <c r="H5047" s="2" t="s">
        <v>74</v>
      </c>
      <c r="I5047" s="2" t="s">
        <v>13055</v>
      </c>
      <c r="J5047" s="3" t="str">
        <f>HYPERLINK("https://www.boe.es/gazeta/dias/1810/01/16/pdfs/GMD-1810-16.pdf#page=1","Abrir facsímil")</f>
        <v>Abrir facsímil</v>
      </c>
      <c r="K5047" s="3" t="s">
        <v>76</v>
      </c>
    </row>
    <row r="5048" spans="1:11" ht="42" customHeight="1">
      <c r="A5048" s="2" t="s">
        <v>13056</v>
      </c>
      <c r="B5048" s="2" t="s">
        <v>13056</v>
      </c>
      <c r="C5048" s="2" t="s">
        <v>88</v>
      </c>
      <c r="D5048" s="2" t="s">
        <v>117</v>
      </c>
      <c r="E5048" s="4">
        <v>-32674</v>
      </c>
      <c r="F5048" s="3" t="s">
        <v>1319</v>
      </c>
      <c r="G5048" s="3" t="s">
        <v>227</v>
      </c>
      <c r="H5048" s="2" t="s">
        <v>74</v>
      </c>
      <c r="I5048" s="2" t="s">
        <v>13057</v>
      </c>
      <c r="J5048" s="3" t="str">
        <f>HYPERLINK("https://www.boe.es/gazeta/dias/1810/07/16/pdfs/GMD-1810-197.pdf#page=2","Abrir facsímil")</f>
        <v>Abrir facsímil</v>
      </c>
      <c r="K5048" s="3" t="s">
        <v>76</v>
      </c>
    </row>
    <row r="5049" spans="1:11" ht="42" customHeight="1">
      <c r="A5049" s="2" t="s">
        <v>13058</v>
      </c>
      <c r="B5049" s="2" t="s">
        <v>13059</v>
      </c>
      <c r="C5049" s="2" t="s">
        <v>26</v>
      </c>
      <c r="D5049" s="2" t="s">
        <v>27</v>
      </c>
      <c r="E5049" s="4">
        <v>-32585</v>
      </c>
      <c r="F5049" s="3" t="s">
        <v>10997</v>
      </c>
      <c r="G5049" s="3" t="s">
        <v>35</v>
      </c>
      <c r="H5049" s="2" t="s">
        <v>74</v>
      </c>
      <c r="I5049" s="2" t="s">
        <v>13060</v>
      </c>
      <c r="J5049" s="3" t="str">
        <f>HYPERLINK("https://www.boe.es/gazeta/dias/1810/10/13/pdfs/GMD-1810-286.pdf#page=2","Abrir facsímil")</f>
        <v>Abrir facsímil</v>
      </c>
      <c r="K5049" s="3" t="s">
        <v>76</v>
      </c>
    </row>
    <row r="5050" spans="1:11" ht="42" customHeight="1">
      <c r="A5050" s="2" t="s">
        <v>13061</v>
      </c>
      <c r="B5050" s="2" t="s">
        <v>13062</v>
      </c>
      <c r="C5050" s="2" t="s">
        <v>26</v>
      </c>
      <c r="D5050" s="2" t="s">
        <v>27</v>
      </c>
      <c r="E5050" s="4">
        <v>-32526</v>
      </c>
      <c r="F5050" s="3" t="s">
        <v>530</v>
      </c>
      <c r="G5050" s="3" t="s">
        <v>531</v>
      </c>
      <c r="H5050" s="2" t="s">
        <v>74</v>
      </c>
      <c r="I5050" s="2" t="s">
        <v>13063</v>
      </c>
      <c r="J5050" s="3" t="str">
        <f>HYPERLINK("https://www.boe.es/gazeta/dias/1810/12/11/pdfs/GEI-1810-106.pdf#page=2","Abrir facsímil")</f>
        <v>Abrir facsímil</v>
      </c>
      <c r="K5050" s="3" t="s">
        <v>76</v>
      </c>
    </row>
    <row r="5051" spans="1:11" ht="42" customHeight="1">
      <c r="A5051" s="2" t="s">
        <v>13064</v>
      </c>
      <c r="B5051" s="2" t="s">
        <v>13064</v>
      </c>
      <c r="C5051" s="2" t="s">
        <v>88</v>
      </c>
      <c r="D5051" s="2" t="s">
        <v>117</v>
      </c>
      <c r="E5051" s="4">
        <v>-32865</v>
      </c>
      <c r="F5051" s="3" t="s">
        <v>4391</v>
      </c>
      <c r="G5051" s="3" t="s">
        <v>1044</v>
      </c>
      <c r="H5051" s="2" t="s">
        <v>74</v>
      </c>
      <c r="I5051" s="2" t="s">
        <v>13065</v>
      </c>
      <c r="J5051" s="3" t="str">
        <f>HYPERLINK("https://www.boe.es/gazeta/dias/1810/01/06/pdfs/GGB-1810-3.pdf#page=5","Abrir facsímil")</f>
        <v>Abrir facsímil</v>
      </c>
      <c r="K5051" s="3" t="s">
        <v>76</v>
      </c>
    </row>
    <row r="5052" spans="1:11" ht="42" customHeight="1">
      <c r="A5052" s="2" t="s">
        <v>13066</v>
      </c>
      <c r="B5052" s="2" t="s">
        <v>13066</v>
      </c>
      <c r="C5052" s="2" t="s">
        <v>88</v>
      </c>
      <c r="D5052" s="2" t="s">
        <v>117</v>
      </c>
      <c r="E5052" s="4">
        <v>-32598</v>
      </c>
      <c r="F5052" s="3" t="s">
        <v>6961</v>
      </c>
      <c r="G5052" s="3" t="s">
        <v>180</v>
      </c>
      <c r="H5052" s="2" t="s">
        <v>74</v>
      </c>
      <c r="I5052" s="2" t="s">
        <v>13067</v>
      </c>
      <c r="J5052" s="3" t="str">
        <f>HYPERLINK("https://www.boe.es/gazeta/dias/1810/09/30/pdfs/GMD-1810-273.pdf#page=1","Abrir facsímil")</f>
        <v>Abrir facsímil</v>
      </c>
      <c r="K5052" s="3" t="s">
        <v>76</v>
      </c>
    </row>
    <row r="5053" spans="1:11" ht="42" customHeight="1">
      <c r="A5053" s="2" t="s">
        <v>13068</v>
      </c>
      <c r="B5053" s="2" t="s">
        <v>13068</v>
      </c>
      <c r="C5053" s="2" t="s">
        <v>88</v>
      </c>
      <c r="D5053" s="2" t="s">
        <v>27</v>
      </c>
      <c r="E5053" s="4">
        <v>-32610</v>
      </c>
      <c r="F5053" s="3" t="s">
        <v>7879</v>
      </c>
      <c r="G5053" s="3" t="s">
        <v>613</v>
      </c>
      <c r="H5053" s="2" t="s">
        <v>74</v>
      </c>
      <c r="I5053" s="2" t="s">
        <v>13069</v>
      </c>
      <c r="J5053" s="3" t="str">
        <f>HYPERLINK("https://www.boe.es/gazeta/dias/1810/09/18/pdfs/GMD-1810-261.pdf#page=1","Abrir facsímil")</f>
        <v>Abrir facsímil</v>
      </c>
      <c r="K5053" s="3" t="s">
        <v>76</v>
      </c>
    </row>
    <row r="5054" spans="1:11" ht="42" customHeight="1">
      <c r="A5054" s="2" t="s">
        <v>13068</v>
      </c>
      <c r="B5054" s="2" t="s">
        <v>13068</v>
      </c>
      <c r="C5054" s="2" t="s">
        <v>88</v>
      </c>
      <c r="D5054" s="2" t="s">
        <v>27</v>
      </c>
      <c r="E5054" s="4">
        <v>-32606</v>
      </c>
      <c r="F5054" s="3" t="s">
        <v>1676</v>
      </c>
      <c r="G5054" s="3" t="s">
        <v>227</v>
      </c>
      <c r="H5054" s="2" t="s">
        <v>74</v>
      </c>
      <c r="I5054" s="2" t="s">
        <v>13070</v>
      </c>
      <c r="J5054" s="3" t="str">
        <f>HYPERLINK("https://www.boe.es/gazeta/dias/1810/09/22/pdfs/GMD-1810-265.pdf#page=2","Abrir facsímil")</f>
        <v>Abrir facsímil</v>
      </c>
      <c r="K5054" s="3" t="s">
        <v>76</v>
      </c>
    </row>
    <row r="5055" spans="1:11" ht="42" customHeight="1">
      <c r="A5055" s="2" t="s">
        <v>13068</v>
      </c>
      <c r="B5055" s="2" t="s">
        <v>13068</v>
      </c>
      <c r="C5055" s="2" t="s">
        <v>88</v>
      </c>
      <c r="D5055" s="2" t="s">
        <v>220</v>
      </c>
      <c r="E5055" s="4">
        <v>-32606</v>
      </c>
      <c r="F5055" s="3" t="s">
        <v>1676</v>
      </c>
      <c r="G5055" s="3" t="s">
        <v>227</v>
      </c>
      <c r="H5055" s="2" t="s">
        <v>74</v>
      </c>
      <c r="I5055" s="2" t="s">
        <v>13071</v>
      </c>
      <c r="J5055" s="3" t="str">
        <f>HYPERLINK("https://www.boe.es/gazeta/dias/1810/09/22/pdfs/GMD-1810-265.pdf#page=3","Abrir facsímil")</f>
        <v>Abrir facsímil</v>
      </c>
      <c r="K5055" s="3" t="s">
        <v>76</v>
      </c>
    </row>
    <row r="5056" spans="1:11" ht="42" customHeight="1">
      <c r="A5056" s="2" t="s">
        <v>13072</v>
      </c>
      <c r="B5056" s="2" t="s">
        <v>13073</v>
      </c>
      <c r="C5056" s="2" t="s">
        <v>33</v>
      </c>
      <c r="D5056" s="2" t="s">
        <v>58</v>
      </c>
      <c r="E5056" s="4">
        <v>-32601</v>
      </c>
      <c r="F5056" s="3" t="s">
        <v>392</v>
      </c>
      <c r="G5056" s="3" t="s">
        <v>1430</v>
      </c>
      <c r="H5056" s="2" t="s">
        <v>74</v>
      </c>
      <c r="I5056" s="2" t="s">
        <v>13074</v>
      </c>
      <c r="J5056" s="3" t="str">
        <f>HYPERLINK("https://www.boe.es/gazeta/dias/1810/09/27/pdfs/GEI-1810-74E.pdf#page=3","Abrir facsímil")</f>
        <v>Abrir facsímil</v>
      </c>
      <c r="K5056" s="3" t="s">
        <v>76</v>
      </c>
    </row>
    <row r="5057" spans="1:11" ht="42" customHeight="1">
      <c r="A5057" s="2" t="s">
        <v>13075</v>
      </c>
      <c r="B5057" s="2" t="s">
        <v>13076</v>
      </c>
      <c r="C5057" s="2" t="s">
        <v>17</v>
      </c>
      <c r="D5057" s="2" t="s">
        <v>27</v>
      </c>
      <c r="E5057" s="4">
        <v>-32582</v>
      </c>
      <c r="F5057" s="3" t="s">
        <v>3849</v>
      </c>
      <c r="G5057" s="3" t="s">
        <v>3850</v>
      </c>
      <c r="H5057" s="2" t="s">
        <v>74</v>
      </c>
      <c r="I5057" s="2" t="s">
        <v>13077</v>
      </c>
      <c r="J5057" s="3" t="str">
        <f>HYPERLINK("https://www.boe.es/gazeta/dias/1810/10/16/pdfs/GEI-1810-82.pdf#page=4","Abrir facsímil")</f>
        <v>Abrir facsímil</v>
      </c>
      <c r="K5057" s="3" t="s">
        <v>76</v>
      </c>
    </row>
    <row r="5058" spans="1:11" ht="42" customHeight="1">
      <c r="A5058" s="2" t="s">
        <v>13078</v>
      </c>
      <c r="B5058" s="2" t="s">
        <v>13079</v>
      </c>
      <c r="C5058" s="2" t="s">
        <v>88</v>
      </c>
      <c r="D5058" s="2" t="s">
        <v>117</v>
      </c>
      <c r="E5058" s="4">
        <v>-32631</v>
      </c>
      <c r="F5058" s="3" t="s">
        <v>497</v>
      </c>
      <c r="G5058" s="3" t="s">
        <v>498</v>
      </c>
      <c r="H5058" s="2" t="s">
        <v>74</v>
      </c>
      <c r="I5058" s="2" t="s">
        <v>13080</v>
      </c>
      <c r="J5058" s="3" t="str">
        <f>HYPERLINK("https://www.boe.es/gazeta/dias/1810/08/28/pdfs/GMD-1810-240.pdf#page=2","Abrir facsímil")</f>
        <v>Abrir facsímil</v>
      </c>
      <c r="K5058" s="3" t="s">
        <v>76</v>
      </c>
    </row>
    <row r="5059" spans="1:11" ht="42" customHeight="1">
      <c r="A5059" s="2" t="s">
        <v>13081</v>
      </c>
      <c r="B5059" s="2" t="s">
        <v>13082</v>
      </c>
      <c r="C5059" s="2" t="s">
        <v>26</v>
      </c>
      <c r="D5059" s="2" t="s">
        <v>27</v>
      </c>
      <c r="E5059" s="4">
        <v>-32710</v>
      </c>
      <c r="F5059" s="3" t="s">
        <v>126</v>
      </c>
      <c r="G5059" s="3" t="s">
        <v>35</v>
      </c>
      <c r="H5059" s="2" t="s">
        <v>74</v>
      </c>
      <c r="I5059" s="2" t="s">
        <v>13083</v>
      </c>
      <c r="J5059" s="3" t="str">
        <f>HYPERLINK("https://www.boe.es/gazeta/dias/1810/06/10/pdfs/GMD-1810-161.pdf#page=2","Abrir facsímil")</f>
        <v>Abrir facsímil</v>
      </c>
      <c r="K5059" s="3" t="s">
        <v>76</v>
      </c>
    </row>
    <row r="5060" spans="1:11" ht="42" customHeight="1">
      <c r="A5060" s="2" t="s">
        <v>13084</v>
      </c>
      <c r="B5060" s="2" t="s">
        <v>13085</v>
      </c>
      <c r="C5060" s="2" t="s">
        <v>26</v>
      </c>
      <c r="D5060" s="2" t="s">
        <v>39</v>
      </c>
      <c r="E5060" s="4">
        <v>-32687</v>
      </c>
      <c r="F5060" s="3" t="s">
        <v>304</v>
      </c>
      <c r="G5060" s="3" t="s">
        <v>213</v>
      </c>
      <c r="H5060" s="2" t="s">
        <v>74</v>
      </c>
      <c r="I5060" s="2" t="s">
        <v>13086</v>
      </c>
      <c r="J5060" s="3" t="str">
        <f>HYPERLINK("https://www.boe.es/gazeta/dias/1810/07/03/pdfs/GMD-C-1810-184.pdf#page=1","Abrir facsímil")</f>
        <v>Abrir facsímil</v>
      </c>
      <c r="K5060" s="3" t="s">
        <v>76</v>
      </c>
    </row>
    <row r="5061" spans="1:11" ht="42" customHeight="1">
      <c r="A5061" s="2" t="s">
        <v>13087</v>
      </c>
      <c r="B5061" s="2" t="s">
        <v>13088</v>
      </c>
      <c r="C5061" s="2" t="s">
        <v>26</v>
      </c>
      <c r="D5061" s="2" t="s">
        <v>27</v>
      </c>
      <c r="E5061" s="4">
        <v>-32669</v>
      </c>
      <c r="F5061" s="3" t="s">
        <v>217</v>
      </c>
      <c r="G5061" s="3" t="s">
        <v>20</v>
      </c>
      <c r="H5061" s="2" t="s">
        <v>74</v>
      </c>
      <c r="I5061" s="2" t="s">
        <v>13089</v>
      </c>
      <c r="J5061" s="3" t="str">
        <f>HYPERLINK("https://www.boe.es/gazeta/dias/1810/07/21/pdfs/GMD-1810-202.pdf#page=4","Abrir facsímil")</f>
        <v>Abrir facsímil</v>
      </c>
      <c r="K5061" s="3" t="s">
        <v>76</v>
      </c>
    </row>
    <row r="5062" spans="1:11" ht="42" customHeight="1">
      <c r="A5062" s="2" t="s">
        <v>13090</v>
      </c>
      <c r="B5062" s="2" t="s">
        <v>13090</v>
      </c>
      <c r="C5062" s="2" t="s">
        <v>26</v>
      </c>
      <c r="D5062" s="2" t="s">
        <v>220</v>
      </c>
      <c r="E5062" s="4">
        <v>-32604</v>
      </c>
      <c r="F5062" s="3" t="s">
        <v>2233</v>
      </c>
      <c r="G5062" s="3" t="s">
        <v>3133</v>
      </c>
      <c r="H5062" s="2" t="s">
        <v>74</v>
      </c>
      <c r="I5062" s="2" t="s">
        <v>13091</v>
      </c>
      <c r="J5062" s="3" t="str">
        <f>HYPERLINK("https://www.boe.es/gazeta/dias/1810/09/24/pdfs/GMD-1810-267.pdf#page=1","Abrir facsímil")</f>
        <v>Abrir facsímil</v>
      </c>
      <c r="K5062" s="3" t="s">
        <v>76</v>
      </c>
    </row>
    <row r="5063" spans="1:11" ht="42" customHeight="1">
      <c r="A5063" s="2" t="s">
        <v>13092</v>
      </c>
      <c r="B5063" s="2" t="s">
        <v>13093</v>
      </c>
      <c r="C5063" s="2" t="s">
        <v>26</v>
      </c>
      <c r="D5063" s="2" t="s">
        <v>39</v>
      </c>
      <c r="E5063" s="4">
        <v>-32701</v>
      </c>
      <c r="F5063" s="3" t="s">
        <v>40</v>
      </c>
      <c r="G5063" s="3" t="s">
        <v>315</v>
      </c>
      <c r="H5063" s="2" t="s">
        <v>74</v>
      </c>
      <c r="I5063" s="2" t="s">
        <v>13094</v>
      </c>
      <c r="J5063" s="3" t="str">
        <f>HYPERLINK("https://www.boe.es/gazeta/dias/1810/06/19/pdfs/GMD-C-1810-170.pdf#page=2","Abrir facsímil")</f>
        <v>Abrir facsímil</v>
      </c>
      <c r="K5063" s="3" t="s">
        <v>76</v>
      </c>
    </row>
    <row r="5064" spans="1:11" ht="42" customHeight="1">
      <c r="A5064" s="2" t="s">
        <v>13095</v>
      </c>
      <c r="B5064" s="2" t="s">
        <v>13096</v>
      </c>
      <c r="C5064" s="2" t="s">
        <v>26</v>
      </c>
      <c r="D5064" s="2" t="s">
        <v>27</v>
      </c>
      <c r="E5064" s="4">
        <v>-32771</v>
      </c>
      <c r="F5064" s="3" t="s">
        <v>543</v>
      </c>
      <c r="G5064" s="3" t="s">
        <v>274</v>
      </c>
      <c r="H5064" s="2" t="s">
        <v>74</v>
      </c>
      <c r="I5064" s="2" t="s">
        <v>13097</v>
      </c>
      <c r="J5064" s="3" t="str">
        <f>HYPERLINK("https://www.boe.es/gazeta/dias/1810/04/10/pdfs/GEI-1810-13.pdf#page=8","Abrir facsímil")</f>
        <v>Abrir facsímil</v>
      </c>
      <c r="K5064" s="3" t="s">
        <v>76</v>
      </c>
    </row>
    <row r="5065" spans="1:11" ht="42" customHeight="1">
      <c r="A5065" s="2" t="s">
        <v>13098</v>
      </c>
      <c r="B5065" s="2" t="s">
        <v>13099</v>
      </c>
      <c r="C5065" s="2" t="s">
        <v>225</v>
      </c>
      <c r="D5065" s="2" t="s">
        <v>18</v>
      </c>
      <c r="E5065" s="4">
        <v>-32673</v>
      </c>
      <c r="F5065" s="3" t="s">
        <v>2174</v>
      </c>
      <c r="G5065" s="3" t="s">
        <v>5512</v>
      </c>
      <c r="H5065" s="2" t="s">
        <v>74</v>
      </c>
      <c r="I5065" s="2" t="s">
        <v>13100</v>
      </c>
      <c r="J5065" s="3" t="str">
        <f>HYPERLINK("https://www.boe.es/gazeta/dias/1810/07/17/pdfs/GEI-1810-45.pdf#page=12","Abrir facsímil")</f>
        <v>Abrir facsímil</v>
      </c>
      <c r="K5065" s="3" t="s">
        <v>76</v>
      </c>
    </row>
    <row r="5066" spans="1:11" ht="42" customHeight="1">
      <c r="A5066" s="2" t="s">
        <v>13101</v>
      </c>
      <c r="B5066" s="2" t="s">
        <v>13101</v>
      </c>
      <c r="C5066" s="2" t="s">
        <v>26</v>
      </c>
      <c r="D5066" s="2" t="s">
        <v>27</v>
      </c>
      <c r="E5066" s="4">
        <v>-32609</v>
      </c>
      <c r="F5066" s="3" t="s">
        <v>5358</v>
      </c>
      <c r="G5066" s="3" t="s">
        <v>180</v>
      </c>
      <c r="H5066" s="2" t="s">
        <v>74</v>
      </c>
      <c r="I5066" s="2" t="s">
        <v>13102</v>
      </c>
      <c r="J5066" s="3" t="str">
        <f>HYPERLINK("https://www.boe.es/gazeta/dias/1810/09/19/pdfs/GMD-1810-262.pdf#page=3","Abrir facsímil")</f>
        <v>Abrir facsímil</v>
      </c>
      <c r="K5066" s="3" t="s">
        <v>76</v>
      </c>
    </row>
    <row r="5067" spans="1:11" ht="42" customHeight="1">
      <c r="A5067" s="2" t="s">
        <v>13103</v>
      </c>
      <c r="B5067" s="2" t="s">
        <v>13104</v>
      </c>
      <c r="C5067" s="2" t="s">
        <v>26</v>
      </c>
      <c r="D5067" s="2" t="s">
        <v>27</v>
      </c>
      <c r="E5067" s="4">
        <v>-32688</v>
      </c>
      <c r="F5067" s="3" t="s">
        <v>997</v>
      </c>
      <c r="G5067" s="3" t="s">
        <v>749</v>
      </c>
      <c r="H5067" s="2" t="s">
        <v>74</v>
      </c>
      <c r="I5067" s="2" t="s">
        <v>13105</v>
      </c>
      <c r="J5067" s="3" t="str">
        <f>HYPERLINK("https://www.boe.es/gazeta/dias/1810/07/02/pdfs/GMD-1810-183.pdf#page=4","Abrir facsímil")</f>
        <v>Abrir facsímil</v>
      </c>
      <c r="K5067" s="3" t="s">
        <v>76</v>
      </c>
    </row>
    <row r="5068" spans="1:11" ht="42" customHeight="1">
      <c r="A5068" s="2" t="s">
        <v>13106</v>
      </c>
      <c r="B5068" s="2" t="s">
        <v>13107</v>
      </c>
      <c r="C5068" s="2" t="s">
        <v>26</v>
      </c>
      <c r="D5068" s="2" t="s">
        <v>18</v>
      </c>
      <c r="E5068" s="4">
        <v>-32701</v>
      </c>
      <c r="F5068" s="3" t="s">
        <v>40</v>
      </c>
      <c r="G5068" s="3" t="s">
        <v>333</v>
      </c>
      <c r="H5068" s="2" t="s">
        <v>74</v>
      </c>
      <c r="I5068" s="2" t="s">
        <v>13108</v>
      </c>
      <c r="J5068" s="3" t="str">
        <f>HYPERLINK("https://www.boe.es/gazeta/dias/1810/06/19/pdfs/GMD-C-1810-170.pdf#page=4","Abrir facsímil")</f>
        <v>Abrir facsímil</v>
      </c>
      <c r="K5068" s="3" t="s">
        <v>76</v>
      </c>
    </row>
    <row r="5069" spans="1:11" ht="42" customHeight="1">
      <c r="A5069" s="2" t="s">
        <v>13109</v>
      </c>
      <c r="B5069" s="2" t="s">
        <v>13110</v>
      </c>
      <c r="C5069" s="2" t="s">
        <v>88</v>
      </c>
      <c r="D5069" s="2" t="s">
        <v>27</v>
      </c>
      <c r="E5069" s="4">
        <v>-32533</v>
      </c>
      <c r="F5069" s="3" t="s">
        <v>1357</v>
      </c>
      <c r="G5069" s="3" t="s">
        <v>701</v>
      </c>
      <c r="H5069" s="2" t="s">
        <v>74</v>
      </c>
      <c r="I5069" s="2" t="s">
        <v>13111</v>
      </c>
      <c r="J5069" s="3" t="str">
        <f>HYPERLINK("https://www.boe.es/gazeta/dias/1810/12/04/pdfs/GEI-1810-103.pdf#page=8","Abrir facsímil")</f>
        <v>Abrir facsímil</v>
      </c>
      <c r="K5069" s="3" t="s">
        <v>76</v>
      </c>
    </row>
    <row r="5070" spans="1:11" ht="42" customHeight="1">
      <c r="A5070" s="2" t="s">
        <v>13112</v>
      </c>
      <c r="B5070" s="2" t="s">
        <v>13113</v>
      </c>
      <c r="C5070" s="2" t="s">
        <v>26</v>
      </c>
      <c r="D5070" s="2" t="s">
        <v>39</v>
      </c>
      <c r="E5070" s="4">
        <v>-32642</v>
      </c>
      <c r="F5070" s="3" t="s">
        <v>2273</v>
      </c>
      <c r="G5070" s="3" t="s">
        <v>274</v>
      </c>
      <c r="H5070" s="2" t="s">
        <v>74</v>
      </c>
      <c r="I5070" s="2" t="s">
        <v>13114</v>
      </c>
      <c r="J5070" s="3" t="str">
        <f>HYPERLINK("https://www.boe.es/gazeta/dias/1810/08/17/pdfs/GEI-D-1810-57.pdf#page=8","Abrir facsímil")</f>
        <v>Abrir facsímil</v>
      </c>
      <c r="K5070" s="3" t="s">
        <v>76</v>
      </c>
    </row>
    <row r="5071" spans="1:11" ht="42" customHeight="1">
      <c r="A5071" s="2" t="s">
        <v>13115</v>
      </c>
      <c r="B5071" s="2" t="s">
        <v>13116</v>
      </c>
      <c r="C5071" s="2" t="s">
        <v>26</v>
      </c>
      <c r="D5071" s="2" t="s">
        <v>39</v>
      </c>
      <c r="E5071" s="4">
        <v>-32661</v>
      </c>
      <c r="F5071" s="3" t="s">
        <v>157</v>
      </c>
      <c r="G5071" s="3" t="s">
        <v>592</v>
      </c>
      <c r="H5071" s="2" t="s">
        <v>74</v>
      </c>
      <c r="I5071" s="2" t="s">
        <v>13117</v>
      </c>
      <c r="J5071" s="3" t="str">
        <f>HYPERLINK("https://www.boe.es/gazeta/dias/1810/07/29/pdfs/GMD-C-1810-210.pdf#page=2","Abrir facsímil")</f>
        <v>Abrir facsímil</v>
      </c>
      <c r="K5071" s="3" t="s">
        <v>76</v>
      </c>
    </row>
    <row r="5072" spans="1:11" ht="42" customHeight="1">
      <c r="A5072" s="2" t="s">
        <v>13118</v>
      </c>
      <c r="B5072" s="2" t="s">
        <v>13119</v>
      </c>
      <c r="C5072" s="2" t="s">
        <v>26</v>
      </c>
      <c r="D5072" s="2" t="s">
        <v>39</v>
      </c>
      <c r="E5072" s="4">
        <v>-32687</v>
      </c>
      <c r="F5072" s="3" t="s">
        <v>304</v>
      </c>
      <c r="G5072" s="3" t="s">
        <v>213</v>
      </c>
      <c r="H5072" s="2" t="s">
        <v>74</v>
      </c>
      <c r="I5072" s="2" t="s">
        <v>13120</v>
      </c>
      <c r="J5072" s="3" t="str">
        <f>HYPERLINK("https://www.boe.es/gazeta/dias/1810/07/03/pdfs/GMD-C-1810-184.pdf#page=1","Abrir facsímil")</f>
        <v>Abrir facsímil</v>
      </c>
      <c r="K5072" s="3" t="s">
        <v>76</v>
      </c>
    </row>
    <row r="5073" spans="1:11" ht="42" customHeight="1">
      <c r="A5073" s="2" t="s">
        <v>13121</v>
      </c>
      <c r="B5073" s="2" t="s">
        <v>13122</v>
      </c>
      <c r="C5073" s="2" t="s">
        <v>26</v>
      </c>
      <c r="D5073" s="2" t="s">
        <v>39</v>
      </c>
      <c r="E5073" s="4">
        <v>-32687</v>
      </c>
      <c r="F5073" s="3" t="s">
        <v>304</v>
      </c>
      <c r="G5073" s="3" t="s">
        <v>140</v>
      </c>
      <c r="H5073" s="2" t="s">
        <v>74</v>
      </c>
      <c r="I5073" s="2" t="s">
        <v>13123</v>
      </c>
      <c r="J5073" s="3" t="str">
        <f>HYPERLINK("https://www.boe.es/gazeta/dias/1810/07/03/pdfs/GMD-C-1810-184.pdf#page=2","Abrir facsímil")</f>
        <v>Abrir facsímil</v>
      </c>
      <c r="K5073" s="3" t="s">
        <v>76</v>
      </c>
    </row>
    <row r="5074" spans="1:11" ht="42" customHeight="1">
      <c r="A5074" s="2" t="s">
        <v>13124</v>
      </c>
      <c r="B5074" s="2" t="s">
        <v>13125</v>
      </c>
      <c r="C5074" s="2" t="s">
        <v>26</v>
      </c>
      <c r="D5074" s="2" t="s">
        <v>39</v>
      </c>
      <c r="E5074" s="4">
        <v>-32687</v>
      </c>
      <c r="F5074" s="3" t="s">
        <v>304</v>
      </c>
      <c r="G5074" s="3" t="s">
        <v>213</v>
      </c>
      <c r="H5074" s="2" t="s">
        <v>74</v>
      </c>
      <c r="I5074" s="2" t="s">
        <v>13126</v>
      </c>
      <c r="J5074" s="3" t="str">
        <f>HYPERLINK("https://www.boe.es/gazeta/dias/1810/07/03/pdfs/GMD-C-1810-184.pdf#page=1","Abrir facsímil")</f>
        <v>Abrir facsímil</v>
      </c>
      <c r="K5074" s="3" t="s">
        <v>76</v>
      </c>
    </row>
    <row r="5075" spans="1:11" ht="42" customHeight="1">
      <c r="A5075" s="2" t="s">
        <v>13127</v>
      </c>
      <c r="B5075" s="2" t="s">
        <v>13127</v>
      </c>
      <c r="C5075" s="2" t="s">
        <v>225</v>
      </c>
      <c r="D5075" s="2" t="s">
        <v>27</v>
      </c>
      <c r="E5075" s="4">
        <v>-32617</v>
      </c>
      <c r="F5075" s="3" t="s">
        <v>3861</v>
      </c>
      <c r="G5075" s="3" t="s">
        <v>12143</v>
      </c>
      <c r="H5075" s="2" t="s">
        <v>74</v>
      </c>
      <c r="I5075" s="2" t="s">
        <v>13128</v>
      </c>
      <c r="J5075" s="3" t="str">
        <f>HYPERLINK("https://www.boe.es/gazeta/dias/1810/09/11/pdfs/GMD-1810-254.pdf#page=2","Abrir facsímil")</f>
        <v>Abrir facsímil</v>
      </c>
      <c r="K5075" s="3" t="s">
        <v>76</v>
      </c>
    </row>
    <row r="5076" spans="1:11" ht="42" customHeight="1">
      <c r="A5076" s="2" t="s">
        <v>13129</v>
      </c>
      <c r="B5076" s="2" t="s">
        <v>13129</v>
      </c>
      <c r="C5076" s="2" t="s">
        <v>111</v>
      </c>
      <c r="D5076" s="2" t="s">
        <v>27</v>
      </c>
      <c r="E5076" s="4">
        <v>-32552</v>
      </c>
      <c r="F5076" s="3" t="s">
        <v>234</v>
      </c>
      <c r="G5076" s="3" t="s">
        <v>235</v>
      </c>
      <c r="H5076" s="2" t="s">
        <v>74</v>
      </c>
      <c r="I5076" s="2" t="s">
        <v>13130</v>
      </c>
      <c r="J5076" s="3" t="str">
        <f>HYPERLINK("https://www.boe.es/gazeta/dias/1810/11/15/pdfs/GMD-1810-319.pdf#page=1","Abrir facsímil")</f>
        <v>Abrir facsímil</v>
      </c>
      <c r="K5076" s="3" t="s">
        <v>76</v>
      </c>
    </row>
    <row r="5077" spans="1:11" ht="42" customHeight="1">
      <c r="A5077" s="2" t="s">
        <v>13131</v>
      </c>
      <c r="B5077" s="2" t="s">
        <v>13131</v>
      </c>
      <c r="C5077" s="2" t="s">
        <v>33</v>
      </c>
      <c r="D5077" s="2" t="s">
        <v>58</v>
      </c>
      <c r="E5077" s="4">
        <v>-32651</v>
      </c>
      <c r="F5077" s="3" t="s">
        <v>59</v>
      </c>
      <c r="G5077" s="3" t="s">
        <v>60</v>
      </c>
      <c r="H5077" s="2" t="s">
        <v>74</v>
      </c>
      <c r="I5077" s="2" t="s">
        <v>13132</v>
      </c>
      <c r="J5077" s="3" t="str">
        <f>HYPERLINK("https://www.boe.es/gazeta/dias/1810/08/08/pdfs/GEI-1810-53E.pdf#page=3","Abrir facsímil")</f>
        <v>Abrir facsímil</v>
      </c>
      <c r="K5077" s="3" t="s">
        <v>76</v>
      </c>
    </row>
    <row r="5078" spans="1:11" ht="42" customHeight="1">
      <c r="A5078" s="2" t="s">
        <v>13133</v>
      </c>
      <c r="B5078" s="2" t="s">
        <v>13134</v>
      </c>
      <c r="C5078" s="2" t="s">
        <v>26</v>
      </c>
      <c r="D5078" s="2" t="s">
        <v>27</v>
      </c>
      <c r="E5078" s="4">
        <v>-32608</v>
      </c>
      <c r="F5078" s="3" t="s">
        <v>781</v>
      </c>
      <c r="G5078" s="3" t="s">
        <v>782</v>
      </c>
      <c r="H5078" s="2" t="s">
        <v>74</v>
      </c>
      <c r="I5078" s="2" t="s">
        <v>13135</v>
      </c>
      <c r="J5078" s="3" t="str">
        <f>HYPERLINK("https://www.boe.es/gazeta/dias/1810/09/20/pdfs/GEI-1810-70.pdf#page=5","Abrir facsímil")</f>
        <v>Abrir facsímil</v>
      </c>
      <c r="K5078" s="3" t="s">
        <v>76</v>
      </c>
    </row>
    <row r="5079" spans="1:11" ht="42" customHeight="1">
      <c r="A5079" s="2" t="s">
        <v>13136</v>
      </c>
      <c r="B5079" s="2" t="s">
        <v>13137</v>
      </c>
      <c r="C5079" s="2" t="s">
        <v>225</v>
      </c>
      <c r="D5079" s="2" t="s">
        <v>117</v>
      </c>
      <c r="E5079" s="4">
        <v>-32722</v>
      </c>
      <c r="F5079" s="3" t="s">
        <v>856</v>
      </c>
      <c r="G5079" s="3" t="s">
        <v>857</v>
      </c>
      <c r="H5079" s="2" t="s">
        <v>74</v>
      </c>
      <c r="I5079" s="2" t="s">
        <v>13138</v>
      </c>
      <c r="J5079" s="3" t="str">
        <f>HYPERLINK("https://www.boe.es/gazeta/dias/1810/05/29/pdfs/GEI-1810-31.pdf#page=11","Abrir facsímil")</f>
        <v>Abrir facsímil</v>
      </c>
      <c r="K5079" s="3" t="s">
        <v>76</v>
      </c>
    </row>
    <row r="5080" spans="1:11" ht="42" customHeight="1">
      <c r="A5080" s="2" t="s">
        <v>13139</v>
      </c>
      <c r="B5080" s="2" t="s">
        <v>13139</v>
      </c>
      <c r="C5080" s="2" t="s">
        <v>17</v>
      </c>
      <c r="D5080" s="2" t="s">
        <v>27</v>
      </c>
      <c r="E5080" s="4">
        <v>-32664</v>
      </c>
      <c r="F5080" s="3" t="s">
        <v>618</v>
      </c>
      <c r="G5080" s="3" t="s">
        <v>1985</v>
      </c>
      <c r="H5080" s="2" t="s">
        <v>74</v>
      </c>
      <c r="I5080" s="2" t="s">
        <v>13140</v>
      </c>
      <c r="J5080" s="3" t="str">
        <f>HYPERLINK("https://www.boe.es/gazeta/dias/1810/07/26/pdfs/GMD-1810-207.pdf#page=4","Abrir facsímil")</f>
        <v>Abrir facsímil</v>
      </c>
      <c r="K5080" s="3" t="s">
        <v>76</v>
      </c>
    </row>
    <row r="5081" spans="1:11" ht="42" customHeight="1">
      <c r="A5081" s="2" t="s">
        <v>13139</v>
      </c>
      <c r="B5081" s="2" t="s">
        <v>13139</v>
      </c>
      <c r="C5081" s="2" t="s">
        <v>88</v>
      </c>
      <c r="D5081" s="2" t="s">
        <v>27</v>
      </c>
      <c r="E5081" s="4">
        <v>-32541</v>
      </c>
      <c r="F5081" s="3" t="s">
        <v>748</v>
      </c>
      <c r="G5081" s="3" t="s">
        <v>35</v>
      </c>
      <c r="H5081" s="2" t="s">
        <v>74</v>
      </c>
      <c r="I5081" s="2" t="s">
        <v>13141</v>
      </c>
      <c r="J5081" s="3" t="str">
        <f>HYPERLINK("https://www.boe.es/gazeta/dias/1810/11/26/pdfs/GMD-1810-330.pdf#page=2","Abrir facsímil")</f>
        <v>Abrir facsímil</v>
      </c>
      <c r="K5081" s="3" t="s">
        <v>76</v>
      </c>
    </row>
    <row r="5082" spans="1:11" ht="42" customHeight="1">
      <c r="A5082" s="2" t="s">
        <v>13142</v>
      </c>
      <c r="B5082" s="2" t="s">
        <v>13142</v>
      </c>
      <c r="C5082" s="2" t="s">
        <v>88</v>
      </c>
      <c r="D5082" s="2" t="s">
        <v>117</v>
      </c>
      <c r="E5082" s="4">
        <v>-32664</v>
      </c>
      <c r="F5082" s="3" t="s">
        <v>618</v>
      </c>
      <c r="G5082" s="3" t="s">
        <v>12274</v>
      </c>
      <c r="H5082" s="2" t="s">
        <v>74</v>
      </c>
      <c r="I5082" s="2" t="s">
        <v>13143</v>
      </c>
      <c r="J5082" s="3" t="str">
        <f>HYPERLINK("https://www.boe.es/gazeta/dias/1810/07/26/pdfs/GMD-1810-207.pdf#page=1","Abrir facsímil")</f>
        <v>Abrir facsímil</v>
      </c>
      <c r="K5082" s="3" t="s">
        <v>76</v>
      </c>
    </row>
    <row r="5083" spans="1:11" ht="42" customHeight="1">
      <c r="A5083" s="2" t="s">
        <v>13144</v>
      </c>
      <c r="B5083" s="2" t="s">
        <v>13145</v>
      </c>
      <c r="C5083" s="2" t="s">
        <v>33</v>
      </c>
      <c r="D5083" s="2" t="s">
        <v>58</v>
      </c>
      <c r="E5083" s="4">
        <v>-32601</v>
      </c>
      <c r="F5083" s="3" t="s">
        <v>392</v>
      </c>
      <c r="G5083" s="3" t="s">
        <v>1430</v>
      </c>
      <c r="H5083" s="2" t="s">
        <v>74</v>
      </c>
      <c r="I5083" s="2" t="s">
        <v>13146</v>
      </c>
      <c r="J5083" s="3" t="str">
        <f>HYPERLINK("https://www.boe.es/gazeta/dias/1810/09/27/pdfs/GEI-1810-74E.pdf#page=3","Abrir facsímil")</f>
        <v>Abrir facsímil</v>
      </c>
      <c r="K5083" s="3" t="s">
        <v>76</v>
      </c>
    </row>
    <row r="5084" spans="1:11" ht="42" customHeight="1">
      <c r="A5084" s="2" t="s">
        <v>13147</v>
      </c>
      <c r="B5084" s="2" t="s">
        <v>13147</v>
      </c>
      <c r="C5084" s="2" t="s">
        <v>26</v>
      </c>
      <c r="D5084" s="2" t="s">
        <v>27</v>
      </c>
      <c r="E5084" s="4">
        <v>-32791</v>
      </c>
      <c r="F5084" s="3" t="s">
        <v>4314</v>
      </c>
      <c r="G5084" s="3" t="s">
        <v>35</v>
      </c>
      <c r="H5084" s="2" t="s">
        <v>74</v>
      </c>
      <c r="I5084" s="2" t="s">
        <v>13148</v>
      </c>
      <c r="J5084" s="3" t="str">
        <f>HYPERLINK("https://www.boe.es/gazeta/dias/1810/03/21/pdfs/GMD-1810-80.pdf#page=2","Abrir facsímil")</f>
        <v>Abrir facsímil</v>
      </c>
      <c r="K5084" s="3" t="s">
        <v>76</v>
      </c>
    </row>
    <row r="5085" spans="1:11" ht="42" customHeight="1">
      <c r="A5085" s="2" t="s">
        <v>13147</v>
      </c>
      <c r="B5085" s="2" t="s">
        <v>13147</v>
      </c>
      <c r="C5085" s="2" t="s">
        <v>33</v>
      </c>
      <c r="D5085" s="2" t="s">
        <v>220</v>
      </c>
      <c r="E5085" s="4">
        <v>-32620</v>
      </c>
      <c r="F5085" s="3" t="s">
        <v>1499</v>
      </c>
      <c r="G5085" s="3" t="s">
        <v>227</v>
      </c>
      <c r="H5085" s="2" t="s">
        <v>74</v>
      </c>
      <c r="I5085" s="2" t="s">
        <v>13149</v>
      </c>
      <c r="J5085" s="3" t="str">
        <f>HYPERLINK("https://www.boe.es/gazeta/dias/1810/09/08/pdfs/GMD-1810-251.pdf#page=2","Abrir facsímil")</f>
        <v>Abrir facsímil</v>
      </c>
      <c r="K5085" s="3" t="s">
        <v>76</v>
      </c>
    </row>
    <row r="5086" spans="1:11" ht="42" customHeight="1">
      <c r="A5086" s="2" t="s">
        <v>13150</v>
      </c>
      <c r="B5086" s="2" t="s">
        <v>13151</v>
      </c>
      <c r="C5086" s="2" t="s">
        <v>88</v>
      </c>
      <c r="D5086" s="2" t="s">
        <v>27</v>
      </c>
      <c r="E5086" s="4">
        <v>-32763</v>
      </c>
      <c r="F5086" s="3" t="s">
        <v>1146</v>
      </c>
      <c r="G5086" s="3" t="s">
        <v>20</v>
      </c>
      <c r="H5086" s="2" t="s">
        <v>74</v>
      </c>
      <c r="I5086" s="2" t="s">
        <v>13152</v>
      </c>
      <c r="J5086" s="3" t="str">
        <f>HYPERLINK("https://www.boe.es/gazeta/dias/1810/04/18/pdfs/GMD-1810-108.pdf#page=4","Abrir facsímil")</f>
        <v>Abrir facsímil</v>
      </c>
      <c r="K5086" s="3" t="s">
        <v>76</v>
      </c>
    </row>
    <row r="5087" spans="1:11" ht="42" customHeight="1">
      <c r="A5087" s="2" t="s">
        <v>13153</v>
      </c>
      <c r="B5087" s="2" t="s">
        <v>13154</v>
      </c>
      <c r="C5087" s="2" t="s">
        <v>88</v>
      </c>
      <c r="D5087" s="2" t="s">
        <v>27</v>
      </c>
      <c r="E5087" s="4">
        <v>-32764</v>
      </c>
      <c r="F5087" s="3" t="s">
        <v>640</v>
      </c>
      <c r="G5087" s="3" t="s">
        <v>641</v>
      </c>
      <c r="H5087" s="2" t="s">
        <v>74</v>
      </c>
      <c r="I5087" s="2" t="s">
        <v>13155</v>
      </c>
      <c r="J5087" s="3" t="str">
        <f>HYPERLINK("https://www.boe.es/gazeta/dias/1810/04/17/pdfs/GEI-1810-15.pdf#page=8","Abrir facsímil")</f>
        <v>Abrir facsímil</v>
      </c>
      <c r="K5087" s="3" t="s">
        <v>76</v>
      </c>
    </row>
    <row r="5088" spans="1:11" ht="42" customHeight="1">
      <c r="A5088" s="2" t="s">
        <v>13156</v>
      </c>
      <c r="B5088" s="2" t="s">
        <v>13157</v>
      </c>
      <c r="C5088" s="2" t="s">
        <v>26</v>
      </c>
      <c r="D5088" s="2" t="s">
        <v>27</v>
      </c>
      <c r="E5088" s="4">
        <v>-32638</v>
      </c>
      <c r="F5088" s="3" t="s">
        <v>489</v>
      </c>
      <c r="G5088" s="3" t="s">
        <v>227</v>
      </c>
      <c r="H5088" s="2" t="s">
        <v>74</v>
      </c>
      <c r="I5088" s="2" t="s">
        <v>13158</v>
      </c>
      <c r="J5088" s="3" t="str">
        <f>HYPERLINK("https://www.boe.es/gazeta/dias/1810/08/21/pdfs/GMD-1810-233.pdf#page=2","Abrir facsímil")</f>
        <v>Abrir facsímil</v>
      </c>
      <c r="K5088" s="3" t="s">
        <v>76</v>
      </c>
    </row>
    <row r="5089" spans="1:11" ht="42" customHeight="1">
      <c r="A5089" s="2" t="s">
        <v>13159</v>
      </c>
      <c r="B5089" s="2" t="s">
        <v>13160</v>
      </c>
      <c r="C5089" s="2" t="s">
        <v>26</v>
      </c>
      <c r="D5089" s="2" t="s">
        <v>18</v>
      </c>
      <c r="E5089" s="4">
        <v>-32601</v>
      </c>
      <c r="F5089" s="3" t="s">
        <v>392</v>
      </c>
      <c r="G5089" s="3" t="s">
        <v>35</v>
      </c>
      <c r="H5089" s="2" t="s">
        <v>74</v>
      </c>
      <c r="I5089" s="2" t="s">
        <v>13161</v>
      </c>
      <c r="J5089" s="3" t="str">
        <f>HYPERLINK("https://www.boe.es/gazeta/dias/1810/09/27/pdfs/GEI-1810-74E.pdf#page=2","Abrir facsímil")</f>
        <v>Abrir facsímil</v>
      </c>
      <c r="K5089" s="3" t="s">
        <v>76</v>
      </c>
    </row>
    <row r="5090" spans="1:11" ht="42" customHeight="1">
      <c r="A5090" s="2" t="s">
        <v>13162</v>
      </c>
      <c r="B5090" s="2" t="s">
        <v>13163</v>
      </c>
      <c r="C5090" s="2" t="s">
        <v>26</v>
      </c>
      <c r="D5090" s="2" t="s">
        <v>27</v>
      </c>
      <c r="E5090" s="4">
        <v>-32680</v>
      </c>
      <c r="F5090" s="3" t="s">
        <v>509</v>
      </c>
      <c r="G5090" s="3" t="s">
        <v>213</v>
      </c>
      <c r="H5090" s="2" t="s">
        <v>74</v>
      </c>
      <c r="I5090" s="2" t="s">
        <v>13164</v>
      </c>
      <c r="J5090" s="3" t="str">
        <f>HYPERLINK("https://www.boe.es/gazeta/dias/1810/07/10/pdfs/GMD-1810-191.pdf#page=4","Abrir facsímil")</f>
        <v>Abrir facsímil</v>
      </c>
      <c r="K5090" s="3" t="s">
        <v>76</v>
      </c>
    </row>
    <row r="5091" spans="1:11" ht="42" customHeight="1">
      <c r="A5091" s="2" t="s">
        <v>13165</v>
      </c>
      <c r="B5091" s="2" t="s">
        <v>13166</v>
      </c>
      <c r="C5091" s="2" t="s">
        <v>317</v>
      </c>
      <c r="D5091" s="2" t="s">
        <v>27</v>
      </c>
      <c r="E5091" s="4">
        <v>-32592</v>
      </c>
      <c r="F5091" s="3" t="s">
        <v>771</v>
      </c>
      <c r="G5091" s="3" t="s">
        <v>13167</v>
      </c>
      <c r="H5091" s="2" t="s">
        <v>74</v>
      </c>
      <c r="I5091" s="2" t="s">
        <v>13168</v>
      </c>
      <c r="J5091" s="3" t="str">
        <f>HYPERLINK("https://www.boe.es/gazeta/dias/1810/10/06/pdfs/GEI-1810-78.pdf#page=7","Abrir facsímil")</f>
        <v>Abrir facsímil</v>
      </c>
      <c r="K5091" s="3" t="s">
        <v>76</v>
      </c>
    </row>
    <row r="5092" spans="1:11" ht="42" customHeight="1">
      <c r="A5092" s="2" t="s">
        <v>13169</v>
      </c>
      <c r="B5092" s="2" t="s">
        <v>13170</v>
      </c>
      <c r="C5092" s="2" t="s">
        <v>111</v>
      </c>
      <c r="D5092" s="2" t="s">
        <v>27</v>
      </c>
      <c r="E5092" s="4">
        <v>-32570</v>
      </c>
      <c r="F5092" s="3" t="s">
        <v>13171</v>
      </c>
      <c r="G5092" s="3" t="s">
        <v>465</v>
      </c>
      <c r="H5092" s="2" t="s">
        <v>74</v>
      </c>
      <c r="I5092" s="2" t="s">
        <v>13172</v>
      </c>
      <c r="J5092" s="3" t="str">
        <f>HYPERLINK("https://www.boe.es/gazeta/dias/1810/10/28/pdfs/GMD-1810-301.pdf#page=1","Abrir facsímil")</f>
        <v>Abrir facsímil</v>
      </c>
      <c r="K5092" s="3" t="s">
        <v>76</v>
      </c>
    </row>
    <row r="5093" spans="1:11" ht="42" customHeight="1">
      <c r="A5093" s="2" t="s">
        <v>13169</v>
      </c>
      <c r="B5093" s="2" t="s">
        <v>13170</v>
      </c>
      <c r="C5093" s="2" t="s">
        <v>26</v>
      </c>
      <c r="D5093" s="2" t="s">
        <v>27</v>
      </c>
      <c r="E5093" s="4">
        <v>-32569</v>
      </c>
      <c r="F5093" s="3" t="s">
        <v>421</v>
      </c>
      <c r="G5093" s="3" t="s">
        <v>422</v>
      </c>
      <c r="H5093" s="2" t="s">
        <v>74</v>
      </c>
      <c r="I5093" s="2" t="s">
        <v>13173</v>
      </c>
      <c r="J5093" s="3" t="str">
        <f>HYPERLINK("https://www.boe.es/gazeta/dias/1810/10/29/pdfs/GMD-1810-302.pdf#page=1","Abrir facsímil")</f>
        <v>Abrir facsímil</v>
      </c>
      <c r="K5093" s="3" t="s">
        <v>76</v>
      </c>
    </row>
    <row r="5094" spans="1:11" ht="42" customHeight="1">
      <c r="A5094" s="2" t="s">
        <v>13169</v>
      </c>
      <c r="B5094" s="2" t="s">
        <v>13170</v>
      </c>
      <c r="C5094" s="2" t="s">
        <v>26</v>
      </c>
      <c r="D5094" s="2" t="s">
        <v>27</v>
      </c>
      <c r="E5094" s="4">
        <v>-32569</v>
      </c>
      <c r="F5094" s="3" t="s">
        <v>421</v>
      </c>
      <c r="G5094" s="3" t="s">
        <v>20</v>
      </c>
      <c r="H5094" s="2" t="s">
        <v>74</v>
      </c>
      <c r="I5094" s="2" t="s">
        <v>13174</v>
      </c>
      <c r="J5094" s="3" t="str">
        <f>HYPERLINK("https://www.boe.es/gazeta/dias/1810/10/29/pdfs/GMD-1810-302.pdf#page=4","Abrir facsímil")</f>
        <v>Abrir facsímil</v>
      </c>
      <c r="K5094" s="3" t="s">
        <v>76</v>
      </c>
    </row>
    <row r="5095" spans="1:11" ht="42" customHeight="1">
      <c r="A5095" s="2" t="s">
        <v>13175</v>
      </c>
      <c r="B5095" s="2" t="s">
        <v>13176</v>
      </c>
      <c r="C5095" s="2" t="s">
        <v>88</v>
      </c>
      <c r="D5095" s="2" t="s">
        <v>27</v>
      </c>
      <c r="E5095" s="4">
        <v>-32522</v>
      </c>
      <c r="F5095" s="3" t="s">
        <v>3137</v>
      </c>
      <c r="G5095" s="3" t="s">
        <v>7887</v>
      </c>
      <c r="H5095" s="2" t="s">
        <v>74</v>
      </c>
      <c r="I5095" s="2" t="s">
        <v>13177</v>
      </c>
      <c r="J5095" s="3" t="str">
        <f>HYPERLINK("https://www.boe.es/gazeta/dias/1810/12/15/pdfs/GEI-1810-108.pdf#page=6","Abrir facsímil")</f>
        <v>Abrir facsímil</v>
      </c>
      <c r="K5095" s="3" t="s">
        <v>76</v>
      </c>
    </row>
    <row r="5096" spans="1:11" ht="42" customHeight="1">
      <c r="A5096" s="2" t="s">
        <v>13178</v>
      </c>
      <c r="B5096" s="2" t="s">
        <v>13179</v>
      </c>
      <c r="C5096" s="2" t="s">
        <v>26</v>
      </c>
      <c r="D5096" s="2" t="s">
        <v>27</v>
      </c>
      <c r="E5096" s="4">
        <v>-32767</v>
      </c>
      <c r="F5096" s="3" t="s">
        <v>1265</v>
      </c>
      <c r="G5096" s="3" t="s">
        <v>235</v>
      </c>
      <c r="H5096" s="2" t="s">
        <v>74</v>
      </c>
      <c r="I5096" s="2" t="s">
        <v>13180</v>
      </c>
      <c r="J5096" s="3" t="str">
        <f>HYPERLINK("https://www.boe.es/gazeta/dias/1810/04/14/pdfs/GMD-1810-104.pdf#page=3","Abrir facsímil")</f>
        <v>Abrir facsímil</v>
      </c>
      <c r="K5096" s="3" t="s">
        <v>76</v>
      </c>
    </row>
    <row r="5097" spans="1:11" ht="42" customHeight="1">
      <c r="A5097" s="2" t="s">
        <v>13181</v>
      </c>
      <c r="B5097" s="2" t="s">
        <v>13182</v>
      </c>
      <c r="C5097" s="2" t="s">
        <v>88</v>
      </c>
      <c r="D5097" s="2" t="s">
        <v>27</v>
      </c>
      <c r="E5097" s="4">
        <v>-32603</v>
      </c>
      <c r="F5097" s="3" t="s">
        <v>2163</v>
      </c>
      <c r="G5097" s="3" t="s">
        <v>29</v>
      </c>
      <c r="H5097" s="2" t="s">
        <v>74</v>
      </c>
      <c r="I5097" s="2" t="s">
        <v>13183</v>
      </c>
      <c r="J5097" s="3" t="str">
        <f>HYPERLINK("https://www.boe.es/gazeta/dias/1810/09/25/pdfs/GEI-1810-72.pdf#page=8","Abrir facsímil")</f>
        <v>Abrir facsímil</v>
      </c>
      <c r="K5097" s="3" t="s">
        <v>76</v>
      </c>
    </row>
    <row r="5098" spans="1:11" ht="42" customHeight="1">
      <c r="A5098" s="2" t="s">
        <v>13184</v>
      </c>
      <c r="B5098" s="2" t="s">
        <v>13185</v>
      </c>
      <c r="C5098" s="2" t="s">
        <v>26</v>
      </c>
      <c r="D5098" s="2" t="s">
        <v>27</v>
      </c>
      <c r="E5098" s="4">
        <v>-32775</v>
      </c>
      <c r="F5098" s="3" t="s">
        <v>308</v>
      </c>
      <c r="G5098" s="3" t="s">
        <v>140</v>
      </c>
      <c r="H5098" s="2" t="s">
        <v>74</v>
      </c>
      <c r="I5098" s="2" t="s">
        <v>13186</v>
      </c>
      <c r="J5098" s="3" t="str">
        <f>HYPERLINK("https://www.boe.es/gazeta/dias/1810/04/06/pdfs/GMD-1810-96.pdf#page=3","Abrir facsímil")</f>
        <v>Abrir facsímil</v>
      </c>
      <c r="K5098" s="3" t="s">
        <v>76</v>
      </c>
    </row>
    <row r="5099" spans="1:11" ht="42" customHeight="1">
      <c r="A5099" s="2" t="s">
        <v>13187</v>
      </c>
      <c r="B5099" s="2" t="s">
        <v>13188</v>
      </c>
      <c r="C5099" s="2" t="s">
        <v>26</v>
      </c>
      <c r="D5099" s="2" t="s">
        <v>27</v>
      </c>
      <c r="E5099" s="4">
        <v>-32698</v>
      </c>
      <c r="F5099" s="3" t="s">
        <v>2705</v>
      </c>
      <c r="G5099" s="3" t="s">
        <v>2706</v>
      </c>
      <c r="H5099" s="2" t="s">
        <v>74</v>
      </c>
      <c r="I5099" s="2" t="s">
        <v>13189</v>
      </c>
      <c r="J5099" s="3" t="str">
        <f>HYPERLINK("https://www.boe.es/gazeta/dias/1810/06/22/pdfs/GEI-1810-38.pdf#page=8","Abrir facsímil")</f>
        <v>Abrir facsímil</v>
      </c>
      <c r="K5099" s="3" t="s">
        <v>76</v>
      </c>
    </row>
    <row r="5100" spans="1:11" ht="42" customHeight="1">
      <c r="A5100" s="2" t="s">
        <v>13190</v>
      </c>
      <c r="B5100" s="2" t="s">
        <v>13191</v>
      </c>
      <c r="C5100" s="2" t="s">
        <v>88</v>
      </c>
      <c r="D5100" s="2" t="s">
        <v>117</v>
      </c>
      <c r="E5100" s="4">
        <v>-32631</v>
      </c>
      <c r="F5100" s="3" t="s">
        <v>497</v>
      </c>
      <c r="G5100" s="3" t="s">
        <v>498</v>
      </c>
      <c r="H5100" s="2" t="s">
        <v>74</v>
      </c>
      <c r="I5100" s="2" t="s">
        <v>13192</v>
      </c>
      <c r="J5100" s="3" t="str">
        <f>HYPERLINK("https://www.boe.es/gazeta/dias/1810/08/28/pdfs/GMD-1810-240.pdf#page=2","Abrir facsímil")</f>
        <v>Abrir facsímil</v>
      </c>
      <c r="K5100" s="3" t="s">
        <v>76</v>
      </c>
    </row>
    <row r="5101" spans="1:11" ht="42" customHeight="1">
      <c r="A5101" s="2" t="s">
        <v>13193</v>
      </c>
      <c r="B5101" s="2" t="s">
        <v>13194</v>
      </c>
      <c r="C5101" s="2" t="s">
        <v>88</v>
      </c>
      <c r="D5101" s="2" t="s">
        <v>117</v>
      </c>
      <c r="E5101" s="4">
        <v>-32692</v>
      </c>
      <c r="F5101" s="3" t="s">
        <v>3698</v>
      </c>
      <c r="G5101" s="3" t="s">
        <v>140</v>
      </c>
      <c r="H5101" s="2" t="s">
        <v>74</v>
      </c>
      <c r="I5101" s="2" t="s">
        <v>13195</v>
      </c>
      <c r="J5101" s="3" t="str">
        <f>HYPERLINK("https://www.boe.es/gazeta/dias/1810/06/28/pdfs/GMD-1810-179.pdf#page=4","Abrir facsímil")</f>
        <v>Abrir facsímil</v>
      </c>
      <c r="K5101" s="3" t="s">
        <v>76</v>
      </c>
    </row>
    <row r="5102" spans="1:11" ht="42" customHeight="1">
      <c r="A5102" s="2" t="s">
        <v>13196</v>
      </c>
      <c r="B5102" s="2" t="s">
        <v>13197</v>
      </c>
      <c r="C5102" s="2" t="s">
        <v>26</v>
      </c>
      <c r="D5102" s="2" t="s">
        <v>27</v>
      </c>
      <c r="E5102" s="4">
        <v>-32523</v>
      </c>
      <c r="F5102" s="3" t="s">
        <v>1484</v>
      </c>
      <c r="G5102" s="3" t="s">
        <v>29</v>
      </c>
      <c r="H5102" s="2" t="s">
        <v>74</v>
      </c>
      <c r="I5102" s="2" t="s">
        <v>13198</v>
      </c>
      <c r="J5102" s="3" t="str">
        <f>HYPERLINK("https://www.boe.es/gazeta/dias/1810/12/14/pdfs/GMD-1810-348.pdf#page=4","Abrir facsímil")</f>
        <v>Abrir facsímil</v>
      </c>
      <c r="K5102" s="3" t="s">
        <v>76</v>
      </c>
    </row>
    <row r="5103" spans="1:11" ht="42" customHeight="1">
      <c r="A5103" s="2" t="s">
        <v>13199</v>
      </c>
      <c r="B5103" s="2" t="s">
        <v>13200</v>
      </c>
      <c r="C5103" s="2" t="s">
        <v>88</v>
      </c>
      <c r="D5103" s="2" t="s">
        <v>27</v>
      </c>
      <c r="E5103" s="4">
        <v>-32700</v>
      </c>
      <c r="F5103" s="3" t="s">
        <v>89</v>
      </c>
      <c r="G5103" s="3" t="s">
        <v>29</v>
      </c>
      <c r="H5103" s="2" t="s">
        <v>74</v>
      </c>
      <c r="I5103" s="2" t="s">
        <v>13201</v>
      </c>
      <c r="J5103" s="3" t="str">
        <f>HYPERLINK("https://www.boe.es/gazeta/dias/1810/06/20/pdfs/GMD-1810-171.pdf#page=3","Abrir facsímil")</f>
        <v>Abrir facsímil</v>
      </c>
      <c r="K5103" s="3" t="s">
        <v>76</v>
      </c>
    </row>
    <row r="5104" spans="1:11" ht="42" customHeight="1">
      <c r="A5104" s="2" t="s">
        <v>13202</v>
      </c>
      <c r="B5104" s="2" t="s">
        <v>13203</v>
      </c>
      <c r="C5104" s="2" t="s">
        <v>225</v>
      </c>
      <c r="D5104" s="2" t="s">
        <v>117</v>
      </c>
      <c r="E5104" s="4">
        <v>-32638</v>
      </c>
      <c r="F5104" s="3" t="s">
        <v>2498</v>
      </c>
      <c r="G5104" s="3" t="s">
        <v>2902</v>
      </c>
      <c r="H5104" s="2" t="s">
        <v>74</v>
      </c>
      <c r="I5104" s="2" t="s">
        <v>13204</v>
      </c>
      <c r="J5104" s="3" t="str">
        <f>HYPERLINK("https://www.boe.es/gazeta/dias/1810/08/21/pdfs/GEI-1810-58.pdf#page=3","Abrir facsímil")</f>
        <v>Abrir facsímil</v>
      </c>
      <c r="K5104" s="3" t="s">
        <v>76</v>
      </c>
    </row>
    <row r="5105" spans="1:11" ht="42" customHeight="1">
      <c r="A5105" s="2" t="s">
        <v>13205</v>
      </c>
      <c r="B5105" s="2" t="s">
        <v>13206</v>
      </c>
      <c r="C5105" s="2" t="s">
        <v>26</v>
      </c>
      <c r="D5105" s="2" t="s">
        <v>27</v>
      </c>
      <c r="E5105" s="4">
        <v>-32575</v>
      </c>
      <c r="F5105" s="3" t="s">
        <v>135</v>
      </c>
      <c r="G5105" s="3" t="s">
        <v>136</v>
      </c>
      <c r="H5105" s="2" t="s">
        <v>74</v>
      </c>
      <c r="I5105" s="2" t="s">
        <v>13207</v>
      </c>
      <c r="J5105" s="3" t="str">
        <f>HYPERLINK("https://www.boe.es/gazeta/dias/1810/10/23/pdfs/GEI-1810-85.pdf#page=11","Abrir facsímil")</f>
        <v>Abrir facsímil</v>
      </c>
      <c r="K5105" s="3" t="s">
        <v>76</v>
      </c>
    </row>
    <row r="5106" spans="1:11" ht="42" customHeight="1">
      <c r="A5106" s="2" t="s">
        <v>13208</v>
      </c>
      <c r="B5106" s="2" t="s">
        <v>13209</v>
      </c>
      <c r="C5106" s="2" t="s">
        <v>88</v>
      </c>
      <c r="D5106" s="2" t="s">
        <v>117</v>
      </c>
      <c r="E5106" s="4">
        <v>-32729</v>
      </c>
      <c r="F5106" s="3" t="s">
        <v>174</v>
      </c>
      <c r="G5106" s="3" t="s">
        <v>274</v>
      </c>
      <c r="H5106" s="2" t="s">
        <v>74</v>
      </c>
      <c r="I5106" s="2" t="s">
        <v>13210</v>
      </c>
      <c r="J5106" s="3" t="str">
        <f>HYPERLINK("https://www.boe.es/gazeta/dias/1810/05/22/pdfs/GEI-1810-28.pdf#page=8","Abrir facsímil")</f>
        <v>Abrir facsímil</v>
      </c>
      <c r="K5106" s="3" t="s">
        <v>76</v>
      </c>
    </row>
    <row r="5107" spans="1:11" ht="42" customHeight="1">
      <c r="A5107" s="2" t="s">
        <v>13211</v>
      </c>
      <c r="B5107" s="2" t="s">
        <v>13211</v>
      </c>
      <c r="C5107" s="2" t="s">
        <v>88</v>
      </c>
      <c r="D5107" s="2" t="s">
        <v>27</v>
      </c>
      <c r="E5107" s="4">
        <v>-32687</v>
      </c>
      <c r="F5107" s="3" t="s">
        <v>221</v>
      </c>
      <c r="G5107" s="3" t="s">
        <v>4739</v>
      </c>
      <c r="H5107" s="2" t="s">
        <v>74</v>
      </c>
      <c r="I5107" s="2" t="s">
        <v>13212</v>
      </c>
      <c r="J5107" s="3" t="str">
        <f>HYPERLINK("https://www.boe.es/gazeta/dias/1810/07/03/pdfs/GMD-1810-184.pdf#page=3","Abrir facsímil")</f>
        <v>Abrir facsímil</v>
      </c>
      <c r="K5107" s="3" t="s">
        <v>76</v>
      </c>
    </row>
    <row r="5108" spans="1:11" ht="42" customHeight="1">
      <c r="A5108" s="2" t="s">
        <v>13213</v>
      </c>
      <c r="B5108" s="2" t="s">
        <v>13214</v>
      </c>
      <c r="C5108" s="2" t="s">
        <v>26</v>
      </c>
      <c r="D5108" s="2" t="s">
        <v>27</v>
      </c>
      <c r="E5108" s="4">
        <v>-32647</v>
      </c>
      <c r="F5108" s="3" t="s">
        <v>118</v>
      </c>
      <c r="G5108" s="3" t="s">
        <v>119</v>
      </c>
      <c r="H5108" s="2" t="s">
        <v>74</v>
      </c>
      <c r="I5108" s="2" t="s">
        <v>13215</v>
      </c>
      <c r="J5108" s="3" t="str">
        <f>HYPERLINK("https://www.boe.es/gazeta/dias/1810/08/12/pdfs/GMD-1810-224.pdf#page=3","Abrir facsímil")</f>
        <v>Abrir facsímil</v>
      </c>
      <c r="K5108" s="3" t="s">
        <v>76</v>
      </c>
    </row>
    <row r="5109" spans="1:11" ht="42" customHeight="1">
      <c r="A5109" s="2" t="s">
        <v>13216</v>
      </c>
      <c r="B5109" s="2" t="s">
        <v>13216</v>
      </c>
      <c r="C5109" s="2" t="s">
        <v>26</v>
      </c>
      <c r="D5109" s="2" t="s">
        <v>27</v>
      </c>
      <c r="E5109" s="4">
        <v>-32560</v>
      </c>
      <c r="F5109" s="3" t="s">
        <v>4111</v>
      </c>
      <c r="G5109" s="3" t="s">
        <v>90</v>
      </c>
      <c r="H5109" s="2" t="s">
        <v>74</v>
      </c>
      <c r="I5109" s="2" t="s">
        <v>13217</v>
      </c>
      <c r="J5109" s="3" t="str">
        <f>HYPERLINK("https://www.boe.es/gazeta/dias/1810/11/07/pdfs/GMD-1810-311.pdf#page=1","Abrir facsímil")</f>
        <v>Abrir facsímil</v>
      </c>
      <c r="K5109" s="3" t="s">
        <v>76</v>
      </c>
    </row>
    <row r="5110" spans="1:11" ht="42" customHeight="1">
      <c r="A5110" s="2" t="s">
        <v>13218</v>
      </c>
      <c r="B5110" s="2" t="s">
        <v>13218</v>
      </c>
      <c r="C5110" s="2" t="s">
        <v>88</v>
      </c>
      <c r="D5110" s="2" t="s">
        <v>27</v>
      </c>
      <c r="E5110" s="4">
        <v>-32853</v>
      </c>
      <c r="F5110" s="3" t="s">
        <v>12771</v>
      </c>
      <c r="G5110" s="3" t="s">
        <v>2514</v>
      </c>
      <c r="H5110" s="2" t="s">
        <v>74</v>
      </c>
      <c r="I5110" s="2" t="s">
        <v>13219</v>
      </c>
      <c r="J5110" s="3" t="str">
        <f>HYPERLINK("https://www.boe.es/gazeta/dias/1810/01/18/pdfs/GMD-1810-18.pdf#page=1","Abrir facsímil")</f>
        <v>Abrir facsímil</v>
      </c>
      <c r="K5110" s="3" t="s">
        <v>76</v>
      </c>
    </row>
    <row r="5111" spans="1:11" ht="42" customHeight="1">
      <c r="A5111" s="2" t="s">
        <v>13220</v>
      </c>
      <c r="B5111" s="2" t="s">
        <v>13220</v>
      </c>
      <c r="C5111" s="2" t="s">
        <v>88</v>
      </c>
      <c r="D5111" s="2" t="s">
        <v>39</v>
      </c>
      <c r="E5111" s="4">
        <v>-32645</v>
      </c>
      <c r="F5111" s="3" t="s">
        <v>2492</v>
      </c>
      <c r="G5111" s="3" t="s">
        <v>29</v>
      </c>
      <c r="H5111" s="2" t="s">
        <v>74</v>
      </c>
      <c r="I5111" s="2" t="s">
        <v>13221</v>
      </c>
      <c r="J5111" s="3" t="str">
        <f>HYPERLINK("https://www.boe.es/gazeta/dias/1810/08/14/pdfs/GEI-D-1810-56.pdf#page=1","Abrir facsímil")</f>
        <v>Abrir facsímil</v>
      </c>
      <c r="K5111" s="3" t="s">
        <v>76</v>
      </c>
    </row>
    <row r="5112" spans="1:11" ht="42" customHeight="1">
      <c r="A5112" s="2" t="s">
        <v>13220</v>
      </c>
      <c r="B5112" s="2" t="s">
        <v>13220</v>
      </c>
      <c r="C5112" s="2" t="s">
        <v>88</v>
      </c>
      <c r="D5112" s="2" t="s">
        <v>117</v>
      </c>
      <c r="E5112" s="4">
        <v>-32621</v>
      </c>
      <c r="F5112" s="3" t="s">
        <v>1897</v>
      </c>
      <c r="G5112" s="3" t="s">
        <v>4676</v>
      </c>
      <c r="H5112" s="2" t="s">
        <v>74</v>
      </c>
      <c r="I5112" s="2" t="s">
        <v>13222</v>
      </c>
      <c r="J5112" s="3" t="str">
        <f>HYPERLINK("https://www.boe.es/gazeta/dias/1810/09/07/pdfs/GMD-1810-250.pdf#page=3","Abrir facsímil")</f>
        <v>Abrir facsímil</v>
      </c>
      <c r="K5112" s="3" t="s">
        <v>76</v>
      </c>
    </row>
    <row r="5113" spans="1:11" ht="42" customHeight="1">
      <c r="A5113" s="2" t="s">
        <v>13220</v>
      </c>
      <c r="B5113" s="2" t="s">
        <v>13220</v>
      </c>
      <c r="C5113" s="2" t="s">
        <v>88</v>
      </c>
      <c r="D5113" s="2" t="s">
        <v>117</v>
      </c>
      <c r="E5113" s="4">
        <v>-32506</v>
      </c>
      <c r="F5113" s="3" t="s">
        <v>7076</v>
      </c>
      <c r="G5113" s="3" t="s">
        <v>227</v>
      </c>
      <c r="H5113" s="2" t="s">
        <v>74</v>
      </c>
      <c r="I5113" s="2" t="s">
        <v>13223</v>
      </c>
      <c r="J5113" s="3" t="str">
        <f>HYPERLINK("https://www.boe.es/gazeta/dias/1810/12/31/pdfs/GMD-1810-365.pdf#page=2","Abrir facsímil")</f>
        <v>Abrir facsímil</v>
      </c>
      <c r="K5113" s="3" t="s">
        <v>76</v>
      </c>
    </row>
    <row r="5114" spans="1:11" ht="42" customHeight="1">
      <c r="A5114" s="2" t="s">
        <v>13224</v>
      </c>
      <c r="B5114" s="2" t="s">
        <v>13224</v>
      </c>
      <c r="C5114" s="2" t="s">
        <v>88</v>
      </c>
      <c r="D5114" s="2" t="s">
        <v>39</v>
      </c>
      <c r="E5114" s="4">
        <v>-32764</v>
      </c>
      <c r="F5114" s="3" t="s">
        <v>1546</v>
      </c>
      <c r="G5114" s="3" t="s">
        <v>131</v>
      </c>
      <c r="H5114" s="2" t="s">
        <v>74</v>
      </c>
      <c r="I5114" s="2" t="s">
        <v>13225</v>
      </c>
      <c r="J5114" s="3" t="str">
        <f>HYPERLINK("https://www.boe.es/gazeta/dias/1810/04/17/pdfs/GEI-D-1810-15.pdf#page=3","Abrir facsímil")</f>
        <v>Abrir facsímil</v>
      </c>
      <c r="K5114" s="3" t="s">
        <v>76</v>
      </c>
    </row>
    <row r="5115" spans="1:11" ht="42" customHeight="1">
      <c r="A5115" s="2" t="s">
        <v>13226</v>
      </c>
      <c r="B5115" s="2" t="s">
        <v>13227</v>
      </c>
      <c r="C5115" s="2" t="s">
        <v>317</v>
      </c>
      <c r="D5115" s="2" t="s">
        <v>27</v>
      </c>
      <c r="E5115" s="4">
        <v>-32659</v>
      </c>
      <c r="F5115" s="3" t="s">
        <v>328</v>
      </c>
      <c r="G5115" s="3" t="s">
        <v>119</v>
      </c>
      <c r="H5115" s="2" t="s">
        <v>74</v>
      </c>
      <c r="I5115" s="2" t="s">
        <v>13228</v>
      </c>
      <c r="J5115" s="3" t="str">
        <f>HYPERLINK("https://www.boe.es/gazeta/dias/1810/07/31/pdfs/GEI-1810-49.pdf#page=8","Abrir facsímil")</f>
        <v>Abrir facsímil</v>
      </c>
      <c r="K5115" s="3" t="s">
        <v>76</v>
      </c>
    </row>
    <row r="5116" spans="1:11" ht="42" customHeight="1">
      <c r="A5116" s="2" t="s">
        <v>13229</v>
      </c>
      <c r="B5116" s="2" t="s">
        <v>13230</v>
      </c>
      <c r="C5116" s="2" t="s">
        <v>26</v>
      </c>
      <c r="D5116" s="2" t="s">
        <v>18</v>
      </c>
      <c r="E5116" s="4">
        <v>-32677</v>
      </c>
      <c r="F5116" s="3" t="s">
        <v>1940</v>
      </c>
      <c r="G5116" s="3" t="s">
        <v>119</v>
      </c>
      <c r="H5116" s="2" t="s">
        <v>74</v>
      </c>
      <c r="I5116" s="2" t="s">
        <v>13231</v>
      </c>
      <c r="J5116" s="3" t="str">
        <f>HYPERLINK("https://www.boe.es/gazeta/dias/1810/07/13/pdfs/GEI-1810-44.pdf#page=5","Abrir facsímil")</f>
        <v>Abrir facsímil</v>
      </c>
      <c r="K5116" s="3" t="s">
        <v>76</v>
      </c>
    </row>
    <row r="5117" spans="1:11" ht="42" customHeight="1">
      <c r="A5117" s="2" t="s">
        <v>13232</v>
      </c>
      <c r="B5117" s="2" t="s">
        <v>13233</v>
      </c>
      <c r="C5117" s="2" t="s">
        <v>26</v>
      </c>
      <c r="D5117" s="2" t="s">
        <v>27</v>
      </c>
      <c r="E5117" s="4">
        <v>-32608</v>
      </c>
      <c r="F5117" s="3" t="s">
        <v>781</v>
      </c>
      <c r="G5117" s="3" t="s">
        <v>782</v>
      </c>
      <c r="H5117" s="2" t="s">
        <v>74</v>
      </c>
      <c r="I5117" s="2" t="s">
        <v>13234</v>
      </c>
      <c r="J5117" s="3" t="str">
        <f>HYPERLINK("https://www.boe.es/gazeta/dias/1810/09/20/pdfs/GEI-1810-70.pdf#page=5","Abrir facsímil")</f>
        <v>Abrir facsímil</v>
      </c>
      <c r="K5117" s="3" t="s">
        <v>76</v>
      </c>
    </row>
    <row r="5118" spans="1:11" ht="42" customHeight="1">
      <c r="A5118" s="2" t="s">
        <v>13235</v>
      </c>
      <c r="B5118" s="2" t="s">
        <v>13236</v>
      </c>
      <c r="C5118" s="2" t="s">
        <v>88</v>
      </c>
      <c r="D5118" s="2" t="s">
        <v>117</v>
      </c>
      <c r="E5118" s="4">
        <v>-32710</v>
      </c>
      <c r="F5118" s="3" t="s">
        <v>126</v>
      </c>
      <c r="G5118" s="3" t="s">
        <v>180</v>
      </c>
      <c r="H5118" s="2" t="s">
        <v>74</v>
      </c>
      <c r="I5118" s="2" t="s">
        <v>13237</v>
      </c>
      <c r="J5118" s="3" t="str">
        <f>HYPERLINK("https://www.boe.es/gazeta/dias/1810/06/10/pdfs/GMD-1810-161.pdf#page=1","Abrir facsímil")</f>
        <v>Abrir facsímil</v>
      </c>
      <c r="K5118" s="3" t="s">
        <v>76</v>
      </c>
    </row>
    <row r="5119" spans="1:11" ht="42" customHeight="1">
      <c r="A5119" s="2" t="s">
        <v>13238</v>
      </c>
      <c r="B5119" s="2" t="s">
        <v>13239</v>
      </c>
      <c r="C5119" s="2" t="s">
        <v>111</v>
      </c>
      <c r="D5119" s="2" t="s">
        <v>27</v>
      </c>
      <c r="E5119" s="4">
        <v>-32575</v>
      </c>
      <c r="F5119" s="3" t="s">
        <v>135</v>
      </c>
      <c r="G5119" s="3" t="s">
        <v>140</v>
      </c>
      <c r="H5119" s="2" t="s">
        <v>74</v>
      </c>
      <c r="I5119" s="2" t="s">
        <v>13240</v>
      </c>
      <c r="J5119" s="3" t="str">
        <f>HYPERLINK("https://www.boe.es/gazeta/dias/1810/10/23/pdfs/GEI-1810-85.pdf#page=10","Abrir facsímil")</f>
        <v>Abrir facsímil</v>
      </c>
      <c r="K5119" s="3" t="s">
        <v>76</v>
      </c>
    </row>
    <row r="5120" spans="1:11" ht="42" customHeight="1">
      <c r="A5120" s="2" t="s">
        <v>13241</v>
      </c>
      <c r="B5120" s="2" t="s">
        <v>13241</v>
      </c>
      <c r="C5120" s="2" t="s">
        <v>26</v>
      </c>
      <c r="D5120" s="2" t="s">
        <v>18</v>
      </c>
      <c r="E5120" s="4">
        <v>-32751</v>
      </c>
      <c r="F5120" s="3" t="s">
        <v>1205</v>
      </c>
      <c r="G5120" s="3" t="s">
        <v>191</v>
      </c>
      <c r="H5120" s="2" t="s">
        <v>74</v>
      </c>
      <c r="I5120" s="2" t="s">
        <v>13242</v>
      </c>
      <c r="J5120" s="3" t="str">
        <f>HYPERLINK("https://www.boe.es/gazeta/dias/1810/04/30/pdfs/GMD-1810-120.pdf#page=3","Abrir facsímil")</f>
        <v>Abrir facsímil</v>
      </c>
      <c r="K5120" s="3" t="s">
        <v>76</v>
      </c>
    </row>
    <row r="5121" spans="1:11" ht="42" customHeight="1">
      <c r="A5121" s="2" t="s">
        <v>13241</v>
      </c>
      <c r="B5121" s="2" t="s">
        <v>13241</v>
      </c>
      <c r="C5121" s="2" t="s">
        <v>26</v>
      </c>
      <c r="D5121" s="2" t="s">
        <v>27</v>
      </c>
      <c r="E5121" s="4">
        <v>-32751</v>
      </c>
      <c r="F5121" s="3" t="s">
        <v>1205</v>
      </c>
      <c r="G5121" s="3" t="s">
        <v>70</v>
      </c>
      <c r="H5121" s="2" t="s">
        <v>74</v>
      </c>
      <c r="I5121" s="2" t="s">
        <v>13243</v>
      </c>
      <c r="J5121" s="3" t="str">
        <f>HYPERLINK("https://www.boe.es/gazeta/dias/1810/04/30/pdfs/GMD-1810-120.pdf#page=4","Abrir facsímil")</f>
        <v>Abrir facsímil</v>
      </c>
      <c r="K5121" s="3" t="s">
        <v>76</v>
      </c>
    </row>
    <row r="5122" spans="1:11" ht="42" customHeight="1">
      <c r="A5122" s="2" t="s">
        <v>13241</v>
      </c>
      <c r="B5122" s="2" t="s">
        <v>13241</v>
      </c>
      <c r="C5122" s="2" t="s">
        <v>88</v>
      </c>
      <c r="D5122" s="2" t="s">
        <v>117</v>
      </c>
      <c r="E5122" s="4">
        <v>-32736</v>
      </c>
      <c r="F5122" s="3" t="s">
        <v>400</v>
      </c>
      <c r="G5122" s="3" t="s">
        <v>401</v>
      </c>
      <c r="H5122" s="2" t="s">
        <v>74</v>
      </c>
      <c r="I5122" s="2" t="s">
        <v>13244</v>
      </c>
      <c r="J5122" s="3" t="str">
        <f>HYPERLINK("https://www.boe.es/gazeta/dias/1810/05/15/pdfs/GMD-1810-135.pdf#page=4","Abrir facsímil")</f>
        <v>Abrir facsímil</v>
      </c>
      <c r="K5122" s="3" t="s">
        <v>76</v>
      </c>
    </row>
    <row r="5123" spans="1:11" ht="42" customHeight="1">
      <c r="A5123" s="2" t="s">
        <v>13241</v>
      </c>
      <c r="B5123" s="2" t="s">
        <v>13241</v>
      </c>
      <c r="C5123" s="2" t="s">
        <v>26</v>
      </c>
      <c r="D5123" s="2" t="s">
        <v>27</v>
      </c>
      <c r="E5123" s="4">
        <v>-32726</v>
      </c>
      <c r="F5123" s="3" t="s">
        <v>3350</v>
      </c>
      <c r="G5123" s="3" t="s">
        <v>227</v>
      </c>
      <c r="H5123" s="2" t="s">
        <v>74</v>
      </c>
      <c r="I5123" s="2" t="s">
        <v>13245</v>
      </c>
      <c r="J5123" s="3" t="str">
        <f>HYPERLINK("https://www.boe.es/gazeta/dias/1810/05/25/pdfs/GMD-1810-145.pdf#page=1","Abrir facsímil")</f>
        <v>Abrir facsímil</v>
      </c>
      <c r="K5123" s="3" t="s">
        <v>76</v>
      </c>
    </row>
    <row r="5124" spans="1:11" ht="42" customHeight="1">
      <c r="A5124" s="2" t="s">
        <v>13241</v>
      </c>
      <c r="B5124" s="2" t="s">
        <v>13241</v>
      </c>
      <c r="C5124" s="2" t="s">
        <v>26</v>
      </c>
      <c r="D5124" s="2" t="s">
        <v>220</v>
      </c>
      <c r="E5124" s="4">
        <v>-32726</v>
      </c>
      <c r="F5124" s="3" t="s">
        <v>3350</v>
      </c>
      <c r="G5124" s="3" t="s">
        <v>35</v>
      </c>
      <c r="H5124" s="2" t="s">
        <v>74</v>
      </c>
      <c r="I5124" s="2" t="s">
        <v>13246</v>
      </c>
      <c r="J5124" s="3" t="str">
        <f>HYPERLINK("https://www.boe.es/gazeta/dias/1810/05/25/pdfs/GMD-1810-145.pdf#page=2","Abrir facsímil")</f>
        <v>Abrir facsímil</v>
      </c>
      <c r="K5124" s="3" t="s">
        <v>76</v>
      </c>
    </row>
    <row r="5125" spans="1:11" ht="42" customHeight="1">
      <c r="A5125" s="2" t="s">
        <v>13241</v>
      </c>
      <c r="B5125" s="2" t="s">
        <v>13241</v>
      </c>
      <c r="C5125" s="2" t="s">
        <v>26</v>
      </c>
      <c r="D5125" s="2" t="s">
        <v>27</v>
      </c>
      <c r="E5125" s="4">
        <v>-32726</v>
      </c>
      <c r="F5125" s="3" t="s">
        <v>3350</v>
      </c>
      <c r="G5125" s="3" t="s">
        <v>1667</v>
      </c>
      <c r="H5125" s="2" t="s">
        <v>74</v>
      </c>
      <c r="I5125" s="2" t="s">
        <v>13247</v>
      </c>
      <c r="J5125" s="3" t="str">
        <f>HYPERLINK("https://www.boe.es/gazeta/dias/1810/05/25/pdfs/GMD-1810-145.pdf#page=3","Abrir facsímil")</f>
        <v>Abrir facsímil</v>
      </c>
      <c r="K5125" s="3" t="s">
        <v>76</v>
      </c>
    </row>
    <row r="5126" spans="1:11" ht="42" customHeight="1">
      <c r="A5126" s="2" t="s">
        <v>13241</v>
      </c>
      <c r="B5126" s="2" t="s">
        <v>13241</v>
      </c>
      <c r="C5126" s="2" t="s">
        <v>26</v>
      </c>
      <c r="D5126" s="2" t="s">
        <v>27</v>
      </c>
      <c r="E5126" s="4">
        <v>-32563</v>
      </c>
      <c r="F5126" s="3" t="s">
        <v>535</v>
      </c>
      <c r="G5126" s="3" t="s">
        <v>536</v>
      </c>
      <c r="H5126" s="2" t="s">
        <v>74</v>
      </c>
      <c r="I5126" s="2" t="s">
        <v>13248</v>
      </c>
      <c r="J5126" s="3" t="str">
        <f>HYPERLINK("https://www.boe.es/gazeta/dias/1810/11/04/pdfs/GMD-1810-308.pdf#page=9","Abrir facsímil")</f>
        <v>Abrir facsímil</v>
      </c>
      <c r="K5126" s="3" t="s">
        <v>76</v>
      </c>
    </row>
    <row r="5127" spans="1:11" ht="42" customHeight="1">
      <c r="A5127" s="2" t="s">
        <v>13249</v>
      </c>
      <c r="B5127" s="2" t="s">
        <v>13250</v>
      </c>
      <c r="C5127" s="2" t="s">
        <v>88</v>
      </c>
      <c r="D5127" s="2" t="s">
        <v>27</v>
      </c>
      <c r="E5127" s="4">
        <v>-32700</v>
      </c>
      <c r="F5127" s="3" t="s">
        <v>89</v>
      </c>
      <c r="G5127" s="3" t="s">
        <v>29</v>
      </c>
      <c r="H5127" s="2" t="s">
        <v>74</v>
      </c>
      <c r="I5127" s="2" t="s">
        <v>13251</v>
      </c>
      <c r="J5127" s="3" t="str">
        <f>HYPERLINK("https://www.boe.es/gazeta/dias/1810/06/20/pdfs/GMD-1810-171.pdf#page=3","Abrir facsímil")</f>
        <v>Abrir facsímil</v>
      </c>
      <c r="K5127" s="3" t="s">
        <v>76</v>
      </c>
    </row>
    <row r="5128" spans="1:11" ht="42" customHeight="1">
      <c r="A5128" s="2" t="s">
        <v>13252</v>
      </c>
      <c r="B5128" s="2" t="s">
        <v>13253</v>
      </c>
      <c r="C5128" s="2" t="s">
        <v>26</v>
      </c>
      <c r="D5128" s="2" t="s">
        <v>27</v>
      </c>
      <c r="E5128" s="4">
        <v>-32666</v>
      </c>
      <c r="F5128" s="3" t="s">
        <v>346</v>
      </c>
      <c r="G5128" s="3" t="s">
        <v>4798</v>
      </c>
      <c r="H5128" s="2" t="s">
        <v>74</v>
      </c>
      <c r="I5128" s="2" t="s">
        <v>13254</v>
      </c>
      <c r="J5128" s="3" t="str">
        <f>HYPERLINK("https://www.boe.es/gazeta/dias/1810/07/24/pdfs/GEI-1810-47.pdf#page=9","Abrir facsímil")</f>
        <v>Abrir facsímil</v>
      </c>
      <c r="K5128" s="3" t="s">
        <v>76</v>
      </c>
    </row>
    <row r="5129" spans="1:11" ht="42" customHeight="1">
      <c r="A5129" s="2" t="s">
        <v>13255</v>
      </c>
      <c r="B5129" s="2" t="s">
        <v>13256</v>
      </c>
      <c r="C5129" s="2" t="s">
        <v>26</v>
      </c>
      <c r="D5129" s="2" t="s">
        <v>27</v>
      </c>
      <c r="E5129" s="4">
        <v>-32867</v>
      </c>
      <c r="F5129" s="3" t="s">
        <v>712</v>
      </c>
      <c r="G5129" s="3" t="s">
        <v>291</v>
      </c>
      <c r="H5129" s="2" t="s">
        <v>74</v>
      </c>
      <c r="I5129" s="2" t="s">
        <v>13257</v>
      </c>
      <c r="J5129" s="3" t="str">
        <f>HYPERLINK("https://www.boe.es/gazeta/dias/1810/01/04/pdfs/GGB-1810-2.pdf#page=8","Abrir facsímil")</f>
        <v>Abrir facsímil</v>
      </c>
      <c r="K5129" s="3" t="s">
        <v>76</v>
      </c>
    </row>
    <row r="5130" spans="1:11" ht="42" customHeight="1">
      <c r="A5130" s="2" t="s">
        <v>13255</v>
      </c>
      <c r="B5130" s="2" t="s">
        <v>13256</v>
      </c>
      <c r="C5130" s="2" t="s">
        <v>26</v>
      </c>
      <c r="D5130" s="2" t="s">
        <v>27</v>
      </c>
      <c r="E5130" s="4">
        <v>-32761</v>
      </c>
      <c r="F5130" s="3" t="s">
        <v>811</v>
      </c>
      <c r="G5130" s="3" t="s">
        <v>140</v>
      </c>
      <c r="H5130" s="2" t="s">
        <v>74</v>
      </c>
      <c r="I5130" s="2" t="s">
        <v>13258</v>
      </c>
      <c r="J5130" s="3" t="str">
        <f>HYPERLINK("https://www.boe.es/gazeta/dias/1810/04/20/pdfs/GEI-1810-16.pdf#page=8","Abrir facsímil")</f>
        <v>Abrir facsímil</v>
      </c>
      <c r="K5130" s="3" t="s">
        <v>76</v>
      </c>
    </row>
    <row r="5131" spans="1:11" ht="42" customHeight="1">
      <c r="A5131" s="2" t="s">
        <v>13255</v>
      </c>
      <c r="B5131" s="2" t="s">
        <v>13256</v>
      </c>
      <c r="C5131" s="2" t="s">
        <v>26</v>
      </c>
      <c r="D5131" s="2" t="s">
        <v>27</v>
      </c>
      <c r="E5131" s="4">
        <v>-32757</v>
      </c>
      <c r="F5131" s="3" t="s">
        <v>1136</v>
      </c>
      <c r="G5131" s="3" t="s">
        <v>1901</v>
      </c>
      <c r="H5131" s="2" t="s">
        <v>74</v>
      </c>
      <c r="I5131" s="2" t="s">
        <v>13259</v>
      </c>
      <c r="J5131" s="3" t="str">
        <f>HYPERLINK("https://www.boe.es/gazeta/dias/1810/04/24/pdfs/GEI-1810-17.pdf#page=8","Abrir facsímil")</f>
        <v>Abrir facsímil</v>
      </c>
      <c r="K5131" s="3" t="s">
        <v>76</v>
      </c>
    </row>
    <row r="5132" spans="1:11" ht="42" customHeight="1">
      <c r="A5132" s="2" t="s">
        <v>13255</v>
      </c>
      <c r="B5132" s="2" t="s">
        <v>13256</v>
      </c>
      <c r="C5132" s="2" t="s">
        <v>26</v>
      </c>
      <c r="D5132" s="2" t="s">
        <v>39</v>
      </c>
      <c r="E5132" s="4">
        <v>-32701</v>
      </c>
      <c r="F5132" s="3" t="s">
        <v>40</v>
      </c>
      <c r="G5132" s="3" t="s">
        <v>333</v>
      </c>
      <c r="H5132" s="2" t="s">
        <v>74</v>
      </c>
      <c r="I5132" s="2" t="s">
        <v>13260</v>
      </c>
      <c r="J5132" s="3" t="str">
        <f>HYPERLINK("https://www.boe.es/gazeta/dias/1810/06/19/pdfs/GMD-C-1810-170.pdf#page=4","Abrir facsímil")</f>
        <v>Abrir facsímil</v>
      </c>
      <c r="K5132" s="3" t="s">
        <v>76</v>
      </c>
    </row>
    <row r="5133" spans="1:11" ht="42" customHeight="1">
      <c r="A5133" s="2" t="s">
        <v>13261</v>
      </c>
      <c r="B5133" s="2" t="s">
        <v>13262</v>
      </c>
      <c r="C5133" s="2" t="s">
        <v>930</v>
      </c>
      <c r="D5133" s="2" t="s">
        <v>27</v>
      </c>
      <c r="E5133" s="4">
        <v>-32545</v>
      </c>
      <c r="F5133" s="3" t="s">
        <v>165</v>
      </c>
      <c r="G5133" s="3" t="s">
        <v>166</v>
      </c>
      <c r="H5133" s="2" t="s">
        <v>74</v>
      </c>
      <c r="I5133" s="2" t="s">
        <v>13263</v>
      </c>
      <c r="J5133" s="3" t="str">
        <f>HYPERLINK("https://www.boe.es/gazeta/dias/1810/11/22/pdfs/GEI-1810-98.pdf#page=8","Abrir facsímil")</f>
        <v>Abrir facsímil</v>
      </c>
      <c r="K5133" s="3" t="s">
        <v>76</v>
      </c>
    </row>
    <row r="5134" spans="1:11" ht="42" customHeight="1">
      <c r="A5134" s="2" t="s">
        <v>13264</v>
      </c>
      <c r="B5134" s="2" t="s">
        <v>13265</v>
      </c>
      <c r="C5134" s="2" t="s">
        <v>17</v>
      </c>
      <c r="D5134" s="2" t="s">
        <v>27</v>
      </c>
      <c r="E5134" s="4">
        <v>-32756</v>
      </c>
      <c r="F5134" s="3" t="s">
        <v>203</v>
      </c>
      <c r="G5134" s="3" t="s">
        <v>180</v>
      </c>
      <c r="H5134" s="2" t="s">
        <v>74</v>
      </c>
      <c r="I5134" s="2" t="s">
        <v>13266</v>
      </c>
      <c r="J5134" s="3" t="str">
        <f>HYPERLINK("https://www.boe.es/gazeta/dias/1810/04/25/pdfs/GMD-1810-115.pdf#page=4","Abrir facsímil")</f>
        <v>Abrir facsímil</v>
      </c>
      <c r="K5134" s="3" t="s">
        <v>76</v>
      </c>
    </row>
    <row r="5135" spans="1:11" ht="42" customHeight="1">
      <c r="A5135" s="2" t="s">
        <v>13267</v>
      </c>
      <c r="B5135" s="2" t="s">
        <v>13268</v>
      </c>
      <c r="C5135" s="2" t="s">
        <v>26</v>
      </c>
      <c r="D5135" s="2" t="s">
        <v>39</v>
      </c>
      <c r="E5135" s="4">
        <v>-32701</v>
      </c>
      <c r="F5135" s="3" t="s">
        <v>40</v>
      </c>
      <c r="G5135" s="3" t="s">
        <v>315</v>
      </c>
      <c r="H5135" s="2" t="s">
        <v>74</v>
      </c>
      <c r="I5135" s="2" t="s">
        <v>13269</v>
      </c>
      <c r="J5135" s="3" t="str">
        <f>HYPERLINK("https://www.boe.es/gazeta/dias/1810/06/19/pdfs/GMD-C-1810-170.pdf#page=2","Abrir facsímil")</f>
        <v>Abrir facsímil</v>
      </c>
      <c r="K5135" s="3" t="s">
        <v>76</v>
      </c>
    </row>
    <row r="5136" spans="1:11" ht="42" customHeight="1">
      <c r="A5136" s="2" t="s">
        <v>13270</v>
      </c>
      <c r="B5136" s="2" t="s">
        <v>13271</v>
      </c>
      <c r="C5136" s="2" t="s">
        <v>26</v>
      </c>
      <c r="D5136" s="2" t="s">
        <v>27</v>
      </c>
      <c r="E5136" s="4">
        <v>-32520</v>
      </c>
      <c r="F5136" s="3" t="s">
        <v>2109</v>
      </c>
      <c r="G5136" s="3" t="s">
        <v>2110</v>
      </c>
      <c r="H5136" s="2" t="s">
        <v>74</v>
      </c>
      <c r="I5136" s="2" t="s">
        <v>13272</v>
      </c>
      <c r="J5136" s="3" t="str">
        <f>HYPERLINK("https://www.boe.es/gazeta/dias/1810/12/17/pdfs/GMD-1810-351.pdf#page=2","Abrir facsímil")</f>
        <v>Abrir facsímil</v>
      </c>
      <c r="K5136" s="3" t="s">
        <v>76</v>
      </c>
    </row>
    <row r="5137" spans="1:11" ht="42" customHeight="1">
      <c r="A5137" s="2" t="s">
        <v>13270</v>
      </c>
      <c r="B5137" s="2" t="s">
        <v>13271</v>
      </c>
      <c r="C5137" s="2" t="s">
        <v>26</v>
      </c>
      <c r="D5137" s="2" t="s">
        <v>27</v>
      </c>
      <c r="E5137" s="4">
        <v>-32517</v>
      </c>
      <c r="F5137" s="3" t="s">
        <v>566</v>
      </c>
      <c r="G5137" s="3" t="s">
        <v>762</v>
      </c>
      <c r="H5137" s="2" t="s">
        <v>74</v>
      </c>
      <c r="I5137" s="2" t="s">
        <v>13273</v>
      </c>
      <c r="J5137" s="3" t="str">
        <f>HYPERLINK("https://www.boe.es/gazeta/dias/1810/12/20/pdfs/GEI-1810-110.pdf#page=8","Abrir facsímil")</f>
        <v>Abrir facsímil</v>
      </c>
      <c r="K5137" s="3" t="s">
        <v>76</v>
      </c>
    </row>
    <row r="5138" spans="1:11" ht="42" customHeight="1">
      <c r="A5138" s="2" t="s">
        <v>13274</v>
      </c>
      <c r="B5138" s="2" t="s">
        <v>13275</v>
      </c>
      <c r="C5138" s="2" t="s">
        <v>26</v>
      </c>
      <c r="D5138" s="2" t="s">
        <v>27</v>
      </c>
      <c r="E5138" s="4">
        <v>-32526</v>
      </c>
      <c r="F5138" s="3" t="s">
        <v>530</v>
      </c>
      <c r="G5138" s="3" t="s">
        <v>636</v>
      </c>
      <c r="H5138" s="2" t="s">
        <v>74</v>
      </c>
      <c r="I5138" s="2" t="s">
        <v>13276</v>
      </c>
      <c r="J5138" s="3" t="str">
        <f>HYPERLINK("https://www.boe.es/gazeta/dias/1810/12/11/pdfs/GEI-1810-106.pdf#page=3","Abrir facsímil")</f>
        <v>Abrir facsímil</v>
      </c>
      <c r="K5138" s="3" t="s">
        <v>76</v>
      </c>
    </row>
    <row r="5139" spans="1:11" ht="42" customHeight="1">
      <c r="A5139" s="2" t="s">
        <v>13277</v>
      </c>
      <c r="B5139" s="2" t="s">
        <v>13278</v>
      </c>
      <c r="C5139" s="2" t="s">
        <v>26</v>
      </c>
      <c r="D5139" s="2" t="s">
        <v>39</v>
      </c>
      <c r="E5139" s="4">
        <v>-32684</v>
      </c>
      <c r="F5139" s="3" t="s">
        <v>295</v>
      </c>
      <c r="G5139" s="3" t="s">
        <v>296</v>
      </c>
      <c r="H5139" s="2" t="s">
        <v>74</v>
      </c>
      <c r="I5139" s="2" t="s">
        <v>13279</v>
      </c>
      <c r="J5139" s="3" t="str">
        <f>HYPERLINK("https://www.boe.es/gazeta/dias/1810/07/06/pdfs/GMD-C-1810-187.pdf#page=4","Abrir facsímil")</f>
        <v>Abrir facsímil</v>
      </c>
      <c r="K5139" s="3" t="s">
        <v>76</v>
      </c>
    </row>
    <row r="5140" spans="1:11" ht="42" customHeight="1">
      <c r="A5140" s="2" t="s">
        <v>13280</v>
      </c>
      <c r="B5140" s="2" t="s">
        <v>13281</v>
      </c>
      <c r="C5140" s="2" t="s">
        <v>26</v>
      </c>
      <c r="D5140" s="2" t="s">
        <v>39</v>
      </c>
      <c r="E5140" s="4">
        <v>-32661</v>
      </c>
      <c r="F5140" s="3" t="s">
        <v>157</v>
      </c>
      <c r="G5140" s="3" t="s">
        <v>592</v>
      </c>
      <c r="H5140" s="2" t="s">
        <v>74</v>
      </c>
      <c r="I5140" s="2" t="s">
        <v>13282</v>
      </c>
      <c r="J5140" s="3" t="str">
        <f>HYPERLINK("https://www.boe.es/gazeta/dias/1810/07/29/pdfs/GMD-C-1810-210.pdf#page=2","Abrir facsímil")</f>
        <v>Abrir facsímil</v>
      </c>
      <c r="K5140" s="3" t="s">
        <v>76</v>
      </c>
    </row>
    <row r="5141" spans="1:11" ht="42" customHeight="1">
      <c r="A5141" s="2" t="s">
        <v>13283</v>
      </c>
      <c r="B5141" s="2" t="s">
        <v>13284</v>
      </c>
      <c r="C5141" s="2" t="s">
        <v>317</v>
      </c>
      <c r="D5141" s="2" t="s">
        <v>39</v>
      </c>
      <c r="E5141" s="4">
        <v>-32684</v>
      </c>
      <c r="F5141" s="3" t="s">
        <v>295</v>
      </c>
      <c r="G5141" s="3" t="s">
        <v>4095</v>
      </c>
      <c r="H5141" s="2" t="s">
        <v>74</v>
      </c>
      <c r="I5141" s="2" t="s">
        <v>13285</v>
      </c>
      <c r="J5141" s="3" t="str">
        <f>HYPERLINK("https://www.boe.es/gazeta/dias/1810/07/06/pdfs/GMD-C-1810-187.pdf#page=3","Abrir facsímil")</f>
        <v>Abrir facsímil</v>
      </c>
      <c r="K5141" s="3" t="s">
        <v>76</v>
      </c>
    </row>
    <row r="5142" spans="1:11" ht="42" customHeight="1">
      <c r="A5142" s="2" t="s">
        <v>13286</v>
      </c>
      <c r="B5142" s="2" t="s">
        <v>13287</v>
      </c>
      <c r="C5142" s="2" t="s">
        <v>26</v>
      </c>
      <c r="D5142" s="2" t="s">
        <v>27</v>
      </c>
      <c r="E5142" s="4">
        <v>-32733</v>
      </c>
      <c r="F5142" s="3" t="s">
        <v>955</v>
      </c>
      <c r="G5142" s="3" t="s">
        <v>3434</v>
      </c>
      <c r="H5142" s="2" t="s">
        <v>74</v>
      </c>
      <c r="I5142" s="2" t="s">
        <v>13288</v>
      </c>
      <c r="J5142" s="3" t="str">
        <f>HYPERLINK("https://www.boe.es/gazeta/dias/1810/05/18/pdfs/GEI-1810-27.pdf#page=2","Abrir facsímil")</f>
        <v>Abrir facsímil</v>
      </c>
      <c r="K5142" s="3" t="s">
        <v>76</v>
      </c>
    </row>
    <row r="5143" spans="1:11" ht="42" customHeight="1">
      <c r="A5143" s="2" t="s">
        <v>13289</v>
      </c>
      <c r="B5143" s="2" t="s">
        <v>13290</v>
      </c>
      <c r="C5143" s="2" t="s">
        <v>26</v>
      </c>
      <c r="D5143" s="2" t="s">
        <v>27</v>
      </c>
      <c r="E5143" s="4">
        <v>-32645</v>
      </c>
      <c r="F5143" s="3" t="s">
        <v>122</v>
      </c>
      <c r="G5143" s="3" t="s">
        <v>119</v>
      </c>
      <c r="H5143" s="2" t="s">
        <v>74</v>
      </c>
      <c r="I5143" s="2" t="s">
        <v>13291</v>
      </c>
      <c r="J5143" s="3" t="str">
        <f>HYPERLINK("https://www.boe.es/gazeta/dias/1810/08/14/pdfs/GEI-1810-56.pdf#page=14","Abrir facsímil")</f>
        <v>Abrir facsímil</v>
      </c>
      <c r="K5143" s="3" t="s">
        <v>76</v>
      </c>
    </row>
    <row r="5144" spans="1:11" ht="42" customHeight="1">
      <c r="A5144" s="2" t="s">
        <v>13289</v>
      </c>
      <c r="B5144" s="2" t="s">
        <v>13290</v>
      </c>
      <c r="C5144" s="2" t="s">
        <v>26</v>
      </c>
      <c r="D5144" s="2" t="s">
        <v>27</v>
      </c>
      <c r="E5144" s="4">
        <v>-32515</v>
      </c>
      <c r="F5144" s="3" t="s">
        <v>351</v>
      </c>
      <c r="G5144" s="3" t="s">
        <v>352</v>
      </c>
      <c r="H5144" s="2" t="s">
        <v>74</v>
      </c>
      <c r="I5144" s="2" t="s">
        <v>13292</v>
      </c>
      <c r="J5144" s="3" t="str">
        <f>HYPERLINK("https://www.boe.es/gazeta/dias/1810/12/22/pdfs/GEI-1810-111.pdf#page=8","Abrir facsímil")</f>
        <v>Abrir facsímil</v>
      </c>
      <c r="K5144" s="3" t="s">
        <v>76</v>
      </c>
    </row>
    <row r="5145" spans="1:11" ht="42" customHeight="1">
      <c r="A5145" s="2" t="s">
        <v>13293</v>
      </c>
      <c r="B5145" s="2" t="s">
        <v>13294</v>
      </c>
      <c r="C5145" s="2" t="s">
        <v>26</v>
      </c>
      <c r="D5145" s="2" t="s">
        <v>27</v>
      </c>
      <c r="E5145" s="4">
        <v>-32526</v>
      </c>
      <c r="F5145" s="3" t="s">
        <v>530</v>
      </c>
      <c r="G5145" s="3" t="s">
        <v>636</v>
      </c>
      <c r="H5145" s="2" t="s">
        <v>74</v>
      </c>
      <c r="I5145" s="2" t="s">
        <v>13295</v>
      </c>
      <c r="J5145" s="3" t="str">
        <f>HYPERLINK("https://www.boe.es/gazeta/dias/1810/12/11/pdfs/GEI-1810-106.pdf#page=3","Abrir facsímil")</f>
        <v>Abrir facsímil</v>
      </c>
      <c r="K5145" s="3" t="s">
        <v>76</v>
      </c>
    </row>
    <row r="5146" spans="1:11" ht="42" customHeight="1">
      <c r="A5146" s="2" t="s">
        <v>13296</v>
      </c>
      <c r="B5146" s="2" t="s">
        <v>13297</v>
      </c>
      <c r="C5146" s="2" t="s">
        <v>88</v>
      </c>
      <c r="D5146" s="2" t="s">
        <v>117</v>
      </c>
      <c r="E5146" s="4">
        <v>-32776</v>
      </c>
      <c r="F5146" s="3" t="s">
        <v>752</v>
      </c>
      <c r="G5146" s="3" t="s">
        <v>213</v>
      </c>
      <c r="H5146" s="2" t="s">
        <v>74</v>
      </c>
      <c r="I5146" s="2" t="s">
        <v>13298</v>
      </c>
      <c r="J5146" s="3" t="str">
        <f>HYPERLINK("https://www.boe.es/gazeta/dias/1810/04/05/pdfs/GMD-1810-95.pdf#page=3","Abrir facsímil")</f>
        <v>Abrir facsímil</v>
      </c>
      <c r="K5146" s="3" t="s">
        <v>76</v>
      </c>
    </row>
    <row r="5147" spans="1:11" ht="42" customHeight="1">
      <c r="A5147" s="2" t="s">
        <v>13299</v>
      </c>
      <c r="B5147" s="2" t="s">
        <v>13300</v>
      </c>
      <c r="C5147" s="2" t="s">
        <v>26</v>
      </c>
      <c r="D5147" s="2" t="s">
        <v>39</v>
      </c>
      <c r="E5147" s="4">
        <v>-32701</v>
      </c>
      <c r="F5147" s="3" t="s">
        <v>40</v>
      </c>
      <c r="G5147" s="3" t="s">
        <v>333</v>
      </c>
      <c r="H5147" s="2" t="s">
        <v>74</v>
      </c>
      <c r="I5147" s="2" t="s">
        <v>13301</v>
      </c>
      <c r="J5147" s="3" t="str">
        <f>HYPERLINK("https://www.boe.es/gazeta/dias/1810/06/19/pdfs/GMD-C-1810-170.pdf#page=4","Abrir facsímil")</f>
        <v>Abrir facsímil</v>
      </c>
      <c r="K5147" s="3" t="s">
        <v>76</v>
      </c>
    </row>
    <row r="5148" spans="1:11" ht="42" customHeight="1">
      <c r="A5148" s="2" t="s">
        <v>13302</v>
      </c>
      <c r="B5148" s="2" t="s">
        <v>13303</v>
      </c>
      <c r="C5148" s="2" t="s">
        <v>26</v>
      </c>
      <c r="D5148" s="2" t="s">
        <v>27</v>
      </c>
      <c r="E5148" s="4">
        <v>-32595</v>
      </c>
      <c r="F5148" s="3" t="s">
        <v>700</v>
      </c>
      <c r="G5148" s="3" t="s">
        <v>29</v>
      </c>
      <c r="H5148" s="2" t="s">
        <v>74</v>
      </c>
      <c r="I5148" s="2" t="s">
        <v>13304</v>
      </c>
      <c r="J5148" s="3" t="str">
        <f>HYPERLINK("https://www.boe.es/gazeta/dias/1810/10/03/pdfs/GMD-1810-276.pdf#page=4","Abrir facsímil")</f>
        <v>Abrir facsímil</v>
      </c>
      <c r="K5148" s="3" t="s">
        <v>76</v>
      </c>
    </row>
    <row r="5149" spans="1:11" ht="42" customHeight="1">
      <c r="A5149" s="2" t="s">
        <v>13305</v>
      </c>
      <c r="B5149" s="2" t="s">
        <v>13306</v>
      </c>
      <c r="C5149" s="2" t="s">
        <v>26</v>
      </c>
      <c r="D5149" s="2" t="s">
        <v>39</v>
      </c>
      <c r="E5149" s="4">
        <v>-32661</v>
      </c>
      <c r="F5149" s="3" t="s">
        <v>157</v>
      </c>
      <c r="G5149" s="3" t="s">
        <v>592</v>
      </c>
      <c r="H5149" s="2" t="s">
        <v>74</v>
      </c>
      <c r="I5149" s="2" t="s">
        <v>13307</v>
      </c>
      <c r="J5149" s="3" t="str">
        <f>HYPERLINK("https://www.boe.es/gazeta/dias/1810/07/29/pdfs/GMD-C-1810-210.pdf#page=2","Abrir facsímil")</f>
        <v>Abrir facsímil</v>
      </c>
      <c r="K5149" s="3" t="s">
        <v>76</v>
      </c>
    </row>
    <row r="5150" spans="1:11" ht="42" customHeight="1">
      <c r="A5150" s="2" t="s">
        <v>13308</v>
      </c>
      <c r="B5150" s="2" t="s">
        <v>13309</v>
      </c>
      <c r="C5150" s="2" t="s">
        <v>26</v>
      </c>
      <c r="D5150" s="2" t="s">
        <v>39</v>
      </c>
      <c r="E5150" s="4">
        <v>-32684</v>
      </c>
      <c r="F5150" s="3" t="s">
        <v>295</v>
      </c>
      <c r="G5150" s="3" t="s">
        <v>296</v>
      </c>
      <c r="H5150" s="2" t="s">
        <v>74</v>
      </c>
      <c r="I5150" s="2" t="s">
        <v>13310</v>
      </c>
      <c r="J5150" s="3" t="str">
        <f>HYPERLINK("https://www.boe.es/gazeta/dias/1810/07/06/pdfs/GMD-C-1810-187.pdf#page=4","Abrir facsímil")</f>
        <v>Abrir facsímil</v>
      </c>
      <c r="K5150" s="3" t="s">
        <v>76</v>
      </c>
    </row>
    <row r="5151" spans="1:11" ht="42" customHeight="1">
      <c r="A5151" s="2" t="s">
        <v>13311</v>
      </c>
      <c r="B5151" s="2" t="s">
        <v>13312</v>
      </c>
      <c r="C5151" s="2" t="s">
        <v>26</v>
      </c>
      <c r="D5151" s="2" t="s">
        <v>27</v>
      </c>
      <c r="E5151" s="4">
        <v>-32839</v>
      </c>
      <c r="F5151" s="3" t="s">
        <v>28</v>
      </c>
      <c r="G5151" s="3" t="s">
        <v>29</v>
      </c>
      <c r="H5151" s="2" t="s">
        <v>74</v>
      </c>
      <c r="I5151" s="2" t="s">
        <v>13313</v>
      </c>
      <c r="J5151" s="3" t="str">
        <f>HYPERLINK("https://www.boe.es/gazeta/dias/1810/02/01/pdfs/GMD-1810-32.pdf#page=3","Abrir facsímil")</f>
        <v>Abrir facsímil</v>
      </c>
      <c r="K5151" s="3" t="s">
        <v>76</v>
      </c>
    </row>
    <row r="5152" spans="1:11" ht="42" customHeight="1">
      <c r="A5152" s="2" t="s">
        <v>13314</v>
      </c>
      <c r="B5152" s="2" t="s">
        <v>13315</v>
      </c>
      <c r="C5152" s="2" t="s">
        <v>111</v>
      </c>
      <c r="D5152" s="2" t="s">
        <v>27</v>
      </c>
      <c r="E5152" s="4">
        <v>-32837</v>
      </c>
      <c r="F5152" s="3" t="s">
        <v>196</v>
      </c>
      <c r="G5152" s="3" t="s">
        <v>140</v>
      </c>
      <c r="H5152" s="2" t="s">
        <v>74</v>
      </c>
      <c r="I5152" s="2" t="s">
        <v>13316</v>
      </c>
      <c r="J5152" s="3" t="str">
        <f>HYPERLINK("https://www.boe.es/gazeta/dias/1810/02/03/pdfs/GMD-1810-34.pdf#page=4","Abrir facsímil")</f>
        <v>Abrir facsímil</v>
      </c>
      <c r="K5152" s="3" t="s">
        <v>76</v>
      </c>
    </row>
    <row r="5153" spans="1:11" ht="42" customHeight="1">
      <c r="A5153" s="2" t="s">
        <v>13314</v>
      </c>
      <c r="B5153" s="2" t="s">
        <v>13315</v>
      </c>
      <c r="C5153" s="2" t="s">
        <v>88</v>
      </c>
      <c r="D5153" s="2" t="s">
        <v>27</v>
      </c>
      <c r="E5153" s="4">
        <v>-32710</v>
      </c>
      <c r="F5153" s="3" t="s">
        <v>126</v>
      </c>
      <c r="G5153" s="3" t="s">
        <v>35</v>
      </c>
      <c r="H5153" s="2" t="s">
        <v>74</v>
      </c>
      <c r="I5153" s="2" t="s">
        <v>13317</v>
      </c>
      <c r="J5153" s="3" t="str">
        <f>HYPERLINK("https://www.boe.es/gazeta/dias/1810/06/10/pdfs/GMD-1810-161.pdf#page=2","Abrir facsímil")</f>
        <v>Abrir facsímil</v>
      </c>
      <c r="K5153" s="3" t="s">
        <v>76</v>
      </c>
    </row>
    <row r="5154" spans="1:11" ht="42" customHeight="1">
      <c r="A5154" s="2" t="s">
        <v>13314</v>
      </c>
      <c r="B5154" s="2" t="s">
        <v>13315</v>
      </c>
      <c r="C5154" s="2" t="s">
        <v>26</v>
      </c>
      <c r="D5154" s="2" t="s">
        <v>27</v>
      </c>
      <c r="E5154" s="4">
        <v>-32618</v>
      </c>
      <c r="F5154" s="3" t="s">
        <v>1501</v>
      </c>
      <c r="G5154" s="3" t="s">
        <v>20</v>
      </c>
      <c r="H5154" s="2" t="s">
        <v>74</v>
      </c>
      <c r="I5154" s="2" t="s">
        <v>13318</v>
      </c>
      <c r="J5154" s="3" t="str">
        <f>HYPERLINK("https://www.boe.es/gazeta/dias/1810/09/10/pdfs/GMD-1810-253.pdf#page=4","Abrir facsímil")</f>
        <v>Abrir facsímil</v>
      </c>
      <c r="K5154" s="3" t="s">
        <v>76</v>
      </c>
    </row>
    <row r="5155" spans="1:11" ht="42" customHeight="1">
      <c r="A5155" s="2" t="s">
        <v>13319</v>
      </c>
      <c r="B5155" s="2" t="s">
        <v>13320</v>
      </c>
      <c r="C5155" s="2" t="s">
        <v>26</v>
      </c>
      <c r="D5155" s="2" t="s">
        <v>39</v>
      </c>
      <c r="E5155" s="4">
        <v>-32702</v>
      </c>
      <c r="F5155" s="3" t="s">
        <v>179</v>
      </c>
      <c r="G5155" s="3" t="s">
        <v>119</v>
      </c>
      <c r="H5155" s="2" t="s">
        <v>74</v>
      </c>
      <c r="I5155" s="2" t="s">
        <v>13321</v>
      </c>
      <c r="J5155" s="3" t="str">
        <f>HYPERLINK("https://www.boe.es/gazeta/dias/1810/06/18/pdfs/GMD-C-1810-169.pdf#page=1","Abrir facsímil")</f>
        <v>Abrir facsímil</v>
      </c>
      <c r="K5155" s="3" t="s">
        <v>76</v>
      </c>
    </row>
    <row r="5156" spans="1:11" ht="42" customHeight="1">
      <c r="A5156" s="2" t="s">
        <v>13322</v>
      </c>
      <c r="B5156" s="2" t="s">
        <v>13323</v>
      </c>
      <c r="C5156" s="2" t="s">
        <v>26</v>
      </c>
      <c r="D5156" s="2" t="s">
        <v>39</v>
      </c>
      <c r="E5156" s="4">
        <v>-32683</v>
      </c>
      <c r="F5156" s="3" t="s">
        <v>300</v>
      </c>
      <c r="G5156" s="3" t="s">
        <v>90</v>
      </c>
      <c r="H5156" s="2" t="s">
        <v>74</v>
      </c>
      <c r="I5156" s="2" t="s">
        <v>13324</v>
      </c>
      <c r="J5156" s="3" t="str">
        <f>HYPERLINK("https://www.boe.es/gazeta/dias/1810/07/07/pdfs/GMD-C-1810-188.pdf#page=1","Abrir facsímil")</f>
        <v>Abrir facsímil</v>
      </c>
      <c r="K5156" s="3" t="s">
        <v>76</v>
      </c>
    </row>
    <row r="5157" spans="1:11" ht="42" customHeight="1">
      <c r="A5157" s="2" t="s">
        <v>13325</v>
      </c>
      <c r="B5157" s="2" t="s">
        <v>13326</v>
      </c>
      <c r="C5157" s="2" t="s">
        <v>26</v>
      </c>
      <c r="D5157" s="2" t="s">
        <v>27</v>
      </c>
      <c r="E5157" s="4">
        <v>-32647</v>
      </c>
      <c r="F5157" s="3" t="s">
        <v>118</v>
      </c>
      <c r="G5157" s="3" t="s">
        <v>140</v>
      </c>
      <c r="H5157" s="2" t="s">
        <v>74</v>
      </c>
      <c r="I5157" s="2" t="s">
        <v>13327</v>
      </c>
      <c r="J5157" s="3" t="str">
        <f>HYPERLINK("https://www.boe.es/gazeta/dias/1810/08/12/pdfs/GMD-1810-224.pdf#page=2","Abrir facsímil")</f>
        <v>Abrir facsímil</v>
      </c>
      <c r="K5157" s="3" t="s">
        <v>76</v>
      </c>
    </row>
    <row r="5158" spans="1:11" ht="42" customHeight="1">
      <c r="A5158" s="2" t="s">
        <v>13328</v>
      </c>
      <c r="B5158" s="2" t="s">
        <v>13329</v>
      </c>
      <c r="C5158" s="2" t="s">
        <v>26</v>
      </c>
      <c r="D5158" s="2" t="s">
        <v>27</v>
      </c>
      <c r="E5158" s="4">
        <v>-32714</v>
      </c>
      <c r="F5158" s="3" t="s">
        <v>977</v>
      </c>
      <c r="G5158" s="3" t="s">
        <v>632</v>
      </c>
      <c r="H5158" s="2" t="s">
        <v>74</v>
      </c>
      <c r="I5158" s="2" t="s">
        <v>13330</v>
      </c>
      <c r="J5158" s="3" t="str">
        <f>HYPERLINK("https://www.boe.es/gazeta/dias/1810/06/06/pdfs/GMD-1810-157.pdf#page=4","Abrir facsímil")</f>
        <v>Abrir facsímil</v>
      </c>
      <c r="K5158" s="3" t="s">
        <v>76</v>
      </c>
    </row>
    <row r="5159" spans="1:11" ht="42" customHeight="1">
      <c r="A5159" s="2" t="s">
        <v>13331</v>
      </c>
      <c r="B5159" s="2" t="s">
        <v>13332</v>
      </c>
      <c r="C5159" s="2" t="s">
        <v>17</v>
      </c>
      <c r="D5159" s="2" t="s">
        <v>27</v>
      </c>
      <c r="E5159" s="4">
        <v>-32704</v>
      </c>
      <c r="F5159" s="3" t="s">
        <v>94</v>
      </c>
      <c r="G5159" s="3" t="s">
        <v>20</v>
      </c>
      <c r="H5159" s="2" t="s">
        <v>74</v>
      </c>
      <c r="I5159" s="2" t="s">
        <v>13333</v>
      </c>
      <c r="J5159" s="3" t="str">
        <f>HYPERLINK("https://www.boe.es/gazeta/dias/1810/06/16/pdfs/GMD-1810-167.pdf#page=4","Abrir facsímil")</f>
        <v>Abrir facsímil</v>
      </c>
      <c r="K5159" s="3" t="s">
        <v>76</v>
      </c>
    </row>
    <row r="5160" spans="1:11" ht="42" customHeight="1">
      <c r="A5160" s="2" t="s">
        <v>13334</v>
      </c>
      <c r="B5160" s="2" t="s">
        <v>13335</v>
      </c>
      <c r="C5160" s="2" t="s">
        <v>26</v>
      </c>
      <c r="D5160" s="2" t="s">
        <v>220</v>
      </c>
      <c r="E5160" s="4">
        <v>-32713</v>
      </c>
      <c r="F5160" s="3" t="s">
        <v>959</v>
      </c>
      <c r="G5160" s="3" t="s">
        <v>960</v>
      </c>
      <c r="H5160" s="2" t="s">
        <v>74</v>
      </c>
      <c r="I5160" s="2" t="s">
        <v>13336</v>
      </c>
      <c r="J5160" s="3" t="str">
        <f>HYPERLINK("https://www.boe.es/gazeta/dias/1810/06/07/pdfs/GMD-1810-158.pdf#page=4","Abrir facsímil")</f>
        <v>Abrir facsímil</v>
      </c>
      <c r="K5160" s="3" t="s">
        <v>76</v>
      </c>
    </row>
    <row r="5161" spans="1:11" ht="42" customHeight="1">
      <c r="A5161" s="2" t="s">
        <v>13337</v>
      </c>
      <c r="B5161" s="2" t="s">
        <v>13338</v>
      </c>
      <c r="C5161" s="2" t="s">
        <v>26</v>
      </c>
      <c r="D5161" s="2" t="s">
        <v>39</v>
      </c>
      <c r="E5161" s="4">
        <v>-32661</v>
      </c>
      <c r="F5161" s="3" t="s">
        <v>157</v>
      </c>
      <c r="G5161" s="3" t="s">
        <v>592</v>
      </c>
      <c r="H5161" s="2" t="s">
        <v>74</v>
      </c>
      <c r="I5161" s="2" t="s">
        <v>13339</v>
      </c>
      <c r="J5161" s="3" t="str">
        <f>HYPERLINK("https://www.boe.es/gazeta/dias/1810/07/29/pdfs/GMD-C-1810-210.pdf#page=2","Abrir facsímil")</f>
        <v>Abrir facsímil</v>
      </c>
      <c r="K5161" s="3" t="s">
        <v>76</v>
      </c>
    </row>
    <row r="5162" spans="1:11" ht="42" customHeight="1">
      <c r="A5162" s="2" t="s">
        <v>13340</v>
      </c>
      <c r="B5162" s="2" t="s">
        <v>13341</v>
      </c>
      <c r="C5162" s="2" t="s">
        <v>26</v>
      </c>
      <c r="D5162" s="2" t="s">
        <v>39</v>
      </c>
      <c r="E5162" s="4">
        <v>-32702</v>
      </c>
      <c r="F5162" s="3" t="s">
        <v>179</v>
      </c>
      <c r="G5162" s="3" t="s">
        <v>517</v>
      </c>
      <c r="H5162" s="2" t="s">
        <v>74</v>
      </c>
      <c r="I5162" s="2" t="s">
        <v>13342</v>
      </c>
      <c r="J5162" s="3" t="str">
        <f>HYPERLINK("https://www.boe.es/gazeta/dias/1810/06/18/pdfs/GMD-C-1810-169.pdf#page=3","Abrir facsímil")</f>
        <v>Abrir facsímil</v>
      </c>
      <c r="K5162" s="3" t="s">
        <v>76</v>
      </c>
    </row>
    <row r="5163" spans="1:11" ht="42" customHeight="1">
      <c r="A5163" s="2" t="s">
        <v>13343</v>
      </c>
      <c r="B5163" s="2" t="s">
        <v>13343</v>
      </c>
      <c r="C5163" s="2" t="s">
        <v>26</v>
      </c>
      <c r="D5163" s="2" t="s">
        <v>27</v>
      </c>
      <c r="E5163" s="4">
        <v>-32591</v>
      </c>
      <c r="F5163" s="3" t="s">
        <v>377</v>
      </c>
      <c r="G5163" s="3" t="s">
        <v>140</v>
      </c>
      <c r="H5163" s="2" t="s">
        <v>74</v>
      </c>
      <c r="I5163" s="2" t="s">
        <v>13344</v>
      </c>
      <c r="J5163" s="3" t="str">
        <f>HYPERLINK("https://www.boe.es/gazeta/dias/1810/10/07/pdfs/GMD-1810-280.pdf#page=4","Abrir facsímil")</f>
        <v>Abrir facsímil</v>
      </c>
      <c r="K5163" s="3" t="s">
        <v>76</v>
      </c>
    </row>
    <row r="5164" spans="1:11" ht="42" customHeight="1">
      <c r="A5164" s="2" t="s">
        <v>13343</v>
      </c>
      <c r="B5164" s="2" t="s">
        <v>13343</v>
      </c>
      <c r="C5164" s="2" t="s">
        <v>111</v>
      </c>
      <c r="D5164" s="2" t="s">
        <v>18</v>
      </c>
      <c r="E5164" s="4">
        <v>-32512</v>
      </c>
      <c r="F5164" s="3" t="s">
        <v>1920</v>
      </c>
      <c r="G5164" s="3" t="s">
        <v>90</v>
      </c>
      <c r="H5164" s="2" t="s">
        <v>74</v>
      </c>
      <c r="I5164" s="2" t="s">
        <v>13345</v>
      </c>
      <c r="J5164" s="3" t="str">
        <f>HYPERLINK("https://www.boe.es/gazeta/dias/1810/12/25/pdfs/GEI-1810-112.pdf#page=8","Abrir facsímil")</f>
        <v>Abrir facsímil</v>
      </c>
      <c r="K5164" s="3" t="s">
        <v>76</v>
      </c>
    </row>
    <row r="5165" spans="1:11" ht="42" customHeight="1">
      <c r="A5165" s="2" t="s">
        <v>13346</v>
      </c>
      <c r="B5165" s="2" t="s">
        <v>13347</v>
      </c>
      <c r="C5165" s="2" t="s">
        <v>225</v>
      </c>
      <c r="D5165" s="2" t="s">
        <v>27</v>
      </c>
      <c r="E5165" s="4">
        <v>-32645</v>
      </c>
      <c r="F5165" s="3" t="s">
        <v>122</v>
      </c>
      <c r="G5165" s="3" t="s">
        <v>588</v>
      </c>
      <c r="H5165" s="2" t="s">
        <v>74</v>
      </c>
      <c r="I5165" s="2" t="s">
        <v>13348</v>
      </c>
      <c r="J5165" s="3" t="str">
        <f>HYPERLINK("https://www.boe.es/gazeta/dias/1810/08/14/pdfs/GEI-1810-56.pdf#page=15","Abrir facsímil")</f>
        <v>Abrir facsímil</v>
      </c>
      <c r="K5165" s="3" t="s">
        <v>76</v>
      </c>
    </row>
    <row r="5166" spans="1:11" ht="42" customHeight="1">
      <c r="A5166" s="2" t="s">
        <v>13349</v>
      </c>
      <c r="B5166" s="2" t="s">
        <v>13349</v>
      </c>
      <c r="C5166" s="2" t="s">
        <v>26</v>
      </c>
      <c r="D5166" s="2" t="s">
        <v>27</v>
      </c>
      <c r="E5166" s="4">
        <v>-32839</v>
      </c>
      <c r="F5166" s="3" t="s">
        <v>28</v>
      </c>
      <c r="G5166" s="3" t="s">
        <v>29</v>
      </c>
      <c r="H5166" s="2" t="s">
        <v>74</v>
      </c>
      <c r="I5166" s="2" t="s">
        <v>13350</v>
      </c>
      <c r="J5166" s="3" t="str">
        <f>HYPERLINK("https://www.boe.es/gazeta/dias/1810/02/01/pdfs/GMD-1810-32.pdf#page=3","Abrir facsímil")</f>
        <v>Abrir facsímil</v>
      </c>
      <c r="K5166" s="3" t="s">
        <v>76</v>
      </c>
    </row>
    <row r="5167" spans="1:11" ht="42" customHeight="1">
      <c r="A5167" s="2" t="s">
        <v>13349</v>
      </c>
      <c r="B5167" s="2" t="s">
        <v>13349</v>
      </c>
      <c r="C5167" s="2" t="s">
        <v>17</v>
      </c>
      <c r="D5167" s="2" t="s">
        <v>27</v>
      </c>
      <c r="E5167" s="4">
        <v>-32566</v>
      </c>
      <c r="F5167" s="3" t="s">
        <v>405</v>
      </c>
      <c r="G5167" s="3" t="s">
        <v>99</v>
      </c>
      <c r="H5167" s="2" t="s">
        <v>74</v>
      </c>
      <c r="I5167" s="2" t="s">
        <v>13351</v>
      </c>
      <c r="J5167" s="3" t="str">
        <f>HYPERLINK("https://www.boe.es/gazeta/dias/1810/11/01/pdfs/GMD-1810-305.pdf#page=3","Abrir facsímil")</f>
        <v>Abrir facsímil</v>
      </c>
      <c r="K5167" s="3" t="s">
        <v>76</v>
      </c>
    </row>
    <row r="5168" spans="1:11" ht="42" customHeight="1">
      <c r="A5168" s="2" t="s">
        <v>13349</v>
      </c>
      <c r="B5168" s="2" t="s">
        <v>13349</v>
      </c>
      <c r="C5168" s="2" t="s">
        <v>88</v>
      </c>
      <c r="D5168" s="2" t="s">
        <v>27</v>
      </c>
      <c r="E5168" s="4">
        <v>-32565</v>
      </c>
      <c r="F5168" s="3" t="s">
        <v>743</v>
      </c>
      <c r="G5168" s="3" t="s">
        <v>458</v>
      </c>
      <c r="H5168" s="2" t="s">
        <v>74</v>
      </c>
      <c r="I5168" s="2" t="s">
        <v>13352</v>
      </c>
      <c r="J5168" s="3" t="str">
        <f>HYPERLINK("https://www.boe.es/gazeta/dias/1810/11/02/pdfs/GMD-1810-306.pdf#page=2","Abrir facsímil")</f>
        <v>Abrir facsímil</v>
      </c>
      <c r="K5168" s="3" t="s">
        <v>76</v>
      </c>
    </row>
    <row r="5169" spans="1:11" ht="42" customHeight="1">
      <c r="A5169" s="2" t="s">
        <v>13353</v>
      </c>
      <c r="B5169" s="2" t="s">
        <v>13354</v>
      </c>
      <c r="C5169" s="2" t="s">
        <v>26</v>
      </c>
      <c r="D5169" s="2" t="s">
        <v>18</v>
      </c>
      <c r="E5169" s="4">
        <v>-32563</v>
      </c>
      <c r="F5169" s="3" t="s">
        <v>535</v>
      </c>
      <c r="G5169" s="3" t="s">
        <v>210</v>
      </c>
      <c r="H5169" s="2" t="s">
        <v>74</v>
      </c>
      <c r="I5169" s="2" t="s">
        <v>13355</v>
      </c>
      <c r="J5169" s="3" t="str">
        <f>HYPERLINK("https://www.boe.es/gazeta/dias/1810/11/04/pdfs/GMD-1810-308.pdf#page=18","Abrir facsímil")</f>
        <v>Abrir facsímil</v>
      </c>
      <c r="K5169" s="3" t="s">
        <v>76</v>
      </c>
    </row>
    <row r="5170" spans="1:11" ht="42" customHeight="1">
      <c r="A5170" s="2" t="s">
        <v>13356</v>
      </c>
      <c r="B5170" s="2" t="s">
        <v>13356</v>
      </c>
      <c r="C5170" s="2" t="s">
        <v>88</v>
      </c>
      <c r="D5170" s="2" t="s">
        <v>27</v>
      </c>
      <c r="E5170" s="4">
        <v>-32592</v>
      </c>
      <c r="F5170" s="3" t="s">
        <v>771</v>
      </c>
      <c r="G5170" s="3" t="s">
        <v>1464</v>
      </c>
      <c r="H5170" s="2" t="s">
        <v>74</v>
      </c>
      <c r="I5170" s="2" t="s">
        <v>13357</v>
      </c>
      <c r="J5170" s="3" t="str">
        <f>HYPERLINK("https://www.boe.es/gazeta/dias/1810/10/06/pdfs/GEI-1810-78.pdf#page=3","Abrir facsímil")</f>
        <v>Abrir facsímil</v>
      </c>
      <c r="K5170" s="3" t="s">
        <v>76</v>
      </c>
    </row>
    <row r="5171" spans="1:11" ht="42" customHeight="1">
      <c r="A5171" s="2" t="s">
        <v>13356</v>
      </c>
      <c r="B5171" s="2" t="s">
        <v>13356</v>
      </c>
      <c r="C5171" s="2" t="s">
        <v>88</v>
      </c>
      <c r="D5171" s="2" t="s">
        <v>117</v>
      </c>
      <c r="E5171" s="4">
        <v>-32572</v>
      </c>
      <c r="F5171" s="3" t="s">
        <v>2967</v>
      </c>
      <c r="G5171" s="3" t="s">
        <v>2968</v>
      </c>
      <c r="H5171" s="2" t="s">
        <v>74</v>
      </c>
      <c r="I5171" s="2" t="s">
        <v>13358</v>
      </c>
      <c r="J5171" s="3" t="str">
        <f>HYPERLINK("https://www.boe.es/gazeta/dias/1810/10/26/pdfs/GMD-1810-299.pdf#page=4","Abrir facsímil")</f>
        <v>Abrir facsímil</v>
      </c>
      <c r="K5171" s="3" t="s">
        <v>76</v>
      </c>
    </row>
    <row r="5172" spans="1:11" ht="42" customHeight="1">
      <c r="A5172" s="2" t="s">
        <v>13356</v>
      </c>
      <c r="B5172" s="2" t="s">
        <v>13356</v>
      </c>
      <c r="C5172" s="2" t="s">
        <v>88</v>
      </c>
      <c r="D5172" s="2" t="s">
        <v>27</v>
      </c>
      <c r="E5172" s="4">
        <v>-32529</v>
      </c>
      <c r="F5172" s="3" t="s">
        <v>3700</v>
      </c>
      <c r="G5172" s="3" t="s">
        <v>213</v>
      </c>
      <c r="H5172" s="2" t="s">
        <v>74</v>
      </c>
      <c r="I5172" s="2" t="s">
        <v>13359</v>
      </c>
      <c r="J5172" s="3" t="str">
        <f>HYPERLINK("https://www.boe.es/gazeta/dias/1810/12/08/pdfs/GMD-1810-342.pdf#page=4","Abrir facsímil")</f>
        <v>Abrir facsímil</v>
      </c>
      <c r="K5172" s="3" t="s">
        <v>76</v>
      </c>
    </row>
    <row r="5173" spans="1:11" ht="42" customHeight="1">
      <c r="A5173" s="2" t="s">
        <v>13360</v>
      </c>
      <c r="B5173" s="2" t="s">
        <v>13361</v>
      </c>
      <c r="C5173" s="2" t="s">
        <v>88</v>
      </c>
      <c r="D5173" s="2" t="s">
        <v>27</v>
      </c>
      <c r="E5173" s="4">
        <v>-32754</v>
      </c>
      <c r="F5173" s="3" t="s">
        <v>1057</v>
      </c>
      <c r="G5173" s="3" t="s">
        <v>1058</v>
      </c>
      <c r="H5173" s="2" t="s">
        <v>74</v>
      </c>
      <c r="I5173" s="2" t="s">
        <v>13362</v>
      </c>
      <c r="J5173" s="3" t="str">
        <f>HYPERLINK("https://www.boe.es/gazeta/dias/1810/04/27/pdfs/GEI-1810-18.pdf#page=12","Abrir facsímil")</f>
        <v>Abrir facsímil</v>
      </c>
      <c r="K5173" s="3" t="s">
        <v>76</v>
      </c>
    </row>
    <row r="5174" spans="1:11" ht="42" customHeight="1">
      <c r="A5174" s="2" t="s">
        <v>13363</v>
      </c>
      <c r="B5174" s="2" t="s">
        <v>13364</v>
      </c>
      <c r="C5174" s="2" t="s">
        <v>33</v>
      </c>
      <c r="D5174" s="2" t="s">
        <v>27</v>
      </c>
      <c r="E5174" s="4">
        <v>-32545</v>
      </c>
      <c r="F5174" s="3" t="s">
        <v>165</v>
      </c>
      <c r="G5174" s="3" t="s">
        <v>166</v>
      </c>
      <c r="H5174" s="2" t="s">
        <v>74</v>
      </c>
      <c r="I5174" s="2" t="s">
        <v>13365</v>
      </c>
      <c r="J5174" s="3" t="str">
        <f>HYPERLINK("https://www.boe.es/gazeta/dias/1810/11/22/pdfs/GEI-1810-98.pdf#page=8","Abrir facsímil")</f>
        <v>Abrir facsímil</v>
      </c>
      <c r="K5174" s="3" t="s">
        <v>76</v>
      </c>
    </row>
    <row r="5175" spans="1:11" ht="42" customHeight="1">
      <c r="A5175" s="2" t="s">
        <v>13366</v>
      </c>
      <c r="B5175" s="2" t="s">
        <v>13367</v>
      </c>
      <c r="C5175" s="2" t="s">
        <v>26</v>
      </c>
      <c r="D5175" s="2" t="s">
        <v>27</v>
      </c>
      <c r="E5175" s="4">
        <v>-32782</v>
      </c>
      <c r="F5175" s="3" t="s">
        <v>79</v>
      </c>
      <c r="G5175" s="3" t="s">
        <v>80</v>
      </c>
      <c r="H5175" s="2" t="s">
        <v>74</v>
      </c>
      <c r="I5175" s="2" t="s">
        <v>13368</v>
      </c>
      <c r="J5175" s="3" t="str">
        <f>HYPERLINK("https://www.boe.es/gazeta/dias/1810/03/30/pdfs/GEI-1810-9.pdf#page=7","Abrir facsímil")</f>
        <v>Abrir facsímil</v>
      </c>
      <c r="K5175" s="3" t="s">
        <v>76</v>
      </c>
    </row>
    <row r="5176" spans="1:11" ht="42" customHeight="1">
      <c r="A5176" s="2" t="s">
        <v>13369</v>
      </c>
      <c r="B5176" s="2" t="s">
        <v>13370</v>
      </c>
      <c r="C5176" s="2" t="s">
        <v>111</v>
      </c>
      <c r="D5176" s="2" t="s">
        <v>27</v>
      </c>
      <c r="E5176" s="4">
        <v>-32652</v>
      </c>
      <c r="F5176" s="3" t="s">
        <v>731</v>
      </c>
      <c r="G5176" s="3" t="s">
        <v>732</v>
      </c>
      <c r="H5176" s="2" t="s">
        <v>74</v>
      </c>
      <c r="I5176" s="2" t="s">
        <v>13371</v>
      </c>
      <c r="J5176" s="3" t="str">
        <f>HYPERLINK("https://www.boe.es/gazeta/dias/1810/08/07/pdfs/GMD-1810-219.pdf#page=2","Abrir facsímil")</f>
        <v>Abrir facsímil</v>
      </c>
      <c r="K5176" s="3" t="s">
        <v>76</v>
      </c>
    </row>
    <row r="5177" spans="1:11" ht="42" customHeight="1">
      <c r="A5177" s="2" t="s">
        <v>13372</v>
      </c>
      <c r="B5177" s="2" t="s">
        <v>13373</v>
      </c>
      <c r="C5177" s="2" t="s">
        <v>26</v>
      </c>
      <c r="D5177" s="2" t="s">
        <v>39</v>
      </c>
      <c r="E5177" s="4">
        <v>-32669</v>
      </c>
      <c r="F5177" s="3" t="s">
        <v>1110</v>
      </c>
      <c r="G5177" s="3" t="s">
        <v>473</v>
      </c>
      <c r="H5177" s="2" t="s">
        <v>74</v>
      </c>
      <c r="I5177" s="2" t="s">
        <v>13374</v>
      </c>
      <c r="J5177" s="3" t="str">
        <f>HYPERLINK("https://www.boe.es/gazeta/dias/1810/07/21/pdfs/GMD-C-1810-202.pdf#page=3","Abrir facsímil")</f>
        <v>Abrir facsímil</v>
      </c>
      <c r="K5177" s="3" t="s">
        <v>76</v>
      </c>
    </row>
    <row r="5178" spans="1:11" ht="42" customHeight="1">
      <c r="A5178" s="2" t="s">
        <v>13375</v>
      </c>
      <c r="B5178" s="2" t="s">
        <v>13376</v>
      </c>
      <c r="C5178" s="2" t="s">
        <v>26</v>
      </c>
      <c r="D5178" s="2" t="s">
        <v>39</v>
      </c>
      <c r="E5178" s="4">
        <v>-32661</v>
      </c>
      <c r="F5178" s="3" t="s">
        <v>157</v>
      </c>
      <c r="G5178" s="3" t="s">
        <v>158</v>
      </c>
      <c r="H5178" s="2" t="s">
        <v>74</v>
      </c>
      <c r="I5178" s="2" t="s">
        <v>13377</v>
      </c>
      <c r="J5178" s="3" t="str">
        <f>HYPERLINK("https://www.boe.es/gazeta/dias/1810/07/29/pdfs/GMD-C-1810-210.pdf#page=1","Abrir facsímil")</f>
        <v>Abrir facsímil</v>
      </c>
      <c r="K5178" s="3" t="s">
        <v>76</v>
      </c>
    </row>
    <row r="5179" spans="1:11" ht="42" customHeight="1">
      <c r="A5179" s="2" t="s">
        <v>13378</v>
      </c>
      <c r="B5179" s="2" t="s">
        <v>13379</v>
      </c>
      <c r="C5179" s="2" t="s">
        <v>26</v>
      </c>
      <c r="D5179" s="2" t="s">
        <v>39</v>
      </c>
      <c r="E5179" s="4">
        <v>-32702</v>
      </c>
      <c r="F5179" s="3" t="s">
        <v>179</v>
      </c>
      <c r="G5179" s="3" t="s">
        <v>213</v>
      </c>
      <c r="H5179" s="2" t="s">
        <v>21</v>
      </c>
      <c r="I5179" s="2" t="s">
        <v>13380</v>
      </c>
      <c r="J5179" s="3" t="str">
        <f>HYPERLINK("https://www.boe.es/gazeta/dias/1810/06/18/pdfs/GMD-C-1810-169.pdf#page=4","Abrir facsímil")</f>
        <v>Abrir facsímil</v>
      </c>
      <c r="K5179" s="3" t="s">
        <v>23</v>
      </c>
    </row>
    <row r="5180" spans="1:11" ht="42" customHeight="1">
      <c r="A5180" s="2" t="s">
        <v>13381</v>
      </c>
      <c r="B5180" s="2" t="s">
        <v>13382</v>
      </c>
      <c r="C5180" s="2" t="s">
        <v>26</v>
      </c>
      <c r="D5180" s="2" t="s">
        <v>27</v>
      </c>
      <c r="E5180" s="4">
        <v>-32688</v>
      </c>
      <c r="F5180" s="3" t="s">
        <v>997</v>
      </c>
      <c r="G5180" s="3" t="s">
        <v>749</v>
      </c>
      <c r="H5180" s="2" t="s">
        <v>74</v>
      </c>
      <c r="I5180" s="2" t="s">
        <v>13383</v>
      </c>
      <c r="J5180" s="3" t="str">
        <f>HYPERLINK("https://www.boe.es/gazeta/dias/1810/07/02/pdfs/GMD-1810-183.pdf#page=4","Abrir facsímil")</f>
        <v>Abrir facsímil</v>
      </c>
      <c r="K5180" s="3" t="s">
        <v>76</v>
      </c>
    </row>
    <row r="5181" spans="1:11" ht="42" customHeight="1">
      <c r="A5181" s="2" t="s">
        <v>13384</v>
      </c>
      <c r="B5181" s="2" t="s">
        <v>13385</v>
      </c>
      <c r="C5181" s="2" t="s">
        <v>33</v>
      </c>
      <c r="D5181" s="2" t="s">
        <v>27</v>
      </c>
      <c r="E5181" s="4">
        <v>-32812</v>
      </c>
      <c r="F5181" s="3" t="s">
        <v>627</v>
      </c>
      <c r="G5181" s="3" t="s">
        <v>20</v>
      </c>
      <c r="H5181" s="2" t="s">
        <v>21</v>
      </c>
      <c r="I5181" s="2" t="s">
        <v>13386</v>
      </c>
      <c r="J5181" s="3" t="str">
        <f>HYPERLINK("https://www.boe.es/gazeta/dias/1810/02/28/pdfs/GMD-1810-59.pdf#page=4","Abrir facsímil")</f>
        <v>Abrir facsímil</v>
      </c>
      <c r="K5181" s="3" t="s">
        <v>23</v>
      </c>
    </row>
    <row r="5182" spans="1:11" ht="42" customHeight="1">
      <c r="A5182" s="2" t="s">
        <v>13387</v>
      </c>
      <c r="B5182" s="2" t="s">
        <v>13388</v>
      </c>
      <c r="C5182" s="2" t="s">
        <v>26</v>
      </c>
      <c r="D5182" s="2" t="s">
        <v>18</v>
      </c>
      <c r="E5182" s="4">
        <v>-32601</v>
      </c>
      <c r="F5182" s="3" t="s">
        <v>392</v>
      </c>
      <c r="G5182" s="3" t="s">
        <v>35</v>
      </c>
      <c r="H5182" s="2" t="s">
        <v>74</v>
      </c>
      <c r="I5182" s="2" t="s">
        <v>13389</v>
      </c>
      <c r="J5182" s="3" t="str">
        <f>HYPERLINK("https://www.boe.es/gazeta/dias/1810/09/27/pdfs/GEI-1810-74E.pdf#page=2","Abrir facsímil")</f>
        <v>Abrir facsímil</v>
      </c>
      <c r="K5182" s="3" t="s">
        <v>76</v>
      </c>
    </row>
    <row r="5183" spans="1:11" ht="42" customHeight="1">
      <c r="A5183" s="2" t="s">
        <v>13390</v>
      </c>
      <c r="B5183" s="2" t="s">
        <v>13391</v>
      </c>
      <c r="C5183" s="2" t="s">
        <v>26</v>
      </c>
      <c r="D5183" s="2" t="s">
        <v>18</v>
      </c>
      <c r="E5183" s="4">
        <v>-32820</v>
      </c>
      <c r="F5183" s="3" t="s">
        <v>226</v>
      </c>
      <c r="G5183" s="3" t="s">
        <v>356</v>
      </c>
      <c r="H5183" s="2" t="s">
        <v>74</v>
      </c>
      <c r="I5183" s="2" t="s">
        <v>13392</v>
      </c>
      <c r="J5183" s="3" t="str">
        <f>HYPERLINK("https://www.boe.es/gazeta/dias/1810/02/20/pdfs/GMD-1810-51.pdf#page=3","Abrir facsímil")</f>
        <v>Abrir facsímil</v>
      </c>
      <c r="K5183" s="3" t="s">
        <v>76</v>
      </c>
    </row>
    <row r="5184" spans="1:11" ht="42" customHeight="1">
      <c r="A5184" s="2" t="s">
        <v>13393</v>
      </c>
      <c r="B5184" s="2" t="s">
        <v>13393</v>
      </c>
      <c r="C5184" s="2" t="s">
        <v>88</v>
      </c>
      <c r="D5184" s="2" t="s">
        <v>117</v>
      </c>
      <c r="E5184" s="4">
        <v>-32508</v>
      </c>
      <c r="F5184" s="3" t="s">
        <v>864</v>
      </c>
      <c r="G5184" s="3" t="s">
        <v>20</v>
      </c>
      <c r="H5184" s="2" t="s">
        <v>74</v>
      </c>
      <c r="I5184" s="2" t="s">
        <v>13394</v>
      </c>
      <c r="J5184" s="3" t="str">
        <f>HYPERLINK("https://www.boe.es/gazeta/dias/1810/12/29/pdfs/GEI-1810-114.pdf#page=4","Abrir facsímil")</f>
        <v>Abrir facsímil</v>
      </c>
      <c r="K5184" s="3" t="s">
        <v>76</v>
      </c>
    </row>
    <row r="5185" spans="1:11" ht="42" customHeight="1">
      <c r="A5185" s="2" t="s">
        <v>13395</v>
      </c>
      <c r="B5185" s="2" t="s">
        <v>13396</v>
      </c>
      <c r="C5185" s="2" t="s">
        <v>195</v>
      </c>
      <c r="D5185" s="2" t="s">
        <v>27</v>
      </c>
      <c r="E5185" s="4">
        <v>-32545</v>
      </c>
      <c r="F5185" s="3" t="s">
        <v>165</v>
      </c>
      <c r="G5185" s="3" t="s">
        <v>166</v>
      </c>
      <c r="H5185" s="2" t="s">
        <v>74</v>
      </c>
      <c r="I5185" s="2" t="s">
        <v>13397</v>
      </c>
      <c r="J5185" s="3" t="str">
        <f>HYPERLINK("https://www.boe.es/gazeta/dias/1810/11/22/pdfs/GEI-1810-98.pdf#page=8","Abrir facsímil")</f>
        <v>Abrir facsímil</v>
      </c>
      <c r="K5185" s="3" t="s">
        <v>76</v>
      </c>
    </row>
    <row r="5186" spans="1:11" ht="42" customHeight="1">
      <c r="A5186" s="2" t="s">
        <v>13398</v>
      </c>
      <c r="B5186" s="2" t="s">
        <v>13398</v>
      </c>
      <c r="C5186" s="2" t="s">
        <v>88</v>
      </c>
      <c r="D5186" s="2" t="s">
        <v>27</v>
      </c>
      <c r="E5186" s="4">
        <v>-32684</v>
      </c>
      <c r="F5186" s="3" t="s">
        <v>1373</v>
      </c>
      <c r="G5186" s="3" t="s">
        <v>3538</v>
      </c>
      <c r="H5186" s="2" t="s">
        <v>74</v>
      </c>
      <c r="I5186" s="2" t="s">
        <v>13399</v>
      </c>
      <c r="J5186" s="3" t="str">
        <f>HYPERLINK("https://www.boe.es/gazeta/dias/1810/07/06/pdfs/GEI-1810-42.pdf#page=2","Abrir facsímil")</f>
        <v>Abrir facsímil</v>
      </c>
      <c r="K5186" s="3" t="s">
        <v>76</v>
      </c>
    </row>
    <row r="5187" spans="1:11" ht="42" customHeight="1">
      <c r="A5187" s="2" t="s">
        <v>13398</v>
      </c>
      <c r="B5187" s="2" t="s">
        <v>13398</v>
      </c>
      <c r="C5187" s="2" t="s">
        <v>88</v>
      </c>
      <c r="D5187" s="2" t="s">
        <v>27</v>
      </c>
      <c r="E5187" s="4">
        <v>-32559</v>
      </c>
      <c r="F5187" s="3" t="s">
        <v>3062</v>
      </c>
      <c r="G5187" s="3" t="s">
        <v>70</v>
      </c>
      <c r="H5187" s="2" t="s">
        <v>74</v>
      </c>
      <c r="I5187" s="2" t="s">
        <v>13400</v>
      </c>
      <c r="J5187" s="3" t="str">
        <f>HYPERLINK("https://www.boe.es/gazeta/dias/1810/11/08/pdfs/GEI-1810-92.pdf#page=6","Abrir facsímil")</f>
        <v>Abrir facsímil</v>
      </c>
      <c r="K5187" s="3" t="s">
        <v>76</v>
      </c>
    </row>
    <row r="5188" spans="1:11" ht="42" customHeight="1">
      <c r="A5188" s="2" t="s">
        <v>13398</v>
      </c>
      <c r="B5188" s="2" t="s">
        <v>13398</v>
      </c>
      <c r="C5188" s="2" t="s">
        <v>88</v>
      </c>
      <c r="D5188" s="2" t="s">
        <v>27</v>
      </c>
      <c r="E5188" s="4">
        <v>-32517</v>
      </c>
      <c r="F5188" s="3" t="s">
        <v>566</v>
      </c>
      <c r="G5188" s="3" t="s">
        <v>818</v>
      </c>
      <c r="H5188" s="2" t="s">
        <v>74</v>
      </c>
      <c r="I5188" s="2" t="s">
        <v>13401</v>
      </c>
      <c r="J5188" s="3" t="str">
        <f>HYPERLINK("https://www.boe.es/gazeta/dias/1810/12/20/pdfs/GEI-1810-110.pdf#page=5","Abrir facsímil")</f>
        <v>Abrir facsímil</v>
      </c>
      <c r="K5188" s="3" t="s">
        <v>76</v>
      </c>
    </row>
    <row r="5189" spans="1:11" ht="42" customHeight="1">
      <c r="A5189" s="2" t="s">
        <v>13398</v>
      </c>
      <c r="B5189" s="2" t="s">
        <v>13398</v>
      </c>
      <c r="C5189" s="2" t="s">
        <v>88</v>
      </c>
      <c r="D5189" s="2" t="s">
        <v>27</v>
      </c>
      <c r="E5189" s="4">
        <v>-32508</v>
      </c>
      <c r="F5189" s="3" t="s">
        <v>864</v>
      </c>
      <c r="G5189" s="3" t="s">
        <v>20</v>
      </c>
      <c r="H5189" s="2" t="s">
        <v>74</v>
      </c>
      <c r="I5189" s="2" t="s">
        <v>13402</v>
      </c>
      <c r="J5189" s="3" t="str">
        <f>HYPERLINK("https://www.boe.es/gazeta/dias/1810/12/29/pdfs/GEI-1810-114.pdf#page=4","Abrir facsímil")</f>
        <v>Abrir facsímil</v>
      </c>
      <c r="K5189" s="3" t="s">
        <v>76</v>
      </c>
    </row>
    <row r="5190" spans="1:11" ht="42" customHeight="1">
      <c r="A5190" s="2" t="s">
        <v>13403</v>
      </c>
      <c r="B5190" s="2" t="s">
        <v>13404</v>
      </c>
      <c r="C5190" s="2" t="s">
        <v>26</v>
      </c>
      <c r="D5190" s="2" t="s">
        <v>27</v>
      </c>
      <c r="E5190" s="4">
        <v>-32687</v>
      </c>
      <c r="F5190" s="3" t="s">
        <v>263</v>
      </c>
      <c r="G5190" s="3" t="s">
        <v>90</v>
      </c>
      <c r="H5190" s="2" t="s">
        <v>74</v>
      </c>
      <c r="I5190" s="2" t="s">
        <v>13405</v>
      </c>
      <c r="J5190" s="3" t="str">
        <f>HYPERLINK("https://www.boe.es/gazeta/dias/1810/07/03/pdfs/GEI-1810-41.pdf#page=5","Abrir facsímil")</f>
        <v>Abrir facsímil</v>
      </c>
      <c r="K5190" s="3" t="s">
        <v>76</v>
      </c>
    </row>
    <row r="5191" spans="1:11" ht="42" customHeight="1">
      <c r="A5191" s="2" t="s">
        <v>13406</v>
      </c>
      <c r="B5191" s="2" t="s">
        <v>13407</v>
      </c>
      <c r="C5191" s="2" t="s">
        <v>111</v>
      </c>
      <c r="D5191" s="2" t="s">
        <v>18</v>
      </c>
      <c r="E5191" s="4">
        <v>-32603</v>
      </c>
      <c r="F5191" s="3" t="s">
        <v>2163</v>
      </c>
      <c r="G5191" s="3" t="s">
        <v>29</v>
      </c>
      <c r="H5191" s="2" t="s">
        <v>74</v>
      </c>
      <c r="I5191" s="2" t="s">
        <v>13408</v>
      </c>
      <c r="J5191" s="3" t="str">
        <f>HYPERLINK("https://www.boe.es/gazeta/dias/1810/09/25/pdfs/GEI-1810-72.pdf#page=8","Abrir facsímil")</f>
        <v>Abrir facsímil</v>
      </c>
      <c r="K5191" s="3" t="s">
        <v>76</v>
      </c>
    </row>
    <row r="5192" spans="1:11" ht="42" customHeight="1">
      <c r="A5192" s="2" t="s">
        <v>13409</v>
      </c>
      <c r="B5192" s="2" t="s">
        <v>13410</v>
      </c>
      <c r="C5192" s="2" t="s">
        <v>26</v>
      </c>
      <c r="D5192" s="2" t="s">
        <v>39</v>
      </c>
      <c r="E5192" s="4">
        <v>-32701</v>
      </c>
      <c r="F5192" s="3" t="s">
        <v>40</v>
      </c>
      <c r="G5192" s="3" t="s">
        <v>333</v>
      </c>
      <c r="H5192" s="2" t="s">
        <v>74</v>
      </c>
      <c r="I5192" s="2" t="s">
        <v>13411</v>
      </c>
      <c r="J5192" s="3" t="str">
        <f>HYPERLINK("https://www.boe.es/gazeta/dias/1810/06/19/pdfs/GMD-C-1810-170.pdf#page=4","Abrir facsímil")</f>
        <v>Abrir facsímil</v>
      </c>
      <c r="K5192" s="3" t="s">
        <v>76</v>
      </c>
    </row>
    <row r="5193" spans="1:11" ht="42" customHeight="1">
      <c r="A5193" s="2" t="s">
        <v>13412</v>
      </c>
      <c r="B5193" s="2" t="s">
        <v>13413</v>
      </c>
      <c r="C5193" s="2" t="s">
        <v>26</v>
      </c>
      <c r="D5193" s="2" t="s">
        <v>39</v>
      </c>
      <c r="E5193" s="4">
        <v>-32684</v>
      </c>
      <c r="F5193" s="3" t="s">
        <v>372</v>
      </c>
      <c r="G5193" s="3" t="s">
        <v>373</v>
      </c>
      <c r="H5193" s="2" t="s">
        <v>74</v>
      </c>
      <c r="I5193" s="2" t="s">
        <v>13414</v>
      </c>
      <c r="J5193" s="3" t="str">
        <f>HYPERLINK("https://www.boe.es/gazeta/dias/1810/07/06/pdfs/GEI-D-1810-42.pdf#page=8","Abrir facsímil")</f>
        <v>Abrir facsímil</v>
      </c>
      <c r="K5193" s="3" t="s">
        <v>76</v>
      </c>
    </row>
    <row r="5194" spans="1:11" ht="42" customHeight="1">
      <c r="A5194" s="2" t="s">
        <v>13415</v>
      </c>
      <c r="B5194" s="2" t="s">
        <v>13416</v>
      </c>
      <c r="C5194" s="2" t="s">
        <v>88</v>
      </c>
      <c r="D5194" s="2" t="s">
        <v>27</v>
      </c>
      <c r="E5194" s="4">
        <v>-32778</v>
      </c>
      <c r="F5194" s="3" t="s">
        <v>5869</v>
      </c>
      <c r="G5194" s="3" t="s">
        <v>2928</v>
      </c>
      <c r="H5194" s="2" t="s">
        <v>74</v>
      </c>
      <c r="I5194" s="2" t="s">
        <v>13417</v>
      </c>
      <c r="J5194" s="3" t="str">
        <f>HYPERLINK("https://www.boe.es/gazeta/dias/1810/04/03/pdfs/GEI-1810-11.pdf#page=4","Abrir facsímil")</f>
        <v>Abrir facsímil</v>
      </c>
      <c r="K5194" s="3" t="s">
        <v>76</v>
      </c>
    </row>
    <row r="5195" spans="1:11" ht="42" customHeight="1">
      <c r="A5195" s="2" t="s">
        <v>13418</v>
      </c>
      <c r="B5195" s="2" t="s">
        <v>13419</v>
      </c>
      <c r="C5195" s="2" t="s">
        <v>26</v>
      </c>
      <c r="D5195" s="2" t="s">
        <v>27</v>
      </c>
      <c r="E5195" s="4">
        <v>-32676</v>
      </c>
      <c r="F5195" s="3" t="s">
        <v>2863</v>
      </c>
      <c r="G5195" s="3" t="s">
        <v>592</v>
      </c>
      <c r="H5195" s="2" t="s">
        <v>74</v>
      </c>
      <c r="I5195" s="2" t="s">
        <v>13420</v>
      </c>
      <c r="J5195" s="3" t="str">
        <f>HYPERLINK("https://www.boe.es/gazeta/dias/1810/07/14/pdfs/GMD-1810-195.pdf#page=4","Abrir facsímil")</f>
        <v>Abrir facsímil</v>
      </c>
      <c r="K5195" s="3" t="s">
        <v>76</v>
      </c>
    </row>
    <row r="5196" spans="1:11" ht="42" customHeight="1">
      <c r="A5196" s="2" t="s">
        <v>13421</v>
      </c>
      <c r="B5196" s="2" t="s">
        <v>13421</v>
      </c>
      <c r="C5196" s="2" t="s">
        <v>88</v>
      </c>
      <c r="D5196" s="2" t="s">
        <v>27</v>
      </c>
      <c r="E5196" s="4">
        <v>-32701</v>
      </c>
      <c r="F5196" s="3" t="s">
        <v>1019</v>
      </c>
      <c r="G5196" s="3" t="s">
        <v>180</v>
      </c>
      <c r="H5196" s="2" t="s">
        <v>74</v>
      </c>
      <c r="I5196" s="2" t="s">
        <v>13422</v>
      </c>
      <c r="J5196" s="3" t="str">
        <f>HYPERLINK("https://www.boe.es/gazeta/dias/1810/06/19/pdfs/GMD-1810-170.pdf#page=1","Abrir facsímil")</f>
        <v>Abrir facsímil</v>
      </c>
      <c r="K5196" s="3" t="s">
        <v>76</v>
      </c>
    </row>
    <row r="5197" spans="1:11" ht="42" customHeight="1">
      <c r="A5197" s="2" t="s">
        <v>13423</v>
      </c>
      <c r="B5197" s="2" t="s">
        <v>13424</v>
      </c>
      <c r="C5197" s="2" t="s">
        <v>26</v>
      </c>
      <c r="D5197" s="2" t="s">
        <v>27</v>
      </c>
      <c r="E5197" s="4">
        <v>-32543</v>
      </c>
      <c r="F5197" s="3" t="s">
        <v>69</v>
      </c>
      <c r="G5197" s="3" t="s">
        <v>84</v>
      </c>
      <c r="H5197" s="2" t="s">
        <v>74</v>
      </c>
      <c r="I5197" s="2" t="s">
        <v>13425</v>
      </c>
      <c r="J5197" s="3" t="str">
        <f>HYPERLINK("https://www.boe.es/gazeta/dias/1810/11/24/pdfs/GEI-1810-99.pdf#page=7","Abrir facsímil")</f>
        <v>Abrir facsímil</v>
      </c>
      <c r="K5197" s="3" t="s">
        <v>76</v>
      </c>
    </row>
    <row r="5198" spans="1:11" ht="42" customHeight="1">
      <c r="A5198" s="2" t="s">
        <v>13426</v>
      </c>
      <c r="B5198" s="2" t="s">
        <v>13427</v>
      </c>
      <c r="C5198" s="2" t="s">
        <v>26</v>
      </c>
      <c r="D5198" s="2" t="s">
        <v>27</v>
      </c>
      <c r="E5198" s="4">
        <v>-32543</v>
      </c>
      <c r="F5198" s="3" t="s">
        <v>69</v>
      </c>
      <c r="G5198" s="3" t="s">
        <v>84</v>
      </c>
      <c r="H5198" s="2" t="s">
        <v>74</v>
      </c>
      <c r="I5198" s="2" t="s">
        <v>13428</v>
      </c>
      <c r="J5198" s="3" t="str">
        <f>HYPERLINK("https://www.boe.es/gazeta/dias/1810/11/24/pdfs/GEI-1810-99.pdf#page=7","Abrir facsímil")</f>
        <v>Abrir facsímil</v>
      </c>
      <c r="K5198" s="3" t="s">
        <v>76</v>
      </c>
    </row>
    <row r="5199" spans="1:11" ht="42" customHeight="1">
      <c r="A5199" s="2" t="s">
        <v>13429</v>
      </c>
      <c r="B5199" s="2" t="s">
        <v>13430</v>
      </c>
      <c r="C5199" s="2" t="s">
        <v>26</v>
      </c>
      <c r="D5199" s="2" t="s">
        <v>220</v>
      </c>
      <c r="E5199" s="4">
        <v>-32689</v>
      </c>
      <c r="F5199" s="3" t="s">
        <v>571</v>
      </c>
      <c r="G5199" s="3" t="s">
        <v>29</v>
      </c>
      <c r="H5199" s="2" t="s">
        <v>74</v>
      </c>
      <c r="I5199" s="2" t="s">
        <v>13431</v>
      </c>
      <c r="J5199" s="3" t="str">
        <f>HYPERLINK("https://www.boe.es/gazeta/dias/1810/07/01/pdfs/GMD-1810-182.pdf#page=3","Abrir facsímil")</f>
        <v>Abrir facsímil</v>
      </c>
      <c r="K5199" s="3" t="s">
        <v>76</v>
      </c>
    </row>
    <row r="5200" spans="1:11" ht="42" customHeight="1">
      <c r="A5200" s="2" t="s">
        <v>13432</v>
      </c>
      <c r="B5200" s="2" t="s">
        <v>13433</v>
      </c>
      <c r="C5200" s="2" t="s">
        <v>26</v>
      </c>
      <c r="D5200" s="2" t="s">
        <v>27</v>
      </c>
      <c r="E5200" s="4">
        <v>-32710</v>
      </c>
      <c r="F5200" s="3" t="s">
        <v>126</v>
      </c>
      <c r="G5200" s="3" t="s">
        <v>35</v>
      </c>
      <c r="H5200" s="2" t="s">
        <v>74</v>
      </c>
      <c r="I5200" s="2" t="s">
        <v>13434</v>
      </c>
      <c r="J5200" s="3" t="str">
        <f>HYPERLINK("https://www.boe.es/gazeta/dias/1810/06/10/pdfs/GMD-1810-161.pdf#page=2","Abrir facsímil")</f>
        <v>Abrir facsímil</v>
      </c>
      <c r="K5200" s="3" t="s">
        <v>76</v>
      </c>
    </row>
    <row r="5201" spans="1:11" ht="42" customHeight="1">
      <c r="A5201" s="2" t="s">
        <v>13435</v>
      </c>
      <c r="B5201" s="2" t="s">
        <v>13436</v>
      </c>
      <c r="C5201" s="2" t="s">
        <v>26</v>
      </c>
      <c r="D5201" s="2" t="s">
        <v>27</v>
      </c>
      <c r="E5201" s="4">
        <v>-32517</v>
      </c>
      <c r="F5201" s="3" t="s">
        <v>566</v>
      </c>
      <c r="G5201" s="3" t="s">
        <v>818</v>
      </c>
      <c r="H5201" s="2" t="s">
        <v>74</v>
      </c>
      <c r="I5201" s="2" t="s">
        <v>13437</v>
      </c>
      <c r="J5201" s="3" t="str">
        <f>HYPERLINK("https://www.boe.es/gazeta/dias/1810/12/20/pdfs/GEI-1810-110.pdf#page=5","Abrir facsímil")</f>
        <v>Abrir facsímil</v>
      </c>
      <c r="K5201" s="3" t="s">
        <v>76</v>
      </c>
    </row>
    <row r="5202" spans="1:11" ht="42" customHeight="1">
      <c r="A5202" s="2" t="s">
        <v>13438</v>
      </c>
      <c r="B5202" s="2" t="s">
        <v>13438</v>
      </c>
      <c r="C5202" s="2" t="s">
        <v>88</v>
      </c>
      <c r="D5202" s="2" t="s">
        <v>117</v>
      </c>
      <c r="E5202" s="4">
        <v>-32584</v>
      </c>
      <c r="F5202" s="3" t="s">
        <v>1560</v>
      </c>
      <c r="G5202" s="3" t="s">
        <v>701</v>
      </c>
      <c r="H5202" s="2" t="s">
        <v>74</v>
      </c>
      <c r="I5202" s="2" t="s">
        <v>13439</v>
      </c>
      <c r="J5202" s="3" t="str">
        <f>HYPERLINK("https://www.boe.es/gazeta/dias/1810/10/14/pdfs/GMD-1810-287.pdf#page=2","Abrir facsímil")</f>
        <v>Abrir facsímil</v>
      </c>
      <c r="K5202" s="3" t="s">
        <v>76</v>
      </c>
    </row>
    <row r="5203" spans="1:11" ht="42" customHeight="1">
      <c r="A5203" s="2" t="s">
        <v>13440</v>
      </c>
      <c r="B5203" s="2" t="s">
        <v>13441</v>
      </c>
      <c r="C5203" s="2" t="s">
        <v>26</v>
      </c>
      <c r="D5203" s="2" t="s">
        <v>39</v>
      </c>
      <c r="E5203" s="4">
        <v>-32702</v>
      </c>
      <c r="F5203" s="3" t="s">
        <v>179</v>
      </c>
      <c r="G5203" s="3" t="s">
        <v>517</v>
      </c>
      <c r="H5203" s="2" t="s">
        <v>74</v>
      </c>
      <c r="I5203" s="2" t="s">
        <v>13442</v>
      </c>
      <c r="J5203" s="3" t="str">
        <f>HYPERLINK("https://www.boe.es/gazeta/dias/1810/06/18/pdfs/GMD-C-1810-169.pdf#page=3","Abrir facsímil")</f>
        <v>Abrir facsímil</v>
      </c>
      <c r="K5203" s="3" t="s">
        <v>76</v>
      </c>
    </row>
    <row r="5204" spans="1:11" ht="42" customHeight="1">
      <c r="A5204" s="2" t="s">
        <v>13443</v>
      </c>
      <c r="B5204" s="2" t="s">
        <v>13443</v>
      </c>
      <c r="C5204" s="2" t="s">
        <v>88</v>
      </c>
      <c r="D5204" s="2" t="s">
        <v>27</v>
      </c>
      <c r="E5204" s="4">
        <v>-32515</v>
      </c>
      <c r="F5204" s="3" t="s">
        <v>745</v>
      </c>
      <c r="G5204" s="3" t="s">
        <v>213</v>
      </c>
      <c r="H5204" s="2" t="s">
        <v>74</v>
      </c>
      <c r="I5204" s="2" t="s">
        <v>13444</v>
      </c>
      <c r="J5204" s="3" t="str">
        <f>HYPERLINK("https://www.boe.es/gazeta/dias/1810/12/22/pdfs/GMD-1810-356.pdf#page=4","Abrir facsímil")</f>
        <v>Abrir facsímil</v>
      </c>
      <c r="K5204" s="3" t="s">
        <v>76</v>
      </c>
    </row>
    <row r="5205" spans="1:11" ht="42" customHeight="1">
      <c r="A5205" s="2" t="s">
        <v>13445</v>
      </c>
      <c r="B5205" s="2" t="s">
        <v>13445</v>
      </c>
      <c r="C5205" s="2" t="s">
        <v>88</v>
      </c>
      <c r="D5205" s="2" t="s">
        <v>27</v>
      </c>
      <c r="E5205" s="4">
        <v>-32606</v>
      </c>
      <c r="F5205" s="3" t="s">
        <v>1676</v>
      </c>
      <c r="G5205" s="3" t="s">
        <v>227</v>
      </c>
      <c r="H5205" s="2" t="s">
        <v>74</v>
      </c>
      <c r="I5205" s="2" t="s">
        <v>13446</v>
      </c>
      <c r="J5205" s="3" t="str">
        <f>HYPERLINK("https://www.boe.es/gazeta/dias/1810/09/22/pdfs/GMD-1810-265.pdf#page=2","Abrir facsímil")</f>
        <v>Abrir facsímil</v>
      </c>
      <c r="K5205" s="3" t="s">
        <v>76</v>
      </c>
    </row>
    <row r="5206" spans="1:11" ht="42" customHeight="1">
      <c r="A5206" s="2" t="s">
        <v>13447</v>
      </c>
      <c r="B5206" s="2" t="s">
        <v>13447</v>
      </c>
      <c r="C5206" s="2" t="s">
        <v>17</v>
      </c>
      <c r="D5206" s="2" t="s">
        <v>27</v>
      </c>
      <c r="E5206" s="4">
        <v>-32519</v>
      </c>
      <c r="F5206" s="3" t="s">
        <v>13448</v>
      </c>
      <c r="G5206" s="3" t="s">
        <v>227</v>
      </c>
      <c r="H5206" s="2" t="s">
        <v>74</v>
      </c>
      <c r="I5206" s="2" t="s">
        <v>13449</v>
      </c>
      <c r="J5206" s="3" t="str">
        <f>HYPERLINK("https://www.boe.es/gazeta/dias/1810/12/18/pdfs/GMD-1810-352.pdf#page=2","Abrir facsímil")</f>
        <v>Abrir facsímil</v>
      </c>
      <c r="K5206" s="3" t="s">
        <v>76</v>
      </c>
    </row>
    <row r="5207" spans="1:11" ht="42" customHeight="1">
      <c r="A5207" s="2" t="s">
        <v>13450</v>
      </c>
      <c r="B5207" s="2" t="s">
        <v>13450</v>
      </c>
      <c r="C5207" s="2" t="s">
        <v>317</v>
      </c>
      <c r="D5207" s="2" t="s">
        <v>220</v>
      </c>
      <c r="E5207" s="4">
        <v>-32862</v>
      </c>
      <c r="F5207" s="3" t="s">
        <v>878</v>
      </c>
      <c r="G5207" s="3" t="s">
        <v>735</v>
      </c>
      <c r="H5207" s="2" t="s">
        <v>74</v>
      </c>
      <c r="I5207" s="2" t="s">
        <v>13451</v>
      </c>
      <c r="J5207" s="3" t="str">
        <f>HYPERLINK("https://www.boe.es/gazeta/dias/1810/01/09/pdfs/GMD-1810-9.pdf#page=1","Abrir facsímil")</f>
        <v>Abrir facsímil</v>
      </c>
      <c r="K5207" s="3" t="s">
        <v>76</v>
      </c>
    </row>
    <row r="5208" spans="1:11" ht="42" customHeight="1">
      <c r="A5208" s="2" t="s">
        <v>13452</v>
      </c>
      <c r="B5208" s="2" t="s">
        <v>13453</v>
      </c>
      <c r="C5208" s="2" t="s">
        <v>88</v>
      </c>
      <c r="D5208" s="2" t="s">
        <v>117</v>
      </c>
      <c r="E5208" s="4">
        <v>-32745</v>
      </c>
      <c r="F5208" s="3" t="s">
        <v>7101</v>
      </c>
      <c r="G5208" s="3" t="s">
        <v>70</v>
      </c>
      <c r="H5208" s="2" t="s">
        <v>74</v>
      </c>
      <c r="I5208" s="2" t="s">
        <v>13454</v>
      </c>
      <c r="J5208" s="3" t="str">
        <f>HYPERLINK("https://www.boe.es/gazeta/dias/1810/05/06/pdfs/GMD-1810-126.pdf#page=4","Abrir facsímil")</f>
        <v>Abrir facsímil</v>
      </c>
      <c r="K5208" s="3" t="s">
        <v>76</v>
      </c>
    </row>
    <row r="5209" spans="1:11" ht="42" customHeight="1">
      <c r="A5209" s="2" t="s">
        <v>13455</v>
      </c>
      <c r="B5209" s="2" t="s">
        <v>13455</v>
      </c>
      <c r="C5209" s="2" t="s">
        <v>88</v>
      </c>
      <c r="D5209" s="2" t="s">
        <v>27</v>
      </c>
      <c r="E5209" s="4">
        <v>-32694</v>
      </c>
      <c r="F5209" s="3" t="s">
        <v>2166</v>
      </c>
      <c r="G5209" s="3" t="s">
        <v>20</v>
      </c>
      <c r="H5209" s="2" t="s">
        <v>74</v>
      </c>
      <c r="I5209" s="2" t="s">
        <v>13456</v>
      </c>
      <c r="J5209" s="3" t="str">
        <f>HYPERLINK("https://www.boe.es/gazeta/dias/1810/06/26/pdfs/GMD-1810-177.pdf#page=4","Abrir facsímil")</f>
        <v>Abrir facsímil</v>
      </c>
      <c r="K5209" s="3" t="s">
        <v>76</v>
      </c>
    </row>
    <row r="5210" spans="1:11" ht="42" customHeight="1">
      <c r="A5210" s="2" t="s">
        <v>13455</v>
      </c>
      <c r="B5210" s="2" t="s">
        <v>13455</v>
      </c>
      <c r="C5210" s="2" t="s">
        <v>88</v>
      </c>
      <c r="D5210" s="2" t="s">
        <v>39</v>
      </c>
      <c r="E5210" s="4">
        <v>-32631</v>
      </c>
      <c r="F5210" s="3" t="s">
        <v>2830</v>
      </c>
      <c r="G5210" s="3" t="s">
        <v>13457</v>
      </c>
      <c r="H5210" s="2" t="s">
        <v>74</v>
      </c>
      <c r="I5210" s="2" t="s">
        <v>13458</v>
      </c>
      <c r="J5210" s="3" t="str">
        <f>HYPERLINK("https://www.boe.es/gazeta/dias/1810/08/28/pdfs/GEI-D-1810-60.pdf#page=3","Abrir facsímil")</f>
        <v>Abrir facsímil</v>
      </c>
      <c r="K5210" s="3" t="s">
        <v>76</v>
      </c>
    </row>
    <row r="5211" spans="1:11" ht="42" customHeight="1">
      <c r="A5211" s="2" t="s">
        <v>13459</v>
      </c>
      <c r="B5211" s="2" t="s">
        <v>13460</v>
      </c>
      <c r="C5211" s="2" t="s">
        <v>88</v>
      </c>
      <c r="D5211" s="2" t="s">
        <v>117</v>
      </c>
      <c r="E5211" s="4">
        <v>-32861</v>
      </c>
      <c r="F5211" s="3" t="s">
        <v>796</v>
      </c>
      <c r="G5211" s="3" t="s">
        <v>29</v>
      </c>
      <c r="H5211" s="2" t="s">
        <v>74</v>
      </c>
      <c r="I5211" s="2" t="s">
        <v>13461</v>
      </c>
      <c r="J5211" s="3" t="str">
        <f>HYPERLINK("https://www.boe.es/gazeta/dias/1810/01/10/pdfs/GMD-1810-10.pdf#page=2","Abrir facsímil")</f>
        <v>Abrir facsímil</v>
      </c>
      <c r="K5211" s="3" t="s">
        <v>76</v>
      </c>
    </row>
    <row r="5212" spans="1:11" ht="42" customHeight="1">
      <c r="A5212" s="2" t="s">
        <v>13462</v>
      </c>
      <c r="B5212" s="2" t="s">
        <v>13463</v>
      </c>
      <c r="C5212" s="2" t="s">
        <v>88</v>
      </c>
      <c r="D5212" s="2" t="s">
        <v>117</v>
      </c>
      <c r="E5212" s="4">
        <v>-32829</v>
      </c>
      <c r="F5212" s="3" t="s">
        <v>1126</v>
      </c>
      <c r="G5212" s="3" t="s">
        <v>180</v>
      </c>
      <c r="H5212" s="2" t="s">
        <v>74</v>
      </c>
      <c r="I5212" s="2" t="s">
        <v>13464</v>
      </c>
      <c r="J5212" s="3" t="str">
        <f>HYPERLINK("https://www.boe.es/gazeta/dias/1810/02/11/pdfs/GMD-1810-42.pdf#page=4","Abrir facsímil")</f>
        <v>Abrir facsímil</v>
      </c>
      <c r="K5212" s="3" t="s">
        <v>76</v>
      </c>
    </row>
    <row r="5213" spans="1:11" ht="42" customHeight="1">
      <c r="A5213" s="2" t="s">
        <v>13465</v>
      </c>
      <c r="B5213" s="2" t="s">
        <v>13465</v>
      </c>
      <c r="C5213" s="2" t="s">
        <v>88</v>
      </c>
      <c r="D5213" s="2" t="s">
        <v>117</v>
      </c>
      <c r="E5213" s="4">
        <v>-32631</v>
      </c>
      <c r="F5213" s="3" t="s">
        <v>2830</v>
      </c>
      <c r="G5213" s="3" t="s">
        <v>13457</v>
      </c>
      <c r="H5213" s="2" t="s">
        <v>74</v>
      </c>
      <c r="I5213" s="2" t="s">
        <v>13466</v>
      </c>
      <c r="J5213" s="3" t="str">
        <f>HYPERLINK("https://www.boe.es/gazeta/dias/1810/08/28/pdfs/GEI-D-1810-60.pdf#page=3","Abrir facsímil")</f>
        <v>Abrir facsímil</v>
      </c>
      <c r="K5213" s="3" t="s">
        <v>76</v>
      </c>
    </row>
    <row r="5214" spans="1:11" ht="42" customHeight="1">
      <c r="A5214" s="2" t="s">
        <v>13467</v>
      </c>
      <c r="B5214" s="2" t="s">
        <v>13467</v>
      </c>
      <c r="C5214" s="2" t="s">
        <v>26</v>
      </c>
      <c r="D5214" s="2" t="s">
        <v>39</v>
      </c>
      <c r="E5214" s="4">
        <v>-32702</v>
      </c>
      <c r="F5214" s="3" t="s">
        <v>179</v>
      </c>
      <c r="G5214" s="3" t="s">
        <v>517</v>
      </c>
      <c r="H5214" s="2" t="s">
        <v>74</v>
      </c>
      <c r="I5214" s="2" t="s">
        <v>13468</v>
      </c>
      <c r="J5214" s="3" t="str">
        <f>HYPERLINK("https://www.boe.es/gazeta/dias/1810/06/18/pdfs/GMD-C-1810-169.pdf#page=3","Abrir facsímil")</f>
        <v>Abrir facsímil</v>
      </c>
      <c r="K5214" s="3" t="s">
        <v>76</v>
      </c>
    </row>
    <row r="5215" spans="1:11" ht="42" customHeight="1">
      <c r="A5215" s="2" t="s">
        <v>13469</v>
      </c>
      <c r="B5215" s="2" t="s">
        <v>13470</v>
      </c>
      <c r="C5215" s="2" t="s">
        <v>26</v>
      </c>
      <c r="D5215" s="2" t="s">
        <v>27</v>
      </c>
      <c r="E5215" s="4">
        <v>-32754</v>
      </c>
      <c r="F5215" s="3" t="s">
        <v>34</v>
      </c>
      <c r="G5215" s="3" t="s">
        <v>29</v>
      </c>
      <c r="H5215" s="2" t="s">
        <v>74</v>
      </c>
      <c r="I5215" s="2" t="s">
        <v>13471</v>
      </c>
      <c r="J5215" s="3" t="str">
        <f>HYPERLINK("https://www.boe.es/gazeta/dias/1810/04/27/pdfs/GMD-1810-117.pdf#page=4","Abrir facsímil")</f>
        <v>Abrir facsímil</v>
      </c>
      <c r="K5215" s="3" t="s">
        <v>76</v>
      </c>
    </row>
    <row r="5216" spans="1:11" ht="42" customHeight="1">
      <c r="A5216" s="2" t="s">
        <v>13472</v>
      </c>
      <c r="B5216" s="2" t="s">
        <v>13472</v>
      </c>
      <c r="C5216" s="2" t="s">
        <v>88</v>
      </c>
      <c r="D5216" s="2" t="s">
        <v>27</v>
      </c>
      <c r="E5216" s="4">
        <v>-32666</v>
      </c>
      <c r="F5216" s="3" t="s">
        <v>346</v>
      </c>
      <c r="G5216" s="3" t="s">
        <v>7829</v>
      </c>
      <c r="H5216" s="2" t="s">
        <v>74</v>
      </c>
      <c r="I5216" s="2" t="s">
        <v>13473</v>
      </c>
      <c r="J5216" s="3" t="str">
        <f>HYPERLINK("https://www.boe.es/gazeta/dias/1810/07/24/pdfs/GEI-1810-47.pdf#page=2","Abrir facsímil")</f>
        <v>Abrir facsímil</v>
      </c>
      <c r="K5216" s="3" t="s">
        <v>76</v>
      </c>
    </row>
    <row r="5217" spans="1:11" ht="42" customHeight="1">
      <c r="A5217" s="2" t="s">
        <v>13474</v>
      </c>
      <c r="B5217" s="2" t="s">
        <v>13474</v>
      </c>
      <c r="C5217" s="2" t="s">
        <v>88</v>
      </c>
      <c r="D5217" s="2" t="s">
        <v>27</v>
      </c>
      <c r="E5217" s="4">
        <v>-32680</v>
      </c>
      <c r="F5217" s="3" t="s">
        <v>519</v>
      </c>
      <c r="G5217" s="3" t="s">
        <v>13475</v>
      </c>
      <c r="H5217" s="2" t="s">
        <v>74</v>
      </c>
      <c r="I5217" s="2" t="s">
        <v>13476</v>
      </c>
      <c r="J5217" s="3" t="str">
        <f>HYPERLINK("https://www.boe.es/gazeta/dias/1810/07/10/pdfs/GEI-1810-43.pdf#page=4","Abrir facsímil")</f>
        <v>Abrir facsímil</v>
      </c>
      <c r="K5217" s="3" t="s">
        <v>76</v>
      </c>
    </row>
    <row r="5218" spans="1:11" ht="42" customHeight="1">
      <c r="A5218" s="2" t="s">
        <v>13477</v>
      </c>
      <c r="B5218" s="2" t="s">
        <v>13478</v>
      </c>
      <c r="C5218" s="2" t="s">
        <v>26</v>
      </c>
      <c r="D5218" s="2" t="s">
        <v>27</v>
      </c>
      <c r="E5218" s="4">
        <v>-32543</v>
      </c>
      <c r="F5218" s="3" t="s">
        <v>69</v>
      </c>
      <c r="G5218" s="3" t="s">
        <v>70</v>
      </c>
      <c r="H5218" s="2" t="s">
        <v>74</v>
      </c>
      <c r="I5218" s="2" t="s">
        <v>13479</v>
      </c>
      <c r="J5218" s="3" t="str">
        <f>HYPERLINK("https://www.boe.es/gazeta/dias/1810/11/24/pdfs/GEI-1810-99.pdf#page=8","Abrir facsímil")</f>
        <v>Abrir facsímil</v>
      </c>
      <c r="K5218" s="3" t="s">
        <v>76</v>
      </c>
    </row>
    <row r="5219" spans="1:11" ht="42" customHeight="1">
      <c r="A5219" s="2" t="s">
        <v>13480</v>
      </c>
      <c r="B5219" s="2" t="s">
        <v>13480</v>
      </c>
      <c r="C5219" s="2" t="s">
        <v>17</v>
      </c>
      <c r="D5219" s="2" t="s">
        <v>27</v>
      </c>
      <c r="E5219" s="4">
        <v>-32728</v>
      </c>
      <c r="F5219" s="3" t="s">
        <v>269</v>
      </c>
      <c r="G5219" s="3" t="s">
        <v>70</v>
      </c>
      <c r="H5219" s="2" t="s">
        <v>74</v>
      </c>
      <c r="I5219" s="2" t="s">
        <v>13481</v>
      </c>
      <c r="J5219" s="3" t="str">
        <f>HYPERLINK("https://www.boe.es/gazeta/dias/1810/05/23/pdfs/GMD-1810-143.pdf#page=4","Abrir facsímil")</f>
        <v>Abrir facsímil</v>
      </c>
      <c r="K5219" s="3" t="s">
        <v>76</v>
      </c>
    </row>
    <row r="5220" spans="1:11" ht="42" customHeight="1">
      <c r="A5220" s="2" t="s">
        <v>13482</v>
      </c>
      <c r="B5220" s="2" t="s">
        <v>13482</v>
      </c>
      <c r="C5220" s="2" t="s">
        <v>111</v>
      </c>
      <c r="D5220" s="2" t="s">
        <v>27</v>
      </c>
      <c r="E5220" s="4">
        <v>-32677</v>
      </c>
      <c r="F5220" s="3" t="s">
        <v>209</v>
      </c>
      <c r="G5220" s="3" t="s">
        <v>210</v>
      </c>
      <c r="H5220" s="2" t="s">
        <v>74</v>
      </c>
      <c r="I5220" s="2" t="s">
        <v>13483</v>
      </c>
      <c r="J5220" s="3" t="str">
        <f>HYPERLINK("https://www.boe.es/gazeta/dias/1810/07/13/pdfs/GMD-1810-194.pdf#page=3","Abrir facsímil")</f>
        <v>Abrir facsímil</v>
      </c>
      <c r="K5220" s="3" t="s">
        <v>76</v>
      </c>
    </row>
    <row r="5221" spans="1:11" ht="42" customHeight="1">
      <c r="A5221" s="2" t="s">
        <v>13484</v>
      </c>
      <c r="B5221" s="2" t="s">
        <v>13485</v>
      </c>
      <c r="C5221" s="2" t="s">
        <v>88</v>
      </c>
      <c r="D5221" s="2" t="s">
        <v>27</v>
      </c>
      <c r="E5221" s="4">
        <v>-32756</v>
      </c>
      <c r="F5221" s="3" t="s">
        <v>203</v>
      </c>
      <c r="G5221" s="3" t="s">
        <v>465</v>
      </c>
      <c r="H5221" s="2" t="s">
        <v>74</v>
      </c>
      <c r="I5221" s="2" t="s">
        <v>13486</v>
      </c>
      <c r="J5221" s="3" t="str">
        <f>HYPERLINK("https://www.boe.es/gazeta/dias/1810/04/25/pdfs/GMD-1810-115.pdf#page=1","Abrir facsímil")</f>
        <v>Abrir facsímil</v>
      </c>
      <c r="K5221" s="3" t="s">
        <v>76</v>
      </c>
    </row>
    <row r="5222" spans="1:11" ht="42" customHeight="1">
      <c r="A5222" s="2" t="s">
        <v>13487</v>
      </c>
      <c r="B5222" s="2" t="s">
        <v>13488</v>
      </c>
      <c r="C5222" s="2" t="s">
        <v>33</v>
      </c>
      <c r="D5222" s="2" t="s">
        <v>220</v>
      </c>
      <c r="E5222" s="4">
        <v>-32754</v>
      </c>
      <c r="F5222" s="3" t="s">
        <v>34</v>
      </c>
      <c r="G5222" s="3" t="s">
        <v>29</v>
      </c>
      <c r="H5222" s="2" t="s">
        <v>74</v>
      </c>
      <c r="I5222" s="2" t="s">
        <v>13489</v>
      </c>
      <c r="J5222" s="3" t="str">
        <f>HYPERLINK("https://www.boe.es/gazeta/dias/1810/04/27/pdfs/GMD-1810-117.pdf#page=3","Abrir facsímil")</f>
        <v>Abrir facsímil</v>
      </c>
      <c r="K5222" s="3" t="s">
        <v>76</v>
      </c>
    </row>
    <row r="5223" spans="1:11" ht="42" customHeight="1">
      <c r="A5223" s="2" t="s">
        <v>13490</v>
      </c>
      <c r="B5223" s="2" t="s">
        <v>13491</v>
      </c>
      <c r="C5223" s="2" t="s">
        <v>88</v>
      </c>
      <c r="D5223" s="2" t="s">
        <v>27</v>
      </c>
      <c r="E5223" s="4">
        <v>-32690</v>
      </c>
      <c r="F5223" s="3" t="s">
        <v>2142</v>
      </c>
      <c r="G5223" s="3" t="s">
        <v>29</v>
      </c>
      <c r="H5223" s="2" t="s">
        <v>74</v>
      </c>
      <c r="I5223" s="2" t="s">
        <v>13492</v>
      </c>
      <c r="J5223" s="3" t="str">
        <f>HYPERLINK("https://www.boe.es/gazeta/dias/1810/06/30/pdfs/GMD-1810-181.pdf#page=4","Abrir facsímil")</f>
        <v>Abrir facsímil</v>
      </c>
      <c r="K5223" s="3" t="s">
        <v>76</v>
      </c>
    </row>
    <row r="5224" spans="1:11" ht="42" customHeight="1">
      <c r="A5224" s="2" t="s">
        <v>13493</v>
      </c>
      <c r="B5224" s="2" t="s">
        <v>13493</v>
      </c>
      <c r="C5224" s="2" t="s">
        <v>26</v>
      </c>
      <c r="D5224" s="2" t="s">
        <v>27</v>
      </c>
      <c r="E5224" s="4">
        <v>-32776</v>
      </c>
      <c r="F5224" s="3" t="s">
        <v>752</v>
      </c>
      <c r="G5224" s="3" t="s">
        <v>213</v>
      </c>
      <c r="H5224" s="2" t="s">
        <v>74</v>
      </c>
      <c r="I5224" s="2" t="s">
        <v>13494</v>
      </c>
      <c r="J5224" s="3" t="str">
        <f>HYPERLINK("https://www.boe.es/gazeta/dias/1810/04/05/pdfs/GMD-1810-95.pdf#page=3","Abrir facsímil")</f>
        <v>Abrir facsímil</v>
      </c>
      <c r="K5224" s="3" t="s">
        <v>76</v>
      </c>
    </row>
    <row r="5225" spans="1:11" ht="42" customHeight="1">
      <c r="A5225" s="2" t="s">
        <v>13493</v>
      </c>
      <c r="B5225" s="2" t="s">
        <v>13493</v>
      </c>
      <c r="C5225" s="2" t="s">
        <v>33</v>
      </c>
      <c r="D5225" s="2" t="s">
        <v>220</v>
      </c>
      <c r="E5225" s="4">
        <v>-32772</v>
      </c>
      <c r="F5225" s="3" t="s">
        <v>398</v>
      </c>
      <c r="G5225" s="3" t="s">
        <v>1638</v>
      </c>
      <c r="H5225" s="2" t="s">
        <v>74</v>
      </c>
      <c r="I5225" s="2" t="s">
        <v>13495</v>
      </c>
      <c r="J5225" s="3" t="str">
        <f>HYPERLINK("https://www.boe.es/gazeta/dias/1810/04/09/pdfs/GMD-1810-99.pdf#page=2","Abrir facsímil")</f>
        <v>Abrir facsímil</v>
      </c>
      <c r="K5225" s="3" t="s">
        <v>76</v>
      </c>
    </row>
    <row r="5226" spans="1:11" ht="42" customHeight="1">
      <c r="A5226" s="2" t="s">
        <v>13493</v>
      </c>
      <c r="B5226" s="2" t="s">
        <v>13493</v>
      </c>
      <c r="C5226" s="2" t="s">
        <v>88</v>
      </c>
      <c r="D5226" s="2" t="s">
        <v>27</v>
      </c>
      <c r="E5226" s="4">
        <v>-32767</v>
      </c>
      <c r="F5226" s="3" t="s">
        <v>1265</v>
      </c>
      <c r="G5226" s="3" t="s">
        <v>1266</v>
      </c>
      <c r="H5226" s="2" t="s">
        <v>74</v>
      </c>
      <c r="I5226" s="2" t="s">
        <v>13496</v>
      </c>
      <c r="J5226" s="3" t="str">
        <f>HYPERLINK("https://www.boe.es/gazeta/dias/1810/04/14/pdfs/GMD-1810-104.pdf#page=4","Abrir facsímil")</f>
        <v>Abrir facsímil</v>
      </c>
      <c r="K5226" s="3" t="s">
        <v>76</v>
      </c>
    </row>
    <row r="5227" spans="1:11" ht="42" customHeight="1">
      <c r="A5227" s="2" t="s">
        <v>13493</v>
      </c>
      <c r="B5227" s="2" t="s">
        <v>13493</v>
      </c>
      <c r="C5227" s="2" t="s">
        <v>88</v>
      </c>
      <c r="D5227" s="2" t="s">
        <v>117</v>
      </c>
      <c r="E5227" s="4">
        <v>-32766</v>
      </c>
      <c r="F5227" s="3" t="s">
        <v>492</v>
      </c>
      <c r="G5227" s="3" t="s">
        <v>99</v>
      </c>
      <c r="H5227" s="2" t="s">
        <v>74</v>
      </c>
      <c r="I5227" s="2" t="s">
        <v>13497</v>
      </c>
      <c r="J5227" s="3" t="str">
        <f>HYPERLINK("https://www.boe.es/gazeta/dias/1810/04/15/pdfs/GMD-1810-105.pdf#page=3","Abrir facsímil")</f>
        <v>Abrir facsímil</v>
      </c>
      <c r="K5227" s="3" t="s">
        <v>76</v>
      </c>
    </row>
    <row r="5228" spans="1:11" ht="42" customHeight="1">
      <c r="A5228" s="2" t="s">
        <v>13493</v>
      </c>
      <c r="B5228" s="2" t="s">
        <v>13493</v>
      </c>
      <c r="C5228" s="2" t="s">
        <v>88</v>
      </c>
      <c r="D5228" s="2" t="s">
        <v>117</v>
      </c>
      <c r="E5228" s="4">
        <v>-32736</v>
      </c>
      <c r="F5228" s="3" t="s">
        <v>400</v>
      </c>
      <c r="G5228" s="3" t="s">
        <v>401</v>
      </c>
      <c r="H5228" s="2" t="s">
        <v>74</v>
      </c>
      <c r="I5228" s="2" t="s">
        <v>13498</v>
      </c>
      <c r="J5228" s="3" t="str">
        <f>HYPERLINK("https://www.boe.es/gazeta/dias/1810/05/15/pdfs/GMD-1810-135.pdf#page=4","Abrir facsímil")</f>
        <v>Abrir facsímil</v>
      </c>
      <c r="K5228" s="3" t="s">
        <v>76</v>
      </c>
    </row>
    <row r="5229" spans="1:11" ht="42" customHeight="1">
      <c r="A5229" s="2" t="s">
        <v>13493</v>
      </c>
      <c r="B5229" s="2" t="s">
        <v>13493</v>
      </c>
      <c r="C5229" s="2" t="s">
        <v>26</v>
      </c>
      <c r="D5229" s="2" t="s">
        <v>27</v>
      </c>
      <c r="E5229" s="4">
        <v>-32726</v>
      </c>
      <c r="F5229" s="3" t="s">
        <v>3350</v>
      </c>
      <c r="G5229" s="3" t="s">
        <v>35</v>
      </c>
      <c r="H5229" s="2" t="s">
        <v>74</v>
      </c>
      <c r="I5229" s="2" t="s">
        <v>13499</v>
      </c>
      <c r="J5229" s="3" t="str">
        <f>HYPERLINK("https://www.boe.es/gazeta/dias/1810/05/25/pdfs/GMD-1810-145.pdf#page=2","Abrir facsímil")</f>
        <v>Abrir facsímil</v>
      </c>
      <c r="K5229" s="3" t="s">
        <v>76</v>
      </c>
    </row>
    <row r="5230" spans="1:11" ht="42" customHeight="1">
      <c r="A5230" s="2" t="s">
        <v>13493</v>
      </c>
      <c r="B5230" s="2" t="s">
        <v>13493</v>
      </c>
      <c r="C5230" s="2" t="s">
        <v>26</v>
      </c>
      <c r="D5230" s="2" t="s">
        <v>27</v>
      </c>
      <c r="E5230" s="4">
        <v>-32726</v>
      </c>
      <c r="F5230" s="3" t="s">
        <v>3350</v>
      </c>
      <c r="G5230" s="3" t="s">
        <v>29</v>
      </c>
      <c r="H5230" s="2" t="s">
        <v>74</v>
      </c>
      <c r="I5230" s="2" t="s">
        <v>13500</v>
      </c>
      <c r="J5230" s="3" t="str">
        <f>HYPERLINK("https://www.boe.es/gazeta/dias/1810/05/25/pdfs/GMD-1810-145.pdf#page=4","Abrir facsímil")</f>
        <v>Abrir facsímil</v>
      </c>
      <c r="K5230" s="3" t="s">
        <v>76</v>
      </c>
    </row>
    <row r="5231" spans="1:11" ht="42" customHeight="1">
      <c r="A5231" s="2" t="s">
        <v>13493</v>
      </c>
      <c r="B5231" s="2" t="s">
        <v>13493</v>
      </c>
      <c r="C5231" s="2" t="s">
        <v>88</v>
      </c>
      <c r="D5231" s="2" t="s">
        <v>27</v>
      </c>
      <c r="E5231" s="4">
        <v>-32719</v>
      </c>
      <c r="F5231" s="3" t="s">
        <v>965</v>
      </c>
      <c r="G5231" s="3" t="s">
        <v>7142</v>
      </c>
      <c r="H5231" s="2" t="s">
        <v>74</v>
      </c>
      <c r="I5231" s="2" t="s">
        <v>13501</v>
      </c>
      <c r="J5231" s="3" t="str">
        <f>HYPERLINK("https://www.boe.es/gazeta/dias/1810/06/01/pdfs/GMD-1810-152.pdf#page=1","Abrir facsímil")</f>
        <v>Abrir facsímil</v>
      </c>
      <c r="K5231" s="3" t="s">
        <v>76</v>
      </c>
    </row>
    <row r="5232" spans="1:11" ht="42" customHeight="1">
      <c r="A5232" s="2" t="s">
        <v>13502</v>
      </c>
      <c r="B5232" s="2" t="s">
        <v>13502</v>
      </c>
      <c r="C5232" s="2" t="s">
        <v>88</v>
      </c>
      <c r="D5232" s="2" t="s">
        <v>18</v>
      </c>
      <c r="E5232" s="4">
        <v>-32699</v>
      </c>
      <c r="F5232" s="3" t="s">
        <v>1216</v>
      </c>
      <c r="G5232" s="3" t="s">
        <v>1219</v>
      </c>
      <c r="H5232" s="2" t="s">
        <v>74</v>
      </c>
      <c r="I5232" s="2" t="s">
        <v>13503</v>
      </c>
      <c r="J5232" s="3" t="str">
        <f>HYPERLINK("https://www.boe.es/gazeta/dias/1810/06/21/pdfs/GMD-1810-172.pdf#page=4","Abrir facsímil")</f>
        <v>Abrir facsímil</v>
      </c>
      <c r="K5232" s="3" t="s">
        <v>76</v>
      </c>
    </row>
    <row r="5233" spans="1:11" ht="42" customHeight="1">
      <c r="A5233" s="2" t="s">
        <v>13493</v>
      </c>
      <c r="B5233" s="2" t="s">
        <v>13493</v>
      </c>
      <c r="C5233" s="2" t="s">
        <v>88</v>
      </c>
      <c r="D5233" s="2" t="s">
        <v>220</v>
      </c>
      <c r="E5233" s="4">
        <v>-32683</v>
      </c>
      <c r="F5233" s="3" t="s">
        <v>579</v>
      </c>
      <c r="G5233" s="3" t="s">
        <v>5489</v>
      </c>
      <c r="H5233" s="2" t="s">
        <v>74</v>
      </c>
      <c r="I5233" s="2" t="s">
        <v>13504</v>
      </c>
      <c r="J5233" s="3" t="str">
        <f>HYPERLINK("https://www.boe.es/gazeta/dias/1810/07/07/pdfs/GMD-1810-188.pdf#page=3","Abrir facsímil")</f>
        <v>Abrir facsímil</v>
      </c>
      <c r="K5233" s="3" t="s">
        <v>76</v>
      </c>
    </row>
    <row r="5234" spans="1:11" ht="42" customHeight="1">
      <c r="A5234" s="2" t="s">
        <v>13493</v>
      </c>
      <c r="B5234" s="2" t="s">
        <v>13493</v>
      </c>
      <c r="C5234" s="2" t="s">
        <v>33</v>
      </c>
      <c r="D5234" s="2" t="s">
        <v>27</v>
      </c>
      <c r="E5234" s="4">
        <v>-32680</v>
      </c>
      <c r="F5234" s="3" t="s">
        <v>519</v>
      </c>
      <c r="G5234" s="3" t="s">
        <v>227</v>
      </c>
      <c r="H5234" s="2" t="s">
        <v>74</v>
      </c>
      <c r="I5234" s="2" t="s">
        <v>13505</v>
      </c>
      <c r="J5234" s="3" t="str">
        <f>HYPERLINK("https://www.boe.es/gazeta/dias/1810/07/10/pdfs/GEI-1810-43.pdf#page=2","Abrir facsímil")</f>
        <v>Abrir facsímil</v>
      </c>
      <c r="K5234" s="3" t="s">
        <v>76</v>
      </c>
    </row>
    <row r="5235" spans="1:11" ht="42" customHeight="1">
      <c r="A5235" s="2" t="s">
        <v>13493</v>
      </c>
      <c r="B5235" s="2" t="s">
        <v>13493</v>
      </c>
      <c r="C5235" s="2" t="s">
        <v>88</v>
      </c>
      <c r="D5235" s="2" t="s">
        <v>27</v>
      </c>
      <c r="E5235" s="4">
        <v>-32666</v>
      </c>
      <c r="F5235" s="3" t="s">
        <v>1913</v>
      </c>
      <c r="G5235" s="3" t="s">
        <v>1914</v>
      </c>
      <c r="H5235" s="2" t="s">
        <v>74</v>
      </c>
      <c r="I5235" s="2" t="s">
        <v>13506</v>
      </c>
      <c r="J5235" s="3" t="str">
        <f>HYPERLINK("https://www.boe.es/gazeta/dias/1810/07/24/pdfs/GMD-1810-205.pdf#page=4","Abrir facsímil")</f>
        <v>Abrir facsímil</v>
      </c>
      <c r="K5235" s="3" t="s">
        <v>76</v>
      </c>
    </row>
    <row r="5236" spans="1:11" ht="42" customHeight="1">
      <c r="A5236" s="2" t="s">
        <v>13493</v>
      </c>
      <c r="B5236" s="2" t="s">
        <v>13493</v>
      </c>
      <c r="C5236" s="2" t="s">
        <v>111</v>
      </c>
      <c r="D5236" s="2" t="s">
        <v>18</v>
      </c>
      <c r="E5236" s="4">
        <v>-32566</v>
      </c>
      <c r="F5236" s="3" t="s">
        <v>405</v>
      </c>
      <c r="G5236" s="3" t="s">
        <v>4261</v>
      </c>
      <c r="H5236" s="2" t="s">
        <v>74</v>
      </c>
      <c r="I5236" s="2" t="s">
        <v>13507</v>
      </c>
      <c r="J5236" s="3" t="str">
        <f>HYPERLINK("https://www.boe.es/gazeta/dias/1810/11/01/pdfs/GMD-1810-305.pdf#page=1","Abrir facsímil")</f>
        <v>Abrir facsímil</v>
      </c>
      <c r="K5236" s="3" t="s">
        <v>76</v>
      </c>
    </row>
    <row r="5237" spans="1:11" ht="42" customHeight="1">
      <c r="A5237" s="2" t="s">
        <v>13493</v>
      </c>
      <c r="B5237" s="2" t="s">
        <v>13493</v>
      </c>
      <c r="C5237" s="2" t="s">
        <v>88</v>
      </c>
      <c r="D5237" s="2" t="s">
        <v>117</v>
      </c>
      <c r="E5237" s="4">
        <v>-32566</v>
      </c>
      <c r="F5237" s="3" t="s">
        <v>405</v>
      </c>
      <c r="G5237" s="3" t="s">
        <v>469</v>
      </c>
      <c r="H5237" s="2" t="s">
        <v>74</v>
      </c>
      <c r="I5237" s="2" t="s">
        <v>13508</v>
      </c>
      <c r="J5237" s="3" t="str">
        <f>HYPERLINK("https://www.boe.es/gazeta/dias/1810/11/01/pdfs/GMD-1810-305.pdf#page=2","Abrir facsímil")</f>
        <v>Abrir facsímil</v>
      </c>
      <c r="K5237" s="3" t="s">
        <v>76</v>
      </c>
    </row>
    <row r="5238" spans="1:11" ht="42" customHeight="1">
      <c r="A5238" s="2" t="s">
        <v>13493</v>
      </c>
      <c r="B5238" s="2" t="s">
        <v>13493</v>
      </c>
      <c r="C5238" s="2" t="s">
        <v>225</v>
      </c>
      <c r="D5238" s="2" t="s">
        <v>27</v>
      </c>
      <c r="E5238" s="4">
        <v>-32565</v>
      </c>
      <c r="F5238" s="3" t="s">
        <v>743</v>
      </c>
      <c r="G5238" s="3" t="s">
        <v>458</v>
      </c>
      <c r="H5238" s="2" t="s">
        <v>74</v>
      </c>
      <c r="I5238" s="2" t="s">
        <v>13509</v>
      </c>
      <c r="J5238" s="3" t="str">
        <f>HYPERLINK("https://www.boe.es/gazeta/dias/1810/11/02/pdfs/GMD-1810-306.pdf#page=2","Abrir facsímil")</f>
        <v>Abrir facsímil</v>
      </c>
      <c r="K5238" s="3" t="s">
        <v>76</v>
      </c>
    </row>
    <row r="5239" spans="1:11" ht="42" customHeight="1">
      <c r="A5239" s="2" t="s">
        <v>13493</v>
      </c>
      <c r="B5239" s="2" t="s">
        <v>13493</v>
      </c>
      <c r="C5239" s="2" t="s">
        <v>26</v>
      </c>
      <c r="D5239" s="2" t="s">
        <v>27</v>
      </c>
      <c r="E5239" s="4">
        <v>-32564</v>
      </c>
      <c r="F5239" s="3" t="s">
        <v>1604</v>
      </c>
      <c r="G5239" s="3" t="s">
        <v>1605</v>
      </c>
      <c r="H5239" s="2" t="s">
        <v>74</v>
      </c>
      <c r="I5239" s="2" t="s">
        <v>13510</v>
      </c>
      <c r="J5239" s="3" t="str">
        <f>HYPERLINK("https://www.boe.es/gazeta/dias/1810/11/03/pdfs/GMD-1810-307.pdf#page=2","Abrir facsímil")</f>
        <v>Abrir facsímil</v>
      </c>
      <c r="K5239" s="3" t="s">
        <v>76</v>
      </c>
    </row>
    <row r="5240" spans="1:11" ht="42" customHeight="1">
      <c r="A5240" s="2" t="s">
        <v>13493</v>
      </c>
      <c r="B5240" s="2" t="s">
        <v>13493</v>
      </c>
      <c r="C5240" s="2" t="s">
        <v>26</v>
      </c>
      <c r="D5240" s="2" t="s">
        <v>27</v>
      </c>
      <c r="E5240" s="4">
        <v>-32542</v>
      </c>
      <c r="F5240" s="3" t="s">
        <v>6175</v>
      </c>
      <c r="G5240" s="3" t="s">
        <v>5985</v>
      </c>
      <c r="H5240" s="2" t="s">
        <v>74</v>
      </c>
      <c r="I5240" s="2" t="s">
        <v>13511</v>
      </c>
      <c r="J5240" s="3" t="str">
        <f>HYPERLINK("https://www.boe.es/gazeta/dias/1810/11/25/pdfs/GMD-1810-329.pdf#page=2","Abrir facsímil")</f>
        <v>Abrir facsímil</v>
      </c>
      <c r="K5240" s="3" t="s">
        <v>76</v>
      </c>
    </row>
    <row r="5241" spans="1:11" ht="42" customHeight="1">
      <c r="A5241" s="2" t="s">
        <v>13512</v>
      </c>
      <c r="B5241" s="2" t="s">
        <v>13513</v>
      </c>
      <c r="C5241" s="2" t="s">
        <v>88</v>
      </c>
      <c r="D5241" s="2" t="s">
        <v>27</v>
      </c>
      <c r="E5241" s="4">
        <v>-32524</v>
      </c>
      <c r="F5241" s="3" t="s">
        <v>281</v>
      </c>
      <c r="G5241" s="3" t="s">
        <v>113</v>
      </c>
      <c r="H5241" s="2" t="s">
        <v>74</v>
      </c>
      <c r="I5241" s="2" t="s">
        <v>13514</v>
      </c>
      <c r="J5241" s="3" t="str">
        <f>HYPERLINK("https://www.boe.es/gazeta/dias/1810/12/13/pdfs/GEI-1810-107.pdf#page=2","Abrir facsímil")</f>
        <v>Abrir facsímil</v>
      </c>
      <c r="K5241" s="3" t="s">
        <v>76</v>
      </c>
    </row>
    <row r="5242" spans="1:11" ht="42" customHeight="1">
      <c r="A5242" s="2" t="s">
        <v>13515</v>
      </c>
      <c r="B5242" s="2" t="s">
        <v>13516</v>
      </c>
      <c r="C5242" s="2" t="s">
        <v>88</v>
      </c>
      <c r="D5242" s="2" t="s">
        <v>117</v>
      </c>
      <c r="E5242" s="4">
        <v>-32564</v>
      </c>
      <c r="F5242" s="3" t="s">
        <v>1604</v>
      </c>
      <c r="G5242" s="3" t="s">
        <v>1605</v>
      </c>
      <c r="H5242" s="2" t="s">
        <v>74</v>
      </c>
      <c r="I5242" s="2" t="s">
        <v>13517</v>
      </c>
      <c r="J5242" s="3" t="str">
        <f>HYPERLINK("https://www.boe.es/gazeta/dias/1810/11/03/pdfs/GMD-1810-307.pdf#page=2","Abrir facsímil")</f>
        <v>Abrir facsímil</v>
      </c>
      <c r="K5242" s="3" t="s">
        <v>76</v>
      </c>
    </row>
    <row r="5243" spans="1:11" ht="42" customHeight="1">
      <c r="A5243" s="2" t="s">
        <v>13518</v>
      </c>
      <c r="B5243" s="2" t="s">
        <v>13519</v>
      </c>
      <c r="C5243" s="2" t="s">
        <v>33</v>
      </c>
      <c r="D5243" s="2" t="s">
        <v>27</v>
      </c>
      <c r="E5243" s="4">
        <v>-32569</v>
      </c>
      <c r="F5243" s="3" t="s">
        <v>421</v>
      </c>
      <c r="G5243" s="3" t="s">
        <v>20</v>
      </c>
      <c r="H5243" s="2" t="s">
        <v>74</v>
      </c>
      <c r="I5243" s="2" t="s">
        <v>13520</v>
      </c>
      <c r="J5243" s="3" t="str">
        <f>HYPERLINK("https://www.boe.es/gazeta/dias/1810/10/29/pdfs/GMD-1810-302.pdf#page=4","Abrir facsímil")</f>
        <v>Abrir facsímil</v>
      </c>
      <c r="K5243" s="3" t="s">
        <v>76</v>
      </c>
    </row>
    <row r="5244" spans="1:11" ht="42" customHeight="1">
      <c r="A5244" s="2" t="s">
        <v>13521</v>
      </c>
      <c r="B5244" s="2" t="s">
        <v>13521</v>
      </c>
      <c r="C5244" s="2" t="s">
        <v>26</v>
      </c>
      <c r="D5244" s="2" t="s">
        <v>27</v>
      </c>
      <c r="E5244" s="4">
        <v>-32641</v>
      </c>
      <c r="F5244" s="3" t="s">
        <v>10757</v>
      </c>
      <c r="G5244" s="3" t="s">
        <v>213</v>
      </c>
      <c r="H5244" s="2" t="s">
        <v>74</v>
      </c>
      <c r="I5244" s="2" t="s">
        <v>13522</v>
      </c>
      <c r="J5244" s="3" t="str">
        <f>HYPERLINK("https://www.boe.es/gazeta/dias/1810/08/18/pdfs/GMD-1810-230.pdf#page=2","Abrir facsímil")</f>
        <v>Abrir facsímil</v>
      </c>
      <c r="K5244" s="3" t="s">
        <v>76</v>
      </c>
    </row>
    <row r="5245" spans="1:11" ht="42" customHeight="1">
      <c r="A5245" s="2" t="s">
        <v>13521</v>
      </c>
      <c r="B5245" s="2" t="s">
        <v>13521</v>
      </c>
      <c r="C5245" s="2" t="s">
        <v>111</v>
      </c>
      <c r="D5245" s="2" t="s">
        <v>220</v>
      </c>
      <c r="E5245" s="4">
        <v>-32553</v>
      </c>
      <c r="F5245" s="3" t="s">
        <v>2276</v>
      </c>
      <c r="G5245" s="3" t="s">
        <v>140</v>
      </c>
      <c r="H5245" s="2" t="s">
        <v>74</v>
      </c>
      <c r="I5245" s="2" t="s">
        <v>13523</v>
      </c>
      <c r="J5245" s="3" t="str">
        <f>HYPERLINK("https://www.boe.es/gazeta/dias/1810/11/14/pdfs/GMD-1810-318.pdf#page=2","Abrir facsímil")</f>
        <v>Abrir facsímil</v>
      </c>
      <c r="K5245" s="3" t="s">
        <v>76</v>
      </c>
    </row>
    <row r="5246" spans="1:11" ht="42" customHeight="1">
      <c r="A5246" s="2" t="s">
        <v>13521</v>
      </c>
      <c r="B5246" s="2" t="s">
        <v>13521</v>
      </c>
      <c r="C5246" s="2" t="s">
        <v>26</v>
      </c>
      <c r="D5246" s="2" t="s">
        <v>27</v>
      </c>
      <c r="E5246" s="4">
        <v>-32528</v>
      </c>
      <c r="F5246" s="3" t="s">
        <v>3058</v>
      </c>
      <c r="G5246" s="3" t="s">
        <v>2334</v>
      </c>
      <c r="H5246" s="2" t="s">
        <v>74</v>
      </c>
      <c r="I5246" s="2" t="s">
        <v>13524</v>
      </c>
      <c r="J5246" s="3" t="str">
        <f>HYPERLINK("https://www.boe.es/gazeta/dias/1810/12/09/pdfs/GMD-1810-343.pdf#page=1","Abrir facsímil")</f>
        <v>Abrir facsímil</v>
      </c>
      <c r="K5246" s="3" t="s">
        <v>76</v>
      </c>
    </row>
    <row r="5247" spans="1:11" ht="42" customHeight="1">
      <c r="A5247" s="2" t="s">
        <v>13525</v>
      </c>
      <c r="B5247" s="2" t="s">
        <v>13526</v>
      </c>
      <c r="C5247" s="2" t="s">
        <v>33</v>
      </c>
      <c r="D5247" s="2" t="s">
        <v>27</v>
      </c>
      <c r="E5247" s="4">
        <v>-32788</v>
      </c>
      <c r="F5247" s="3" t="s">
        <v>1254</v>
      </c>
      <c r="G5247" s="3" t="s">
        <v>3327</v>
      </c>
      <c r="H5247" s="2" t="s">
        <v>74</v>
      </c>
      <c r="I5247" s="2" t="s">
        <v>13527</v>
      </c>
      <c r="J5247" s="3" t="str">
        <f>HYPERLINK("https://www.boe.es/gazeta/dias/1810/03/24/pdfs/GMD-1810-83.pdf#page=3","Abrir facsímil")</f>
        <v>Abrir facsímil</v>
      </c>
      <c r="K5247" s="3" t="s">
        <v>76</v>
      </c>
    </row>
    <row r="5248" spans="1:11" ht="42" customHeight="1">
      <c r="A5248" s="2" t="s">
        <v>13525</v>
      </c>
      <c r="B5248" s="2" t="s">
        <v>13526</v>
      </c>
      <c r="C5248" s="2" t="s">
        <v>33</v>
      </c>
      <c r="D5248" s="2" t="s">
        <v>27</v>
      </c>
      <c r="E5248" s="4">
        <v>-32785</v>
      </c>
      <c r="F5248" s="3" t="s">
        <v>5915</v>
      </c>
      <c r="G5248" s="3" t="s">
        <v>29</v>
      </c>
      <c r="H5248" s="2" t="s">
        <v>74</v>
      </c>
      <c r="I5248" s="2" t="s">
        <v>13528</v>
      </c>
      <c r="J5248" s="3" t="str">
        <f>HYPERLINK("https://www.boe.es/gazeta/dias/1810/03/27/pdfs/GMD-1810-86.pdf#page=3","Abrir facsímil")</f>
        <v>Abrir facsímil</v>
      </c>
      <c r="K5248" s="3" t="s">
        <v>76</v>
      </c>
    </row>
    <row r="5249" spans="1:11" ht="42" customHeight="1">
      <c r="A5249" s="2" t="s">
        <v>13525</v>
      </c>
      <c r="B5249" s="2" t="s">
        <v>13526</v>
      </c>
      <c r="C5249" s="2" t="s">
        <v>26</v>
      </c>
      <c r="D5249" s="2" t="s">
        <v>18</v>
      </c>
      <c r="E5249" s="4">
        <v>-32779</v>
      </c>
      <c r="F5249" s="3" t="s">
        <v>5274</v>
      </c>
      <c r="G5249" s="3" t="s">
        <v>151</v>
      </c>
      <c r="H5249" s="2" t="s">
        <v>74</v>
      </c>
      <c r="I5249" s="2" t="s">
        <v>13529</v>
      </c>
      <c r="J5249" s="3" t="str">
        <f>HYPERLINK("https://www.boe.es/gazeta/dias/1810/04/02/pdfs/GMD-1810-92.pdf#page=3","Abrir facsímil")</f>
        <v>Abrir facsímil</v>
      </c>
      <c r="K5249" s="3" t="s">
        <v>76</v>
      </c>
    </row>
    <row r="5250" spans="1:11" ht="42" customHeight="1">
      <c r="A5250" s="2" t="s">
        <v>13525</v>
      </c>
      <c r="B5250" s="2" t="s">
        <v>13526</v>
      </c>
      <c r="C5250" s="2" t="s">
        <v>26</v>
      </c>
      <c r="D5250" s="2" t="s">
        <v>27</v>
      </c>
      <c r="E5250" s="4">
        <v>-32776</v>
      </c>
      <c r="F5250" s="3" t="s">
        <v>752</v>
      </c>
      <c r="G5250" s="3" t="s">
        <v>213</v>
      </c>
      <c r="H5250" s="2" t="s">
        <v>74</v>
      </c>
      <c r="I5250" s="2" t="s">
        <v>13530</v>
      </c>
      <c r="J5250" s="3" t="str">
        <f>HYPERLINK("https://www.boe.es/gazeta/dias/1810/04/05/pdfs/GMD-1810-95.pdf#page=3","Abrir facsímil")</f>
        <v>Abrir facsímil</v>
      </c>
      <c r="K5250" s="3" t="s">
        <v>76</v>
      </c>
    </row>
    <row r="5251" spans="1:11" ht="42" customHeight="1">
      <c r="A5251" s="2" t="s">
        <v>13525</v>
      </c>
      <c r="B5251" s="2" t="s">
        <v>13526</v>
      </c>
      <c r="C5251" s="2" t="s">
        <v>26</v>
      </c>
      <c r="D5251" s="2" t="s">
        <v>27</v>
      </c>
      <c r="E5251" s="4">
        <v>-32774</v>
      </c>
      <c r="F5251" s="3" t="s">
        <v>10556</v>
      </c>
      <c r="G5251" s="3" t="s">
        <v>99</v>
      </c>
      <c r="H5251" s="2" t="s">
        <v>74</v>
      </c>
      <c r="I5251" s="2" t="s">
        <v>13531</v>
      </c>
      <c r="J5251" s="3" t="str">
        <f>HYPERLINK("https://www.boe.es/gazeta/dias/1810/04/07/pdfs/GMD-1810-97.pdf#page=3","Abrir facsímil")</f>
        <v>Abrir facsímil</v>
      </c>
      <c r="K5251" s="3" t="s">
        <v>76</v>
      </c>
    </row>
    <row r="5252" spans="1:11" ht="42" customHeight="1">
      <c r="A5252" s="2" t="s">
        <v>13525</v>
      </c>
      <c r="B5252" s="2" t="s">
        <v>13526</v>
      </c>
      <c r="C5252" s="2" t="s">
        <v>88</v>
      </c>
      <c r="D5252" s="2" t="s">
        <v>117</v>
      </c>
      <c r="E5252" s="4">
        <v>-32770</v>
      </c>
      <c r="F5252" s="3" t="s">
        <v>7130</v>
      </c>
      <c r="G5252" s="3" t="s">
        <v>99</v>
      </c>
      <c r="H5252" s="2" t="s">
        <v>74</v>
      </c>
      <c r="I5252" s="2" t="s">
        <v>13532</v>
      </c>
      <c r="J5252" s="3" t="str">
        <f>HYPERLINK("https://www.boe.es/gazeta/dias/1810/04/11/pdfs/GMD-1810-101.pdf#page=3","Abrir facsímil")</f>
        <v>Abrir facsímil</v>
      </c>
      <c r="K5252" s="3" t="s">
        <v>76</v>
      </c>
    </row>
    <row r="5253" spans="1:11" ht="42" customHeight="1">
      <c r="A5253" s="2" t="s">
        <v>13525</v>
      </c>
      <c r="B5253" s="2" t="s">
        <v>13526</v>
      </c>
      <c r="C5253" s="2" t="s">
        <v>26</v>
      </c>
      <c r="D5253" s="2" t="s">
        <v>27</v>
      </c>
      <c r="E5253" s="4">
        <v>-32770</v>
      </c>
      <c r="F5253" s="3" t="s">
        <v>7130</v>
      </c>
      <c r="G5253" s="3" t="s">
        <v>227</v>
      </c>
      <c r="H5253" s="2" t="s">
        <v>74</v>
      </c>
      <c r="I5253" s="2" t="s">
        <v>13533</v>
      </c>
      <c r="J5253" s="3" t="str">
        <f>HYPERLINK("https://www.boe.es/gazeta/dias/1810/04/11/pdfs/GMD-1810-101.pdf#page=4","Abrir facsímil")</f>
        <v>Abrir facsímil</v>
      </c>
      <c r="K5253" s="3" t="s">
        <v>76</v>
      </c>
    </row>
    <row r="5254" spans="1:11" ht="42" customHeight="1">
      <c r="A5254" s="2" t="s">
        <v>13525</v>
      </c>
      <c r="B5254" s="2" t="s">
        <v>13526</v>
      </c>
      <c r="C5254" s="2" t="s">
        <v>33</v>
      </c>
      <c r="D5254" s="2" t="s">
        <v>27</v>
      </c>
      <c r="E5254" s="4">
        <v>-32767</v>
      </c>
      <c r="F5254" s="3" t="s">
        <v>1265</v>
      </c>
      <c r="G5254" s="3" t="s">
        <v>35</v>
      </c>
      <c r="H5254" s="2" t="s">
        <v>74</v>
      </c>
      <c r="I5254" s="2" t="s">
        <v>13534</v>
      </c>
      <c r="J5254" s="3" t="str">
        <f>HYPERLINK("https://www.boe.es/gazeta/dias/1810/04/14/pdfs/GMD-1810-104.pdf#page=2","Abrir facsímil")</f>
        <v>Abrir facsímil</v>
      </c>
      <c r="K5254" s="3" t="s">
        <v>76</v>
      </c>
    </row>
    <row r="5255" spans="1:11" ht="42" customHeight="1">
      <c r="A5255" s="2" t="s">
        <v>13525</v>
      </c>
      <c r="B5255" s="2" t="s">
        <v>13526</v>
      </c>
      <c r="C5255" s="2" t="s">
        <v>26</v>
      </c>
      <c r="D5255" s="2" t="s">
        <v>220</v>
      </c>
      <c r="E5255" s="4">
        <v>-32756</v>
      </c>
      <c r="F5255" s="3" t="s">
        <v>203</v>
      </c>
      <c r="G5255" s="3" t="s">
        <v>60</v>
      </c>
      <c r="H5255" s="2" t="s">
        <v>74</v>
      </c>
      <c r="I5255" s="2" t="s">
        <v>13535</v>
      </c>
      <c r="J5255" s="3" t="str">
        <f>HYPERLINK("https://www.boe.es/gazeta/dias/1810/04/25/pdfs/GMD-1810-115.pdf#page=2","Abrir facsímil")</f>
        <v>Abrir facsímil</v>
      </c>
      <c r="K5255" s="3" t="s">
        <v>76</v>
      </c>
    </row>
    <row r="5256" spans="1:11" ht="42" customHeight="1">
      <c r="A5256" s="2" t="s">
        <v>13525</v>
      </c>
      <c r="B5256" s="2" t="s">
        <v>13526</v>
      </c>
      <c r="C5256" s="2" t="s">
        <v>88</v>
      </c>
      <c r="D5256" s="2" t="s">
        <v>117</v>
      </c>
      <c r="E5256" s="4">
        <v>-32745</v>
      </c>
      <c r="F5256" s="3" t="s">
        <v>7101</v>
      </c>
      <c r="G5256" s="3" t="s">
        <v>7102</v>
      </c>
      <c r="H5256" s="2" t="s">
        <v>74</v>
      </c>
      <c r="I5256" s="2" t="s">
        <v>13536</v>
      </c>
      <c r="J5256" s="3" t="str">
        <f>HYPERLINK("https://www.boe.es/gazeta/dias/1810/05/06/pdfs/GMD-1810-126.pdf#page=2","Abrir facsímil")</f>
        <v>Abrir facsímil</v>
      </c>
      <c r="K5256" s="3" t="s">
        <v>76</v>
      </c>
    </row>
    <row r="5257" spans="1:11" ht="42" customHeight="1">
      <c r="A5257" s="2" t="s">
        <v>13525</v>
      </c>
      <c r="B5257" s="2" t="s">
        <v>13526</v>
      </c>
      <c r="C5257" s="2" t="s">
        <v>26</v>
      </c>
      <c r="D5257" s="2" t="s">
        <v>39</v>
      </c>
      <c r="E5257" s="4">
        <v>-32701</v>
      </c>
      <c r="F5257" s="3" t="s">
        <v>40</v>
      </c>
      <c r="G5257" s="3" t="s">
        <v>315</v>
      </c>
      <c r="H5257" s="2" t="s">
        <v>74</v>
      </c>
      <c r="I5257" s="2" t="s">
        <v>13537</v>
      </c>
      <c r="J5257" s="3" t="str">
        <f>HYPERLINK("https://www.boe.es/gazeta/dias/1810/06/19/pdfs/GMD-C-1810-170.pdf#page=2","Abrir facsímil")</f>
        <v>Abrir facsímil</v>
      </c>
      <c r="K5257" s="3" t="s">
        <v>76</v>
      </c>
    </row>
    <row r="5258" spans="1:11" ht="42" customHeight="1">
      <c r="A5258" s="2" t="s">
        <v>13525</v>
      </c>
      <c r="B5258" s="2" t="s">
        <v>13526</v>
      </c>
      <c r="C5258" s="2" t="s">
        <v>33</v>
      </c>
      <c r="D5258" s="2" t="s">
        <v>27</v>
      </c>
      <c r="E5258" s="4">
        <v>-32606</v>
      </c>
      <c r="F5258" s="3" t="s">
        <v>3743</v>
      </c>
      <c r="G5258" s="3" t="s">
        <v>13538</v>
      </c>
      <c r="H5258" s="2" t="s">
        <v>74</v>
      </c>
      <c r="I5258" s="2" t="s">
        <v>13539</v>
      </c>
      <c r="J5258" s="3" t="str">
        <f>HYPERLINK("https://www.boe.es/gazeta/dias/1810/09/22/pdfs/GEI-1810-71.pdf#page=3","Abrir facsímil")</f>
        <v>Abrir facsímil</v>
      </c>
      <c r="K5258" s="3" t="s">
        <v>76</v>
      </c>
    </row>
    <row r="5259" spans="1:11" ht="42" customHeight="1">
      <c r="A5259" s="2" t="s">
        <v>13540</v>
      </c>
      <c r="B5259" s="2" t="s">
        <v>13541</v>
      </c>
      <c r="C5259" s="2" t="s">
        <v>26</v>
      </c>
      <c r="D5259" s="2" t="s">
        <v>220</v>
      </c>
      <c r="E5259" s="4">
        <v>-32757</v>
      </c>
      <c r="F5259" s="3" t="s">
        <v>414</v>
      </c>
      <c r="G5259" s="3" t="s">
        <v>641</v>
      </c>
      <c r="H5259" s="2" t="s">
        <v>74</v>
      </c>
      <c r="I5259" s="2" t="s">
        <v>13542</v>
      </c>
      <c r="J5259" s="3" t="str">
        <f>HYPERLINK("https://www.boe.es/gazeta/dias/1810/04/24/pdfs/GMD-1810-114.pdf#page=1","Abrir facsímil")</f>
        <v>Abrir facsímil</v>
      </c>
      <c r="K5259" s="3" t="s">
        <v>76</v>
      </c>
    </row>
    <row r="5260" spans="1:11" ht="42" customHeight="1">
      <c r="A5260" s="2" t="s">
        <v>13543</v>
      </c>
      <c r="B5260" s="2" t="s">
        <v>13543</v>
      </c>
      <c r="C5260" s="2" t="s">
        <v>88</v>
      </c>
      <c r="D5260" s="2" t="s">
        <v>27</v>
      </c>
      <c r="E5260" s="4">
        <v>-32541</v>
      </c>
      <c r="F5260" s="3" t="s">
        <v>748</v>
      </c>
      <c r="G5260" s="3" t="s">
        <v>3125</v>
      </c>
      <c r="H5260" s="2" t="s">
        <v>74</v>
      </c>
      <c r="I5260" s="2" t="s">
        <v>13544</v>
      </c>
      <c r="J5260" s="3" t="str">
        <f>HYPERLINK("https://www.boe.es/gazeta/dias/1810/11/26/pdfs/GMD-1810-330.pdf#page=3","Abrir facsímil")</f>
        <v>Abrir facsímil</v>
      </c>
      <c r="K5260" s="3" t="s">
        <v>76</v>
      </c>
    </row>
    <row r="5261" spans="1:11" ht="42" customHeight="1">
      <c r="A5261" s="2" t="s">
        <v>13545</v>
      </c>
      <c r="B5261" s="2" t="s">
        <v>13546</v>
      </c>
      <c r="C5261" s="2" t="s">
        <v>26</v>
      </c>
      <c r="D5261" s="2" t="s">
        <v>27</v>
      </c>
      <c r="E5261" s="4">
        <v>-32508</v>
      </c>
      <c r="F5261" s="3" t="s">
        <v>864</v>
      </c>
      <c r="G5261" s="3" t="s">
        <v>691</v>
      </c>
      <c r="H5261" s="2" t="s">
        <v>74</v>
      </c>
      <c r="I5261" s="2" t="s">
        <v>13547</v>
      </c>
      <c r="J5261" s="3" t="str">
        <f>HYPERLINK("https://www.boe.es/gazeta/dias/1810/12/29/pdfs/GEI-1810-114.pdf#page=8","Abrir facsímil")</f>
        <v>Abrir facsímil</v>
      </c>
      <c r="K5261" s="3" t="s">
        <v>76</v>
      </c>
    </row>
    <row r="5262" spans="1:11" ht="42" customHeight="1">
      <c r="A5262" s="2" t="s">
        <v>13548</v>
      </c>
      <c r="B5262" s="2" t="s">
        <v>13549</v>
      </c>
      <c r="C5262" s="2" t="s">
        <v>88</v>
      </c>
      <c r="D5262" s="2" t="s">
        <v>27</v>
      </c>
      <c r="E5262" s="4">
        <v>-32710</v>
      </c>
      <c r="F5262" s="3" t="s">
        <v>126</v>
      </c>
      <c r="G5262" s="3" t="s">
        <v>184</v>
      </c>
      <c r="H5262" s="2" t="s">
        <v>74</v>
      </c>
      <c r="I5262" s="2" t="s">
        <v>13550</v>
      </c>
      <c r="J5262" s="3" t="str">
        <f>HYPERLINK("https://www.boe.es/gazeta/dias/1810/06/10/pdfs/GMD-1810-161.pdf#page=3","Abrir facsímil")</f>
        <v>Abrir facsímil</v>
      </c>
      <c r="K5262" s="3" t="s">
        <v>76</v>
      </c>
    </row>
    <row r="5263" spans="1:11" ht="42" customHeight="1">
      <c r="A5263" s="2" t="s">
        <v>13551</v>
      </c>
      <c r="B5263" s="2" t="s">
        <v>13551</v>
      </c>
      <c r="C5263" s="2" t="s">
        <v>26</v>
      </c>
      <c r="D5263" s="2" t="s">
        <v>27</v>
      </c>
      <c r="E5263" s="4">
        <v>-32726</v>
      </c>
      <c r="F5263" s="3" t="s">
        <v>3350</v>
      </c>
      <c r="G5263" s="3" t="s">
        <v>227</v>
      </c>
      <c r="H5263" s="2" t="s">
        <v>74</v>
      </c>
      <c r="I5263" s="2" t="s">
        <v>13552</v>
      </c>
      <c r="J5263" s="3" t="str">
        <f>HYPERLINK("https://www.boe.es/gazeta/dias/1810/05/25/pdfs/GMD-1810-145.pdf#page=1","Abrir facsímil")</f>
        <v>Abrir facsímil</v>
      </c>
      <c r="K5263" s="3" t="s">
        <v>76</v>
      </c>
    </row>
    <row r="5264" spans="1:11" ht="42" customHeight="1">
      <c r="A5264" s="2" t="s">
        <v>13553</v>
      </c>
      <c r="B5264" s="2" t="s">
        <v>13554</v>
      </c>
      <c r="C5264" s="2" t="s">
        <v>26</v>
      </c>
      <c r="D5264" s="2" t="s">
        <v>39</v>
      </c>
      <c r="E5264" s="4">
        <v>-32661</v>
      </c>
      <c r="F5264" s="3" t="s">
        <v>157</v>
      </c>
      <c r="G5264" s="3" t="s">
        <v>592</v>
      </c>
      <c r="H5264" s="2" t="s">
        <v>74</v>
      </c>
      <c r="I5264" s="2" t="s">
        <v>13555</v>
      </c>
      <c r="J5264" s="3" t="str">
        <f>HYPERLINK("https://www.boe.es/gazeta/dias/1810/07/29/pdfs/GMD-C-1810-210.pdf#page=2","Abrir facsímil")</f>
        <v>Abrir facsímil</v>
      </c>
      <c r="K5264" s="3" t="s">
        <v>76</v>
      </c>
    </row>
    <row r="5265" spans="1:11" ht="42" customHeight="1">
      <c r="A5265" s="2" t="s">
        <v>13556</v>
      </c>
      <c r="B5265" s="2" t="s">
        <v>13557</v>
      </c>
      <c r="C5265" s="2" t="s">
        <v>26</v>
      </c>
      <c r="D5265" s="2" t="s">
        <v>27</v>
      </c>
      <c r="E5265" s="4">
        <v>-32545</v>
      </c>
      <c r="F5265" s="3" t="s">
        <v>165</v>
      </c>
      <c r="G5265" s="3" t="s">
        <v>166</v>
      </c>
      <c r="H5265" s="2" t="s">
        <v>74</v>
      </c>
      <c r="I5265" s="2" t="s">
        <v>13558</v>
      </c>
      <c r="J5265" s="3" t="str">
        <f>HYPERLINK("https://www.boe.es/gazeta/dias/1810/11/22/pdfs/GEI-1810-98.pdf#page=8","Abrir facsímil")</f>
        <v>Abrir facsímil</v>
      </c>
      <c r="K5265" s="3" t="s">
        <v>76</v>
      </c>
    </row>
    <row r="5266" spans="1:11" ht="42" customHeight="1">
      <c r="A5266" s="2" t="s">
        <v>13559</v>
      </c>
      <c r="B5266" s="2" t="s">
        <v>13560</v>
      </c>
      <c r="C5266" s="2" t="s">
        <v>88</v>
      </c>
      <c r="D5266" s="2" t="s">
        <v>27</v>
      </c>
      <c r="E5266" s="4">
        <v>-32508</v>
      </c>
      <c r="F5266" s="3" t="s">
        <v>864</v>
      </c>
      <c r="G5266" s="3" t="s">
        <v>1764</v>
      </c>
      <c r="H5266" s="2" t="s">
        <v>74</v>
      </c>
      <c r="I5266" s="2" t="s">
        <v>13561</v>
      </c>
      <c r="J5266" s="3" t="str">
        <f>HYPERLINK("https://www.boe.es/gazeta/dias/1810/12/29/pdfs/GEI-1810-114.pdf#page=7","Abrir facsímil")</f>
        <v>Abrir facsímil</v>
      </c>
      <c r="K5266" s="3" t="s">
        <v>76</v>
      </c>
    </row>
    <row r="5267" spans="1:11" ht="42" customHeight="1">
      <c r="A5267" s="2" t="s">
        <v>13562</v>
      </c>
      <c r="B5267" s="2" t="s">
        <v>13563</v>
      </c>
      <c r="C5267" s="2" t="s">
        <v>88</v>
      </c>
      <c r="D5267" s="2" t="s">
        <v>117</v>
      </c>
      <c r="E5267" s="4">
        <v>-32666</v>
      </c>
      <c r="F5267" s="3" t="s">
        <v>1913</v>
      </c>
      <c r="G5267" s="3" t="s">
        <v>1914</v>
      </c>
      <c r="H5267" s="2" t="s">
        <v>74</v>
      </c>
      <c r="I5267" s="2" t="s">
        <v>13564</v>
      </c>
      <c r="J5267" s="3" t="str">
        <f>HYPERLINK("https://www.boe.es/gazeta/dias/1810/07/24/pdfs/GMD-1810-205.pdf#page=4","Abrir facsímil")</f>
        <v>Abrir facsímil</v>
      </c>
      <c r="K5267" s="3" t="s">
        <v>76</v>
      </c>
    </row>
    <row r="5268" spans="1:11" ht="42" customHeight="1">
      <c r="A5268" s="2" t="s">
        <v>13565</v>
      </c>
      <c r="B5268" s="2" t="s">
        <v>13566</v>
      </c>
      <c r="C5268" s="2" t="s">
        <v>88</v>
      </c>
      <c r="D5268" s="2" t="s">
        <v>117</v>
      </c>
      <c r="E5268" s="4">
        <v>-32710</v>
      </c>
      <c r="F5268" s="3" t="s">
        <v>126</v>
      </c>
      <c r="G5268" s="3" t="s">
        <v>180</v>
      </c>
      <c r="H5268" s="2" t="s">
        <v>21</v>
      </c>
      <c r="I5268" s="2" t="s">
        <v>13567</v>
      </c>
      <c r="J5268" s="3" t="str">
        <f>HYPERLINK("https://www.boe.es/gazeta/dias/1810/06/10/pdfs/GMD-1810-161.pdf#page=1","Abrir facsímil")</f>
        <v>Abrir facsímil</v>
      </c>
      <c r="K5268" s="3" t="s">
        <v>23</v>
      </c>
    </row>
    <row r="5269" spans="1:11" ht="42" customHeight="1">
      <c r="A5269" s="2" t="s">
        <v>13568</v>
      </c>
      <c r="B5269" s="2" t="s">
        <v>13569</v>
      </c>
      <c r="C5269" s="2" t="s">
        <v>225</v>
      </c>
      <c r="D5269" s="2" t="s">
        <v>27</v>
      </c>
      <c r="E5269" s="4">
        <v>-32693</v>
      </c>
      <c r="F5269" s="3" t="s">
        <v>54</v>
      </c>
      <c r="G5269" s="3" t="s">
        <v>20</v>
      </c>
      <c r="H5269" s="2" t="s">
        <v>21</v>
      </c>
      <c r="I5269" s="2" t="s">
        <v>13570</v>
      </c>
      <c r="J5269" s="3" t="str">
        <f>HYPERLINK("https://www.boe.es/gazeta/dias/1810/06/27/pdfs/GMD-1810-178.pdf#page=4","Abrir facsímil")</f>
        <v>Abrir facsímil</v>
      </c>
      <c r="K5269" s="3" t="s">
        <v>23</v>
      </c>
    </row>
    <row r="5270" spans="1:11" ht="42" customHeight="1">
      <c r="A5270" s="2" t="s">
        <v>13571</v>
      </c>
      <c r="B5270" s="2" t="s">
        <v>13572</v>
      </c>
      <c r="C5270" s="2" t="s">
        <v>26</v>
      </c>
      <c r="D5270" s="2" t="s">
        <v>27</v>
      </c>
      <c r="E5270" s="4">
        <v>-32772</v>
      </c>
      <c r="F5270" s="3" t="s">
        <v>398</v>
      </c>
      <c r="G5270" s="3" t="s">
        <v>99</v>
      </c>
      <c r="H5270" s="2" t="s">
        <v>21</v>
      </c>
      <c r="I5270" s="2" t="s">
        <v>13573</v>
      </c>
      <c r="J5270" s="3" t="str">
        <f>HYPERLINK("https://www.boe.es/gazeta/dias/1810/04/09/pdfs/GMD-1810-99.pdf#page=3","Abrir facsímil")</f>
        <v>Abrir facsímil</v>
      </c>
      <c r="K5270" s="3" t="s">
        <v>23</v>
      </c>
    </row>
    <row r="5271" spans="1:11" ht="42" customHeight="1">
      <c r="A5271" s="2" t="s">
        <v>13574</v>
      </c>
      <c r="B5271" s="2" t="s">
        <v>13575</v>
      </c>
      <c r="C5271" s="2" t="s">
        <v>88</v>
      </c>
      <c r="D5271" s="2" t="s">
        <v>27</v>
      </c>
      <c r="E5271" s="4">
        <v>-32642</v>
      </c>
      <c r="F5271" s="3" t="s">
        <v>657</v>
      </c>
      <c r="G5271" s="3" t="s">
        <v>29</v>
      </c>
      <c r="H5271" s="2" t="s">
        <v>21</v>
      </c>
      <c r="I5271" s="2" t="s">
        <v>13576</v>
      </c>
      <c r="J5271" s="3" t="str">
        <f>HYPERLINK("https://www.boe.es/gazeta/dias/1810/08/17/pdfs/GEI-1810-57.pdf#page=4","Abrir facsímil")</f>
        <v>Abrir facsímil</v>
      </c>
      <c r="K5271" s="3" t="s">
        <v>23</v>
      </c>
    </row>
    <row r="5272" spans="1:11" ht="42" customHeight="1">
      <c r="A5272" s="2" t="s">
        <v>13574</v>
      </c>
      <c r="B5272" s="2" t="s">
        <v>13575</v>
      </c>
      <c r="C5272" s="2" t="s">
        <v>26</v>
      </c>
      <c r="D5272" s="2" t="s">
        <v>27</v>
      </c>
      <c r="E5272" s="4">
        <v>-32508</v>
      </c>
      <c r="F5272" s="3" t="s">
        <v>864</v>
      </c>
      <c r="G5272" s="3" t="s">
        <v>691</v>
      </c>
      <c r="H5272" s="2" t="s">
        <v>21</v>
      </c>
      <c r="I5272" s="2" t="s">
        <v>13577</v>
      </c>
      <c r="J5272" s="3" t="str">
        <f>HYPERLINK("https://www.boe.es/gazeta/dias/1810/12/29/pdfs/GEI-1810-114.pdf#page=8","Abrir facsímil")</f>
        <v>Abrir facsímil</v>
      </c>
      <c r="K5272" s="3" t="s">
        <v>23</v>
      </c>
    </row>
    <row r="5273" spans="1:11" ht="42" customHeight="1">
      <c r="A5273" s="2" t="s">
        <v>13578</v>
      </c>
      <c r="B5273" s="2" t="s">
        <v>13579</v>
      </c>
      <c r="C5273" s="2" t="s">
        <v>88</v>
      </c>
      <c r="D5273" s="2" t="s">
        <v>27</v>
      </c>
      <c r="E5273" s="4">
        <v>-32591</v>
      </c>
      <c r="F5273" s="3" t="s">
        <v>377</v>
      </c>
      <c r="G5273" s="3" t="s">
        <v>136</v>
      </c>
      <c r="H5273" s="2" t="s">
        <v>21</v>
      </c>
      <c r="I5273" s="2" t="s">
        <v>13580</v>
      </c>
      <c r="J5273" s="3" t="str">
        <f>HYPERLINK("https://www.boe.es/gazeta/dias/1810/10/07/pdfs/GMD-1810-280.pdf#page=3","Abrir facsímil")</f>
        <v>Abrir facsímil</v>
      </c>
      <c r="K5273" s="3" t="s">
        <v>23</v>
      </c>
    </row>
    <row r="5274" spans="1:11" ht="42" customHeight="1">
      <c r="A5274" s="2" t="s">
        <v>13581</v>
      </c>
      <c r="B5274" s="2" t="s">
        <v>13582</v>
      </c>
      <c r="C5274" s="2" t="s">
        <v>26</v>
      </c>
      <c r="D5274" s="2" t="s">
        <v>39</v>
      </c>
      <c r="E5274" s="4">
        <v>-32701</v>
      </c>
      <c r="F5274" s="3" t="s">
        <v>40</v>
      </c>
      <c r="G5274" s="3" t="s">
        <v>333</v>
      </c>
      <c r="H5274" s="2" t="s">
        <v>21</v>
      </c>
      <c r="I5274" s="2" t="s">
        <v>13583</v>
      </c>
      <c r="J5274" s="3" t="str">
        <f>HYPERLINK("https://www.boe.es/gazeta/dias/1810/06/19/pdfs/GMD-C-1810-170.pdf#page=4","Abrir facsímil")</f>
        <v>Abrir facsímil</v>
      </c>
      <c r="K5274" s="3" t="s">
        <v>23</v>
      </c>
    </row>
    <row r="5275" spans="1:11" ht="42" customHeight="1">
      <c r="A5275" s="2" t="s">
        <v>13584</v>
      </c>
      <c r="B5275" s="2" t="s">
        <v>13585</v>
      </c>
      <c r="C5275" s="2" t="s">
        <v>26</v>
      </c>
      <c r="D5275" s="2" t="s">
        <v>39</v>
      </c>
      <c r="E5275" s="4">
        <v>-32701</v>
      </c>
      <c r="F5275" s="3" t="s">
        <v>40</v>
      </c>
      <c r="G5275" s="3" t="s">
        <v>170</v>
      </c>
      <c r="H5275" s="2" t="s">
        <v>21</v>
      </c>
      <c r="I5275" s="2" t="s">
        <v>13586</v>
      </c>
      <c r="J5275" s="3" t="str">
        <f>HYPERLINK("https://www.boe.es/gazeta/dias/1810/06/19/pdfs/GMD-C-1810-170.pdf#page=1","Abrir facsímil")</f>
        <v>Abrir facsímil</v>
      </c>
      <c r="K5275" s="3" t="s">
        <v>23</v>
      </c>
    </row>
    <row r="5276" spans="1:11" ht="42" customHeight="1">
      <c r="A5276" s="2" t="s">
        <v>13587</v>
      </c>
      <c r="B5276" s="2" t="s">
        <v>13588</v>
      </c>
      <c r="C5276" s="2" t="s">
        <v>26</v>
      </c>
      <c r="D5276" s="2" t="s">
        <v>39</v>
      </c>
      <c r="E5276" s="4">
        <v>-32701</v>
      </c>
      <c r="F5276" s="3" t="s">
        <v>40</v>
      </c>
      <c r="G5276" s="3" t="s">
        <v>170</v>
      </c>
      <c r="H5276" s="2" t="s">
        <v>21</v>
      </c>
      <c r="I5276" s="2" t="s">
        <v>13589</v>
      </c>
      <c r="J5276" s="3" t="str">
        <f>HYPERLINK("https://www.boe.es/gazeta/dias/1810/06/19/pdfs/GMD-C-1810-170.pdf#page=1","Abrir facsímil")</f>
        <v>Abrir facsímil</v>
      </c>
      <c r="K5276" s="3" t="s">
        <v>23</v>
      </c>
    </row>
    <row r="5277" spans="1:11" ht="42" customHeight="1">
      <c r="A5277" s="2" t="s">
        <v>13590</v>
      </c>
      <c r="B5277" s="2" t="s">
        <v>13591</v>
      </c>
      <c r="C5277" s="2" t="s">
        <v>26</v>
      </c>
      <c r="D5277" s="2" t="s">
        <v>18</v>
      </c>
      <c r="E5277" s="4">
        <v>-32689</v>
      </c>
      <c r="F5277" s="3" t="s">
        <v>571</v>
      </c>
      <c r="G5277" s="3" t="s">
        <v>29</v>
      </c>
      <c r="H5277" s="2" t="s">
        <v>21</v>
      </c>
      <c r="I5277" s="2" t="s">
        <v>13592</v>
      </c>
      <c r="J5277" s="3" t="str">
        <f>HYPERLINK("https://www.boe.es/gazeta/dias/1810/07/01/pdfs/GMD-1810-182.pdf#page=3","Abrir facsímil")</f>
        <v>Abrir facsímil</v>
      </c>
      <c r="K5277" s="3" t="s">
        <v>23</v>
      </c>
    </row>
    <row r="5278" spans="1:11" ht="42" customHeight="1">
      <c r="A5278" s="2" t="s">
        <v>13590</v>
      </c>
      <c r="B5278" s="2" t="s">
        <v>13591</v>
      </c>
      <c r="C5278" s="2" t="s">
        <v>26</v>
      </c>
      <c r="D5278" s="2" t="s">
        <v>27</v>
      </c>
      <c r="E5278" s="4">
        <v>-32647</v>
      </c>
      <c r="F5278" s="3" t="s">
        <v>118</v>
      </c>
      <c r="G5278" s="3" t="s">
        <v>119</v>
      </c>
      <c r="H5278" s="2" t="s">
        <v>21</v>
      </c>
      <c r="I5278" s="2" t="s">
        <v>13593</v>
      </c>
      <c r="J5278" s="3" t="str">
        <f>HYPERLINK("https://www.boe.es/gazeta/dias/1810/08/12/pdfs/GMD-1810-224.pdf#page=3","Abrir facsímil")</f>
        <v>Abrir facsímil</v>
      </c>
      <c r="K5278" s="3" t="s">
        <v>23</v>
      </c>
    </row>
    <row r="5279" spans="1:11" ht="42" customHeight="1">
      <c r="A5279" s="2" t="s">
        <v>13594</v>
      </c>
      <c r="B5279" s="2" t="s">
        <v>13595</v>
      </c>
      <c r="C5279" s="2" t="s">
        <v>26</v>
      </c>
      <c r="D5279" s="2" t="s">
        <v>39</v>
      </c>
      <c r="E5279" s="4">
        <v>-32701</v>
      </c>
      <c r="F5279" s="3" t="s">
        <v>40</v>
      </c>
      <c r="G5279" s="3" t="s">
        <v>333</v>
      </c>
      <c r="H5279" s="2" t="s">
        <v>21</v>
      </c>
      <c r="I5279" s="2" t="s">
        <v>13596</v>
      </c>
      <c r="J5279" s="3" t="str">
        <f>HYPERLINK("https://www.boe.es/gazeta/dias/1810/06/19/pdfs/GMD-C-1810-170.pdf#page=4","Abrir facsímil")</f>
        <v>Abrir facsímil</v>
      </c>
      <c r="K5279" s="3" t="s">
        <v>23</v>
      </c>
    </row>
    <row r="5280" spans="1:11" ht="42" customHeight="1">
      <c r="A5280" s="2" t="s">
        <v>13597</v>
      </c>
      <c r="B5280" s="2" t="s">
        <v>13598</v>
      </c>
      <c r="C5280" s="2" t="s">
        <v>111</v>
      </c>
      <c r="D5280" s="2" t="s">
        <v>18</v>
      </c>
      <c r="E5280" s="4">
        <v>-32865</v>
      </c>
      <c r="F5280" s="3" t="s">
        <v>1377</v>
      </c>
      <c r="G5280" s="3" t="s">
        <v>782</v>
      </c>
      <c r="H5280" s="2" t="s">
        <v>21</v>
      </c>
      <c r="I5280" s="2" t="s">
        <v>13599</v>
      </c>
      <c r="J5280" s="3" t="str">
        <f>HYPERLINK("https://www.boe.es/gazeta/dias/1810/01/06/pdfs/GMD-1810-6.pdf#page=5","Abrir facsímil")</f>
        <v>Abrir facsímil</v>
      </c>
      <c r="K5280" s="3" t="s">
        <v>23</v>
      </c>
    </row>
    <row r="5281" spans="1:11" ht="42" customHeight="1">
      <c r="A5281" s="2" t="s">
        <v>13597</v>
      </c>
      <c r="B5281" s="2" t="s">
        <v>13598</v>
      </c>
      <c r="C5281" s="2" t="s">
        <v>26</v>
      </c>
      <c r="D5281" s="2" t="s">
        <v>27</v>
      </c>
      <c r="E5281" s="4">
        <v>-32649</v>
      </c>
      <c r="F5281" s="3" t="s">
        <v>1988</v>
      </c>
      <c r="G5281" s="3" t="s">
        <v>636</v>
      </c>
      <c r="H5281" s="2" t="s">
        <v>21</v>
      </c>
      <c r="I5281" s="2" t="s">
        <v>13600</v>
      </c>
      <c r="J5281" s="3" t="str">
        <f>HYPERLINK("https://www.boe.es/gazeta/dias/1810/08/10/pdfs/GMD-1810-222.pdf#page=1","Abrir facsímil")</f>
        <v>Abrir facsímil</v>
      </c>
      <c r="K5281" s="3" t="s">
        <v>23</v>
      </c>
    </row>
    <row r="5282" spans="1:11" ht="42" customHeight="1">
      <c r="A5282" s="2" t="s">
        <v>13601</v>
      </c>
      <c r="B5282" s="2" t="s">
        <v>13602</v>
      </c>
      <c r="C5282" s="2" t="s">
        <v>225</v>
      </c>
      <c r="D5282" s="2" t="s">
        <v>27</v>
      </c>
      <c r="E5282" s="4">
        <v>-32729</v>
      </c>
      <c r="F5282" s="3" t="s">
        <v>174</v>
      </c>
      <c r="G5282" s="3" t="s">
        <v>70</v>
      </c>
      <c r="H5282" s="2" t="s">
        <v>74</v>
      </c>
      <c r="I5282" s="2" t="s">
        <v>13603</v>
      </c>
      <c r="J5282" s="3" t="str">
        <f>HYPERLINK("https://www.boe.es/gazeta/dias/1810/05/22/pdfs/GEI-1810-28.pdf#page=7","Abrir facsímil")</f>
        <v>Abrir facsímil</v>
      </c>
      <c r="K5282" s="3" t="s">
        <v>76</v>
      </c>
    </row>
    <row r="5283" spans="1:11" ht="42" customHeight="1">
      <c r="A5283" s="2" t="s">
        <v>13604</v>
      </c>
      <c r="B5283" s="2" t="s">
        <v>13605</v>
      </c>
      <c r="C5283" s="2" t="s">
        <v>88</v>
      </c>
      <c r="D5283" s="2" t="s">
        <v>117</v>
      </c>
      <c r="E5283" s="4">
        <v>-32722</v>
      </c>
      <c r="F5283" s="3" t="s">
        <v>856</v>
      </c>
      <c r="G5283" s="3" t="s">
        <v>857</v>
      </c>
      <c r="H5283" s="2" t="s">
        <v>74</v>
      </c>
      <c r="I5283" s="2" t="s">
        <v>13606</v>
      </c>
      <c r="J5283" s="3" t="str">
        <f>HYPERLINK("https://www.boe.es/gazeta/dias/1810/05/29/pdfs/GEI-1810-31.pdf#page=11","Abrir facsímil")</f>
        <v>Abrir facsímil</v>
      </c>
      <c r="K5283" s="3" t="s">
        <v>76</v>
      </c>
    </row>
    <row r="5284" spans="1:11" ht="42" customHeight="1">
      <c r="A5284" s="2" t="s">
        <v>13607</v>
      </c>
      <c r="B5284" s="2" t="s">
        <v>13608</v>
      </c>
      <c r="C5284" s="2" t="s">
        <v>26</v>
      </c>
      <c r="D5284" s="2" t="s">
        <v>27</v>
      </c>
      <c r="E5284" s="4">
        <v>-32784</v>
      </c>
      <c r="F5284" s="3" t="s">
        <v>429</v>
      </c>
      <c r="G5284" s="3" t="s">
        <v>1821</v>
      </c>
      <c r="H5284" s="2" t="s">
        <v>74</v>
      </c>
      <c r="I5284" s="2" t="s">
        <v>13609</v>
      </c>
      <c r="J5284" s="3" t="str">
        <f>HYPERLINK("https://www.boe.es/gazeta/dias/1810/03/28/pdfs/GMD-1810-87.pdf#page=4","Abrir facsímil")</f>
        <v>Abrir facsímil</v>
      </c>
      <c r="K5284" s="3" t="s">
        <v>76</v>
      </c>
    </row>
    <row r="5285" spans="1:11" ht="42" customHeight="1">
      <c r="A5285" s="2" t="s">
        <v>13610</v>
      </c>
      <c r="B5285" s="2" t="s">
        <v>13611</v>
      </c>
      <c r="C5285" s="2" t="s">
        <v>26</v>
      </c>
      <c r="D5285" s="2" t="s">
        <v>39</v>
      </c>
      <c r="E5285" s="4">
        <v>-32702</v>
      </c>
      <c r="F5285" s="3" t="s">
        <v>179</v>
      </c>
      <c r="G5285" s="3" t="s">
        <v>213</v>
      </c>
      <c r="H5285" s="2" t="s">
        <v>74</v>
      </c>
      <c r="I5285" s="2" t="s">
        <v>13612</v>
      </c>
      <c r="J5285" s="3" t="str">
        <f>HYPERLINK("https://www.boe.es/gazeta/dias/1810/06/18/pdfs/GMD-C-1810-169.pdf#page=4","Abrir facsímil")</f>
        <v>Abrir facsímil</v>
      </c>
      <c r="K5285" s="3" t="s">
        <v>76</v>
      </c>
    </row>
    <row r="5286" spans="1:11" ht="42" customHeight="1">
      <c r="A5286" s="2" t="s">
        <v>13613</v>
      </c>
      <c r="B5286" s="2" t="s">
        <v>13614</v>
      </c>
      <c r="C5286" s="2" t="s">
        <v>111</v>
      </c>
      <c r="D5286" s="2" t="s">
        <v>27</v>
      </c>
      <c r="E5286" s="4">
        <v>-32732</v>
      </c>
      <c r="F5286" s="3" t="s">
        <v>545</v>
      </c>
      <c r="G5286" s="3" t="s">
        <v>140</v>
      </c>
      <c r="H5286" s="2" t="s">
        <v>74</v>
      </c>
      <c r="I5286" s="2" t="s">
        <v>13615</v>
      </c>
      <c r="J5286" s="3" t="str">
        <f>HYPERLINK("https://www.boe.es/gazeta/dias/1810/05/19/pdfs/GMD-1810-139.pdf#page=3","Abrir facsímil")</f>
        <v>Abrir facsímil</v>
      </c>
      <c r="K5286" s="3" t="s">
        <v>76</v>
      </c>
    </row>
    <row r="5287" spans="1:11" ht="42" customHeight="1">
      <c r="A5287" s="2" t="s">
        <v>13616</v>
      </c>
      <c r="B5287" s="2" t="s">
        <v>13617</v>
      </c>
      <c r="C5287" s="2" t="s">
        <v>225</v>
      </c>
      <c r="D5287" s="2" t="s">
        <v>27</v>
      </c>
      <c r="E5287" s="4">
        <v>-32764</v>
      </c>
      <c r="F5287" s="3" t="s">
        <v>640</v>
      </c>
      <c r="G5287" s="3" t="s">
        <v>641</v>
      </c>
      <c r="H5287" s="2" t="s">
        <v>74</v>
      </c>
      <c r="I5287" s="2" t="s">
        <v>13618</v>
      </c>
      <c r="J5287" s="3" t="str">
        <f>HYPERLINK("https://www.boe.es/gazeta/dias/1810/04/17/pdfs/GEI-1810-15.pdf#page=8","Abrir facsímil")</f>
        <v>Abrir facsímil</v>
      </c>
      <c r="K5287" s="3" t="s">
        <v>76</v>
      </c>
    </row>
    <row r="5288" spans="1:11" ht="42" customHeight="1">
      <c r="A5288" s="2" t="s">
        <v>13616</v>
      </c>
      <c r="B5288" s="2" t="s">
        <v>13617</v>
      </c>
      <c r="C5288" s="2" t="s">
        <v>26</v>
      </c>
      <c r="D5288" s="2" t="s">
        <v>39</v>
      </c>
      <c r="E5288" s="4">
        <v>-32645</v>
      </c>
      <c r="F5288" s="3" t="s">
        <v>2492</v>
      </c>
      <c r="G5288" s="3" t="s">
        <v>119</v>
      </c>
      <c r="H5288" s="2" t="s">
        <v>74</v>
      </c>
      <c r="I5288" s="2" t="s">
        <v>13619</v>
      </c>
      <c r="J5288" s="3" t="str">
        <f>HYPERLINK("https://www.boe.es/gazeta/dias/1810/08/14/pdfs/GEI-D-1810-56.pdf#page=3","Abrir facsímil")</f>
        <v>Abrir facsímil</v>
      </c>
      <c r="K5288" s="3" t="s">
        <v>76</v>
      </c>
    </row>
    <row r="5289" spans="1:11" ht="42" customHeight="1">
      <c r="A5289" s="2" t="s">
        <v>13616</v>
      </c>
      <c r="B5289" s="2" t="s">
        <v>13617</v>
      </c>
      <c r="C5289" s="2" t="s">
        <v>26</v>
      </c>
      <c r="D5289" s="2" t="s">
        <v>27</v>
      </c>
      <c r="E5289" s="4">
        <v>-32543</v>
      </c>
      <c r="F5289" s="3" t="s">
        <v>69</v>
      </c>
      <c r="G5289" s="3" t="s">
        <v>84</v>
      </c>
      <c r="H5289" s="2" t="s">
        <v>74</v>
      </c>
      <c r="I5289" s="2" t="s">
        <v>13620</v>
      </c>
      <c r="J5289" s="3" t="str">
        <f>HYPERLINK("https://www.boe.es/gazeta/dias/1810/11/24/pdfs/GEI-1810-99.pdf#page=7","Abrir facsímil")</f>
        <v>Abrir facsímil</v>
      </c>
      <c r="K5289" s="3" t="s">
        <v>76</v>
      </c>
    </row>
    <row r="5290" spans="1:11" ht="42" customHeight="1">
      <c r="A5290" s="2" t="s">
        <v>13621</v>
      </c>
      <c r="B5290" s="2" t="s">
        <v>13622</v>
      </c>
      <c r="C5290" s="2" t="s">
        <v>17</v>
      </c>
      <c r="D5290" s="2" t="s">
        <v>27</v>
      </c>
      <c r="E5290" s="4">
        <v>-32820</v>
      </c>
      <c r="F5290" s="3" t="s">
        <v>226</v>
      </c>
      <c r="G5290" s="3" t="s">
        <v>356</v>
      </c>
      <c r="H5290" s="2" t="s">
        <v>74</v>
      </c>
      <c r="I5290" s="2" t="s">
        <v>13623</v>
      </c>
      <c r="J5290" s="3" t="str">
        <f>HYPERLINK("https://www.boe.es/gazeta/dias/1810/02/20/pdfs/GMD-1810-51.pdf#page=3","Abrir facsímil")</f>
        <v>Abrir facsímil</v>
      </c>
      <c r="K5290" s="3" t="s">
        <v>76</v>
      </c>
    </row>
    <row r="5291" spans="1:11" ht="42" customHeight="1">
      <c r="A5291" s="2" t="s">
        <v>13621</v>
      </c>
      <c r="B5291" s="2" t="s">
        <v>13622</v>
      </c>
      <c r="C5291" s="2" t="s">
        <v>225</v>
      </c>
      <c r="D5291" s="2" t="s">
        <v>27</v>
      </c>
      <c r="E5291" s="4">
        <v>-32792</v>
      </c>
      <c r="F5291" s="3" t="s">
        <v>4405</v>
      </c>
      <c r="G5291" s="3" t="s">
        <v>20</v>
      </c>
      <c r="H5291" s="2" t="s">
        <v>74</v>
      </c>
      <c r="I5291" s="2" t="s">
        <v>13624</v>
      </c>
      <c r="J5291" s="3" t="str">
        <f>HYPERLINK("https://www.boe.es/gazeta/dias/1810/03/20/pdfs/GMD-1810-79.pdf#page=4","Abrir facsímil")</f>
        <v>Abrir facsímil</v>
      </c>
      <c r="K5291" s="3" t="s">
        <v>76</v>
      </c>
    </row>
    <row r="5292" spans="1:11" ht="42" customHeight="1">
      <c r="A5292" s="2" t="s">
        <v>13621</v>
      </c>
      <c r="B5292" s="2" t="s">
        <v>13622</v>
      </c>
      <c r="C5292" s="2" t="s">
        <v>26</v>
      </c>
      <c r="D5292" s="2" t="s">
        <v>27</v>
      </c>
      <c r="E5292" s="4">
        <v>-32562</v>
      </c>
      <c r="F5292" s="3" t="s">
        <v>1186</v>
      </c>
      <c r="G5292" s="3" t="s">
        <v>29</v>
      </c>
      <c r="H5292" s="2" t="s">
        <v>74</v>
      </c>
      <c r="I5292" s="2" t="s">
        <v>13625</v>
      </c>
      <c r="J5292" s="3" t="str">
        <f>HYPERLINK("https://www.boe.es/gazeta/dias/1810/11/05/pdfs/GMD-1810-309.pdf#page=2","Abrir facsímil")</f>
        <v>Abrir facsímil</v>
      </c>
      <c r="K5292" s="3" t="s">
        <v>76</v>
      </c>
    </row>
    <row r="5293" spans="1:11" ht="42" customHeight="1">
      <c r="A5293" s="2" t="s">
        <v>13626</v>
      </c>
      <c r="B5293" s="2" t="s">
        <v>13627</v>
      </c>
      <c r="C5293" s="2" t="s">
        <v>225</v>
      </c>
      <c r="D5293" s="2" t="s">
        <v>27</v>
      </c>
      <c r="E5293" s="4">
        <v>-32757</v>
      </c>
      <c r="F5293" s="3" t="s">
        <v>1136</v>
      </c>
      <c r="G5293" s="3" t="s">
        <v>1901</v>
      </c>
      <c r="H5293" s="2" t="s">
        <v>74</v>
      </c>
      <c r="I5293" s="2" t="s">
        <v>13628</v>
      </c>
      <c r="J5293" s="3" t="str">
        <f>HYPERLINK("https://www.boe.es/gazeta/dias/1810/04/24/pdfs/GEI-1810-17.pdf#page=8","Abrir facsímil")</f>
        <v>Abrir facsímil</v>
      </c>
      <c r="K5293" s="3" t="s">
        <v>76</v>
      </c>
    </row>
    <row r="5294" spans="1:11" ht="42" customHeight="1">
      <c r="A5294" s="2" t="s">
        <v>13626</v>
      </c>
      <c r="B5294" s="2" t="s">
        <v>13627</v>
      </c>
      <c r="C5294" s="2" t="s">
        <v>26</v>
      </c>
      <c r="D5294" s="2" t="s">
        <v>39</v>
      </c>
      <c r="E5294" s="4">
        <v>-32684</v>
      </c>
      <c r="F5294" s="3" t="s">
        <v>295</v>
      </c>
      <c r="G5294" s="3" t="s">
        <v>213</v>
      </c>
      <c r="H5294" s="2" t="s">
        <v>74</v>
      </c>
      <c r="I5294" s="2" t="s">
        <v>13629</v>
      </c>
      <c r="J5294" s="3" t="str">
        <f>HYPERLINK("https://www.boe.es/gazeta/dias/1810/07/06/pdfs/GMD-C-1810-187.pdf#page=2","Abrir facsímil")</f>
        <v>Abrir facsímil</v>
      </c>
      <c r="K5294" s="3" t="s">
        <v>76</v>
      </c>
    </row>
    <row r="5295" spans="1:11" ht="42" customHeight="1">
      <c r="A5295" s="2" t="s">
        <v>13630</v>
      </c>
      <c r="B5295" s="2" t="s">
        <v>13631</v>
      </c>
      <c r="C5295" s="2" t="s">
        <v>26</v>
      </c>
      <c r="D5295" s="2" t="s">
        <v>27</v>
      </c>
      <c r="E5295" s="4">
        <v>-32818</v>
      </c>
      <c r="F5295" s="3" t="s">
        <v>936</v>
      </c>
      <c r="G5295" s="3" t="s">
        <v>113</v>
      </c>
      <c r="H5295" s="2" t="s">
        <v>74</v>
      </c>
      <c r="I5295" s="2" t="s">
        <v>13632</v>
      </c>
      <c r="J5295" s="3" t="str">
        <f>HYPERLINK("https://www.boe.es/gazeta/dias/1810/02/22/pdfs/GMD-1810-53.pdf#page=2","Abrir facsímil")</f>
        <v>Abrir facsímil</v>
      </c>
      <c r="K5295" s="3" t="s">
        <v>76</v>
      </c>
    </row>
    <row r="5296" spans="1:11" ht="42" customHeight="1">
      <c r="A5296" s="2" t="s">
        <v>13633</v>
      </c>
      <c r="B5296" s="2" t="s">
        <v>13634</v>
      </c>
      <c r="C5296" s="2" t="s">
        <v>88</v>
      </c>
      <c r="D5296" s="2" t="s">
        <v>117</v>
      </c>
      <c r="E5296" s="4">
        <v>-32705</v>
      </c>
      <c r="F5296" s="3" t="s">
        <v>1158</v>
      </c>
      <c r="G5296" s="3" t="s">
        <v>1711</v>
      </c>
      <c r="H5296" s="2" t="s">
        <v>74</v>
      </c>
      <c r="I5296" s="2" t="s">
        <v>13635</v>
      </c>
      <c r="J5296" s="3" t="str">
        <f>HYPERLINK("https://www.boe.es/gazeta/dias/1810/06/15/pdfs/GMD-1810-166.pdf#page=4","Abrir facsímil")</f>
        <v>Abrir facsímil</v>
      </c>
      <c r="K5296" s="3" t="s">
        <v>76</v>
      </c>
    </row>
    <row r="5297" spans="1:11" ht="42" customHeight="1">
      <c r="A5297" s="2" t="s">
        <v>13636</v>
      </c>
      <c r="B5297" s="2" t="s">
        <v>13637</v>
      </c>
      <c r="C5297" s="2" t="s">
        <v>88</v>
      </c>
      <c r="D5297" s="2" t="s">
        <v>117</v>
      </c>
      <c r="E5297" s="4">
        <v>-32635</v>
      </c>
      <c r="F5297" s="3" t="s">
        <v>3132</v>
      </c>
      <c r="G5297" s="3" t="s">
        <v>13638</v>
      </c>
      <c r="H5297" s="2" t="s">
        <v>74</v>
      </c>
      <c r="I5297" s="2" t="s">
        <v>13639</v>
      </c>
      <c r="J5297" s="3" t="str">
        <f>HYPERLINK("https://www.boe.es/gazeta/dias/1810/08/24/pdfs/GEI-1810-59.pdf#page=7","Abrir facsímil")</f>
        <v>Abrir facsímil</v>
      </c>
      <c r="K5297" s="3" t="s">
        <v>76</v>
      </c>
    </row>
    <row r="5298" spans="1:11" ht="42" customHeight="1">
      <c r="A5298" s="2" t="s">
        <v>13640</v>
      </c>
      <c r="B5298" s="2" t="s">
        <v>13640</v>
      </c>
      <c r="C5298" s="2" t="s">
        <v>33</v>
      </c>
      <c r="D5298" s="2" t="s">
        <v>27</v>
      </c>
      <c r="E5298" s="4">
        <v>-32784</v>
      </c>
      <c r="F5298" s="3" t="s">
        <v>429</v>
      </c>
      <c r="G5298" s="3" t="s">
        <v>1821</v>
      </c>
      <c r="H5298" s="2" t="s">
        <v>74</v>
      </c>
      <c r="I5298" s="2" t="s">
        <v>13641</v>
      </c>
      <c r="J5298" s="3" t="str">
        <f>HYPERLINK("https://www.boe.es/gazeta/dias/1810/03/28/pdfs/GMD-1810-87.pdf#page=4","Abrir facsímil")</f>
        <v>Abrir facsímil</v>
      </c>
      <c r="K5298" s="3" t="s">
        <v>76</v>
      </c>
    </row>
    <row r="5299" spans="1:11" ht="42" customHeight="1">
      <c r="A5299" s="2" t="s">
        <v>13642</v>
      </c>
      <c r="B5299" s="2" t="s">
        <v>13643</v>
      </c>
      <c r="C5299" s="2" t="s">
        <v>26</v>
      </c>
      <c r="D5299" s="2" t="s">
        <v>39</v>
      </c>
      <c r="E5299" s="4">
        <v>-32661</v>
      </c>
      <c r="F5299" s="3" t="s">
        <v>157</v>
      </c>
      <c r="G5299" s="3" t="s">
        <v>592</v>
      </c>
      <c r="H5299" s="2" t="s">
        <v>74</v>
      </c>
      <c r="I5299" s="2" t="s">
        <v>13644</v>
      </c>
      <c r="J5299" s="3" t="str">
        <f>HYPERLINK("https://www.boe.es/gazeta/dias/1810/07/29/pdfs/GMD-C-1810-210.pdf#page=2","Abrir facsímil")</f>
        <v>Abrir facsímil</v>
      </c>
      <c r="K5299" s="3" t="s">
        <v>76</v>
      </c>
    </row>
    <row r="5300" spans="1:11" ht="42" customHeight="1">
      <c r="A5300" s="2" t="s">
        <v>13645</v>
      </c>
      <c r="B5300" s="2" t="s">
        <v>13645</v>
      </c>
      <c r="C5300" s="2" t="s">
        <v>26</v>
      </c>
      <c r="D5300" s="2" t="s">
        <v>39</v>
      </c>
      <c r="E5300" s="4">
        <v>-32614</v>
      </c>
      <c r="F5300" s="3" t="s">
        <v>5016</v>
      </c>
      <c r="G5300" s="3" t="s">
        <v>13646</v>
      </c>
      <c r="H5300" s="2" t="s">
        <v>74</v>
      </c>
      <c r="I5300" s="2" t="s">
        <v>13647</v>
      </c>
      <c r="J5300" s="3" t="str">
        <f>HYPERLINK("https://www.boe.es/gazeta/dias/1810/09/14/pdfs/GEI-D-1810-67.pdf#page=1","Abrir facsímil")</f>
        <v>Abrir facsímil</v>
      </c>
      <c r="K5300" s="3" t="s">
        <v>76</v>
      </c>
    </row>
    <row r="5301" spans="1:11" ht="42" customHeight="1">
      <c r="A5301" s="2" t="s">
        <v>13648</v>
      </c>
      <c r="B5301" s="2" t="s">
        <v>13648</v>
      </c>
      <c r="C5301" s="2" t="s">
        <v>88</v>
      </c>
      <c r="D5301" s="2" t="s">
        <v>117</v>
      </c>
      <c r="E5301" s="4">
        <v>-32808</v>
      </c>
      <c r="F5301" s="3" t="s">
        <v>2034</v>
      </c>
      <c r="G5301" s="3" t="s">
        <v>2035</v>
      </c>
      <c r="H5301" s="2" t="s">
        <v>74</v>
      </c>
      <c r="I5301" s="2" t="s">
        <v>13649</v>
      </c>
      <c r="J5301" s="3" t="str">
        <f>HYPERLINK("https://www.boe.es/gazeta/dias/1810/03/04/pdfs/GMD-1810-63.pdf#page=1","Abrir facsímil")</f>
        <v>Abrir facsímil</v>
      </c>
      <c r="K5301" s="3" t="s">
        <v>76</v>
      </c>
    </row>
    <row r="5302" spans="1:11" ht="42" customHeight="1">
      <c r="A5302" s="2" t="s">
        <v>13650</v>
      </c>
      <c r="B5302" s="2" t="s">
        <v>13650</v>
      </c>
      <c r="C5302" s="2" t="s">
        <v>88</v>
      </c>
      <c r="D5302" s="2" t="s">
        <v>117</v>
      </c>
      <c r="E5302" s="4">
        <v>-32599</v>
      </c>
      <c r="F5302" s="3" t="s">
        <v>6642</v>
      </c>
      <c r="G5302" s="3" t="s">
        <v>1217</v>
      </c>
      <c r="H5302" s="2" t="s">
        <v>74</v>
      </c>
      <c r="I5302" s="2" t="s">
        <v>13651</v>
      </c>
      <c r="J5302" s="3" t="str">
        <f>HYPERLINK("https://www.boe.es/gazeta/dias/1810/09/29/pdfs/GEI-1810-75.pdf#page=3","Abrir facsímil")</f>
        <v>Abrir facsímil</v>
      </c>
      <c r="K5302" s="3" t="s">
        <v>76</v>
      </c>
    </row>
    <row r="5303" spans="1:11" ht="42" customHeight="1">
      <c r="A5303" s="2" t="s">
        <v>13652</v>
      </c>
      <c r="B5303" s="2" t="s">
        <v>13652</v>
      </c>
      <c r="C5303" s="2" t="s">
        <v>88</v>
      </c>
      <c r="D5303" s="2" t="s">
        <v>117</v>
      </c>
      <c r="E5303" s="4">
        <v>-32585</v>
      </c>
      <c r="F5303" s="3" t="s">
        <v>10997</v>
      </c>
      <c r="G5303" s="3" t="s">
        <v>35</v>
      </c>
      <c r="H5303" s="2" t="s">
        <v>74</v>
      </c>
      <c r="I5303" s="2" t="s">
        <v>13653</v>
      </c>
      <c r="J5303" s="3" t="str">
        <f>HYPERLINK("https://www.boe.es/gazeta/dias/1810/10/13/pdfs/GMD-1810-286.pdf#page=2","Abrir facsímil")</f>
        <v>Abrir facsímil</v>
      </c>
      <c r="K5303" s="3" t="s">
        <v>76</v>
      </c>
    </row>
    <row r="5304" spans="1:11" ht="42" customHeight="1">
      <c r="A5304" s="2" t="s">
        <v>13654</v>
      </c>
      <c r="B5304" s="2" t="s">
        <v>13654</v>
      </c>
      <c r="C5304" s="2" t="s">
        <v>88</v>
      </c>
      <c r="D5304" s="2" t="s">
        <v>117</v>
      </c>
      <c r="E5304" s="4">
        <v>-32813</v>
      </c>
      <c r="F5304" s="3" t="s">
        <v>1067</v>
      </c>
      <c r="G5304" s="3" t="s">
        <v>13655</v>
      </c>
      <c r="H5304" s="2" t="s">
        <v>74</v>
      </c>
      <c r="I5304" s="2" t="s">
        <v>13656</v>
      </c>
      <c r="J5304" s="3" t="str">
        <f>HYPERLINK("https://www.boe.es/gazeta/dias/1810/02/27/pdfs/GMD-1810-58.pdf#page=2","Abrir facsímil")</f>
        <v>Abrir facsímil</v>
      </c>
      <c r="K5304" s="3" t="s">
        <v>76</v>
      </c>
    </row>
    <row r="5305" spans="1:11" ht="42" customHeight="1">
      <c r="A5305" s="2" t="s">
        <v>13657</v>
      </c>
      <c r="B5305" s="2" t="s">
        <v>13657</v>
      </c>
      <c r="C5305" s="2" t="s">
        <v>88</v>
      </c>
      <c r="D5305" s="2" t="s">
        <v>117</v>
      </c>
      <c r="E5305" s="4">
        <v>-32701</v>
      </c>
      <c r="F5305" s="3" t="s">
        <v>1019</v>
      </c>
      <c r="G5305" s="3" t="s">
        <v>465</v>
      </c>
      <c r="H5305" s="2" t="s">
        <v>74</v>
      </c>
      <c r="I5305" s="2" t="s">
        <v>13658</v>
      </c>
      <c r="J5305" s="3" t="str">
        <f>HYPERLINK("https://www.boe.es/gazeta/dias/1810/06/19/pdfs/GMD-1810-170.pdf#page=3","Abrir facsímil")</f>
        <v>Abrir facsímil</v>
      </c>
      <c r="K5305" s="3" t="s">
        <v>76</v>
      </c>
    </row>
    <row r="5306" spans="1:11" ht="42" customHeight="1">
      <c r="A5306" s="2" t="s">
        <v>13659</v>
      </c>
      <c r="B5306" s="2" t="s">
        <v>13659</v>
      </c>
      <c r="C5306" s="2" t="s">
        <v>26</v>
      </c>
      <c r="D5306" s="2" t="s">
        <v>27</v>
      </c>
      <c r="E5306" s="4">
        <v>-32803</v>
      </c>
      <c r="F5306" s="3" t="s">
        <v>4052</v>
      </c>
      <c r="G5306" s="3" t="s">
        <v>213</v>
      </c>
      <c r="H5306" s="2" t="s">
        <v>74</v>
      </c>
      <c r="I5306" s="2" t="s">
        <v>13660</v>
      </c>
      <c r="J5306" s="3" t="str">
        <f>HYPERLINK("https://www.boe.es/gazeta/dias/1810/03/09/pdfs/GMD-1810-68.pdf#page=2","Abrir facsímil")</f>
        <v>Abrir facsímil</v>
      </c>
      <c r="K5306" s="3" t="s">
        <v>76</v>
      </c>
    </row>
    <row r="5307" spans="1:11" ht="42" customHeight="1">
      <c r="A5307" s="2" t="s">
        <v>13661</v>
      </c>
      <c r="B5307" s="2" t="s">
        <v>13661</v>
      </c>
      <c r="C5307" s="2" t="s">
        <v>26</v>
      </c>
      <c r="D5307" s="2" t="s">
        <v>27</v>
      </c>
      <c r="E5307" s="4">
        <v>-32575</v>
      </c>
      <c r="F5307" s="3" t="s">
        <v>135</v>
      </c>
      <c r="G5307" s="3" t="s">
        <v>140</v>
      </c>
      <c r="H5307" s="2" t="s">
        <v>74</v>
      </c>
      <c r="I5307" s="2" t="s">
        <v>13662</v>
      </c>
      <c r="J5307" s="3" t="str">
        <f>HYPERLINK("https://www.boe.es/gazeta/dias/1810/10/23/pdfs/GEI-1810-85.pdf#page=10","Abrir facsímil")</f>
        <v>Abrir facsímil</v>
      </c>
      <c r="K5307" s="3" t="s">
        <v>76</v>
      </c>
    </row>
    <row r="5308" spans="1:11" ht="42" customHeight="1">
      <c r="A5308" s="2" t="s">
        <v>13663</v>
      </c>
      <c r="B5308" s="2" t="s">
        <v>13663</v>
      </c>
      <c r="C5308" s="2" t="s">
        <v>26</v>
      </c>
      <c r="D5308" s="2" t="s">
        <v>27</v>
      </c>
      <c r="E5308" s="4">
        <v>-32621</v>
      </c>
      <c r="F5308" s="3" t="s">
        <v>1897</v>
      </c>
      <c r="G5308" s="3" t="s">
        <v>213</v>
      </c>
      <c r="H5308" s="2" t="s">
        <v>74</v>
      </c>
      <c r="I5308" s="2" t="s">
        <v>13664</v>
      </c>
      <c r="J5308" s="3" t="str">
        <f>HYPERLINK("https://www.boe.es/gazeta/dias/1810/09/07/pdfs/GMD-1810-250.pdf#page=1","Abrir facsímil")</f>
        <v>Abrir facsímil</v>
      </c>
      <c r="K5308" s="3" t="s">
        <v>76</v>
      </c>
    </row>
    <row r="5309" spans="1:11" ht="42" customHeight="1">
      <c r="A5309" s="2" t="s">
        <v>13665</v>
      </c>
      <c r="B5309" s="2" t="s">
        <v>13666</v>
      </c>
      <c r="C5309" s="2" t="s">
        <v>88</v>
      </c>
      <c r="D5309" s="2" t="s">
        <v>27</v>
      </c>
      <c r="E5309" s="4">
        <v>-32710</v>
      </c>
      <c r="F5309" s="3" t="s">
        <v>126</v>
      </c>
      <c r="G5309" s="3" t="s">
        <v>35</v>
      </c>
      <c r="H5309" s="2" t="s">
        <v>74</v>
      </c>
      <c r="I5309" s="2" t="s">
        <v>13667</v>
      </c>
      <c r="J5309" s="3" t="str">
        <f>HYPERLINK("https://www.boe.es/gazeta/dias/1810/06/10/pdfs/GMD-1810-161.pdf#page=2","Abrir facsímil")</f>
        <v>Abrir facsímil</v>
      </c>
      <c r="K5309" s="3" t="s">
        <v>76</v>
      </c>
    </row>
    <row r="5310" spans="1:11" ht="42" customHeight="1">
      <c r="A5310" s="2" t="s">
        <v>13668</v>
      </c>
      <c r="B5310" s="2" t="s">
        <v>13669</v>
      </c>
      <c r="C5310" s="2" t="s">
        <v>26</v>
      </c>
      <c r="D5310" s="2" t="s">
        <v>27</v>
      </c>
      <c r="E5310" s="4">
        <v>-32543</v>
      </c>
      <c r="F5310" s="3" t="s">
        <v>69</v>
      </c>
      <c r="G5310" s="3" t="s">
        <v>70</v>
      </c>
      <c r="H5310" s="2" t="s">
        <v>74</v>
      </c>
      <c r="I5310" s="2" t="s">
        <v>13670</v>
      </c>
      <c r="J5310" s="3" t="str">
        <f>HYPERLINK("https://www.boe.es/gazeta/dias/1810/11/24/pdfs/GEI-1810-99.pdf#page=8","Abrir facsímil")</f>
        <v>Abrir facsímil</v>
      </c>
      <c r="K5310" s="3" t="s">
        <v>76</v>
      </c>
    </row>
    <row r="5311" spans="1:11" ht="42" customHeight="1">
      <c r="A5311" s="2" t="s">
        <v>13671</v>
      </c>
      <c r="B5311" s="2" t="s">
        <v>13672</v>
      </c>
      <c r="C5311" s="2" t="s">
        <v>26</v>
      </c>
      <c r="D5311" s="2" t="s">
        <v>27</v>
      </c>
      <c r="E5311" s="4">
        <v>-32710</v>
      </c>
      <c r="F5311" s="3" t="s">
        <v>126</v>
      </c>
      <c r="G5311" s="3" t="s">
        <v>35</v>
      </c>
      <c r="H5311" s="2" t="s">
        <v>74</v>
      </c>
      <c r="I5311" s="2" t="s">
        <v>13673</v>
      </c>
      <c r="J5311" s="3" t="str">
        <f>HYPERLINK("https://www.boe.es/gazeta/dias/1810/06/10/pdfs/GMD-1810-161.pdf#page=2","Abrir facsímil")</f>
        <v>Abrir facsímil</v>
      </c>
      <c r="K5311" s="3" t="s">
        <v>76</v>
      </c>
    </row>
    <row r="5312" spans="1:11" ht="42" customHeight="1">
      <c r="A5312" s="2" t="s">
        <v>13674</v>
      </c>
      <c r="B5312" s="2" t="s">
        <v>13674</v>
      </c>
      <c r="C5312" s="2" t="s">
        <v>88</v>
      </c>
      <c r="D5312" s="2" t="s">
        <v>220</v>
      </c>
      <c r="E5312" s="4">
        <v>-32762</v>
      </c>
      <c r="F5312" s="3" t="s">
        <v>231</v>
      </c>
      <c r="G5312" s="3" t="s">
        <v>29</v>
      </c>
      <c r="H5312" s="2" t="s">
        <v>74</v>
      </c>
      <c r="I5312" s="2" t="s">
        <v>13675</v>
      </c>
      <c r="J5312" s="3" t="str">
        <f>HYPERLINK("https://www.boe.es/gazeta/dias/1810/04/19/pdfs/GMD-1810-109.pdf#page=4","Abrir facsímil")</f>
        <v>Abrir facsímil</v>
      </c>
      <c r="K5312" s="3" t="s">
        <v>76</v>
      </c>
    </row>
    <row r="5313" spans="1:11" ht="42" customHeight="1">
      <c r="A5313" s="2" t="s">
        <v>13676</v>
      </c>
      <c r="B5313" s="2" t="s">
        <v>13676</v>
      </c>
      <c r="C5313" s="2" t="s">
        <v>88</v>
      </c>
      <c r="D5313" s="2" t="s">
        <v>117</v>
      </c>
      <c r="E5313" s="4">
        <v>-32578</v>
      </c>
      <c r="F5313" s="3" t="s">
        <v>2333</v>
      </c>
      <c r="G5313" s="3" t="s">
        <v>2334</v>
      </c>
      <c r="H5313" s="2" t="s">
        <v>74</v>
      </c>
      <c r="I5313" s="2" t="s">
        <v>13677</v>
      </c>
      <c r="J5313" s="3" t="str">
        <f>HYPERLINK("https://www.boe.es/gazeta/dias/1810/10/20/pdfs/GEI-1810-84.pdf#page=4","Abrir facsímil")</f>
        <v>Abrir facsímil</v>
      </c>
      <c r="K5313" s="3" t="s">
        <v>76</v>
      </c>
    </row>
    <row r="5314" spans="1:11" ht="42" customHeight="1">
      <c r="A5314" s="2" t="s">
        <v>13678</v>
      </c>
      <c r="B5314" s="2" t="s">
        <v>13679</v>
      </c>
      <c r="C5314" s="2" t="s">
        <v>317</v>
      </c>
      <c r="D5314" s="2" t="s">
        <v>117</v>
      </c>
      <c r="E5314" s="4">
        <v>-32519</v>
      </c>
      <c r="F5314" s="3" t="s">
        <v>2299</v>
      </c>
      <c r="G5314" s="3" t="s">
        <v>1044</v>
      </c>
      <c r="H5314" s="2" t="s">
        <v>74</v>
      </c>
      <c r="I5314" s="2" t="s">
        <v>13680</v>
      </c>
      <c r="J5314" s="3" t="str">
        <f>HYPERLINK("https://www.boe.es/gazeta/dias/1810/12/18/pdfs/GEI-1810-109.pdf#page=7","Abrir facsímil")</f>
        <v>Abrir facsímil</v>
      </c>
      <c r="K5314" s="3" t="s">
        <v>76</v>
      </c>
    </row>
    <row r="5315" spans="1:11" ht="42" customHeight="1">
      <c r="A5315" s="2" t="s">
        <v>13681</v>
      </c>
      <c r="B5315" s="2" t="s">
        <v>13681</v>
      </c>
      <c r="C5315" s="2" t="s">
        <v>88</v>
      </c>
      <c r="D5315" s="2" t="s">
        <v>27</v>
      </c>
      <c r="E5315" s="4">
        <v>-32509</v>
      </c>
      <c r="F5315" s="3" t="s">
        <v>212</v>
      </c>
      <c r="G5315" s="3" t="s">
        <v>29</v>
      </c>
      <c r="H5315" s="2" t="s">
        <v>74</v>
      </c>
      <c r="I5315" s="2" t="s">
        <v>13682</v>
      </c>
      <c r="J5315" s="3" t="str">
        <f>HYPERLINK("https://www.boe.es/gazeta/dias/1810/12/28/pdfs/GMD-1810-362.pdf#page=3","Abrir facsímil")</f>
        <v>Abrir facsímil</v>
      </c>
      <c r="K5315" s="3" t="s">
        <v>76</v>
      </c>
    </row>
    <row r="5316" spans="1:11" ht="42" customHeight="1">
      <c r="A5316" s="2" t="s">
        <v>13683</v>
      </c>
      <c r="B5316" s="2" t="s">
        <v>13683</v>
      </c>
      <c r="C5316" s="2" t="s">
        <v>88</v>
      </c>
      <c r="D5316" s="2" t="s">
        <v>117</v>
      </c>
      <c r="E5316" s="4">
        <v>-32819</v>
      </c>
      <c r="F5316" s="3" t="s">
        <v>5942</v>
      </c>
      <c r="G5316" s="3" t="s">
        <v>70</v>
      </c>
      <c r="H5316" s="2" t="s">
        <v>74</v>
      </c>
      <c r="I5316" s="2" t="s">
        <v>13684</v>
      </c>
      <c r="J5316" s="3" t="str">
        <f>HYPERLINK("https://www.boe.es/gazeta/dias/1810/02/21/pdfs/GMD-1810-52.pdf#page=1","Abrir facsímil")</f>
        <v>Abrir facsímil</v>
      </c>
      <c r="K5316" s="3" t="s">
        <v>76</v>
      </c>
    </row>
    <row r="5317" spans="1:11" ht="42" customHeight="1">
      <c r="A5317" s="2" t="s">
        <v>13683</v>
      </c>
      <c r="B5317" s="2" t="s">
        <v>13683</v>
      </c>
      <c r="C5317" s="2" t="s">
        <v>88</v>
      </c>
      <c r="D5317" s="2" t="s">
        <v>27</v>
      </c>
      <c r="E5317" s="4">
        <v>-32718</v>
      </c>
      <c r="F5317" s="3" t="s">
        <v>2566</v>
      </c>
      <c r="G5317" s="3" t="s">
        <v>13685</v>
      </c>
      <c r="H5317" s="2" t="s">
        <v>74</v>
      </c>
      <c r="I5317" s="2" t="s">
        <v>13686</v>
      </c>
      <c r="J5317" s="3" t="str">
        <f>HYPERLINK("https://www.boe.es/gazeta/dias/1810/06/02/pdfs/GMD-1810-153.pdf#page=2","Abrir facsímil")</f>
        <v>Abrir facsímil</v>
      </c>
      <c r="K5317" s="3" t="s">
        <v>76</v>
      </c>
    </row>
    <row r="5318" spans="1:11" ht="42" customHeight="1">
      <c r="A5318" s="2" t="s">
        <v>13687</v>
      </c>
      <c r="B5318" s="2" t="s">
        <v>13688</v>
      </c>
      <c r="C5318" s="2" t="s">
        <v>88</v>
      </c>
      <c r="D5318" s="2" t="s">
        <v>117</v>
      </c>
      <c r="E5318" s="4">
        <v>-32858</v>
      </c>
      <c r="F5318" s="3" t="s">
        <v>4182</v>
      </c>
      <c r="G5318" s="3" t="s">
        <v>2077</v>
      </c>
      <c r="H5318" s="2" t="s">
        <v>74</v>
      </c>
      <c r="I5318" s="2" t="s">
        <v>13689</v>
      </c>
      <c r="J5318" s="3" t="str">
        <f>HYPERLINK("https://www.boe.es/gazeta/dias/1810/01/13/pdfs/GGB-1810-6.pdf#page=10","Abrir facsímil")</f>
        <v>Abrir facsímil</v>
      </c>
      <c r="K5318" s="3" t="s">
        <v>76</v>
      </c>
    </row>
    <row r="5319" spans="1:11" ht="42" customHeight="1">
      <c r="A5319" s="2" t="s">
        <v>13690</v>
      </c>
      <c r="B5319" s="2" t="s">
        <v>13691</v>
      </c>
      <c r="C5319" s="2" t="s">
        <v>26</v>
      </c>
      <c r="D5319" s="2" t="s">
        <v>27</v>
      </c>
      <c r="E5319" s="4">
        <v>-32526</v>
      </c>
      <c r="F5319" s="3" t="s">
        <v>530</v>
      </c>
      <c r="G5319" s="3" t="s">
        <v>531</v>
      </c>
      <c r="H5319" s="2" t="s">
        <v>74</v>
      </c>
      <c r="I5319" s="2" t="s">
        <v>13692</v>
      </c>
      <c r="J5319" s="3" t="str">
        <f>HYPERLINK("https://www.boe.es/gazeta/dias/1810/12/11/pdfs/GEI-1810-106.pdf#page=2","Abrir facsímil")</f>
        <v>Abrir facsímil</v>
      </c>
      <c r="K5319" s="3" t="s">
        <v>76</v>
      </c>
    </row>
    <row r="5320" spans="1:11" ht="42" customHeight="1">
      <c r="A5320" s="2" t="s">
        <v>13693</v>
      </c>
      <c r="B5320" s="2" t="s">
        <v>13694</v>
      </c>
      <c r="C5320" s="2" t="s">
        <v>26</v>
      </c>
      <c r="D5320" s="2" t="s">
        <v>58</v>
      </c>
      <c r="E5320" s="4">
        <v>-32651</v>
      </c>
      <c r="F5320" s="3" t="s">
        <v>59</v>
      </c>
      <c r="G5320" s="3" t="s">
        <v>13695</v>
      </c>
      <c r="H5320" s="2" t="s">
        <v>74</v>
      </c>
      <c r="I5320" s="2" t="s">
        <v>13696</v>
      </c>
      <c r="J5320" s="3" t="str">
        <f>HYPERLINK("https://www.boe.es/gazeta/dias/1810/08/08/pdfs/GEI-1810-53E.pdf#page=1","Abrir facsímil")</f>
        <v>Abrir facsímil</v>
      </c>
      <c r="K5320" s="3" t="s">
        <v>76</v>
      </c>
    </row>
    <row r="5321" spans="1:11" ht="42" customHeight="1">
      <c r="A5321" s="2" t="s">
        <v>13697</v>
      </c>
      <c r="B5321" s="2" t="s">
        <v>13698</v>
      </c>
      <c r="C5321" s="2" t="s">
        <v>26</v>
      </c>
      <c r="D5321" s="2" t="s">
        <v>27</v>
      </c>
      <c r="E5321" s="4">
        <v>-32545</v>
      </c>
      <c r="F5321" s="3" t="s">
        <v>165</v>
      </c>
      <c r="G5321" s="3" t="s">
        <v>166</v>
      </c>
      <c r="H5321" s="2" t="s">
        <v>74</v>
      </c>
      <c r="I5321" s="2" t="s">
        <v>13699</v>
      </c>
      <c r="J5321" s="3" t="str">
        <f>HYPERLINK("https://www.boe.es/gazeta/dias/1810/11/22/pdfs/GEI-1810-98.pdf#page=8","Abrir facsímil")</f>
        <v>Abrir facsímil</v>
      </c>
      <c r="K5321" s="3" t="s">
        <v>76</v>
      </c>
    </row>
    <row r="5322" spans="1:11" ht="42" customHeight="1">
      <c r="A5322" s="2" t="s">
        <v>13700</v>
      </c>
      <c r="B5322" s="2" t="s">
        <v>13700</v>
      </c>
      <c r="C5322" s="2" t="s">
        <v>88</v>
      </c>
      <c r="D5322" s="2" t="s">
        <v>117</v>
      </c>
      <c r="E5322" s="4">
        <v>-32628</v>
      </c>
      <c r="F5322" s="3" t="s">
        <v>3118</v>
      </c>
      <c r="G5322" s="3" t="s">
        <v>465</v>
      </c>
      <c r="H5322" s="2" t="s">
        <v>74</v>
      </c>
      <c r="I5322" s="2" t="s">
        <v>13701</v>
      </c>
      <c r="J5322" s="3" t="str">
        <f>HYPERLINK("https://www.boe.es/gazeta/dias/1810/08/31/pdfs/GEI-1810-62.pdf#page=8","Abrir facsímil")</f>
        <v>Abrir facsímil</v>
      </c>
      <c r="K5322" s="3" t="s">
        <v>76</v>
      </c>
    </row>
    <row r="5323" spans="1:11" ht="42" customHeight="1">
      <c r="A5323" s="2" t="s">
        <v>13700</v>
      </c>
      <c r="B5323" s="2" t="s">
        <v>13700</v>
      </c>
      <c r="C5323" s="2" t="s">
        <v>26</v>
      </c>
      <c r="D5323" s="2" t="s">
        <v>27</v>
      </c>
      <c r="E5323" s="4">
        <v>-32573</v>
      </c>
      <c r="F5323" s="3" t="s">
        <v>3120</v>
      </c>
      <c r="G5323" s="3" t="s">
        <v>12630</v>
      </c>
      <c r="H5323" s="2" t="s">
        <v>74</v>
      </c>
      <c r="I5323" s="2" t="s">
        <v>13702</v>
      </c>
      <c r="J5323" s="3" t="str">
        <f>HYPERLINK("https://www.boe.es/gazeta/dias/1810/10/25/pdfs/GEI-1810-86.pdf#page=4","Abrir facsímil")</f>
        <v>Abrir facsímil</v>
      </c>
      <c r="K5323" s="3" t="s">
        <v>76</v>
      </c>
    </row>
    <row r="5324" spans="1:11" ht="42" customHeight="1">
      <c r="A5324" s="2" t="s">
        <v>13703</v>
      </c>
      <c r="B5324" s="2" t="s">
        <v>13704</v>
      </c>
      <c r="C5324" s="2" t="s">
        <v>26</v>
      </c>
      <c r="D5324" s="2" t="s">
        <v>39</v>
      </c>
      <c r="E5324" s="4">
        <v>-32701</v>
      </c>
      <c r="F5324" s="3" t="s">
        <v>40</v>
      </c>
      <c r="G5324" s="3" t="s">
        <v>41</v>
      </c>
      <c r="H5324" s="2" t="s">
        <v>74</v>
      </c>
      <c r="I5324" s="2" t="s">
        <v>13705</v>
      </c>
      <c r="J5324" s="3" t="str">
        <f>HYPERLINK("https://www.boe.es/gazeta/dias/1810/06/19/pdfs/GMD-C-1810-170.pdf#page=3","Abrir facsímil")</f>
        <v>Abrir facsímil</v>
      </c>
      <c r="K5324" s="3" t="s">
        <v>76</v>
      </c>
    </row>
    <row r="5325" spans="1:11" ht="42" customHeight="1">
      <c r="A5325" s="2" t="s">
        <v>13703</v>
      </c>
      <c r="B5325" s="2" t="s">
        <v>13704</v>
      </c>
      <c r="C5325" s="2" t="s">
        <v>26</v>
      </c>
      <c r="D5325" s="2" t="s">
        <v>39</v>
      </c>
      <c r="E5325" s="4">
        <v>-32661</v>
      </c>
      <c r="F5325" s="3" t="s">
        <v>157</v>
      </c>
      <c r="G5325" s="3" t="s">
        <v>592</v>
      </c>
      <c r="H5325" s="2" t="s">
        <v>74</v>
      </c>
      <c r="I5325" s="2" t="s">
        <v>13706</v>
      </c>
      <c r="J5325" s="3" t="str">
        <f>HYPERLINK("https://www.boe.es/gazeta/dias/1810/07/29/pdfs/GMD-C-1810-210.pdf#page=2","Abrir facsímil")</f>
        <v>Abrir facsímil</v>
      </c>
      <c r="K5325" s="3" t="s">
        <v>76</v>
      </c>
    </row>
    <row r="5326" spans="1:11" ht="42" customHeight="1">
      <c r="A5326" s="2" t="s">
        <v>13707</v>
      </c>
      <c r="B5326" s="2" t="s">
        <v>13708</v>
      </c>
      <c r="C5326" s="2" t="s">
        <v>195</v>
      </c>
      <c r="D5326" s="2" t="s">
        <v>27</v>
      </c>
      <c r="E5326" s="4">
        <v>-32545</v>
      </c>
      <c r="F5326" s="3" t="s">
        <v>165</v>
      </c>
      <c r="G5326" s="3" t="s">
        <v>166</v>
      </c>
      <c r="H5326" s="2" t="s">
        <v>74</v>
      </c>
      <c r="I5326" s="2" t="s">
        <v>13709</v>
      </c>
      <c r="J5326" s="3" t="str">
        <f>HYPERLINK("https://www.boe.es/gazeta/dias/1810/11/22/pdfs/GEI-1810-98.pdf#page=8","Abrir facsímil")</f>
        <v>Abrir facsímil</v>
      </c>
      <c r="K5326" s="3" t="s">
        <v>76</v>
      </c>
    </row>
    <row r="5327" spans="1:11" ht="42" customHeight="1">
      <c r="A5327" s="2" t="s">
        <v>13710</v>
      </c>
      <c r="B5327" s="2" t="s">
        <v>13711</v>
      </c>
      <c r="C5327" s="2" t="s">
        <v>26</v>
      </c>
      <c r="D5327" s="2" t="s">
        <v>27</v>
      </c>
      <c r="E5327" s="4">
        <v>-32862</v>
      </c>
      <c r="F5327" s="3" t="s">
        <v>878</v>
      </c>
      <c r="G5327" s="3" t="s">
        <v>99</v>
      </c>
      <c r="H5327" s="2" t="s">
        <v>74</v>
      </c>
      <c r="I5327" s="2" t="s">
        <v>13712</v>
      </c>
      <c r="J5327" s="3" t="str">
        <f>HYPERLINK("https://www.boe.es/gazeta/dias/1810/01/09/pdfs/GMD-1810-9.pdf#page=3","Abrir facsímil")</f>
        <v>Abrir facsímil</v>
      </c>
      <c r="K5327" s="3" t="s">
        <v>76</v>
      </c>
    </row>
    <row r="5328" spans="1:11" ht="42" customHeight="1">
      <c r="A5328" s="2" t="s">
        <v>13713</v>
      </c>
      <c r="B5328" s="2" t="s">
        <v>13713</v>
      </c>
      <c r="C5328" s="2" t="s">
        <v>26</v>
      </c>
      <c r="D5328" s="2" t="s">
        <v>27</v>
      </c>
      <c r="E5328" s="4">
        <v>-32527</v>
      </c>
      <c r="F5328" s="3" t="s">
        <v>8069</v>
      </c>
      <c r="G5328" s="3" t="s">
        <v>90</v>
      </c>
      <c r="H5328" s="2" t="s">
        <v>74</v>
      </c>
      <c r="I5328" s="2" t="s">
        <v>13714</v>
      </c>
      <c r="J5328" s="3" t="str">
        <f>HYPERLINK("https://www.boe.es/gazeta/dias/1810/12/10/pdfs/GMD-1810-344.pdf#page=2","Abrir facsímil")</f>
        <v>Abrir facsímil</v>
      </c>
      <c r="K5328" s="3" t="s">
        <v>76</v>
      </c>
    </row>
    <row r="5329" spans="1:11" ht="42" customHeight="1">
      <c r="A5329" s="2" t="s">
        <v>13715</v>
      </c>
      <c r="B5329" s="2" t="s">
        <v>13716</v>
      </c>
      <c r="C5329" s="2" t="s">
        <v>88</v>
      </c>
      <c r="D5329" s="2" t="s">
        <v>117</v>
      </c>
      <c r="E5329" s="4">
        <v>-32789</v>
      </c>
      <c r="F5329" s="3" t="s">
        <v>13717</v>
      </c>
      <c r="G5329" s="3" t="s">
        <v>90</v>
      </c>
      <c r="H5329" s="2" t="s">
        <v>21</v>
      </c>
      <c r="I5329" s="2" t="s">
        <v>13718</v>
      </c>
      <c r="J5329" s="3" t="str">
        <f>HYPERLINK("https://www.boe.es/gazeta/dias/1810/03/23/pdfs/GMD-1810-82.pdf#page=1","Abrir facsímil")</f>
        <v>Abrir facsímil</v>
      </c>
      <c r="K5329" s="3" t="s">
        <v>23</v>
      </c>
    </row>
    <row r="5330" spans="1:11" ht="42" customHeight="1">
      <c r="A5330" s="2" t="s">
        <v>13719</v>
      </c>
      <c r="B5330" s="2" t="s">
        <v>13720</v>
      </c>
      <c r="C5330" s="2" t="s">
        <v>26</v>
      </c>
      <c r="D5330" s="2" t="s">
        <v>27</v>
      </c>
      <c r="E5330" s="4">
        <v>-32591</v>
      </c>
      <c r="F5330" s="3" t="s">
        <v>377</v>
      </c>
      <c r="G5330" s="3" t="s">
        <v>140</v>
      </c>
      <c r="H5330" s="2" t="s">
        <v>74</v>
      </c>
      <c r="I5330" s="2" t="s">
        <v>13721</v>
      </c>
      <c r="J5330" s="3" t="str">
        <f>HYPERLINK("https://www.boe.es/gazeta/dias/1810/10/07/pdfs/GMD-1810-280.pdf#page=4","Abrir facsímil")</f>
        <v>Abrir facsímil</v>
      </c>
      <c r="K5330" s="3" t="s">
        <v>76</v>
      </c>
    </row>
    <row r="5331" spans="1:11" ht="42" customHeight="1">
      <c r="A5331" s="2" t="s">
        <v>13722</v>
      </c>
      <c r="B5331" s="2" t="s">
        <v>13722</v>
      </c>
      <c r="C5331" s="2" t="s">
        <v>26</v>
      </c>
      <c r="D5331" s="2" t="s">
        <v>27</v>
      </c>
      <c r="E5331" s="4">
        <v>-32610</v>
      </c>
      <c r="F5331" s="3" t="s">
        <v>4991</v>
      </c>
      <c r="G5331" s="3" t="s">
        <v>458</v>
      </c>
      <c r="H5331" s="2" t="s">
        <v>74</v>
      </c>
      <c r="I5331" s="2" t="s">
        <v>13723</v>
      </c>
      <c r="J5331" s="3" t="str">
        <f>HYPERLINK("https://www.boe.es/gazeta/dias/1810/09/18/pdfs/GEI-1810-69.pdf#page=7","Abrir facsímil")</f>
        <v>Abrir facsímil</v>
      </c>
      <c r="K5331" s="3" t="s">
        <v>76</v>
      </c>
    </row>
    <row r="5332" spans="1:11" ht="42" customHeight="1">
      <c r="A5332" s="2" t="s">
        <v>13724</v>
      </c>
      <c r="B5332" s="2" t="s">
        <v>13724</v>
      </c>
      <c r="C5332" s="2" t="s">
        <v>88</v>
      </c>
      <c r="D5332" s="2" t="s">
        <v>27</v>
      </c>
      <c r="E5332" s="4">
        <v>-32599</v>
      </c>
      <c r="F5332" s="3" t="s">
        <v>6642</v>
      </c>
      <c r="G5332" s="3" t="s">
        <v>90</v>
      </c>
      <c r="H5332" s="2" t="s">
        <v>74</v>
      </c>
      <c r="I5332" s="2" t="s">
        <v>13725</v>
      </c>
      <c r="J5332" s="3" t="str">
        <f>HYPERLINK("https://www.boe.es/gazeta/dias/1810/09/29/pdfs/GEI-1810-75.pdf#page=6","Abrir facsímil")</f>
        <v>Abrir facsímil</v>
      </c>
      <c r="K5332" s="3" t="s">
        <v>76</v>
      </c>
    </row>
    <row r="5333" spans="1:11" ht="42" customHeight="1">
      <c r="A5333" s="2" t="s">
        <v>13726</v>
      </c>
      <c r="B5333" s="2" t="s">
        <v>13727</v>
      </c>
      <c r="C5333" s="2" t="s">
        <v>26</v>
      </c>
      <c r="D5333" s="2" t="s">
        <v>27</v>
      </c>
      <c r="E5333" s="4">
        <v>-32545</v>
      </c>
      <c r="F5333" s="3" t="s">
        <v>165</v>
      </c>
      <c r="G5333" s="3" t="s">
        <v>166</v>
      </c>
      <c r="H5333" s="2" t="s">
        <v>74</v>
      </c>
      <c r="I5333" s="2" t="s">
        <v>13728</v>
      </c>
      <c r="J5333" s="3" t="str">
        <f>HYPERLINK("https://www.boe.es/gazeta/dias/1810/11/22/pdfs/GEI-1810-98.pdf#page=8","Abrir facsímil")</f>
        <v>Abrir facsímil</v>
      </c>
      <c r="K5333" s="3" t="s">
        <v>76</v>
      </c>
    </row>
    <row r="5334" spans="1:11" ht="42" customHeight="1">
      <c r="A5334" s="2" t="s">
        <v>13729</v>
      </c>
      <c r="B5334" s="2" t="s">
        <v>13730</v>
      </c>
      <c r="C5334" s="2" t="s">
        <v>26</v>
      </c>
      <c r="D5334" s="2" t="s">
        <v>39</v>
      </c>
      <c r="E5334" s="4">
        <v>-32701</v>
      </c>
      <c r="F5334" s="3" t="s">
        <v>40</v>
      </c>
      <c r="G5334" s="3" t="s">
        <v>333</v>
      </c>
      <c r="H5334" s="2" t="s">
        <v>74</v>
      </c>
      <c r="I5334" s="2" t="s">
        <v>13731</v>
      </c>
      <c r="J5334" s="3" t="str">
        <f>HYPERLINK("https://www.boe.es/gazeta/dias/1810/06/19/pdfs/GMD-C-1810-170.pdf#page=4","Abrir facsímil")</f>
        <v>Abrir facsímil</v>
      </c>
      <c r="K5334" s="3" t="s">
        <v>76</v>
      </c>
    </row>
    <row r="5335" spans="1:11" ht="42" customHeight="1">
      <c r="A5335" s="2" t="s">
        <v>13732</v>
      </c>
      <c r="B5335" s="2" t="s">
        <v>13733</v>
      </c>
      <c r="C5335" s="2" t="s">
        <v>225</v>
      </c>
      <c r="D5335" s="2" t="s">
        <v>27</v>
      </c>
      <c r="E5335" s="4">
        <v>-32822</v>
      </c>
      <c r="F5335" s="3" t="s">
        <v>1197</v>
      </c>
      <c r="G5335" s="3" t="s">
        <v>29</v>
      </c>
      <c r="H5335" s="2" t="s">
        <v>74</v>
      </c>
      <c r="I5335" s="2" t="s">
        <v>13734</v>
      </c>
      <c r="J5335" s="3" t="str">
        <f>HYPERLINK("https://www.boe.es/gazeta/dias/1810/02/18/pdfs/GMD-1810-49.pdf#page=3","Abrir facsímil")</f>
        <v>Abrir facsímil</v>
      </c>
      <c r="K5335" s="3" t="s">
        <v>76</v>
      </c>
    </row>
    <row r="5336" spans="1:11" ht="42" customHeight="1">
      <c r="A5336" s="2" t="s">
        <v>13735</v>
      </c>
      <c r="B5336" s="2" t="s">
        <v>13736</v>
      </c>
      <c r="C5336" s="2" t="s">
        <v>26</v>
      </c>
      <c r="D5336" s="2" t="s">
        <v>27</v>
      </c>
      <c r="E5336" s="4">
        <v>-32526</v>
      </c>
      <c r="F5336" s="3" t="s">
        <v>530</v>
      </c>
      <c r="G5336" s="3" t="s">
        <v>531</v>
      </c>
      <c r="H5336" s="2" t="s">
        <v>74</v>
      </c>
      <c r="I5336" s="2" t="s">
        <v>13737</v>
      </c>
      <c r="J5336" s="3" t="str">
        <f>HYPERLINK("https://www.boe.es/gazeta/dias/1810/12/11/pdfs/GEI-1810-106.pdf#page=2","Abrir facsímil")</f>
        <v>Abrir facsímil</v>
      </c>
      <c r="K5336" s="3" t="s">
        <v>76</v>
      </c>
    </row>
    <row r="5337" spans="1:11" ht="42" customHeight="1">
      <c r="A5337" s="2" t="s">
        <v>13738</v>
      </c>
      <c r="B5337" s="2" t="s">
        <v>13739</v>
      </c>
      <c r="C5337" s="2" t="s">
        <v>225</v>
      </c>
      <c r="D5337" s="2" t="s">
        <v>117</v>
      </c>
      <c r="E5337" s="4">
        <v>-32635</v>
      </c>
      <c r="F5337" s="3" t="s">
        <v>3132</v>
      </c>
      <c r="G5337" s="3" t="s">
        <v>2928</v>
      </c>
      <c r="H5337" s="2" t="s">
        <v>74</v>
      </c>
      <c r="I5337" s="2" t="s">
        <v>13740</v>
      </c>
      <c r="J5337" s="3" t="str">
        <f>HYPERLINK("https://www.boe.es/gazeta/dias/1810/08/24/pdfs/GEI-1810-59.pdf#page=8","Abrir facsímil")</f>
        <v>Abrir facsímil</v>
      </c>
      <c r="K5337" s="3" t="s">
        <v>76</v>
      </c>
    </row>
    <row r="5338" spans="1:11" ht="42" customHeight="1">
      <c r="A5338" s="2" t="s">
        <v>13741</v>
      </c>
      <c r="B5338" s="2" t="s">
        <v>13742</v>
      </c>
      <c r="C5338" s="2" t="s">
        <v>26</v>
      </c>
      <c r="D5338" s="2" t="s">
        <v>27</v>
      </c>
      <c r="E5338" s="4">
        <v>-32563</v>
      </c>
      <c r="F5338" s="3" t="s">
        <v>535</v>
      </c>
      <c r="G5338" s="3" t="s">
        <v>8537</v>
      </c>
      <c r="H5338" s="2" t="s">
        <v>74</v>
      </c>
      <c r="I5338" s="2" t="s">
        <v>13743</v>
      </c>
      <c r="J5338" s="3" t="str">
        <f>HYPERLINK("https://www.boe.es/gazeta/dias/1810/11/04/pdfs/GMD-1810-308.pdf#page=24","Abrir facsímil")</f>
        <v>Abrir facsímil</v>
      </c>
      <c r="K5338" s="3" t="s">
        <v>76</v>
      </c>
    </row>
    <row r="5339" spans="1:11" ht="42" customHeight="1">
      <c r="A5339" s="2" t="s">
        <v>13744</v>
      </c>
      <c r="B5339" s="2" t="s">
        <v>13745</v>
      </c>
      <c r="C5339" s="2" t="s">
        <v>26</v>
      </c>
      <c r="D5339" s="2" t="s">
        <v>39</v>
      </c>
      <c r="E5339" s="4">
        <v>-32661</v>
      </c>
      <c r="F5339" s="3" t="s">
        <v>157</v>
      </c>
      <c r="G5339" s="3" t="s">
        <v>592</v>
      </c>
      <c r="H5339" s="2" t="s">
        <v>74</v>
      </c>
      <c r="I5339" s="2" t="s">
        <v>13746</v>
      </c>
      <c r="J5339" s="3" t="str">
        <f>HYPERLINK("https://www.boe.es/gazeta/dias/1810/07/29/pdfs/GMD-C-1810-210.pdf#page=2","Abrir facsímil")</f>
        <v>Abrir facsímil</v>
      </c>
      <c r="K5339" s="3" t="s">
        <v>76</v>
      </c>
    </row>
    <row r="5340" spans="1:11" ht="42" customHeight="1">
      <c r="A5340" s="2" t="s">
        <v>13747</v>
      </c>
      <c r="B5340" s="2" t="s">
        <v>13748</v>
      </c>
      <c r="C5340" s="2" t="s">
        <v>26</v>
      </c>
      <c r="D5340" s="2" t="s">
        <v>39</v>
      </c>
      <c r="E5340" s="4">
        <v>-32702</v>
      </c>
      <c r="F5340" s="3" t="s">
        <v>179</v>
      </c>
      <c r="G5340" s="3" t="s">
        <v>119</v>
      </c>
      <c r="H5340" s="2" t="s">
        <v>74</v>
      </c>
      <c r="I5340" s="2" t="s">
        <v>13749</v>
      </c>
      <c r="J5340" s="3" t="str">
        <f>HYPERLINK("https://www.boe.es/gazeta/dias/1810/06/18/pdfs/GMD-C-1810-169.pdf#page=1","Abrir facsímil")</f>
        <v>Abrir facsímil</v>
      </c>
      <c r="K5340" s="3" t="s">
        <v>76</v>
      </c>
    </row>
    <row r="5341" spans="1:11" ht="42" customHeight="1">
      <c r="A5341" s="2" t="s">
        <v>13750</v>
      </c>
      <c r="B5341" s="2" t="s">
        <v>13751</v>
      </c>
      <c r="C5341" s="2" t="s">
        <v>33</v>
      </c>
      <c r="D5341" s="2" t="s">
        <v>27</v>
      </c>
      <c r="E5341" s="4">
        <v>-32557</v>
      </c>
      <c r="F5341" s="3" t="s">
        <v>837</v>
      </c>
      <c r="G5341" s="3" t="s">
        <v>838</v>
      </c>
      <c r="H5341" s="2" t="s">
        <v>74</v>
      </c>
      <c r="I5341" s="2" t="s">
        <v>13752</v>
      </c>
      <c r="J5341" s="3" t="str">
        <f>HYPERLINK("https://www.boe.es/gazeta/dias/1810/11/10/pdfs/GEI-1810-93.pdf#page=4","Abrir facsímil")</f>
        <v>Abrir facsímil</v>
      </c>
      <c r="K5341" s="3" t="s">
        <v>76</v>
      </c>
    </row>
    <row r="5342" spans="1:11" ht="42" customHeight="1">
      <c r="A5342" s="2" t="s">
        <v>13753</v>
      </c>
      <c r="B5342" s="2" t="s">
        <v>13753</v>
      </c>
      <c r="C5342" s="2" t="s">
        <v>26</v>
      </c>
      <c r="D5342" s="2" t="s">
        <v>27</v>
      </c>
      <c r="E5342" s="4">
        <v>-32531</v>
      </c>
      <c r="F5342" s="3" t="s">
        <v>2023</v>
      </c>
      <c r="G5342" s="3" t="s">
        <v>29</v>
      </c>
      <c r="H5342" s="2" t="s">
        <v>74</v>
      </c>
      <c r="I5342" s="2" t="s">
        <v>13754</v>
      </c>
      <c r="J5342" s="3" t="str">
        <f>HYPERLINK("https://www.boe.es/gazeta/dias/1810/12/06/pdfs/GMD-1810-340.pdf#page=4","Abrir facsímil")</f>
        <v>Abrir facsímil</v>
      </c>
      <c r="K5342" s="3" t="s">
        <v>76</v>
      </c>
    </row>
    <row r="5343" spans="1:11" ht="42" customHeight="1">
      <c r="A5343" s="2" t="s">
        <v>13755</v>
      </c>
      <c r="B5343" s="2" t="s">
        <v>13755</v>
      </c>
      <c r="C5343" s="2" t="s">
        <v>88</v>
      </c>
      <c r="D5343" s="2" t="s">
        <v>117</v>
      </c>
      <c r="E5343" s="4">
        <v>-32764</v>
      </c>
      <c r="F5343" s="3" t="s">
        <v>640</v>
      </c>
      <c r="G5343" s="3" t="s">
        <v>131</v>
      </c>
      <c r="H5343" s="2" t="s">
        <v>74</v>
      </c>
      <c r="I5343" s="2" t="s">
        <v>13756</v>
      </c>
      <c r="J5343" s="3" t="str">
        <f>HYPERLINK("https://www.boe.es/gazeta/dias/1810/04/17/pdfs/GEI-1810-15.pdf#page=3","Abrir facsímil")</f>
        <v>Abrir facsímil</v>
      </c>
      <c r="K5343" s="3" t="s">
        <v>76</v>
      </c>
    </row>
    <row r="5344" spans="1:11" ht="42" customHeight="1">
      <c r="A5344" s="2" t="s">
        <v>13757</v>
      </c>
      <c r="B5344" s="2" t="s">
        <v>13757</v>
      </c>
      <c r="C5344" s="2" t="s">
        <v>88</v>
      </c>
      <c r="D5344" s="2" t="s">
        <v>117</v>
      </c>
      <c r="E5344" s="4">
        <v>-32687</v>
      </c>
      <c r="F5344" s="3" t="s">
        <v>263</v>
      </c>
      <c r="G5344" s="3" t="s">
        <v>20</v>
      </c>
      <c r="H5344" s="2" t="s">
        <v>74</v>
      </c>
      <c r="I5344" s="2" t="s">
        <v>13758</v>
      </c>
      <c r="J5344" s="3" t="str">
        <f>HYPERLINK("https://www.boe.es/gazeta/dias/1810/07/03/pdfs/GEI-1810-41.pdf#page=4","Abrir facsímil")</f>
        <v>Abrir facsímil</v>
      </c>
      <c r="K5344" s="3" t="s">
        <v>76</v>
      </c>
    </row>
    <row r="5345" spans="1:11" ht="42" customHeight="1">
      <c r="A5345" s="2" t="s">
        <v>13757</v>
      </c>
      <c r="B5345" s="2" t="s">
        <v>13757</v>
      </c>
      <c r="C5345" s="2" t="s">
        <v>88</v>
      </c>
      <c r="D5345" s="2" t="s">
        <v>27</v>
      </c>
      <c r="E5345" s="4">
        <v>-32559</v>
      </c>
      <c r="F5345" s="3" t="s">
        <v>3062</v>
      </c>
      <c r="G5345" s="3" t="s">
        <v>70</v>
      </c>
      <c r="H5345" s="2" t="s">
        <v>74</v>
      </c>
      <c r="I5345" s="2" t="s">
        <v>13759</v>
      </c>
      <c r="J5345" s="3" t="str">
        <f>HYPERLINK("https://www.boe.es/gazeta/dias/1810/11/08/pdfs/GEI-1810-92.pdf#page=6","Abrir facsímil")</f>
        <v>Abrir facsímil</v>
      </c>
      <c r="K5345" s="3" t="s">
        <v>76</v>
      </c>
    </row>
    <row r="5346" spans="1:11" ht="42" customHeight="1">
      <c r="A5346" s="2" t="s">
        <v>13760</v>
      </c>
      <c r="B5346" s="2" t="s">
        <v>13761</v>
      </c>
      <c r="C5346" s="2" t="s">
        <v>26</v>
      </c>
      <c r="D5346" s="2" t="s">
        <v>27</v>
      </c>
      <c r="E5346" s="4">
        <v>-32687</v>
      </c>
      <c r="F5346" s="3" t="s">
        <v>263</v>
      </c>
      <c r="G5346" s="3" t="s">
        <v>99</v>
      </c>
      <c r="H5346" s="2" t="s">
        <v>74</v>
      </c>
      <c r="I5346" s="2" t="s">
        <v>13762</v>
      </c>
      <c r="J5346" s="3" t="str">
        <f>HYPERLINK("https://www.boe.es/gazeta/dias/1810/07/03/pdfs/GEI-1810-41.pdf#page=3","Abrir facsímil")</f>
        <v>Abrir facsímil</v>
      </c>
      <c r="K5346" s="3" t="s">
        <v>76</v>
      </c>
    </row>
    <row r="5347" spans="1:11" ht="42" customHeight="1">
      <c r="A5347" s="2" t="s">
        <v>13760</v>
      </c>
      <c r="B5347" s="2" t="s">
        <v>13761</v>
      </c>
      <c r="C5347" s="2" t="s">
        <v>88</v>
      </c>
      <c r="D5347" s="2" t="s">
        <v>27</v>
      </c>
      <c r="E5347" s="4">
        <v>-32575</v>
      </c>
      <c r="F5347" s="3" t="s">
        <v>135</v>
      </c>
      <c r="G5347" s="3" t="s">
        <v>1408</v>
      </c>
      <c r="H5347" s="2" t="s">
        <v>74</v>
      </c>
      <c r="I5347" s="2" t="s">
        <v>13763</v>
      </c>
      <c r="J5347" s="3" t="str">
        <f>HYPERLINK("https://www.boe.es/gazeta/dias/1810/10/23/pdfs/GEI-1810-85.pdf#page=6","Abrir facsímil")</f>
        <v>Abrir facsímil</v>
      </c>
      <c r="K5347" s="3" t="s">
        <v>76</v>
      </c>
    </row>
    <row r="5348" spans="1:11" ht="42" customHeight="1">
      <c r="A5348" s="2" t="s">
        <v>13764</v>
      </c>
      <c r="B5348" s="2" t="s">
        <v>13765</v>
      </c>
      <c r="C5348" s="2" t="s">
        <v>26</v>
      </c>
      <c r="D5348" s="2" t="s">
        <v>18</v>
      </c>
      <c r="E5348" s="4">
        <v>-32631</v>
      </c>
      <c r="F5348" s="3" t="s">
        <v>130</v>
      </c>
      <c r="G5348" s="3" t="s">
        <v>131</v>
      </c>
      <c r="H5348" s="2" t="s">
        <v>74</v>
      </c>
      <c r="I5348" s="2" t="s">
        <v>13766</v>
      </c>
      <c r="J5348" s="3" t="str">
        <f>HYPERLINK("https://www.boe.es/gazeta/dias/1810/08/28/pdfs/GEI-1810-60.pdf#page=4","Abrir facsímil")</f>
        <v>Abrir facsímil</v>
      </c>
      <c r="K5348" s="3" t="s">
        <v>76</v>
      </c>
    </row>
    <row r="5349" spans="1:11" ht="42" customHeight="1">
      <c r="A5349" s="2" t="s">
        <v>13767</v>
      </c>
      <c r="B5349" s="2" t="s">
        <v>13767</v>
      </c>
      <c r="C5349" s="2" t="s">
        <v>88</v>
      </c>
      <c r="D5349" s="2" t="s">
        <v>117</v>
      </c>
      <c r="E5349" s="4">
        <v>-32694</v>
      </c>
      <c r="F5349" s="3" t="s">
        <v>2166</v>
      </c>
      <c r="G5349" s="3" t="s">
        <v>180</v>
      </c>
      <c r="H5349" s="2" t="s">
        <v>74</v>
      </c>
      <c r="I5349" s="2" t="s">
        <v>13768</v>
      </c>
      <c r="J5349" s="3" t="str">
        <f>HYPERLINK("https://www.boe.es/gazeta/dias/1810/06/26/pdfs/GMD-1810-177.pdf#page=3","Abrir facsímil")</f>
        <v>Abrir facsímil</v>
      </c>
      <c r="K5349" s="3" t="s">
        <v>76</v>
      </c>
    </row>
    <row r="5350" spans="1:11" ht="42" customHeight="1">
      <c r="A5350" s="2" t="s">
        <v>13767</v>
      </c>
      <c r="B5350" s="2" t="s">
        <v>13767</v>
      </c>
      <c r="C5350" s="2" t="s">
        <v>88</v>
      </c>
      <c r="D5350" s="2" t="s">
        <v>27</v>
      </c>
      <c r="E5350" s="4">
        <v>-32580</v>
      </c>
      <c r="F5350" s="3" t="s">
        <v>833</v>
      </c>
      <c r="G5350" s="3" t="s">
        <v>1488</v>
      </c>
      <c r="H5350" s="2" t="s">
        <v>74</v>
      </c>
      <c r="I5350" s="2" t="s">
        <v>13769</v>
      </c>
      <c r="J5350" s="3" t="str">
        <f>HYPERLINK("https://www.boe.es/gazeta/dias/1810/10/18/pdfs/GMD-1810-291.pdf#page=4","Abrir facsímil")</f>
        <v>Abrir facsímil</v>
      </c>
      <c r="K5350" s="3" t="s">
        <v>76</v>
      </c>
    </row>
    <row r="5351" spans="1:11" ht="42" customHeight="1">
      <c r="A5351" s="2" t="s">
        <v>13770</v>
      </c>
      <c r="B5351" s="2" t="s">
        <v>13771</v>
      </c>
      <c r="C5351" s="2" t="s">
        <v>26</v>
      </c>
      <c r="D5351" s="2" t="s">
        <v>27</v>
      </c>
      <c r="E5351" s="4">
        <v>-32796</v>
      </c>
      <c r="F5351" s="3" t="s">
        <v>1129</v>
      </c>
      <c r="G5351" s="3" t="s">
        <v>679</v>
      </c>
      <c r="H5351" s="2" t="s">
        <v>74</v>
      </c>
      <c r="I5351" s="2" t="s">
        <v>13772</v>
      </c>
      <c r="J5351" s="3" t="str">
        <f>HYPERLINK("https://www.boe.es/gazeta/dias/1810/03/16/pdfs/GMD-1810-75.pdf#page=3","Abrir facsímil")</f>
        <v>Abrir facsímil</v>
      </c>
      <c r="K5351" s="3" t="s">
        <v>76</v>
      </c>
    </row>
    <row r="5352" spans="1:11" ht="42" customHeight="1">
      <c r="A5352" s="2" t="s">
        <v>13773</v>
      </c>
      <c r="B5352" s="2" t="s">
        <v>13773</v>
      </c>
      <c r="C5352" s="2" t="s">
        <v>225</v>
      </c>
      <c r="D5352" s="2" t="s">
        <v>27</v>
      </c>
      <c r="E5352" s="4">
        <v>-32728</v>
      </c>
      <c r="F5352" s="3" t="s">
        <v>269</v>
      </c>
      <c r="G5352" s="3" t="s">
        <v>119</v>
      </c>
      <c r="H5352" s="2" t="s">
        <v>74</v>
      </c>
      <c r="I5352" s="2" t="s">
        <v>13774</v>
      </c>
      <c r="J5352" s="3" t="str">
        <f>HYPERLINK("https://www.boe.es/gazeta/dias/1810/05/23/pdfs/GMD-1810-143.pdf#page=3","Abrir facsímil")</f>
        <v>Abrir facsímil</v>
      </c>
      <c r="K5352" s="3" t="s">
        <v>76</v>
      </c>
    </row>
    <row r="5353" spans="1:11" ht="42" customHeight="1">
      <c r="A5353" s="2" t="s">
        <v>13775</v>
      </c>
      <c r="B5353" s="2" t="s">
        <v>13775</v>
      </c>
      <c r="C5353" s="2" t="s">
        <v>88</v>
      </c>
      <c r="D5353" s="2" t="s">
        <v>117</v>
      </c>
      <c r="E5353" s="4">
        <v>-32542</v>
      </c>
      <c r="F5353" s="3" t="s">
        <v>6175</v>
      </c>
      <c r="G5353" s="3" t="s">
        <v>5985</v>
      </c>
      <c r="H5353" s="2" t="s">
        <v>74</v>
      </c>
      <c r="I5353" s="2" t="s">
        <v>13776</v>
      </c>
      <c r="J5353" s="3" t="str">
        <f>HYPERLINK("https://www.boe.es/gazeta/dias/1810/11/25/pdfs/GMD-1810-329.pdf#page=3","Abrir facsímil")</f>
        <v>Abrir facsímil</v>
      </c>
      <c r="K5353" s="3" t="s">
        <v>76</v>
      </c>
    </row>
    <row r="5354" spans="1:11" ht="42" customHeight="1">
      <c r="A5354" s="2" t="s">
        <v>13777</v>
      </c>
      <c r="B5354" s="2" t="s">
        <v>13777</v>
      </c>
      <c r="C5354" s="2" t="s">
        <v>88</v>
      </c>
      <c r="D5354" s="2" t="s">
        <v>117</v>
      </c>
      <c r="E5354" s="4">
        <v>-32831</v>
      </c>
      <c r="F5354" s="3" t="s">
        <v>3316</v>
      </c>
      <c r="G5354" s="3" t="s">
        <v>140</v>
      </c>
      <c r="H5354" s="2" t="s">
        <v>74</v>
      </c>
      <c r="I5354" s="2" t="s">
        <v>13778</v>
      </c>
      <c r="J5354" s="3" t="str">
        <f>HYPERLINK("https://www.boe.es/gazeta/dias/1810/02/09/pdfs/GMD-1810-40.pdf#page=3","Abrir facsímil")</f>
        <v>Abrir facsímil</v>
      </c>
      <c r="K5354" s="3" t="s">
        <v>76</v>
      </c>
    </row>
    <row r="5355" spans="1:11" ht="42" customHeight="1">
      <c r="A5355" s="2" t="s">
        <v>13779</v>
      </c>
      <c r="B5355" s="2" t="s">
        <v>13779</v>
      </c>
      <c r="C5355" s="2" t="s">
        <v>88</v>
      </c>
      <c r="D5355" s="2" t="s">
        <v>117</v>
      </c>
      <c r="E5355" s="4">
        <v>-32855</v>
      </c>
      <c r="F5355" s="3" t="s">
        <v>4239</v>
      </c>
      <c r="G5355" s="3" t="s">
        <v>291</v>
      </c>
      <c r="H5355" s="2" t="s">
        <v>74</v>
      </c>
      <c r="I5355" s="2" t="s">
        <v>13780</v>
      </c>
      <c r="J5355" s="3" t="str">
        <f>HYPERLINK("https://www.boe.es/gazeta/dias/1810/01/16/pdfs/GMD-1810-16.pdf#page=1","Abrir facsímil")</f>
        <v>Abrir facsímil</v>
      </c>
      <c r="K5355" s="3" t="s">
        <v>76</v>
      </c>
    </row>
    <row r="5356" spans="1:11" ht="42" customHeight="1">
      <c r="A5356" s="2" t="s">
        <v>13781</v>
      </c>
      <c r="B5356" s="2" t="s">
        <v>13782</v>
      </c>
      <c r="C5356" s="2" t="s">
        <v>26</v>
      </c>
      <c r="D5356" s="2" t="s">
        <v>27</v>
      </c>
      <c r="E5356" s="4">
        <v>-32799</v>
      </c>
      <c r="F5356" s="3" t="s">
        <v>2252</v>
      </c>
      <c r="G5356" s="3" t="s">
        <v>99</v>
      </c>
      <c r="H5356" s="2" t="s">
        <v>74</v>
      </c>
      <c r="I5356" s="2" t="s">
        <v>13783</v>
      </c>
      <c r="J5356" s="3" t="str">
        <f>HYPERLINK("https://www.boe.es/gazeta/dias/1810/03/13/pdfs/GMD-1810-72.pdf#page=3","Abrir facsímil")</f>
        <v>Abrir facsímil</v>
      </c>
      <c r="K5356" s="3" t="s">
        <v>76</v>
      </c>
    </row>
    <row r="5357" spans="1:11" ht="42" customHeight="1">
      <c r="A5357" s="2" t="s">
        <v>13784</v>
      </c>
      <c r="B5357" s="2" t="s">
        <v>13784</v>
      </c>
      <c r="C5357" s="2" t="s">
        <v>88</v>
      </c>
      <c r="D5357" s="2" t="s">
        <v>27</v>
      </c>
      <c r="E5357" s="4">
        <v>-32835</v>
      </c>
      <c r="F5357" s="3" t="s">
        <v>13785</v>
      </c>
      <c r="G5357" s="3" t="s">
        <v>213</v>
      </c>
      <c r="H5357" s="2" t="s">
        <v>74</v>
      </c>
      <c r="I5357" s="2" t="s">
        <v>13786</v>
      </c>
      <c r="J5357" s="3" t="str">
        <f>HYPERLINK("https://www.boe.es/gazeta/dias/1810/02/05/pdfs/GMD-1810-36.pdf#page=1","Abrir facsímil")</f>
        <v>Abrir facsímil</v>
      </c>
      <c r="K5357" s="3" t="s">
        <v>76</v>
      </c>
    </row>
    <row r="5358" spans="1:11" ht="42" customHeight="1">
      <c r="A5358" s="2" t="s">
        <v>13787</v>
      </c>
      <c r="B5358" s="2" t="s">
        <v>13788</v>
      </c>
      <c r="C5358" s="2" t="s">
        <v>26</v>
      </c>
      <c r="D5358" s="2" t="s">
        <v>27</v>
      </c>
      <c r="E5358" s="4">
        <v>-32652</v>
      </c>
      <c r="F5358" s="3" t="s">
        <v>731</v>
      </c>
      <c r="G5358" s="3" t="s">
        <v>735</v>
      </c>
      <c r="H5358" s="2" t="s">
        <v>74</v>
      </c>
      <c r="I5358" s="2" t="s">
        <v>13789</v>
      </c>
      <c r="J5358" s="3" t="str">
        <f>HYPERLINK("https://www.boe.es/gazeta/dias/1810/08/07/pdfs/GMD-1810-219.pdf#page=4","Abrir facsímil")</f>
        <v>Abrir facsímil</v>
      </c>
      <c r="K5358" s="3" t="s">
        <v>76</v>
      </c>
    </row>
    <row r="5359" spans="1:11" ht="42" customHeight="1">
      <c r="A5359" s="2" t="s">
        <v>13790</v>
      </c>
      <c r="B5359" s="2" t="s">
        <v>13791</v>
      </c>
      <c r="C5359" s="2" t="s">
        <v>26</v>
      </c>
      <c r="D5359" s="2" t="s">
        <v>58</v>
      </c>
      <c r="E5359" s="4">
        <v>-32601</v>
      </c>
      <c r="F5359" s="3" t="s">
        <v>392</v>
      </c>
      <c r="G5359" s="3" t="s">
        <v>1430</v>
      </c>
      <c r="H5359" s="2" t="s">
        <v>74</v>
      </c>
      <c r="I5359" s="2" t="s">
        <v>13792</v>
      </c>
      <c r="J5359" s="3" t="str">
        <f>HYPERLINK("https://www.boe.es/gazeta/dias/1810/09/27/pdfs/GEI-1810-74E.pdf#page=3","Abrir facsímil")</f>
        <v>Abrir facsímil</v>
      </c>
      <c r="K5359" s="3" t="s">
        <v>76</v>
      </c>
    </row>
    <row r="5360" spans="1:11" ht="42" customHeight="1">
      <c r="A5360" s="2" t="s">
        <v>13793</v>
      </c>
      <c r="B5360" s="2" t="s">
        <v>13794</v>
      </c>
      <c r="C5360" s="2" t="s">
        <v>26</v>
      </c>
      <c r="D5360" s="2" t="s">
        <v>39</v>
      </c>
      <c r="E5360" s="4">
        <v>-32701</v>
      </c>
      <c r="F5360" s="3" t="s">
        <v>40</v>
      </c>
      <c r="G5360" s="3" t="s">
        <v>315</v>
      </c>
      <c r="H5360" s="2" t="s">
        <v>74</v>
      </c>
      <c r="I5360" s="2" t="s">
        <v>13795</v>
      </c>
      <c r="J5360" s="3" t="str">
        <f>HYPERLINK("https://www.boe.es/gazeta/dias/1810/06/19/pdfs/GMD-C-1810-170.pdf#page=2","Abrir facsímil")</f>
        <v>Abrir facsímil</v>
      </c>
      <c r="K5360" s="3" t="s">
        <v>76</v>
      </c>
    </row>
    <row r="5361" spans="1:11" ht="42" customHeight="1">
      <c r="A5361" s="2" t="s">
        <v>13796</v>
      </c>
      <c r="B5361" s="2" t="s">
        <v>13797</v>
      </c>
      <c r="C5361" s="2" t="s">
        <v>111</v>
      </c>
      <c r="D5361" s="2" t="s">
        <v>18</v>
      </c>
      <c r="E5361" s="4">
        <v>-32757</v>
      </c>
      <c r="F5361" s="3" t="s">
        <v>1136</v>
      </c>
      <c r="G5361" s="3" t="s">
        <v>1901</v>
      </c>
      <c r="H5361" s="2" t="s">
        <v>74</v>
      </c>
      <c r="I5361" s="2" t="s">
        <v>13798</v>
      </c>
      <c r="J5361" s="3" t="str">
        <f>HYPERLINK("https://www.boe.es/gazeta/dias/1810/04/24/pdfs/GEI-1810-17.pdf#page=8","Abrir facsímil")</f>
        <v>Abrir facsímil</v>
      </c>
      <c r="K5361" s="3" t="s">
        <v>76</v>
      </c>
    </row>
    <row r="5362" spans="1:11" ht="42" customHeight="1">
      <c r="A5362" s="2" t="s">
        <v>13799</v>
      </c>
      <c r="B5362" s="2" t="s">
        <v>13800</v>
      </c>
      <c r="C5362" s="2" t="s">
        <v>26</v>
      </c>
      <c r="D5362" s="2" t="s">
        <v>27</v>
      </c>
      <c r="E5362" s="4">
        <v>-32867</v>
      </c>
      <c r="F5362" s="3" t="s">
        <v>712</v>
      </c>
      <c r="G5362" s="3" t="s">
        <v>291</v>
      </c>
      <c r="H5362" s="2" t="s">
        <v>74</v>
      </c>
      <c r="I5362" s="2" t="s">
        <v>13801</v>
      </c>
      <c r="J5362" s="3" t="str">
        <f>HYPERLINK("https://www.boe.es/gazeta/dias/1810/01/04/pdfs/GGB-1810-2.pdf#page=8","Abrir facsímil")</f>
        <v>Abrir facsímil</v>
      </c>
      <c r="K5362" s="3" t="s">
        <v>76</v>
      </c>
    </row>
    <row r="5363" spans="1:11" ht="42" customHeight="1">
      <c r="A5363" s="2" t="s">
        <v>13802</v>
      </c>
      <c r="B5363" s="2" t="s">
        <v>13803</v>
      </c>
      <c r="C5363" s="2" t="s">
        <v>26</v>
      </c>
      <c r="D5363" s="2" t="s">
        <v>39</v>
      </c>
      <c r="E5363" s="4">
        <v>-32702</v>
      </c>
      <c r="F5363" s="3" t="s">
        <v>179</v>
      </c>
      <c r="G5363" s="3" t="s">
        <v>180</v>
      </c>
      <c r="H5363" s="2" t="s">
        <v>74</v>
      </c>
      <c r="I5363" s="2" t="s">
        <v>13804</v>
      </c>
      <c r="J5363" s="3" t="str">
        <f>HYPERLINK("https://www.boe.es/gazeta/dias/1810/06/18/pdfs/GMD-C-1810-169.pdf#page=2","Abrir facsímil")</f>
        <v>Abrir facsímil</v>
      </c>
      <c r="K5363" s="3" t="s">
        <v>76</v>
      </c>
    </row>
    <row r="5364" spans="1:11" ht="42" customHeight="1">
      <c r="A5364" s="2" t="s">
        <v>13805</v>
      </c>
      <c r="B5364" s="2" t="s">
        <v>13805</v>
      </c>
      <c r="C5364" s="2" t="s">
        <v>111</v>
      </c>
      <c r="D5364" s="2" t="s">
        <v>27</v>
      </c>
      <c r="E5364" s="4">
        <v>-32554</v>
      </c>
      <c r="F5364" s="3" t="s">
        <v>5190</v>
      </c>
      <c r="G5364" s="3" t="s">
        <v>2073</v>
      </c>
      <c r="H5364" s="2" t="s">
        <v>74</v>
      </c>
      <c r="I5364" s="2" t="s">
        <v>13806</v>
      </c>
      <c r="J5364" s="3" t="str">
        <f>HYPERLINK("https://www.boe.es/gazeta/dias/1810/11/13/pdfs/GEI-1810-94.pdf#page=2","Abrir facsímil")</f>
        <v>Abrir facsímil</v>
      </c>
      <c r="K5364" s="3" t="s">
        <v>76</v>
      </c>
    </row>
    <row r="5365" spans="1:11" ht="42" customHeight="1">
      <c r="A5365" s="2" t="s">
        <v>13807</v>
      </c>
      <c r="B5365" s="2" t="s">
        <v>13807</v>
      </c>
      <c r="C5365" s="2" t="s">
        <v>33</v>
      </c>
      <c r="D5365" s="2" t="s">
        <v>27</v>
      </c>
      <c r="E5365" s="4">
        <v>-32812</v>
      </c>
      <c r="F5365" s="3" t="s">
        <v>627</v>
      </c>
      <c r="G5365" s="3" t="s">
        <v>29</v>
      </c>
      <c r="H5365" s="2" t="s">
        <v>74</v>
      </c>
      <c r="I5365" s="2" t="s">
        <v>13808</v>
      </c>
      <c r="J5365" s="3" t="str">
        <f>HYPERLINK("https://www.boe.es/gazeta/dias/1810/02/28/pdfs/GMD-1810-59.pdf#page=2","Abrir facsímil")</f>
        <v>Abrir facsímil</v>
      </c>
      <c r="K5365" s="3" t="s">
        <v>76</v>
      </c>
    </row>
    <row r="5366" spans="1:11" ht="42" customHeight="1">
      <c r="A5366" s="2" t="s">
        <v>13809</v>
      </c>
      <c r="B5366" s="2" t="s">
        <v>13810</v>
      </c>
      <c r="C5366" s="2" t="s">
        <v>88</v>
      </c>
      <c r="D5366" s="2" t="s">
        <v>27</v>
      </c>
      <c r="E5366" s="4">
        <v>-32858</v>
      </c>
      <c r="F5366" s="3" t="s">
        <v>4182</v>
      </c>
      <c r="G5366" s="3" t="s">
        <v>554</v>
      </c>
      <c r="H5366" s="2" t="s">
        <v>74</v>
      </c>
      <c r="I5366" s="2" t="s">
        <v>13811</v>
      </c>
      <c r="J5366" s="3" t="str">
        <f>HYPERLINK("https://www.boe.es/gazeta/dias/1810/01/13/pdfs/GGB-1810-6.pdf#page=12","Abrir facsímil")</f>
        <v>Abrir facsímil</v>
      </c>
      <c r="K5366" s="3" t="s">
        <v>76</v>
      </c>
    </row>
    <row r="5367" spans="1:11" ht="42" customHeight="1">
      <c r="A5367" s="2" t="s">
        <v>13812</v>
      </c>
      <c r="B5367" s="2" t="s">
        <v>13812</v>
      </c>
      <c r="C5367" s="2" t="s">
        <v>26</v>
      </c>
      <c r="D5367" s="2" t="s">
        <v>18</v>
      </c>
      <c r="E5367" s="4">
        <v>-32676</v>
      </c>
      <c r="F5367" s="3" t="s">
        <v>2863</v>
      </c>
      <c r="G5367" s="3" t="s">
        <v>592</v>
      </c>
      <c r="H5367" s="2" t="s">
        <v>74</v>
      </c>
      <c r="I5367" s="2" t="s">
        <v>13813</v>
      </c>
      <c r="J5367" s="3" t="str">
        <f>HYPERLINK("https://www.boe.es/gazeta/dias/1810/07/14/pdfs/GMD-1810-195.pdf#page=4","Abrir facsímil")</f>
        <v>Abrir facsímil</v>
      </c>
      <c r="K5367" s="3" t="s">
        <v>76</v>
      </c>
    </row>
    <row r="5368" spans="1:11" ht="42" customHeight="1">
      <c r="A5368" s="2" t="s">
        <v>13814</v>
      </c>
      <c r="B5368" s="2" t="s">
        <v>13814</v>
      </c>
      <c r="C5368" s="2" t="s">
        <v>26</v>
      </c>
      <c r="D5368" s="2" t="s">
        <v>39</v>
      </c>
      <c r="E5368" s="4">
        <v>-32701</v>
      </c>
      <c r="F5368" s="3" t="s">
        <v>40</v>
      </c>
      <c r="G5368" s="3" t="s">
        <v>170</v>
      </c>
      <c r="H5368" s="2" t="s">
        <v>74</v>
      </c>
      <c r="I5368" s="2" t="s">
        <v>13815</v>
      </c>
      <c r="J5368" s="3" t="str">
        <f>HYPERLINK("https://www.boe.es/gazeta/dias/1810/06/19/pdfs/GMD-C-1810-170.pdf#page=1","Abrir facsímil")</f>
        <v>Abrir facsímil</v>
      </c>
      <c r="K5368" s="3" t="s">
        <v>76</v>
      </c>
    </row>
    <row r="5369" spans="1:11" ht="42" customHeight="1">
      <c r="A5369" s="2" t="s">
        <v>13816</v>
      </c>
      <c r="B5369" s="2" t="s">
        <v>13817</v>
      </c>
      <c r="C5369" s="2" t="s">
        <v>26</v>
      </c>
      <c r="D5369" s="2" t="s">
        <v>27</v>
      </c>
      <c r="E5369" s="4">
        <v>-32569</v>
      </c>
      <c r="F5369" s="3" t="s">
        <v>421</v>
      </c>
      <c r="G5369" s="3" t="s">
        <v>20</v>
      </c>
      <c r="H5369" s="2" t="s">
        <v>74</v>
      </c>
      <c r="I5369" s="2" t="s">
        <v>13818</v>
      </c>
      <c r="J5369" s="3" t="str">
        <f>HYPERLINK("https://www.boe.es/gazeta/dias/1810/10/29/pdfs/GMD-1810-302.pdf#page=4","Abrir facsímil")</f>
        <v>Abrir facsímil</v>
      </c>
      <c r="K5369" s="3" t="s">
        <v>76</v>
      </c>
    </row>
    <row r="5370" spans="1:11" ht="42" customHeight="1">
      <c r="A5370" s="2" t="s">
        <v>13819</v>
      </c>
      <c r="B5370" s="2" t="s">
        <v>13819</v>
      </c>
      <c r="C5370" s="2" t="s">
        <v>17</v>
      </c>
      <c r="D5370" s="2" t="s">
        <v>27</v>
      </c>
      <c r="E5370" s="4">
        <v>-32664</v>
      </c>
      <c r="F5370" s="3" t="s">
        <v>618</v>
      </c>
      <c r="G5370" s="3" t="s">
        <v>1985</v>
      </c>
      <c r="H5370" s="2" t="s">
        <v>74</v>
      </c>
      <c r="I5370" s="2" t="s">
        <v>13820</v>
      </c>
      <c r="J5370" s="3" t="str">
        <f>HYPERLINK("https://www.boe.es/gazeta/dias/1810/07/26/pdfs/GMD-1810-207.pdf#page=4","Abrir facsímil")</f>
        <v>Abrir facsímil</v>
      </c>
      <c r="K5370" s="3" t="s">
        <v>76</v>
      </c>
    </row>
    <row r="5371" spans="1:11" ht="42" customHeight="1">
      <c r="A5371" s="2" t="s">
        <v>13821</v>
      </c>
      <c r="B5371" s="2" t="s">
        <v>13822</v>
      </c>
      <c r="C5371" s="2" t="s">
        <v>26</v>
      </c>
      <c r="D5371" s="2" t="s">
        <v>58</v>
      </c>
      <c r="E5371" s="4">
        <v>-32729</v>
      </c>
      <c r="F5371" s="3" t="s">
        <v>2427</v>
      </c>
      <c r="G5371" s="3" t="s">
        <v>1266</v>
      </c>
      <c r="H5371" s="2" t="s">
        <v>74</v>
      </c>
      <c r="I5371" s="2" t="s">
        <v>13823</v>
      </c>
      <c r="J5371" s="3" t="str">
        <f>HYPERLINK("https://www.boe.es/gazeta/dias/1810/05/22/pdfs/GEI-1810-29E.pdf#page=3","Abrir facsímil")</f>
        <v>Abrir facsímil</v>
      </c>
      <c r="K5371" s="3" t="s">
        <v>76</v>
      </c>
    </row>
    <row r="5372" spans="1:11" ht="42" customHeight="1">
      <c r="A5372" s="2" t="s">
        <v>13821</v>
      </c>
      <c r="B5372" s="2" t="s">
        <v>13822</v>
      </c>
      <c r="C5372" s="2" t="s">
        <v>88</v>
      </c>
      <c r="D5372" s="2" t="s">
        <v>117</v>
      </c>
      <c r="E5372" s="4">
        <v>-32729</v>
      </c>
      <c r="F5372" s="3" t="s">
        <v>2427</v>
      </c>
      <c r="G5372" s="3" t="s">
        <v>227</v>
      </c>
      <c r="H5372" s="2" t="s">
        <v>74</v>
      </c>
      <c r="I5372" s="2" t="s">
        <v>13824</v>
      </c>
      <c r="J5372" s="3" t="str">
        <f>HYPERLINK("https://www.boe.es/gazeta/dias/1810/05/22/pdfs/GEI-1810-29E.pdf#page=4","Abrir facsímil")</f>
        <v>Abrir facsímil</v>
      </c>
      <c r="K5372" s="3" t="s">
        <v>76</v>
      </c>
    </row>
    <row r="5373" spans="1:11" ht="42" customHeight="1">
      <c r="A5373" s="2" t="s">
        <v>13825</v>
      </c>
      <c r="B5373" s="2" t="s">
        <v>13826</v>
      </c>
      <c r="C5373" s="2" t="s">
        <v>195</v>
      </c>
      <c r="D5373" s="2" t="s">
        <v>27</v>
      </c>
      <c r="E5373" s="4">
        <v>-32741</v>
      </c>
      <c r="F5373" s="3" t="s">
        <v>98</v>
      </c>
      <c r="G5373" s="3" t="s">
        <v>90</v>
      </c>
      <c r="H5373" s="2" t="s">
        <v>74</v>
      </c>
      <c r="I5373" s="2" t="s">
        <v>13827</v>
      </c>
      <c r="J5373" s="3" t="str">
        <f>HYPERLINK("https://www.boe.es/gazeta/dias/1810/05/10/pdfs/GMD-1810-130.pdf#page=4","Abrir facsímil")</f>
        <v>Abrir facsímil</v>
      </c>
      <c r="K5373" s="3" t="s">
        <v>76</v>
      </c>
    </row>
    <row r="5374" spans="1:11" ht="42" customHeight="1">
      <c r="A5374" s="2" t="s">
        <v>13828</v>
      </c>
      <c r="B5374" s="2" t="s">
        <v>13829</v>
      </c>
      <c r="C5374" s="2" t="s">
        <v>26</v>
      </c>
      <c r="D5374" s="2" t="s">
        <v>27</v>
      </c>
      <c r="E5374" s="4">
        <v>-32741</v>
      </c>
      <c r="F5374" s="3" t="s">
        <v>98</v>
      </c>
      <c r="G5374" s="3" t="s">
        <v>90</v>
      </c>
      <c r="H5374" s="2" t="s">
        <v>74</v>
      </c>
      <c r="I5374" s="2" t="s">
        <v>13830</v>
      </c>
      <c r="J5374" s="3" t="str">
        <f>HYPERLINK("https://www.boe.es/gazeta/dias/1810/05/10/pdfs/GMD-1810-130.pdf#page=4","Abrir facsímil")</f>
        <v>Abrir facsímil</v>
      </c>
      <c r="K5374" s="3" t="s">
        <v>76</v>
      </c>
    </row>
    <row r="5375" spans="1:11" ht="42" customHeight="1">
      <c r="A5375" s="2" t="s">
        <v>13831</v>
      </c>
      <c r="B5375" s="2" t="s">
        <v>13832</v>
      </c>
      <c r="C5375" s="2" t="s">
        <v>33</v>
      </c>
      <c r="D5375" s="2" t="s">
        <v>27</v>
      </c>
      <c r="E5375" s="4">
        <v>-32784</v>
      </c>
      <c r="F5375" s="3" t="s">
        <v>429</v>
      </c>
      <c r="G5375" s="3" t="s">
        <v>131</v>
      </c>
      <c r="H5375" s="2" t="s">
        <v>74</v>
      </c>
      <c r="I5375" s="2" t="s">
        <v>13833</v>
      </c>
      <c r="J5375" s="3" t="str">
        <f>HYPERLINK("https://www.boe.es/gazeta/dias/1810/03/28/pdfs/GMD-1810-87.pdf#page=3","Abrir facsímil")</f>
        <v>Abrir facsímil</v>
      </c>
      <c r="K5375" s="3" t="s">
        <v>76</v>
      </c>
    </row>
    <row r="5376" spans="1:11" ht="42" customHeight="1">
      <c r="A5376" s="2" t="s">
        <v>13834</v>
      </c>
      <c r="B5376" s="2" t="s">
        <v>13835</v>
      </c>
      <c r="C5376" s="2" t="s">
        <v>26</v>
      </c>
      <c r="D5376" s="2" t="s">
        <v>27</v>
      </c>
      <c r="E5376" s="4">
        <v>-32703</v>
      </c>
      <c r="F5376" s="3" t="s">
        <v>1213</v>
      </c>
      <c r="G5376" s="3" t="s">
        <v>1214</v>
      </c>
      <c r="H5376" s="2" t="s">
        <v>74</v>
      </c>
      <c r="I5376" s="2" t="s">
        <v>13836</v>
      </c>
      <c r="J5376" s="3" t="str">
        <f>HYPERLINK("https://www.boe.es/gazeta/dias/1810/06/17/pdfs/GMD-1810-168.pdf#page=4","Abrir facsímil")</f>
        <v>Abrir facsímil</v>
      </c>
      <c r="K5376" s="3" t="s">
        <v>76</v>
      </c>
    </row>
    <row r="5377" spans="1:11" ht="42" customHeight="1">
      <c r="A5377" s="2" t="s">
        <v>13837</v>
      </c>
      <c r="B5377" s="2" t="s">
        <v>13838</v>
      </c>
      <c r="C5377" s="2" t="s">
        <v>26</v>
      </c>
      <c r="D5377" s="2" t="s">
        <v>27</v>
      </c>
      <c r="E5377" s="4">
        <v>-32647</v>
      </c>
      <c r="F5377" s="3" t="s">
        <v>118</v>
      </c>
      <c r="G5377" s="3" t="s">
        <v>119</v>
      </c>
      <c r="H5377" s="2" t="s">
        <v>74</v>
      </c>
      <c r="I5377" s="2" t="s">
        <v>13839</v>
      </c>
      <c r="J5377" s="3" t="str">
        <f>HYPERLINK("https://www.boe.es/gazeta/dias/1810/08/12/pdfs/GMD-1810-224.pdf#page=3","Abrir facsímil")</f>
        <v>Abrir facsímil</v>
      </c>
      <c r="K5377" s="3" t="s">
        <v>76</v>
      </c>
    </row>
    <row r="5378" spans="1:11" ht="42" customHeight="1">
      <c r="A5378" s="2" t="s">
        <v>13840</v>
      </c>
      <c r="B5378" s="2" t="s">
        <v>13840</v>
      </c>
      <c r="C5378" s="2" t="s">
        <v>88</v>
      </c>
      <c r="D5378" s="2" t="s">
        <v>27</v>
      </c>
      <c r="E5378" s="4">
        <v>-32556</v>
      </c>
      <c r="F5378" s="3" t="s">
        <v>799</v>
      </c>
      <c r="G5378" s="3" t="s">
        <v>140</v>
      </c>
      <c r="H5378" s="2" t="s">
        <v>74</v>
      </c>
      <c r="I5378" s="2" t="s">
        <v>13841</v>
      </c>
      <c r="J5378" s="3" t="str">
        <f>HYPERLINK("https://www.boe.es/gazeta/dias/1810/11/11/pdfs/GMD-1810-315.pdf#page=2","Abrir facsímil")</f>
        <v>Abrir facsímil</v>
      </c>
      <c r="K5378" s="3" t="s">
        <v>76</v>
      </c>
    </row>
    <row r="5379" spans="1:11" ht="42" customHeight="1">
      <c r="A5379" s="2" t="s">
        <v>13842</v>
      </c>
      <c r="B5379" s="2" t="s">
        <v>13842</v>
      </c>
      <c r="C5379" s="2" t="s">
        <v>26</v>
      </c>
      <c r="D5379" s="2" t="s">
        <v>18</v>
      </c>
      <c r="E5379" s="4">
        <v>-32584</v>
      </c>
      <c r="F5379" s="3" t="s">
        <v>1560</v>
      </c>
      <c r="G5379" s="3" t="s">
        <v>971</v>
      </c>
      <c r="H5379" s="2" t="s">
        <v>74</v>
      </c>
      <c r="I5379" s="2" t="s">
        <v>13843</v>
      </c>
      <c r="J5379" s="3" t="str">
        <f>HYPERLINK("https://www.boe.es/gazeta/dias/1810/10/14/pdfs/GMD-1810-287.pdf#page=3","Abrir facsímil")</f>
        <v>Abrir facsímil</v>
      </c>
      <c r="K5379" s="3" t="s">
        <v>76</v>
      </c>
    </row>
    <row r="5380" spans="1:11" ht="42" customHeight="1">
      <c r="A5380" s="2" t="s">
        <v>13844</v>
      </c>
      <c r="B5380" s="2" t="s">
        <v>13845</v>
      </c>
      <c r="C5380" s="2" t="s">
        <v>26</v>
      </c>
      <c r="D5380" s="2" t="s">
        <v>27</v>
      </c>
      <c r="E5380" s="4">
        <v>-32659</v>
      </c>
      <c r="F5380" s="3" t="s">
        <v>328</v>
      </c>
      <c r="G5380" s="3" t="s">
        <v>119</v>
      </c>
      <c r="H5380" s="2" t="s">
        <v>74</v>
      </c>
      <c r="I5380" s="2" t="s">
        <v>13846</v>
      </c>
      <c r="J5380" s="3" t="str">
        <f>HYPERLINK("https://www.boe.es/gazeta/dias/1810/07/31/pdfs/GEI-1810-49.pdf#page=8","Abrir facsímil")</f>
        <v>Abrir facsímil</v>
      </c>
      <c r="K5380" s="3" t="s">
        <v>76</v>
      </c>
    </row>
    <row r="5381" spans="1:11" ht="42" customHeight="1">
      <c r="A5381" s="2" t="s">
        <v>13847</v>
      </c>
      <c r="B5381" s="2" t="s">
        <v>13847</v>
      </c>
      <c r="C5381" s="2" t="s">
        <v>26</v>
      </c>
      <c r="D5381" s="2" t="s">
        <v>27</v>
      </c>
      <c r="E5381" s="4">
        <v>-32566</v>
      </c>
      <c r="F5381" s="3" t="s">
        <v>405</v>
      </c>
      <c r="G5381" s="3" t="s">
        <v>99</v>
      </c>
      <c r="H5381" s="2" t="s">
        <v>74</v>
      </c>
      <c r="I5381" s="2" t="s">
        <v>13848</v>
      </c>
      <c r="J5381" s="3" t="str">
        <f>HYPERLINK("https://www.boe.es/gazeta/dias/1810/11/01/pdfs/GMD-1810-305.pdf#page=3","Abrir facsímil")</f>
        <v>Abrir facsímil</v>
      </c>
      <c r="K5381" s="3" t="s">
        <v>76</v>
      </c>
    </row>
    <row r="5382" spans="1:11" ht="42" customHeight="1">
      <c r="A5382" s="2" t="s">
        <v>13849</v>
      </c>
      <c r="B5382" s="2" t="s">
        <v>13849</v>
      </c>
      <c r="C5382" s="2" t="s">
        <v>88</v>
      </c>
      <c r="D5382" s="2" t="s">
        <v>117</v>
      </c>
      <c r="E5382" s="4">
        <v>-32726</v>
      </c>
      <c r="F5382" s="3" t="s">
        <v>1850</v>
      </c>
      <c r="G5382" s="3" t="s">
        <v>1851</v>
      </c>
      <c r="H5382" s="2" t="s">
        <v>74</v>
      </c>
      <c r="I5382" s="2" t="s">
        <v>13850</v>
      </c>
      <c r="J5382" s="3" t="str">
        <f>HYPERLINK("https://www.boe.es/gazeta/dias/1810/05/25/pdfs/GEI-1810-30.pdf#page=1","Abrir facsímil")</f>
        <v>Abrir facsímil</v>
      </c>
      <c r="K5382" s="3" t="s">
        <v>76</v>
      </c>
    </row>
    <row r="5383" spans="1:11" ht="42" customHeight="1">
      <c r="A5383" s="2" t="s">
        <v>13851</v>
      </c>
      <c r="B5383" s="2" t="s">
        <v>13852</v>
      </c>
      <c r="C5383" s="2" t="s">
        <v>26</v>
      </c>
      <c r="D5383" s="2" t="s">
        <v>39</v>
      </c>
      <c r="E5383" s="4">
        <v>-32669</v>
      </c>
      <c r="F5383" s="3" t="s">
        <v>1110</v>
      </c>
      <c r="G5383" s="3" t="s">
        <v>213</v>
      </c>
      <c r="H5383" s="2" t="s">
        <v>74</v>
      </c>
      <c r="I5383" s="2" t="s">
        <v>13853</v>
      </c>
      <c r="J5383" s="3" t="str">
        <f>HYPERLINK("https://www.boe.es/gazeta/dias/1810/07/21/pdfs/GMD-C-1810-202.pdf#page=1","Abrir facsímil")</f>
        <v>Abrir facsímil</v>
      </c>
      <c r="K5383" s="3" t="s">
        <v>76</v>
      </c>
    </row>
    <row r="5384" spans="1:11" ht="42" customHeight="1">
      <c r="A5384" s="2" t="s">
        <v>13854</v>
      </c>
      <c r="B5384" s="2" t="s">
        <v>13855</v>
      </c>
      <c r="C5384" s="2" t="s">
        <v>111</v>
      </c>
      <c r="D5384" s="2" t="s">
        <v>18</v>
      </c>
      <c r="E5384" s="4">
        <v>-32603</v>
      </c>
      <c r="F5384" s="3" t="s">
        <v>2163</v>
      </c>
      <c r="G5384" s="3" t="s">
        <v>29</v>
      </c>
      <c r="H5384" s="2" t="s">
        <v>74</v>
      </c>
      <c r="I5384" s="2" t="s">
        <v>13856</v>
      </c>
      <c r="J5384" s="3" t="str">
        <f>HYPERLINK("https://www.boe.es/gazeta/dias/1810/09/25/pdfs/GEI-1810-72.pdf#page=8","Abrir facsímil")</f>
        <v>Abrir facsímil</v>
      </c>
      <c r="K5384" s="3" t="s">
        <v>76</v>
      </c>
    </row>
    <row r="5385" spans="1:11" ht="42" customHeight="1">
      <c r="A5385" s="2" t="s">
        <v>13857</v>
      </c>
      <c r="B5385" s="2" t="s">
        <v>13857</v>
      </c>
      <c r="C5385" s="2" t="s">
        <v>88</v>
      </c>
      <c r="D5385" s="2" t="s">
        <v>27</v>
      </c>
      <c r="E5385" s="4">
        <v>-32559</v>
      </c>
      <c r="F5385" s="3" t="s">
        <v>2260</v>
      </c>
      <c r="G5385" s="3" t="s">
        <v>140</v>
      </c>
      <c r="H5385" s="2" t="s">
        <v>74</v>
      </c>
      <c r="I5385" s="2" t="s">
        <v>13858</v>
      </c>
      <c r="J5385" s="3" t="str">
        <f>HYPERLINK("https://www.boe.es/gazeta/dias/1810/11/08/pdfs/GMD-1810-312.pdf#page=2","Abrir facsímil")</f>
        <v>Abrir facsímil</v>
      </c>
      <c r="K5385" s="3" t="s">
        <v>76</v>
      </c>
    </row>
    <row r="5386" spans="1:11" ht="42" customHeight="1">
      <c r="A5386" s="2" t="s">
        <v>13859</v>
      </c>
      <c r="B5386" s="2" t="s">
        <v>13860</v>
      </c>
      <c r="C5386" s="2" t="s">
        <v>26</v>
      </c>
      <c r="D5386" s="2" t="s">
        <v>18</v>
      </c>
      <c r="E5386" s="4">
        <v>-32829</v>
      </c>
      <c r="F5386" s="3" t="s">
        <v>1126</v>
      </c>
      <c r="G5386" s="3" t="s">
        <v>29</v>
      </c>
      <c r="H5386" s="2" t="s">
        <v>74</v>
      </c>
      <c r="I5386" s="2" t="s">
        <v>13861</v>
      </c>
      <c r="J5386" s="3" t="str">
        <f>HYPERLINK("https://www.boe.es/gazeta/dias/1810/02/11/pdfs/GMD-1810-42.pdf#page=2","Abrir facsímil")</f>
        <v>Abrir facsímil</v>
      </c>
      <c r="K5386" s="3" t="s">
        <v>76</v>
      </c>
    </row>
    <row r="5387" spans="1:11" ht="42" customHeight="1">
      <c r="A5387" s="2" t="s">
        <v>13862</v>
      </c>
      <c r="B5387" s="2" t="s">
        <v>13863</v>
      </c>
      <c r="C5387" s="2" t="s">
        <v>26</v>
      </c>
      <c r="D5387" s="2" t="s">
        <v>27</v>
      </c>
      <c r="E5387" s="4">
        <v>-32632</v>
      </c>
      <c r="F5387" s="3" t="s">
        <v>358</v>
      </c>
      <c r="G5387" s="3" t="s">
        <v>359</v>
      </c>
      <c r="H5387" s="2" t="s">
        <v>74</v>
      </c>
      <c r="I5387" s="2" t="s">
        <v>13864</v>
      </c>
      <c r="J5387" s="3" t="str">
        <f>HYPERLINK("https://www.boe.es/gazeta/dias/1810/08/27/pdfs/GMD-1810-239.pdf#page=3","Abrir facsímil")</f>
        <v>Abrir facsímil</v>
      </c>
      <c r="K5387" s="3" t="s">
        <v>76</v>
      </c>
    </row>
    <row r="5388" spans="1:11" ht="42" customHeight="1">
      <c r="A5388" s="2" t="s">
        <v>13865</v>
      </c>
      <c r="B5388" s="2" t="s">
        <v>13865</v>
      </c>
      <c r="C5388" s="2" t="s">
        <v>17</v>
      </c>
      <c r="D5388" s="2" t="s">
        <v>27</v>
      </c>
      <c r="E5388" s="4">
        <v>-32861</v>
      </c>
      <c r="F5388" s="3" t="s">
        <v>796</v>
      </c>
      <c r="G5388" s="3" t="s">
        <v>29</v>
      </c>
      <c r="H5388" s="2" t="s">
        <v>74</v>
      </c>
      <c r="I5388" s="2" t="s">
        <v>13866</v>
      </c>
      <c r="J5388" s="3" t="str">
        <f>HYPERLINK("https://www.boe.es/gazeta/dias/1810/01/10/pdfs/GMD-1810-10.pdf#page=2","Abrir facsímil")</f>
        <v>Abrir facsímil</v>
      </c>
      <c r="K5388" s="3" t="s">
        <v>76</v>
      </c>
    </row>
    <row r="5389" spans="1:11" ht="42" customHeight="1">
      <c r="A5389" s="2" t="s">
        <v>13865</v>
      </c>
      <c r="B5389" s="2" t="s">
        <v>13865</v>
      </c>
      <c r="C5389" s="2" t="s">
        <v>26</v>
      </c>
      <c r="D5389" s="2" t="s">
        <v>27</v>
      </c>
      <c r="E5389" s="4">
        <v>-32861</v>
      </c>
      <c r="F5389" s="3" t="s">
        <v>796</v>
      </c>
      <c r="G5389" s="3" t="s">
        <v>99</v>
      </c>
      <c r="H5389" s="2" t="s">
        <v>74</v>
      </c>
      <c r="I5389" s="2" t="s">
        <v>13867</v>
      </c>
      <c r="J5389" s="3" t="str">
        <f>HYPERLINK("https://www.boe.es/gazeta/dias/1810/01/10/pdfs/GMD-1810-10.pdf#page=3","Abrir facsímil")</f>
        <v>Abrir facsímil</v>
      </c>
      <c r="K5389" s="3" t="s">
        <v>76</v>
      </c>
    </row>
    <row r="5390" spans="1:11" ht="42" customHeight="1">
      <c r="A5390" s="2" t="s">
        <v>13865</v>
      </c>
      <c r="B5390" s="2" t="s">
        <v>13865</v>
      </c>
      <c r="C5390" s="2" t="s">
        <v>26</v>
      </c>
      <c r="D5390" s="2" t="s">
        <v>27</v>
      </c>
      <c r="E5390" s="4">
        <v>-32837</v>
      </c>
      <c r="F5390" s="3" t="s">
        <v>196</v>
      </c>
      <c r="G5390" s="3" t="s">
        <v>213</v>
      </c>
      <c r="H5390" s="2" t="s">
        <v>74</v>
      </c>
      <c r="I5390" s="2" t="s">
        <v>13868</v>
      </c>
      <c r="J5390" s="3" t="str">
        <f>HYPERLINK("https://www.boe.es/gazeta/dias/1810/02/03/pdfs/GMD-1810-34.pdf#page=2","Abrir facsímil")</f>
        <v>Abrir facsímil</v>
      </c>
      <c r="K5390" s="3" t="s">
        <v>76</v>
      </c>
    </row>
    <row r="5391" spans="1:11" ht="42" customHeight="1">
      <c r="A5391" s="2" t="s">
        <v>13865</v>
      </c>
      <c r="B5391" s="2" t="s">
        <v>13865</v>
      </c>
      <c r="C5391" s="2" t="s">
        <v>26</v>
      </c>
      <c r="D5391" s="2" t="s">
        <v>27</v>
      </c>
      <c r="E5391" s="4">
        <v>-32776</v>
      </c>
      <c r="F5391" s="3" t="s">
        <v>752</v>
      </c>
      <c r="G5391" s="3" t="s">
        <v>213</v>
      </c>
      <c r="H5391" s="2" t="s">
        <v>74</v>
      </c>
      <c r="I5391" s="2" t="s">
        <v>13869</v>
      </c>
      <c r="J5391" s="3" t="str">
        <f>HYPERLINK("https://www.boe.es/gazeta/dias/1810/04/05/pdfs/GMD-1810-95.pdf#page=3","Abrir facsímil")</f>
        <v>Abrir facsímil</v>
      </c>
      <c r="K5391" s="3" t="s">
        <v>76</v>
      </c>
    </row>
    <row r="5392" spans="1:11" ht="42" customHeight="1">
      <c r="A5392" s="2" t="s">
        <v>13865</v>
      </c>
      <c r="B5392" s="2" t="s">
        <v>13865</v>
      </c>
      <c r="C5392" s="2" t="s">
        <v>26</v>
      </c>
      <c r="D5392" s="2" t="s">
        <v>27</v>
      </c>
      <c r="E5392" s="4">
        <v>-32722</v>
      </c>
      <c r="F5392" s="3" t="s">
        <v>856</v>
      </c>
      <c r="G5392" s="3" t="s">
        <v>857</v>
      </c>
      <c r="H5392" s="2" t="s">
        <v>74</v>
      </c>
      <c r="I5392" s="2" t="s">
        <v>13870</v>
      </c>
      <c r="J5392" s="3" t="str">
        <f>HYPERLINK("https://www.boe.es/gazeta/dias/1810/05/29/pdfs/GEI-1810-31.pdf#page=11","Abrir facsímil")</f>
        <v>Abrir facsímil</v>
      </c>
      <c r="K5392" s="3" t="s">
        <v>76</v>
      </c>
    </row>
    <row r="5393" spans="1:11" ht="42" customHeight="1">
      <c r="A5393" s="2" t="s">
        <v>13865</v>
      </c>
      <c r="B5393" s="2" t="s">
        <v>13865</v>
      </c>
      <c r="C5393" s="2" t="s">
        <v>26</v>
      </c>
      <c r="D5393" s="2" t="s">
        <v>18</v>
      </c>
      <c r="E5393" s="4">
        <v>-32704</v>
      </c>
      <c r="F5393" s="3" t="s">
        <v>94</v>
      </c>
      <c r="G5393" s="3" t="s">
        <v>20</v>
      </c>
      <c r="H5393" s="2" t="s">
        <v>74</v>
      </c>
      <c r="I5393" s="2" t="s">
        <v>13871</v>
      </c>
      <c r="J5393" s="3" t="str">
        <f>HYPERLINK("https://www.boe.es/gazeta/dias/1810/06/16/pdfs/GMD-1810-167.pdf#page=4","Abrir facsímil")</f>
        <v>Abrir facsímil</v>
      </c>
      <c r="K5393" s="3" t="s">
        <v>76</v>
      </c>
    </row>
    <row r="5394" spans="1:11" ht="42" customHeight="1">
      <c r="A5394" s="2" t="s">
        <v>13865</v>
      </c>
      <c r="B5394" s="2" t="s">
        <v>13865</v>
      </c>
      <c r="C5394" s="2" t="s">
        <v>26</v>
      </c>
      <c r="D5394" s="2" t="s">
        <v>18</v>
      </c>
      <c r="E5394" s="4">
        <v>-32702</v>
      </c>
      <c r="F5394" s="3" t="s">
        <v>179</v>
      </c>
      <c r="G5394" s="3" t="s">
        <v>119</v>
      </c>
      <c r="H5394" s="2" t="s">
        <v>74</v>
      </c>
      <c r="I5394" s="2" t="s">
        <v>13872</v>
      </c>
      <c r="J5394" s="3" t="str">
        <f>HYPERLINK("https://www.boe.es/gazeta/dias/1810/06/18/pdfs/GMD-C-1810-169.pdf#page=1","Abrir facsímil")</f>
        <v>Abrir facsímil</v>
      </c>
      <c r="K5394" s="3" t="s">
        <v>76</v>
      </c>
    </row>
    <row r="5395" spans="1:11" ht="42" customHeight="1">
      <c r="A5395" s="2" t="s">
        <v>13865</v>
      </c>
      <c r="B5395" s="2" t="s">
        <v>13865</v>
      </c>
      <c r="C5395" s="2" t="s">
        <v>26</v>
      </c>
      <c r="D5395" s="2" t="s">
        <v>39</v>
      </c>
      <c r="E5395" s="4">
        <v>-32702</v>
      </c>
      <c r="F5395" s="3" t="s">
        <v>179</v>
      </c>
      <c r="G5395" s="3" t="s">
        <v>180</v>
      </c>
      <c r="H5395" s="2" t="s">
        <v>74</v>
      </c>
      <c r="I5395" s="2" t="s">
        <v>13873</v>
      </c>
      <c r="J5395" s="3" t="str">
        <f>HYPERLINK("https://www.boe.es/gazeta/dias/1810/06/18/pdfs/GMD-C-1810-169.pdf#page=2","Abrir facsímil")</f>
        <v>Abrir facsímil</v>
      </c>
      <c r="K5395" s="3" t="s">
        <v>76</v>
      </c>
    </row>
    <row r="5396" spans="1:11" ht="42" customHeight="1">
      <c r="A5396" s="2" t="s">
        <v>13865</v>
      </c>
      <c r="B5396" s="2" t="s">
        <v>13865</v>
      </c>
      <c r="C5396" s="2" t="s">
        <v>26</v>
      </c>
      <c r="D5396" s="2" t="s">
        <v>39</v>
      </c>
      <c r="E5396" s="4">
        <v>-32701</v>
      </c>
      <c r="F5396" s="3" t="s">
        <v>40</v>
      </c>
      <c r="G5396" s="3" t="s">
        <v>170</v>
      </c>
      <c r="H5396" s="2" t="s">
        <v>74</v>
      </c>
      <c r="I5396" s="2" t="s">
        <v>13874</v>
      </c>
      <c r="J5396" s="3" t="str">
        <f>HYPERLINK("https://www.boe.es/gazeta/dias/1810/06/19/pdfs/GMD-C-1810-170.pdf#page=1","Abrir facsímil")</f>
        <v>Abrir facsímil</v>
      </c>
      <c r="K5396" s="3" t="s">
        <v>76</v>
      </c>
    </row>
    <row r="5397" spans="1:11" ht="42" customHeight="1">
      <c r="A5397" s="2" t="s">
        <v>13865</v>
      </c>
      <c r="B5397" s="2" t="s">
        <v>13865</v>
      </c>
      <c r="C5397" s="2" t="s">
        <v>26</v>
      </c>
      <c r="D5397" s="2" t="s">
        <v>18</v>
      </c>
      <c r="E5397" s="4">
        <v>-32700</v>
      </c>
      <c r="F5397" s="3" t="s">
        <v>89</v>
      </c>
      <c r="G5397" s="3" t="s">
        <v>90</v>
      </c>
      <c r="H5397" s="2" t="s">
        <v>74</v>
      </c>
      <c r="I5397" s="2" t="s">
        <v>13875</v>
      </c>
      <c r="J5397" s="3" t="str">
        <f>HYPERLINK("https://www.boe.es/gazeta/dias/1810/06/20/pdfs/GMD-1810-171.pdf#page=2","Abrir facsímil")</f>
        <v>Abrir facsímil</v>
      </c>
      <c r="K5397" s="3" t="s">
        <v>76</v>
      </c>
    </row>
    <row r="5398" spans="1:11" ht="42" customHeight="1">
      <c r="A5398" s="2" t="s">
        <v>13865</v>
      </c>
      <c r="B5398" s="2" t="s">
        <v>13865</v>
      </c>
      <c r="C5398" s="2" t="s">
        <v>26</v>
      </c>
      <c r="D5398" s="2" t="s">
        <v>27</v>
      </c>
      <c r="E5398" s="4">
        <v>-32689</v>
      </c>
      <c r="F5398" s="3" t="s">
        <v>571</v>
      </c>
      <c r="G5398" s="3" t="s">
        <v>29</v>
      </c>
      <c r="H5398" s="2" t="s">
        <v>74</v>
      </c>
      <c r="I5398" s="2" t="s">
        <v>13876</v>
      </c>
      <c r="J5398" s="3" t="str">
        <f>HYPERLINK("https://www.boe.es/gazeta/dias/1810/07/01/pdfs/GMD-1810-182.pdf#page=3","Abrir facsímil")</f>
        <v>Abrir facsímil</v>
      </c>
      <c r="K5398" s="3" t="s">
        <v>76</v>
      </c>
    </row>
    <row r="5399" spans="1:11" ht="42" customHeight="1">
      <c r="A5399" s="2" t="s">
        <v>13865</v>
      </c>
      <c r="B5399" s="2" t="s">
        <v>13865</v>
      </c>
      <c r="C5399" s="2" t="s">
        <v>17</v>
      </c>
      <c r="D5399" s="2" t="s">
        <v>39</v>
      </c>
      <c r="E5399" s="4">
        <v>-32684</v>
      </c>
      <c r="F5399" s="3" t="s">
        <v>372</v>
      </c>
      <c r="G5399" s="3" t="s">
        <v>373</v>
      </c>
      <c r="H5399" s="2" t="s">
        <v>74</v>
      </c>
      <c r="I5399" s="2" t="s">
        <v>13877</v>
      </c>
      <c r="J5399" s="3" t="str">
        <f>HYPERLINK("https://www.boe.es/gazeta/dias/1810/07/06/pdfs/GEI-D-1810-42.pdf#page=8","Abrir facsímil")</f>
        <v>Abrir facsímil</v>
      </c>
      <c r="K5399" s="3" t="s">
        <v>76</v>
      </c>
    </row>
    <row r="5400" spans="1:11" ht="42" customHeight="1">
      <c r="A5400" s="2" t="s">
        <v>13865</v>
      </c>
      <c r="B5400" s="2" t="s">
        <v>13865</v>
      </c>
      <c r="C5400" s="2" t="s">
        <v>26</v>
      </c>
      <c r="D5400" s="2" t="s">
        <v>27</v>
      </c>
      <c r="E5400" s="4">
        <v>-32654</v>
      </c>
      <c r="F5400" s="3" t="s">
        <v>1226</v>
      </c>
      <c r="G5400" s="3" t="s">
        <v>732</v>
      </c>
      <c r="H5400" s="2" t="s">
        <v>74</v>
      </c>
      <c r="I5400" s="2" t="s">
        <v>13878</v>
      </c>
      <c r="J5400" s="3" t="str">
        <f>HYPERLINK("https://www.boe.es/gazeta/dias/1810/08/05/pdfs/GMD-1810-217.pdf#page=3","Abrir facsímil")</f>
        <v>Abrir facsímil</v>
      </c>
      <c r="K5400" s="3" t="s">
        <v>76</v>
      </c>
    </row>
    <row r="5401" spans="1:11" ht="42" customHeight="1">
      <c r="A5401" s="2" t="s">
        <v>13865</v>
      </c>
      <c r="B5401" s="2" t="s">
        <v>13865</v>
      </c>
      <c r="C5401" s="2" t="s">
        <v>88</v>
      </c>
      <c r="D5401" s="2" t="s">
        <v>18</v>
      </c>
      <c r="E5401" s="4">
        <v>-32609</v>
      </c>
      <c r="F5401" s="3" t="s">
        <v>5358</v>
      </c>
      <c r="G5401" s="3" t="s">
        <v>180</v>
      </c>
      <c r="H5401" s="2" t="s">
        <v>74</v>
      </c>
      <c r="I5401" s="2" t="s">
        <v>13879</v>
      </c>
      <c r="J5401" s="3" t="str">
        <f>HYPERLINK("https://www.boe.es/gazeta/dias/1810/09/19/pdfs/GMD-1810-262.pdf#page=3","Abrir facsímil")</f>
        <v>Abrir facsímil</v>
      </c>
      <c r="K5401" s="3" t="s">
        <v>76</v>
      </c>
    </row>
    <row r="5402" spans="1:11" ht="42" customHeight="1">
      <c r="A5402" s="2" t="s">
        <v>13865</v>
      </c>
      <c r="B5402" s="2" t="s">
        <v>13865</v>
      </c>
      <c r="C5402" s="2" t="s">
        <v>26</v>
      </c>
      <c r="D5402" s="2" t="s">
        <v>27</v>
      </c>
      <c r="E5402" s="4">
        <v>-32587</v>
      </c>
      <c r="F5402" s="3" t="s">
        <v>103</v>
      </c>
      <c r="G5402" s="3" t="s">
        <v>180</v>
      </c>
      <c r="H5402" s="2" t="s">
        <v>74</v>
      </c>
      <c r="I5402" s="2" t="s">
        <v>13880</v>
      </c>
      <c r="J5402" s="3" t="str">
        <f>HYPERLINK("https://www.boe.es/gazeta/dias/1810/10/11/pdfs/GEI-1810-80.pdf#page=8","Abrir facsímil")</f>
        <v>Abrir facsímil</v>
      </c>
      <c r="K5402" s="3" t="s">
        <v>76</v>
      </c>
    </row>
    <row r="5403" spans="1:11" ht="42" customHeight="1">
      <c r="A5403" s="2" t="s">
        <v>13865</v>
      </c>
      <c r="B5403" s="2" t="s">
        <v>13865</v>
      </c>
      <c r="C5403" s="2" t="s">
        <v>88</v>
      </c>
      <c r="D5403" s="2" t="s">
        <v>27</v>
      </c>
      <c r="E5403" s="4">
        <v>-32566</v>
      </c>
      <c r="F5403" s="3" t="s">
        <v>405</v>
      </c>
      <c r="G5403" s="3" t="s">
        <v>469</v>
      </c>
      <c r="H5403" s="2" t="s">
        <v>74</v>
      </c>
      <c r="I5403" s="2" t="s">
        <v>13881</v>
      </c>
      <c r="J5403" s="3" t="str">
        <f>HYPERLINK("https://www.boe.es/gazeta/dias/1810/11/01/pdfs/GMD-1810-305.pdf#page=2","Abrir facsímil")</f>
        <v>Abrir facsímil</v>
      </c>
      <c r="K5403" s="3" t="s">
        <v>76</v>
      </c>
    </row>
    <row r="5404" spans="1:11" ht="42" customHeight="1">
      <c r="A5404" s="2" t="s">
        <v>13865</v>
      </c>
      <c r="B5404" s="2" t="s">
        <v>13865</v>
      </c>
      <c r="C5404" s="2" t="s">
        <v>88</v>
      </c>
      <c r="D5404" s="2" t="s">
        <v>27</v>
      </c>
      <c r="E5404" s="4">
        <v>-32566</v>
      </c>
      <c r="F5404" s="3" t="s">
        <v>405</v>
      </c>
      <c r="G5404" s="3" t="s">
        <v>99</v>
      </c>
      <c r="H5404" s="2" t="s">
        <v>74</v>
      </c>
      <c r="I5404" s="2" t="s">
        <v>13882</v>
      </c>
      <c r="J5404" s="3" t="str">
        <f>HYPERLINK("https://www.boe.es/gazeta/dias/1810/11/01/pdfs/GMD-1810-305.pdf#page=3","Abrir facsímil")</f>
        <v>Abrir facsímil</v>
      </c>
      <c r="K5404" s="3" t="s">
        <v>76</v>
      </c>
    </row>
    <row r="5405" spans="1:11" ht="42" customHeight="1">
      <c r="A5405" s="2" t="s">
        <v>13865</v>
      </c>
      <c r="B5405" s="2" t="s">
        <v>13865</v>
      </c>
      <c r="C5405" s="2" t="s">
        <v>26</v>
      </c>
      <c r="D5405" s="2" t="s">
        <v>27</v>
      </c>
      <c r="E5405" s="4">
        <v>-32564</v>
      </c>
      <c r="F5405" s="3" t="s">
        <v>1604</v>
      </c>
      <c r="G5405" s="3" t="s">
        <v>1605</v>
      </c>
      <c r="H5405" s="2" t="s">
        <v>74</v>
      </c>
      <c r="I5405" s="2" t="s">
        <v>13883</v>
      </c>
      <c r="J5405" s="3" t="str">
        <f>HYPERLINK("https://www.boe.es/gazeta/dias/1810/11/03/pdfs/GMD-1810-307.pdf#page=2","Abrir facsímil")</f>
        <v>Abrir facsímil</v>
      </c>
      <c r="K5405" s="3" t="s">
        <v>76</v>
      </c>
    </row>
    <row r="5406" spans="1:11" ht="42" customHeight="1">
      <c r="A5406" s="2" t="s">
        <v>13865</v>
      </c>
      <c r="B5406" s="2" t="s">
        <v>13865</v>
      </c>
      <c r="C5406" s="2" t="s">
        <v>26</v>
      </c>
      <c r="D5406" s="2" t="s">
        <v>27</v>
      </c>
      <c r="E5406" s="4">
        <v>-32563</v>
      </c>
      <c r="F5406" s="3" t="s">
        <v>535</v>
      </c>
      <c r="G5406" s="3" t="s">
        <v>3597</v>
      </c>
      <c r="H5406" s="2" t="s">
        <v>74</v>
      </c>
      <c r="I5406" s="2" t="s">
        <v>13884</v>
      </c>
      <c r="J5406" s="3" t="str">
        <f>HYPERLINK("https://www.boe.es/gazeta/dias/1810/11/04/pdfs/GMD-1810-308.pdf#page=23","Abrir facsímil")</f>
        <v>Abrir facsímil</v>
      </c>
      <c r="K5406" s="3" t="s">
        <v>76</v>
      </c>
    </row>
    <row r="5407" spans="1:11" ht="42" customHeight="1">
      <c r="A5407" s="2" t="s">
        <v>13865</v>
      </c>
      <c r="B5407" s="2" t="s">
        <v>13865</v>
      </c>
      <c r="C5407" s="2" t="s">
        <v>225</v>
      </c>
      <c r="D5407" s="2" t="s">
        <v>27</v>
      </c>
      <c r="E5407" s="4">
        <v>-32509</v>
      </c>
      <c r="F5407" s="3" t="s">
        <v>212</v>
      </c>
      <c r="G5407" s="3" t="s">
        <v>213</v>
      </c>
      <c r="H5407" s="2" t="s">
        <v>74</v>
      </c>
      <c r="I5407" s="2" t="s">
        <v>13885</v>
      </c>
      <c r="J5407" s="3" t="str">
        <f>HYPERLINK("https://www.boe.es/gazeta/dias/1810/12/28/pdfs/GMD-1810-362.pdf#page=4","Abrir facsímil")</f>
        <v>Abrir facsímil</v>
      </c>
      <c r="K5407" s="3" t="s">
        <v>76</v>
      </c>
    </row>
    <row r="5408" spans="1:11" ht="42" customHeight="1">
      <c r="A5408" s="2" t="s">
        <v>13886</v>
      </c>
      <c r="B5408" s="2" t="s">
        <v>13887</v>
      </c>
      <c r="C5408" s="2" t="s">
        <v>26</v>
      </c>
      <c r="D5408" s="2" t="s">
        <v>39</v>
      </c>
      <c r="E5408" s="4">
        <v>-32702</v>
      </c>
      <c r="F5408" s="3" t="s">
        <v>179</v>
      </c>
      <c r="G5408" s="3" t="s">
        <v>119</v>
      </c>
      <c r="H5408" s="2" t="s">
        <v>74</v>
      </c>
      <c r="I5408" s="2" t="s">
        <v>13888</v>
      </c>
      <c r="J5408" s="3" t="str">
        <f>HYPERLINK("https://www.boe.es/gazeta/dias/1810/06/18/pdfs/GMD-C-1810-169.pdf#page=1","Abrir facsímil")</f>
        <v>Abrir facsímil</v>
      </c>
      <c r="K5408" s="3" t="s">
        <v>76</v>
      </c>
    </row>
    <row r="5409" spans="1:11" ht="42" customHeight="1">
      <c r="A5409" s="2" t="s">
        <v>13886</v>
      </c>
      <c r="B5409" s="2" t="s">
        <v>13887</v>
      </c>
      <c r="C5409" s="2" t="s">
        <v>26</v>
      </c>
      <c r="D5409" s="2" t="s">
        <v>39</v>
      </c>
      <c r="E5409" s="4">
        <v>-32701</v>
      </c>
      <c r="F5409" s="3" t="s">
        <v>40</v>
      </c>
      <c r="G5409" s="3" t="s">
        <v>170</v>
      </c>
      <c r="H5409" s="2" t="s">
        <v>74</v>
      </c>
      <c r="I5409" s="2" t="s">
        <v>13889</v>
      </c>
      <c r="J5409" s="3" t="str">
        <f>HYPERLINK("https://www.boe.es/gazeta/dias/1810/06/19/pdfs/GMD-C-1810-170.pdf#page=1","Abrir facsímil")</f>
        <v>Abrir facsímil</v>
      </c>
      <c r="K5409" s="3" t="s">
        <v>76</v>
      </c>
    </row>
    <row r="5410" spans="1:11" ht="42" customHeight="1">
      <c r="A5410" s="2" t="s">
        <v>13886</v>
      </c>
      <c r="B5410" s="2" t="s">
        <v>13887</v>
      </c>
      <c r="C5410" s="2" t="s">
        <v>26</v>
      </c>
      <c r="D5410" s="2" t="s">
        <v>39</v>
      </c>
      <c r="E5410" s="4">
        <v>-32701</v>
      </c>
      <c r="F5410" s="3" t="s">
        <v>40</v>
      </c>
      <c r="G5410" s="3" t="s">
        <v>333</v>
      </c>
      <c r="H5410" s="2" t="s">
        <v>74</v>
      </c>
      <c r="I5410" s="2" t="s">
        <v>13890</v>
      </c>
      <c r="J5410" s="3" t="str">
        <f>HYPERLINK("https://www.boe.es/gazeta/dias/1810/06/19/pdfs/GMD-C-1810-170.pdf#page=4","Abrir facsímil")</f>
        <v>Abrir facsímil</v>
      </c>
      <c r="K5410" s="3" t="s">
        <v>76</v>
      </c>
    </row>
    <row r="5411" spans="1:11" ht="42" customHeight="1">
      <c r="A5411" s="2" t="s">
        <v>13891</v>
      </c>
      <c r="B5411" s="2" t="s">
        <v>13892</v>
      </c>
      <c r="C5411" s="2" t="s">
        <v>26</v>
      </c>
      <c r="D5411" s="2" t="s">
        <v>27</v>
      </c>
      <c r="E5411" s="4">
        <v>-32569</v>
      </c>
      <c r="F5411" s="3" t="s">
        <v>421</v>
      </c>
      <c r="G5411" s="3" t="s">
        <v>20</v>
      </c>
      <c r="H5411" s="2" t="s">
        <v>74</v>
      </c>
      <c r="I5411" s="2" t="s">
        <v>13893</v>
      </c>
      <c r="J5411" s="3" t="str">
        <f>HYPERLINK("https://www.boe.es/gazeta/dias/1810/10/29/pdfs/GMD-1810-302.pdf#page=4","Abrir facsímil")</f>
        <v>Abrir facsímil</v>
      </c>
      <c r="K5411" s="3" t="s">
        <v>76</v>
      </c>
    </row>
    <row r="5412" spans="1:11" ht="42" customHeight="1">
      <c r="A5412" s="2" t="s">
        <v>13891</v>
      </c>
      <c r="B5412" s="2" t="s">
        <v>13892</v>
      </c>
      <c r="C5412" s="2" t="s">
        <v>111</v>
      </c>
      <c r="D5412" s="2" t="s">
        <v>27</v>
      </c>
      <c r="E5412" s="4">
        <v>-32566</v>
      </c>
      <c r="F5412" s="3" t="s">
        <v>405</v>
      </c>
      <c r="G5412" s="3" t="s">
        <v>4261</v>
      </c>
      <c r="H5412" s="2" t="s">
        <v>74</v>
      </c>
      <c r="I5412" s="2" t="s">
        <v>13894</v>
      </c>
      <c r="J5412" s="3" t="str">
        <f>HYPERLINK("https://www.boe.es/gazeta/dias/1810/11/01/pdfs/GMD-1810-305.pdf#page=1","Abrir facsímil")</f>
        <v>Abrir facsímil</v>
      </c>
      <c r="K5412" s="3" t="s">
        <v>76</v>
      </c>
    </row>
    <row r="5413" spans="1:11" ht="42" customHeight="1">
      <c r="A5413" s="2" t="s">
        <v>13895</v>
      </c>
      <c r="B5413" s="2" t="s">
        <v>13895</v>
      </c>
      <c r="C5413" s="2" t="s">
        <v>26</v>
      </c>
      <c r="D5413" s="2" t="s">
        <v>39</v>
      </c>
      <c r="E5413" s="4">
        <v>-32702</v>
      </c>
      <c r="F5413" s="3" t="s">
        <v>179</v>
      </c>
      <c r="G5413" s="3" t="s">
        <v>119</v>
      </c>
      <c r="H5413" s="2" t="s">
        <v>74</v>
      </c>
      <c r="I5413" s="2" t="s">
        <v>13896</v>
      </c>
      <c r="J5413" s="3" t="str">
        <f>HYPERLINK("https://www.boe.es/gazeta/dias/1810/06/18/pdfs/GMD-C-1810-169.pdf#page=1","Abrir facsímil")</f>
        <v>Abrir facsímil</v>
      </c>
      <c r="K5413" s="3" t="s">
        <v>76</v>
      </c>
    </row>
    <row r="5414" spans="1:11" ht="42" customHeight="1">
      <c r="A5414" s="2" t="s">
        <v>13897</v>
      </c>
      <c r="B5414" s="2" t="s">
        <v>13897</v>
      </c>
      <c r="C5414" s="2" t="s">
        <v>88</v>
      </c>
      <c r="D5414" s="2" t="s">
        <v>27</v>
      </c>
      <c r="E5414" s="4">
        <v>-32558</v>
      </c>
      <c r="F5414" s="3" t="s">
        <v>241</v>
      </c>
      <c r="G5414" s="3" t="s">
        <v>99</v>
      </c>
      <c r="H5414" s="2" t="s">
        <v>74</v>
      </c>
      <c r="I5414" s="2" t="s">
        <v>13898</v>
      </c>
      <c r="J5414" s="3" t="str">
        <f>HYPERLINK("https://www.boe.es/gazeta/dias/1810/11/09/pdfs/GMD-1810-313.pdf#page=3","Abrir facsímil")</f>
        <v>Abrir facsímil</v>
      </c>
      <c r="K5414" s="3" t="s">
        <v>76</v>
      </c>
    </row>
    <row r="5415" spans="1:11" ht="42" customHeight="1">
      <c r="A5415" s="2" t="s">
        <v>13899</v>
      </c>
      <c r="B5415" s="2" t="s">
        <v>13900</v>
      </c>
      <c r="C5415" s="2" t="s">
        <v>317</v>
      </c>
      <c r="D5415" s="2" t="s">
        <v>27</v>
      </c>
      <c r="E5415" s="4">
        <v>-32649</v>
      </c>
      <c r="F5415" s="3" t="s">
        <v>1988</v>
      </c>
      <c r="G5415" s="3" t="s">
        <v>227</v>
      </c>
      <c r="H5415" s="2" t="s">
        <v>74</v>
      </c>
      <c r="I5415" s="2" t="s">
        <v>13901</v>
      </c>
      <c r="J5415" s="3" t="str">
        <f>HYPERLINK("https://www.boe.es/gazeta/dias/1810/08/10/pdfs/GMD-1810-222.pdf#page=4","Abrir facsímil")</f>
        <v>Abrir facsímil</v>
      </c>
      <c r="K5415" s="3" t="s">
        <v>76</v>
      </c>
    </row>
    <row r="5416" spans="1:11" ht="42" customHeight="1">
      <c r="A5416" s="2" t="s">
        <v>13902</v>
      </c>
      <c r="B5416" s="2" t="s">
        <v>13903</v>
      </c>
      <c r="C5416" s="2" t="s">
        <v>26</v>
      </c>
      <c r="D5416" s="2" t="s">
        <v>27</v>
      </c>
      <c r="E5416" s="4">
        <v>-32761</v>
      </c>
      <c r="F5416" s="3" t="s">
        <v>811</v>
      </c>
      <c r="G5416" s="3" t="s">
        <v>119</v>
      </c>
      <c r="H5416" s="2" t="s">
        <v>74</v>
      </c>
      <c r="I5416" s="2" t="s">
        <v>13904</v>
      </c>
      <c r="J5416" s="3" t="str">
        <f>HYPERLINK("https://www.boe.es/gazeta/dias/1810/04/20/pdfs/GEI-1810-16.pdf#page=7","Abrir facsímil")</f>
        <v>Abrir facsímil</v>
      </c>
      <c r="K5416" s="3" t="s">
        <v>76</v>
      </c>
    </row>
    <row r="5417" spans="1:11" ht="42" customHeight="1">
      <c r="A5417" s="2" t="s">
        <v>13905</v>
      </c>
      <c r="B5417" s="2" t="s">
        <v>13906</v>
      </c>
      <c r="C5417" s="2" t="s">
        <v>111</v>
      </c>
      <c r="D5417" s="2" t="s">
        <v>18</v>
      </c>
      <c r="E5417" s="4">
        <v>-32545</v>
      </c>
      <c r="F5417" s="3" t="s">
        <v>165</v>
      </c>
      <c r="G5417" s="3" t="s">
        <v>166</v>
      </c>
      <c r="H5417" s="2" t="s">
        <v>74</v>
      </c>
      <c r="I5417" s="2" t="s">
        <v>13907</v>
      </c>
      <c r="J5417" s="3" t="str">
        <f>HYPERLINK("https://www.boe.es/gazeta/dias/1810/11/22/pdfs/GEI-1810-98.pdf#page=8","Abrir facsímil")</f>
        <v>Abrir facsímil</v>
      </c>
      <c r="K5417" s="3" t="s">
        <v>76</v>
      </c>
    </row>
    <row r="5418" spans="1:11" ht="42" customHeight="1">
      <c r="A5418" s="2" t="s">
        <v>13908</v>
      </c>
      <c r="B5418" s="2" t="s">
        <v>13909</v>
      </c>
      <c r="C5418" s="2" t="s">
        <v>195</v>
      </c>
      <c r="D5418" s="2" t="s">
        <v>27</v>
      </c>
      <c r="E5418" s="4">
        <v>-32710</v>
      </c>
      <c r="F5418" s="3" t="s">
        <v>126</v>
      </c>
      <c r="G5418" s="3" t="s">
        <v>180</v>
      </c>
      <c r="H5418" s="2" t="s">
        <v>74</v>
      </c>
      <c r="I5418" s="2" t="s">
        <v>13910</v>
      </c>
      <c r="J5418" s="3" t="str">
        <f>HYPERLINK("https://www.boe.es/gazeta/dias/1810/06/10/pdfs/GMD-1810-161.pdf#page=1","Abrir facsímil")</f>
        <v>Abrir facsímil</v>
      </c>
      <c r="K5418" s="3" t="s">
        <v>76</v>
      </c>
    </row>
    <row r="5419" spans="1:11" ht="42" customHeight="1">
      <c r="A5419" s="2" t="s">
        <v>13911</v>
      </c>
      <c r="B5419" s="2" t="s">
        <v>13912</v>
      </c>
      <c r="C5419" s="2" t="s">
        <v>26</v>
      </c>
      <c r="D5419" s="2" t="s">
        <v>39</v>
      </c>
      <c r="E5419" s="4">
        <v>-32684</v>
      </c>
      <c r="F5419" s="3" t="s">
        <v>372</v>
      </c>
      <c r="G5419" s="3" t="s">
        <v>373</v>
      </c>
      <c r="H5419" s="2" t="s">
        <v>74</v>
      </c>
      <c r="I5419" s="2" t="s">
        <v>13913</v>
      </c>
      <c r="J5419" s="3" t="str">
        <f>HYPERLINK("https://www.boe.es/gazeta/dias/1810/07/06/pdfs/GEI-D-1810-42.pdf#page=8","Abrir facsímil")</f>
        <v>Abrir facsímil</v>
      </c>
      <c r="K5419" s="3" t="s">
        <v>76</v>
      </c>
    </row>
    <row r="5420" spans="1:11" ht="42" customHeight="1">
      <c r="A5420" s="2" t="s">
        <v>13914</v>
      </c>
      <c r="B5420" s="2" t="s">
        <v>13915</v>
      </c>
      <c r="C5420" s="2" t="s">
        <v>26</v>
      </c>
      <c r="D5420" s="2" t="s">
        <v>27</v>
      </c>
      <c r="E5420" s="4">
        <v>-32618</v>
      </c>
      <c r="F5420" s="3" t="s">
        <v>1501</v>
      </c>
      <c r="G5420" s="3" t="s">
        <v>20</v>
      </c>
      <c r="H5420" s="2" t="s">
        <v>74</v>
      </c>
      <c r="I5420" s="2" t="s">
        <v>13916</v>
      </c>
      <c r="J5420" s="3" t="str">
        <f>HYPERLINK("https://www.boe.es/gazeta/dias/1810/09/10/pdfs/GMD-1810-253.pdf#page=4","Abrir facsímil")</f>
        <v>Abrir facsímil</v>
      </c>
      <c r="K5420" s="3" t="s">
        <v>76</v>
      </c>
    </row>
    <row r="5421" spans="1:11" ht="42" customHeight="1">
      <c r="A5421" s="2" t="s">
        <v>13917</v>
      </c>
      <c r="B5421" s="2" t="s">
        <v>13918</v>
      </c>
      <c r="C5421" s="2" t="s">
        <v>26</v>
      </c>
      <c r="D5421" s="2" t="s">
        <v>27</v>
      </c>
      <c r="E5421" s="4">
        <v>-32839</v>
      </c>
      <c r="F5421" s="3" t="s">
        <v>28</v>
      </c>
      <c r="G5421" s="3" t="s">
        <v>29</v>
      </c>
      <c r="H5421" s="2" t="s">
        <v>74</v>
      </c>
      <c r="I5421" s="2" t="s">
        <v>13919</v>
      </c>
      <c r="J5421" s="3" t="str">
        <f>HYPERLINK("https://www.boe.es/gazeta/dias/1810/02/01/pdfs/GMD-1810-32.pdf#page=3","Abrir facsímil")</f>
        <v>Abrir facsímil</v>
      </c>
      <c r="K5421" s="3" t="s">
        <v>76</v>
      </c>
    </row>
    <row r="5422" spans="1:11" ht="42" customHeight="1">
      <c r="A5422" s="2" t="s">
        <v>13920</v>
      </c>
      <c r="B5422" s="2" t="s">
        <v>13921</v>
      </c>
      <c r="C5422" s="2" t="s">
        <v>88</v>
      </c>
      <c r="D5422" s="2" t="s">
        <v>27</v>
      </c>
      <c r="E5422" s="4">
        <v>-32700</v>
      </c>
      <c r="F5422" s="3" t="s">
        <v>89</v>
      </c>
      <c r="G5422" s="3" t="s">
        <v>70</v>
      </c>
      <c r="H5422" s="2" t="s">
        <v>74</v>
      </c>
      <c r="I5422" s="2" t="s">
        <v>13922</v>
      </c>
      <c r="J5422" s="3" t="str">
        <f>HYPERLINK("https://www.boe.es/gazeta/dias/1810/06/20/pdfs/GMD-1810-171.pdf#page=4","Abrir facsímil")</f>
        <v>Abrir facsímil</v>
      </c>
      <c r="K5422" s="3" t="s">
        <v>76</v>
      </c>
    </row>
    <row r="5423" spans="1:11" ht="42" customHeight="1">
      <c r="A5423" s="2" t="s">
        <v>13923</v>
      </c>
      <c r="B5423" s="2" t="s">
        <v>13923</v>
      </c>
      <c r="C5423" s="2" t="s">
        <v>26</v>
      </c>
      <c r="D5423" s="2" t="s">
        <v>27</v>
      </c>
      <c r="E5423" s="4">
        <v>-32732</v>
      </c>
      <c r="F5423" s="3" t="s">
        <v>545</v>
      </c>
      <c r="G5423" s="3" t="s">
        <v>90</v>
      </c>
      <c r="H5423" s="2" t="s">
        <v>74</v>
      </c>
      <c r="I5423" s="2" t="s">
        <v>13924</v>
      </c>
      <c r="J5423" s="3" t="str">
        <f>HYPERLINK("https://www.boe.es/gazeta/dias/1810/05/19/pdfs/GMD-1810-139.pdf#page=4","Abrir facsímil")</f>
        <v>Abrir facsímil</v>
      </c>
      <c r="K5423" s="3" t="s">
        <v>76</v>
      </c>
    </row>
    <row r="5424" spans="1:11" ht="42" customHeight="1">
      <c r="A5424" s="2" t="s">
        <v>13923</v>
      </c>
      <c r="B5424" s="2" t="s">
        <v>13923</v>
      </c>
      <c r="C5424" s="2" t="s">
        <v>26</v>
      </c>
      <c r="D5424" s="2" t="s">
        <v>27</v>
      </c>
      <c r="E5424" s="4">
        <v>-32627</v>
      </c>
      <c r="F5424" s="3" t="s">
        <v>1496</v>
      </c>
      <c r="G5424" s="3" t="s">
        <v>140</v>
      </c>
      <c r="H5424" s="2" t="s">
        <v>74</v>
      </c>
      <c r="I5424" s="2" t="s">
        <v>13925</v>
      </c>
      <c r="J5424" s="3" t="str">
        <f>HYPERLINK("https://www.boe.es/gazeta/dias/1810/09/01/pdfs/GMD-1810-244.pdf#page=4","Abrir facsímil")</f>
        <v>Abrir facsímil</v>
      </c>
      <c r="K5424" s="3" t="s">
        <v>76</v>
      </c>
    </row>
    <row r="5425" spans="1:11" ht="42" customHeight="1">
      <c r="A5425" s="2" t="s">
        <v>13923</v>
      </c>
      <c r="B5425" s="2" t="s">
        <v>13923</v>
      </c>
      <c r="C5425" s="2" t="s">
        <v>26</v>
      </c>
      <c r="D5425" s="2" t="s">
        <v>27</v>
      </c>
      <c r="E5425" s="4">
        <v>-32568</v>
      </c>
      <c r="F5425" s="3" t="s">
        <v>683</v>
      </c>
      <c r="G5425" s="3" t="s">
        <v>5333</v>
      </c>
      <c r="H5425" s="2" t="s">
        <v>74</v>
      </c>
      <c r="I5425" s="2" t="s">
        <v>13926</v>
      </c>
      <c r="J5425" s="3" t="str">
        <f>HYPERLINK("https://www.boe.es/gazeta/dias/1810/10/30/pdfs/GEI-1810-88.pdf#page=7","Abrir facsímil")</f>
        <v>Abrir facsímil</v>
      </c>
      <c r="K5425" s="3" t="s">
        <v>76</v>
      </c>
    </row>
    <row r="5426" spans="1:11" ht="42" customHeight="1">
      <c r="A5426" s="2" t="s">
        <v>13923</v>
      </c>
      <c r="B5426" s="2" t="s">
        <v>13923</v>
      </c>
      <c r="C5426" s="2" t="s">
        <v>88</v>
      </c>
      <c r="D5426" s="2" t="s">
        <v>27</v>
      </c>
      <c r="E5426" s="4">
        <v>-32566</v>
      </c>
      <c r="F5426" s="3" t="s">
        <v>649</v>
      </c>
      <c r="G5426" s="3" t="s">
        <v>11080</v>
      </c>
      <c r="H5426" s="2" t="s">
        <v>74</v>
      </c>
      <c r="I5426" s="2" t="s">
        <v>13927</v>
      </c>
      <c r="J5426" s="3" t="str">
        <f>HYPERLINK("https://www.boe.es/gazeta/dias/1810/11/01/pdfs/GEI-1810-89.pdf#page=8","Abrir facsímil")</f>
        <v>Abrir facsímil</v>
      </c>
      <c r="K5426" s="3" t="s">
        <v>76</v>
      </c>
    </row>
    <row r="5427" spans="1:11" ht="42" customHeight="1">
      <c r="A5427" s="2" t="s">
        <v>13923</v>
      </c>
      <c r="B5427" s="2" t="s">
        <v>13923</v>
      </c>
      <c r="C5427" s="2" t="s">
        <v>26</v>
      </c>
      <c r="D5427" s="2" t="s">
        <v>27</v>
      </c>
      <c r="E5427" s="4">
        <v>-32526</v>
      </c>
      <c r="F5427" s="3" t="s">
        <v>530</v>
      </c>
      <c r="G5427" s="3" t="s">
        <v>531</v>
      </c>
      <c r="H5427" s="2" t="s">
        <v>74</v>
      </c>
      <c r="I5427" s="2" t="s">
        <v>13928</v>
      </c>
      <c r="J5427" s="3" t="str">
        <f>HYPERLINK("https://www.boe.es/gazeta/dias/1810/12/11/pdfs/GEI-1810-106.pdf#page=2","Abrir facsímil")</f>
        <v>Abrir facsímil</v>
      </c>
      <c r="K5427" s="3" t="s">
        <v>76</v>
      </c>
    </row>
    <row r="5428" spans="1:11" ht="42" customHeight="1">
      <c r="A5428" s="2" t="s">
        <v>13929</v>
      </c>
      <c r="B5428" s="2" t="s">
        <v>13930</v>
      </c>
      <c r="C5428" s="2" t="s">
        <v>88</v>
      </c>
      <c r="D5428" s="2" t="s">
        <v>117</v>
      </c>
      <c r="E5428" s="4">
        <v>-32666</v>
      </c>
      <c r="F5428" s="3" t="s">
        <v>1913</v>
      </c>
      <c r="G5428" s="3" t="s">
        <v>1914</v>
      </c>
      <c r="H5428" s="2" t="s">
        <v>74</v>
      </c>
      <c r="I5428" s="2" t="s">
        <v>13931</v>
      </c>
      <c r="J5428" s="3" t="str">
        <f>HYPERLINK("https://www.boe.es/gazeta/dias/1810/07/24/pdfs/GMD-1810-205.pdf#page=4","Abrir facsímil")</f>
        <v>Abrir facsímil</v>
      </c>
      <c r="K5428" s="3" t="s">
        <v>76</v>
      </c>
    </row>
    <row r="5429" spans="1:11" ht="42" customHeight="1">
      <c r="A5429" s="2" t="s">
        <v>13932</v>
      </c>
      <c r="B5429" s="2" t="s">
        <v>13933</v>
      </c>
      <c r="C5429" s="2" t="s">
        <v>26</v>
      </c>
      <c r="D5429" s="2" t="s">
        <v>27</v>
      </c>
      <c r="E5429" s="4">
        <v>-32666</v>
      </c>
      <c r="F5429" s="3" t="s">
        <v>1913</v>
      </c>
      <c r="G5429" s="3" t="s">
        <v>1914</v>
      </c>
      <c r="H5429" s="2" t="s">
        <v>74</v>
      </c>
      <c r="I5429" s="2" t="s">
        <v>13934</v>
      </c>
      <c r="J5429" s="3" t="str">
        <f>HYPERLINK("https://www.boe.es/gazeta/dias/1810/07/24/pdfs/GMD-1810-205.pdf#page=4","Abrir facsímil")</f>
        <v>Abrir facsímil</v>
      </c>
      <c r="K5429" s="3" t="s">
        <v>76</v>
      </c>
    </row>
    <row r="5430" spans="1:11" ht="42" customHeight="1">
      <c r="A5430" s="2" t="s">
        <v>13935</v>
      </c>
      <c r="B5430" s="2" t="s">
        <v>13936</v>
      </c>
      <c r="C5430" s="2" t="s">
        <v>33</v>
      </c>
      <c r="D5430" s="2" t="s">
        <v>27</v>
      </c>
      <c r="E5430" s="4">
        <v>-32543</v>
      </c>
      <c r="F5430" s="3" t="s">
        <v>69</v>
      </c>
      <c r="G5430" s="3" t="s">
        <v>84</v>
      </c>
      <c r="H5430" s="2" t="s">
        <v>21</v>
      </c>
      <c r="I5430" s="2" t="s">
        <v>13937</v>
      </c>
      <c r="J5430" s="3" t="str">
        <f>HYPERLINK("https://www.boe.es/gazeta/dias/1810/11/24/pdfs/GEI-1810-99.pdf#page=7","Abrir facsímil")</f>
        <v>Abrir facsímil</v>
      </c>
      <c r="K5430" s="3" t="s">
        <v>23</v>
      </c>
    </row>
    <row r="5431" spans="1:11" ht="42" customHeight="1">
      <c r="A5431" s="2" t="s">
        <v>13938</v>
      </c>
      <c r="B5431" s="2" t="s">
        <v>13939</v>
      </c>
      <c r="C5431" s="2" t="s">
        <v>26</v>
      </c>
      <c r="D5431" s="2" t="s">
        <v>39</v>
      </c>
      <c r="E5431" s="4">
        <v>-32661</v>
      </c>
      <c r="F5431" s="3" t="s">
        <v>157</v>
      </c>
      <c r="G5431" s="3" t="s">
        <v>592</v>
      </c>
      <c r="H5431" s="2" t="s">
        <v>74</v>
      </c>
      <c r="I5431" s="2" t="s">
        <v>13940</v>
      </c>
      <c r="J5431" s="3" t="str">
        <f>HYPERLINK("https://www.boe.es/gazeta/dias/1810/07/29/pdfs/GMD-C-1810-210.pdf#page=2","Abrir facsímil")</f>
        <v>Abrir facsímil</v>
      </c>
      <c r="K5431" s="3" t="s">
        <v>76</v>
      </c>
    </row>
    <row r="5432" spans="1:11" ht="42" customHeight="1">
      <c r="A5432" s="2" t="s">
        <v>13941</v>
      </c>
      <c r="B5432" s="2" t="s">
        <v>13942</v>
      </c>
      <c r="C5432" s="2" t="s">
        <v>33</v>
      </c>
      <c r="D5432" s="2" t="s">
        <v>18</v>
      </c>
      <c r="E5432" s="4">
        <v>-32601</v>
      </c>
      <c r="F5432" s="3" t="s">
        <v>392</v>
      </c>
      <c r="G5432" s="3" t="s">
        <v>35</v>
      </c>
      <c r="H5432" s="2" t="s">
        <v>74</v>
      </c>
      <c r="I5432" s="2" t="s">
        <v>13943</v>
      </c>
      <c r="J5432" s="3" t="str">
        <f>HYPERLINK("https://www.boe.es/gazeta/dias/1810/09/27/pdfs/GEI-1810-74E.pdf#page=2","Abrir facsímil")</f>
        <v>Abrir facsímil</v>
      </c>
      <c r="K5432" s="3" t="s">
        <v>76</v>
      </c>
    </row>
    <row r="5433" spans="1:11" ht="42" customHeight="1">
      <c r="A5433" s="2" t="s">
        <v>13944</v>
      </c>
      <c r="B5433" s="2" t="s">
        <v>13945</v>
      </c>
      <c r="C5433" s="2" t="s">
        <v>26</v>
      </c>
      <c r="D5433" s="2" t="s">
        <v>27</v>
      </c>
      <c r="E5433" s="4">
        <v>-32710</v>
      </c>
      <c r="F5433" s="3" t="s">
        <v>126</v>
      </c>
      <c r="G5433" s="3" t="s">
        <v>184</v>
      </c>
      <c r="H5433" s="2" t="s">
        <v>74</v>
      </c>
      <c r="I5433" s="2" t="s">
        <v>13946</v>
      </c>
      <c r="J5433" s="3" t="str">
        <f>HYPERLINK("https://www.boe.es/gazeta/dias/1810/06/10/pdfs/GMD-1810-161.pdf#page=3","Abrir facsímil")</f>
        <v>Abrir facsímil</v>
      </c>
      <c r="K5433" s="3" t="s">
        <v>76</v>
      </c>
    </row>
    <row r="5434" spans="1:11" ht="42" customHeight="1">
      <c r="A5434" s="2" t="s">
        <v>13947</v>
      </c>
      <c r="B5434" s="2" t="s">
        <v>13948</v>
      </c>
      <c r="C5434" s="2" t="s">
        <v>88</v>
      </c>
      <c r="D5434" s="2" t="s">
        <v>117</v>
      </c>
      <c r="E5434" s="4">
        <v>-32666</v>
      </c>
      <c r="F5434" s="3" t="s">
        <v>1913</v>
      </c>
      <c r="G5434" s="3" t="s">
        <v>1914</v>
      </c>
      <c r="H5434" s="2" t="s">
        <v>74</v>
      </c>
      <c r="I5434" s="2" t="s">
        <v>13949</v>
      </c>
      <c r="J5434" s="3" t="str">
        <f>HYPERLINK("https://www.boe.es/gazeta/dias/1810/07/24/pdfs/GMD-1810-205.pdf#page=4","Abrir facsímil")</f>
        <v>Abrir facsímil</v>
      </c>
      <c r="K5434" s="3" t="s">
        <v>76</v>
      </c>
    </row>
    <row r="5435" spans="1:11" ht="42" customHeight="1">
      <c r="A5435" s="2" t="s">
        <v>13950</v>
      </c>
      <c r="B5435" s="2" t="s">
        <v>13950</v>
      </c>
      <c r="C5435" s="2" t="s">
        <v>88</v>
      </c>
      <c r="D5435" s="2" t="s">
        <v>117</v>
      </c>
      <c r="E5435" s="4">
        <v>-32861</v>
      </c>
      <c r="F5435" s="3" t="s">
        <v>796</v>
      </c>
      <c r="G5435" s="3" t="s">
        <v>99</v>
      </c>
      <c r="H5435" s="2" t="s">
        <v>74</v>
      </c>
      <c r="I5435" s="2" t="s">
        <v>13951</v>
      </c>
      <c r="J5435" s="3" t="str">
        <f>HYPERLINK("https://www.boe.es/gazeta/dias/1810/01/10/pdfs/GMD-1810-10.pdf#page=3","Abrir facsímil")</f>
        <v>Abrir facsímil</v>
      </c>
      <c r="K5435" s="3" t="s">
        <v>76</v>
      </c>
    </row>
    <row r="5436" spans="1:11" ht="42" customHeight="1">
      <c r="A5436" s="2" t="s">
        <v>13950</v>
      </c>
      <c r="B5436" s="2" t="s">
        <v>13950</v>
      </c>
      <c r="C5436" s="2" t="s">
        <v>88</v>
      </c>
      <c r="D5436" s="2" t="s">
        <v>117</v>
      </c>
      <c r="E5436" s="4">
        <v>-32564</v>
      </c>
      <c r="F5436" s="3" t="s">
        <v>1604</v>
      </c>
      <c r="G5436" s="3" t="s">
        <v>1605</v>
      </c>
      <c r="H5436" s="2" t="s">
        <v>74</v>
      </c>
      <c r="I5436" s="2" t="s">
        <v>13952</v>
      </c>
      <c r="J5436" s="3" t="str">
        <f>HYPERLINK("https://www.boe.es/gazeta/dias/1810/11/03/pdfs/GMD-1810-307.pdf#page=2","Abrir facsímil")</f>
        <v>Abrir facsímil</v>
      </c>
      <c r="K5436" s="3" t="s">
        <v>76</v>
      </c>
    </row>
    <row r="5437" spans="1:11" ht="42" customHeight="1">
      <c r="A5437" s="2" t="s">
        <v>13953</v>
      </c>
      <c r="B5437" s="2" t="s">
        <v>13953</v>
      </c>
      <c r="C5437" s="2" t="s">
        <v>26</v>
      </c>
      <c r="D5437" s="2" t="s">
        <v>27</v>
      </c>
      <c r="E5437" s="4">
        <v>-32699</v>
      </c>
      <c r="F5437" s="3" t="s">
        <v>1216</v>
      </c>
      <c r="G5437" s="3" t="s">
        <v>1219</v>
      </c>
      <c r="H5437" s="2" t="s">
        <v>74</v>
      </c>
      <c r="I5437" s="2" t="s">
        <v>13954</v>
      </c>
      <c r="J5437" s="3" t="str">
        <f>HYPERLINK("https://www.boe.es/gazeta/dias/1810/06/21/pdfs/GMD-1810-172.pdf#page=4","Abrir facsímil")</f>
        <v>Abrir facsímil</v>
      </c>
      <c r="K5437" s="3" t="s">
        <v>76</v>
      </c>
    </row>
    <row r="5438" spans="1:11" ht="42" customHeight="1">
      <c r="A5438" s="2" t="s">
        <v>13955</v>
      </c>
      <c r="B5438" s="2" t="s">
        <v>13956</v>
      </c>
      <c r="C5438" s="2" t="s">
        <v>26</v>
      </c>
      <c r="D5438" s="2" t="s">
        <v>39</v>
      </c>
      <c r="E5438" s="4">
        <v>-32701</v>
      </c>
      <c r="F5438" s="3" t="s">
        <v>40</v>
      </c>
      <c r="G5438" s="3" t="s">
        <v>315</v>
      </c>
      <c r="H5438" s="2" t="s">
        <v>74</v>
      </c>
      <c r="I5438" s="2" t="s">
        <v>13957</v>
      </c>
      <c r="J5438" s="3" t="str">
        <f>HYPERLINK("https://www.boe.es/gazeta/dias/1810/06/19/pdfs/GMD-C-1810-170.pdf#page=2","Abrir facsímil")</f>
        <v>Abrir facsímil</v>
      </c>
      <c r="K5438" s="3" t="s">
        <v>76</v>
      </c>
    </row>
    <row r="5439" spans="1:11" ht="42" customHeight="1">
      <c r="A5439" s="2" t="s">
        <v>13958</v>
      </c>
      <c r="B5439" s="2" t="s">
        <v>13959</v>
      </c>
      <c r="C5439" s="2" t="s">
        <v>88</v>
      </c>
      <c r="D5439" s="2" t="s">
        <v>27</v>
      </c>
      <c r="E5439" s="4">
        <v>-32710</v>
      </c>
      <c r="F5439" s="3" t="s">
        <v>126</v>
      </c>
      <c r="G5439" s="3" t="s">
        <v>35</v>
      </c>
      <c r="H5439" s="2" t="s">
        <v>74</v>
      </c>
      <c r="I5439" s="2" t="s">
        <v>13960</v>
      </c>
      <c r="J5439" s="3" t="str">
        <f>HYPERLINK("https://www.boe.es/gazeta/dias/1810/06/10/pdfs/GMD-1810-161.pdf#page=2","Abrir facsímil")</f>
        <v>Abrir facsímil</v>
      </c>
      <c r="K5439" s="3" t="s">
        <v>76</v>
      </c>
    </row>
    <row r="5440" spans="1:11" ht="42" customHeight="1">
      <c r="A5440" s="2" t="s">
        <v>13961</v>
      </c>
      <c r="B5440" s="2" t="s">
        <v>13961</v>
      </c>
      <c r="C5440" s="2" t="s">
        <v>88</v>
      </c>
      <c r="D5440" s="2" t="s">
        <v>27</v>
      </c>
      <c r="E5440" s="4">
        <v>-32512</v>
      </c>
      <c r="F5440" s="3" t="s">
        <v>1920</v>
      </c>
      <c r="G5440" s="3" t="s">
        <v>131</v>
      </c>
      <c r="H5440" s="2" t="s">
        <v>74</v>
      </c>
      <c r="I5440" s="2" t="s">
        <v>13962</v>
      </c>
      <c r="J5440" s="3" t="str">
        <f>HYPERLINK("https://www.boe.es/gazeta/dias/1810/12/25/pdfs/GEI-1810-112.pdf#page=3","Abrir facsímil")</f>
        <v>Abrir facsímil</v>
      </c>
      <c r="K5440" s="3" t="s">
        <v>76</v>
      </c>
    </row>
    <row r="5441" spans="1:11" ht="42" customHeight="1">
      <c r="A5441" s="2" t="s">
        <v>13963</v>
      </c>
      <c r="B5441" s="2" t="s">
        <v>13964</v>
      </c>
      <c r="C5441" s="2" t="s">
        <v>317</v>
      </c>
      <c r="D5441" s="2" t="s">
        <v>27</v>
      </c>
      <c r="E5441" s="4">
        <v>-32537</v>
      </c>
      <c r="F5441" s="3" t="s">
        <v>1091</v>
      </c>
      <c r="G5441" s="3" t="s">
        <v>20</v>
      </c>
      <c r="H5441" s="2" t="s">
        <v>74</v>
      </c>
      <c r="I5441" s="2" t="s">
        <v>13965</v>
      </c>
      <c r="J5441" s="3" t="str">
        <f>HYPERLINK("https://www.boe.es/gazeta/dias/1810/11/30/pdfs/GMD-1810-334.pdf#page=4","Abrir facsímil")</f>
        <v>Abrir facsímil</v>
      </c>
      <c r="K5441" s="3" t="s">
        <v>76</v>
      </c>
    </row>
    <row r="5442" spans="1:11" ht="42" customHeight="1">
      <c r="A5442" s="2" t="s">
        <v>13966</v>
      </c>
      <c r="B5442" s="2" t="s">
        <v>13966</v>
      </c>
      <c r="C5442" s="2" t="s">
        <v>26</v>
      </c>
      <c r="D5442" s="2" t="s">
        <v>220</v>
      </c>
      <c r="E5442" s="4">
        <v>-32684</v>
      </c>
      <c r="F5442" s="3" t="s">
        <v>4741</v>
      </c>
      <c r="G5442" s="3" t="s">
        <v>1638</v>
      </c>
      <c r="H5442" s="2" t="s">
        <v>74</v>
      </c>
      <c r="I5442" s="2" t="s">
        <v>13967</v>
      </c>
      <c r="J5442" s="3" t="str">
        <f>HYPERLINK("https://www.boe.es/gazeta/dias/1810/07/06/pdfs/GMD-1810-187.pdf#page=2","Abrir facsímil")</f>
        <v>Abrir facsímil</v>
      </c>
      <c r="K5442" s="3" t="s">
        <v>76</v>
      </c>
    </row>
    <row r="5443" spans="1:11" ht="42" customHeight="1">
      <c r="A5443" s="2" t="s">
        <v>13968</v>
      </c>
      <c r="B5443" s="2" t="s">
        <v>13968</v>
      </c>
      <c r="C5443" s="2" t="s">
        <v>88</v>
      </c>
      <c r="D5443" s="2" t="s">
        <v>220</v>
      </c>
      <c r="E5443" s="4">
        <v>-32834</v>
      </c>
      <c r="F5443" s="3" t="s">
        <v>2746</v>
      </c>
      <c r="G5443" s="3" t="s">
        <v>29</v>
      </c>
      <c r="H5443" s="2" t="s">
        <v>74</v>
      </c>
      <c r="I5443" s="2" t="s">
        <v>13969</v>
      </c>
      <c r="J5443" s="3" t="str">
        <f>HYPERLINK("https://www.boe.es/gazeta/dias/1810/02/06/pdfs/GMD-1810-37.pdf#page=2","Abrir facsímil")</f>
        <v>Abrir facsímil</v>
      </c>
      <c r="K5443" s="3" t="s">
        <v>76</v>
      </c>
    </row>
    <row r="5444" spans="1:11" ht="42" customHeight="1">
      <c r="A5444" s="2" t="s">
        <v>13968</v>
      </c>
      <c r="B5444" s="2" t="s">
        <v>13968</v>
      </c>
      <c r="C5444" s="2" t="s">
        <v>225</v>
      </c>
      <c r="D5444" s="2" t="s">
        <v>27</v>
      </c>
      <c r="E5444" s="4">
        <v>-32766</v>
      </c>
      <c r="F5444" s="3" t="s">
        <v>492</v>
      </c>
      <c r="G5444" s="3" t="s">
        <v>493</v>
      </c>
      <c r="H5444" s="2" t="s">
        <v>74</v>
      </c>
      <c r="I5444" s="2" t="s">
        <v>13970</v>
      </c>
      <c r="J5444" s="3" t="str">
        <f>HYPERLINK("https://www.boe.es/gazeta/dias/1810/04/15/pdfs/GMD-1810-105.pdf#page=4","Abrir facsímil")</f>
        <v>Abrir facsímil</v>
      </c>
      <c r="K5444" s="3" t="s">
        <v>76</v>
      </c>
    </row>
    <row r="5445" spans="1:11" ht="42" customHeight="1">
      <c r="A5445" s="2" t="s">
        <v>13971</v>
      </c>
      <c r="B5445" s="2" t="s">
        <v>13972</v>
      </c>
      <c r="C5445" s="2" t="s">
        <v>26</v>
      </c>
      <c r="D5445" s="2" t="s">
        <v>27</v>
      </c>
      <c r="E5445" s="4">
        <v>-32688</v>
      </c>
      <c r="F5445" s="3" t="s">
        <v>997</v>
      </c>
      <c r="G5445" s="3" t="s">
        <v>749</v>
      </c>
      <c r="H5445" s="2" t="s">
        <v>74</v>
      </c>
      <c r="I5445" s="2" t="s">
        <v>13973</v>
      </c>
      <c r="J5445" s="3" t="str">
        <f>HYPERLINK("https://www.boe.es/gazeta/dias/1810/07/02/pdfs/GMD-1810-183.pdf#page=4","Abrir facsímil")</f>
        <v>Abrir facsímil</v>
      </c>
      <c r="K5445" s="3" t="s">
        <v>76</v>
      </c>
    </row>
    <row r="5446" spans="1:11" ht="42" customHeight="1">
      <c r="A5446" s="2" t="s">
        <v>13974</v>
      </c>
      <c r="B5446" s="2" t="s">
        <v>13974</v>
      </c>
      <c r="C5446" s="2" t="s">
        <v>88</v>
      </c>
      <c r="D5446" s="2" t="s">
        <v>27</v>
      </c>
      <c r="E5446" s="4">
        <v>-32644</v>
      </c>
      <c r="F5446" s="3" t="s">
        <v>457</v>
      </c>
      <c r="G5446" s="3" t="s">
        <v>90</v>
      </c>
      <c r="H5446" s="2" t="s">
        <v>74</v>
      </c>
      <c r="I5446" s="2" t="s">
        <v>13975</v>
      </c>
      <c r="J5446" s="3" t="str">
        <f>HYPERLINK("https://www.boe.es/gazeta/dias/1810/08/15/pdfs/GMD-1810-227.pdf#page=2","Abrir facsímil")</f>
        <v>Abrir facsímil</v>
      </c>
      <c r="K5446" s="3" t="s">
        <v>76</v>
      </c>
    </row>
    <row r="5447" spans="1:11" ht="42" customHeight="1">
      <c r="A5447" s="2" t="s">
        <v>13976</v>
      </c>
      <c r="B5447" s="2" t="s">
        <v>13976</v>
      </c>
      <c r="C5447" s="2" t="s">
        <v>88</v>
      </c>
      <c r="D5447" s="2" t="s">
        <v>220</v>
      </c>
      <c r="E5447" s="4">
        <v>-32644</v>
      </c>
      <c r="F5447" s="3" t="s">
        <v>457</v>
      </c>
      <c r="G5447" s="3" t="s">
        <v>90</v>
      </c>
      <c r="H5447" s="2" t="s">
        <v>74</v>
      </c>
      <c r="I5447" s="2" t="s">
        <v>13977</v>
      </c>
      <c r="J5447" s="3" t="str">
        <f>HYPERLINK("https://www.boe.es/gazeta/dias/1810/08/15/pdfs/GMD-1810-227.pdf#page=2","Abrir facsímil")</f>
        <v>Abrir facsímil</v>
      </c>
      <c r="K5447" s="3" t="s">
        <v>76</v>
      </c>
    </row>
    <row r="5448" spans="1:11" ht="42" customHeight="1">
      <c r="A5448" s="2" t="s">
        <v>13978</v>
      </c>
      <c r="B5448" s="2" t="s">
        <v>13978</v>
      </c>
      <c r="C5448" s="2" t="s">
        <v>88</v>
      </c>
      <c r="D5448" s="2" t="s">
        <v>220</v>
      </c>
      <c r="E5448" s="4">
        <v>-32660</v>
      </c>
      <c r="F5448" s="3" t="s">
        <v>6216</v>
      </c>
      <c r="G5448" s="3" t="s">
        <v>592</v>
      </c>
      <c r="H5448" s="2" t="s">
        <v>74</v>
      </c>
      <c r="I5448" s="2" t="s">
        <v>13979</v>
      </c>
      <c r="J5448" s="3" t="str">
        <f>HYPERLINK("https://www.boe.es/gazeta/dias/1810/07/30/pdfs/GMD-1810-211.pdf#page=4","Abrir facsímil")</f>
        <v>Abrir facsímil</v>
      </c>
      <c r="K5448" s="3" t="s">
        <v>76</v>
      </c>
    </row>
    <row r="5449" spans="1:11" ht="42" customHeight="1">
      <c r="A5449" s="2" t="s">
        <v>13980</v>
      </c>
      <c r="B5449" s="2" t="s">
        <v>13980</v>
      </c>
      <c r="C5449" s="2" t="s">
        <v>88</v>
      </c>
      <c r="D5449" s="2" t="s">
        <v>27</v>
      </c>
      <c r="E5449" s="4">
        <v>-32710</v>
      </c>
      <c r="F5449" s="3" t="s">
        <v>126</v>
      </c>
      <c r="G5449" s="3" t="s">
        <v>35</v>
      </c>
      <c r="H5449" s="2" t="s">
        <v>74</v>
      </c>
      <c r="I5449" s="2" t="s">
        <v>13981</v>
      </c>
      <c r="J5449" s="3" t="str">
        <f>HYPERLINK("https://www.boe.es/gazeta/dias/1810/06/10/pdfs/GMD-1810-161.pdf#page=2","Abrir facsímil")</f>
        <v>Abrir facsímil</v>
      </c>
      <c r="K5449" s="3" t="s">
        <v>76</v>
      </c>
    </row>
    <row r="5450" spans="1:11" ht="42" customHeight="1">
      <c r="A5450" s="2" t="s">
        <v>13980</v>
      </c>
      <c r="B5450" s="2" t="s">
        <v>13980</v>
      </c>
      <c r="C5450" s="2" t="s">
        <v>88</v>
      </c>
      <c r="D5450" s="2" t="s">
        <v>27</v>
      </c>
      <c r="E5450" s="4">
        <v>-32638</v>
      </c>
      <c r="F5450" s="3" t="s">
        <v>489</v>
      </c>
      <c r="G5450" s="3" t="s">
        <v>227</v>
      </c>
      <c r="H5450" s="2" t="s">
        <v>74</v>
      </c>
      <c r="I5450" s="2" t="s">
        <v>13982</v>
      </c>
      <c r="J5450" s="3" t="str">
        <f>HYPERLINK("https://www.boe.es/gazeta/dias/1810/08/21/pdfs/GMD-1810-233.pdf#page=2","Abrir facsímil")</f>
        <v>Abrir facsímil</v>
      </c>
      <c r="K5450" s="3" t="s">
        <v>76</v>
      </c>
    </row>
    <row r="5451" spans="1:11" ht="42" customHeight="1">
      <c r="A5451" s="2" t="s">
        <v>13983</v>
      </c>
      <c r="B5451" s="2" t="s">
        <v>13984</v>
      </c>
      <c r="C5451" s="2" t="s">
        <v>26</v>
      </c>
      <c r="D5451" s="2" t="s">
        <v>27</v>
      </c>
      <c r="E5451" s="4">
        <v>-32710</v>
      </c>
      <c r="F5451" s="3" t="s">
        <v>126</v>
      </c>
      <c r="G5451" s="3" t="s">
        <v>184</v>
      </c>
      <c r="H5451" s="2" t="s">
        <v>74</v>
      </c>
      <c r="I5451" s="2" t="s">
        <v>13985</v>
      </c>
      <c r="J5451" s="3" t="str">
        <f>HYPERLINK("https://www.boe.es/gazeta/dias/1810/06/10/pdfs/GMD-1810-161.pdf#page=3","Abrir facsímil")</f>
        <v>Abrir facsímil</v>
      </c>
      <c r="K5451" s="3" t="s">
        <v>76</v>
      </c>
    </row>
    <row r="5452" spans="1:11" ht="42" customHeight="1">
      <c r="A5452" s="2" t="s">
        <v>13986</v>
      </c>
      <c r="B5452" s="2" t="s">
        <v>13987</v>
      </c>
      <c r="C5452" s="2" t="s">
        <v>26</v>
      </c>
      <c r="D5452" s="2" t="s">
        <v>27</v>
      </c>
      <c r="E5452" s="4">
        <v>-32710</v>
      </c>
      <c r="F5452" s="3" t="s">
        <v>126</v>
      </c>
      <c r="G5452" s="3" t="s">
        <v>184</v>
      </c>
      <c r="H5452" s="2" t="s">
        <v>74</v>
      </c>
      <c r="I5452" s="2" t="s">
        <v>13988</v>
      </c>
      <c r="J5452" s="3" t="str">
        <f>HYPERLINK("https://www.boe.es/gazeta/dias/1810/06/10/pdfs/GMD-1810-161.pdf#page=3","Abrir facsímil")</f>
        <v>Abrir facsímil</v>
      </c>
      <c r="K5452" s="3" t="s">
        <v>76</v>
      </c>
    </row>
    <row r="5453" spans="1:11" ht="42" customHeight="1">
      <c r="A5453" s="2" t="s">
        <v>13989</v>
      </c>
      <c r="B5453" s="2" t="s">
        <v>13989</v>
      </c>
      <c r="C5453" s="2" t="s">
        <v>26</v>
      </c>
      <c r="D5453" s="2" t="s">
        <v>27</v>
      </c>
      <c r="E5453" s="4">
        <v>-32756</v>
      </c>
      <c r="F5453" s="3" t="s">
        <v>203</v>
      </c>
      <c r="G5453" s="3" t="s">
        <v>465</v>
      </c>
      <c r="H5453" s="2" t="s">
        <v>74</v>
      </c>
      <c r="I5453" s="2" t="s">
        <v>13990</v>
      </c>
      <c r="J5453" s="3" t="str">
        <f>HYPERLINK("https://www.boe.es/gazeta/dias/1810/04/25/pdfs/GMD-1810-115.pdf#page=1","Abrir facsímil")</f>
        <v>Abrir facsímil</v>
      </c>
      <c r="K5453" s="3" t="s">
        <v>76</v>
      </c>
    </row>
    <row r="5454" spans="1:11" ht="42" customHeight="1">
      <c r="A5454" s="2" t="s">
        <v>13989</v>
      </c>
      <c r="B5454" s="2" t="s">
        <v>13989</v>
      </c>
      <c r="C5454" s="2" t="s">
        <v>33</v>
      </c>
      <c r="D5454" s="2" t="s">
        <v>220</v>
      </c>
      <c r="E5454" s="4">
        <v>-32739</v>
      </c>
      <c r="F5454" s="3" t="s">
        <v>724</v>
      </c>
      <c r="G5454" s="3" t="s">
        <v>119</v>
      </c>
      <c r="H5454" s="2" t="s">
        <v>74</v>
      </c>
      <c r="I5454" s="2" t="s">
        <v>13991</v>
      </c>
      <c r="J5454" s="3" t="str">
        <f>HYPERLINK("https://www.boe.es/gazeta/dias/1810/05/12/pdfs/GMD-1810-132.pdf#page=1","Abrir facsímil")</f>
        <v>Abrir facsímil</v>
      </c>
      <c r="K5454" s="3" t="s">
        <v>76</v>
      </c>
    </row>
    <row r="5455" spans="1:11" ht="42" customHeight="1">
      <c r="A5455" s="2" t="s">
        <v>13989</v>
      </c>
      <c r="B5455" s="2" t="s">
        <v>13989</v>
      </c>
      <c r="C5455" s="2" t="s">
        <v>26</v>
      </c>
      <c r="D5455" s="2" t="s">
        <v>27</v>
      </c>
      <c r="E5455" s="4">
        <v>-32728</v>
      </c>
      <c r="F5455" s="3" t="s">
        <v>269</v>
      </c>
      <c r="G5455" s="3" t="s">
        <v>2441</v>
      </c>
      <c r="H5455" s="2" t="s">
        <v>74</v>
      </c>
      <c r="I5455" s="2" t="s">
        <v>13992</v>
      </c>
      <c r="J5455" s="3" t="str">
        <f>HYPERLINK("https://www.boe.es/gazeta/dias/1810/05/23/pdfs/GMD-1810-143.pdf#page=1","Abrir facsímil")</f>
        <v>Abrir facsímil</v>
      </c>
      <c r="K5455" s="3" t="s">
        <v>76</v>
      </c>
    </row>
    <row r="5456" spans="1:11" ht="42" customHeight="1">
      <c r="A5456" s="2" t="s">
        <v>13989</v>
      </c>
      <c r="B5456" s="2" t="s">
        <v>13989</v>
      </c>
      <c r="C5456" s="2" t="s">
        <v>26</v>
      </c>
      <c r="D5456" s="2" t="s">
        <v>39</v>
      </c>
      <c r="E5456" s="4">
        <v>-32702</v>
      </c>
      <c r="F5456" s="3" t="s">
        <v>179</v>
      </c>
      <c r="G5456" s="3" t="s">
        <v>213</v>
      </c>
      <c r="H5456" s="2" t="s">
        <v>74</v>
      </c>
      <c r="I5456" s="2" t="s">
        <v>13993</v>
      </c>
      <c r="J5456" s="3" t="str">
        <f>HYPERLINK("https://www.boe.es/gazeta/dias/1810/06/18/pdfs/GMD-C-1810-169.pdf#page=4","Abrir facsímil")</f>
        <v>Abrir facsímil</v>
      </c>
      <c r="K5456" s="3" t="s">
        <v>76</v>
      </c>
    </row>
    <row r="5457" spans="1:11" ht="42" customHeight="1">
      <c r="A5457" s="2" t="s">
        <v>13989</v>
      </c>
      <c r="B5457" s="2" t="s">
        <v>13989</v>
      </c>
      <c r="C5457" s="2" t="s">
        <v>26</v>
      </c>
      <c r="D5457" s="2" t="s">
        <v>39</v>
      </c>
      <c r="E5457" s="4">
        <v>-32701</v>
      </c>
      <c r="F5457" s="3" t="s">
        <v>40</v>
      </c>
      <c r="G5457" s="3" t="s">
        <v>315</v>
      </c>
      <c r="H5457" s="2" t="s">
        <v>74</v>
      </c>
      <c r="I5457" s="2" t="s">
        <v>13994</v>
      </c>
      <c r="J5457" s="3" t="str">
        <f>HYPERLINK("https://www.boe.es/gazeta/dias/1810/06/19/pdfs/GMD-C-1810-170.pdf#page=2","Abrir facsímil")</f>
        <v>Abrir facsímil</v>
      </c>
      <c r="K5457" s="3" t="s">
        <v>76</v>
      </c>
    </row>
    <row r="5458" spans="1:11" ht="42" customHeight="1">
      <c r="A5458" s="2" t="s">
        <v>13989</v>
      </c>
      <c r="B5458" s="2" t="s">
        <v>13989</v>
      </c>
      <c r="C5458" s="2" t="s">
        <v>26</v>
      </c>
      <c r="D5458" s="2" t="s">
        <v>39</v>
      </c>
      <c r="E5458" s="4">
        <v>-32684</v>
      </c>
      <c r="F5458" s="3" t="s">
        <v>295</v>
      </c>
      <c r="G5458" s="3" t="s">
        <v>213</v>
      </c>
      <c r="H5458" s="2" t="s">
        <v>74</v>
      </c>
      <c r="I5458" s="2" t="s">
        <v>13995</v>
      </c>
      <c r="J5458" s="3" t="str">
        <f>HYPERLINK("https://www.boe.es/gazeta/dias/1810/07/06/pdfs/GMD-C-1810-187.pdf#page=2","Abrir facsímil")</f>
        <v>Abrir facsímil</v>
      </c>
      <c r="K5458" s="3" t="s">
        <v>76</v>
      </c>
    </row>
    <row r="5459" spans="1:11" ht="42" customHeight="1">
      <c r="A5459" s="2" t="s">
        <v>13996</v>
      </c>
      <c r="B5459" s="2" t="s">
        <v>13996</v>
      </c>
      <c r="C5459" s="2" t="s">
        <v>26</v>
      </c>
      <c r="D5459" s="2" t="s">
        <v>27</v>
      </c>
      <c r="E5459" s="4">
        <v>-32563</v>
      </c>
      <c r="F5459" s="3" t="s">
        <v>535</v>
      </c>
      <c r="G5459" s="3" t="s">
        <v>5594</v>
      </c>
      <c r="H5459" s="2" t="s">
        <v>74</v>
      </c>
      <c r="I5459" s="2" t="s">
        <v>13997</v>
      </c>
      <c r="J5459" s="3" t="str">
        <f>HYPERLINK("https://www.boe.es/gazeta/dias/1810/11/04/pdfs/GMD-1810-308.pdf#page=10","Abrir facsímil")</f>
        <v>Abrir facsímil</v>
      </c>
      <c r="K5459" s="3" t="s">
        <v>76</v>
      </c>
    </row>
    <row r="5460" spans="1:11" ht="42" customHeight="1">
      <c r="A5460" s="2" t="s">
        <v>13989</v>
      </c>
      <c r="B5460" s="2" t="s">
        <v>13989</v>
      </c>
      <c r="C5460" s="2" t="s">
        <v>26</v>
      </c>
      <c r="D5460" s="2" t="s">
        <v>27</v>
      </c>
      <c r="E5460" s="4">
        <v>-32524</v>
      </c>
      <c r="F5460" s="3" t="s">
        <v>9336</v>
      </c>
      <c r="G5460" s="3" t="s">
        <v>99</v>
      </c>
      <c r="H5460" s="2" t="s">
        <v>74</v>
      </c>
      <c r="I5460" s="2" t="s">
        <v>13998</v>
      </c>
      <c r="J5460" s="3" t="str">
        <f>HYPERLINK("https://www.boe.es/gazeta/dias/1810/12/13/pdfs/GMD-1810-347.pdf#page=3","Abrir facsímil")</f>
        <v>Abrir facsímil</v>
      </c>
      <c r="K5460" s="3" t="s">
        <v>76</v>
      </c>
    </row>
    <row r="5461" spans="1:11" ht="42" customHeight="1">
      <c r="A5461" s="2" t="s">
        <v>13999</v>
      </c>
      <c r="B5461" s="2" t="s">
        <v>14000</v>
      </c>
      <c r="C5461" s="2" t="s">
        <v>26</v>
      </c>
      <c r="D5461" s="2" t="s">
        <v>27</v>
      </c>
      <c r="E5461" s="4">
        <v>-32762</v>
      </c>
      <c r="F5461" s="3" t="s">
        <v>231</v>
      </c>
      <c r="G5461" s="3" t="s">
        <v>29</v>
      </c>
      <c r="H5461" s="2" t="s">
        <v>74</v>
      </c>
      <c r="I5461" s="2" t="s">
        <v>14001</v>
      </c>
      <c r="J5461" s="3" t="str">
        <f>HYPERLINK("https://www.boe.es/gazeta/dias/1810/04/19/pdfs/GMD-1810-109.pdf#page=2","Abrir facsímil")</f>
        <v>Abrir facsímil</v>
      </c>
      <c r="K5461" s="3" t="s">
        <v>76</v>
      </c>
    </row>
    <row r="5462" spans="1:11" ht="42" customHeight="1">
      <c r="A5462" s="2" t="s">
        <v>14002</v>
      </c>
      <c r="B5462" s="2" t="s">
        <v>14003</v>
      </c>
      <c r="C5462" s="2" t="s">
        <v>26</v>
      </c>
      <c r="D5462" s="2" t="s">
        <v>27</v>
      </c>
      <c r="E5462" s="4">
        <v>-32862</v>
      </c>
      <c r="F5462" s="3" t="s">
        <v>878</v>
      </c>
      <c r="G5462" s="3" t="s">
        <v>99</v>
      </c>
      <c r="H5462" s="2" t="s">
        <v>74</v>
      </c>
      <c r="I5462" s="2" t="s">
        <v>14004</v>
      </c>
      <c r="J5462" s="3" t="str">
        <f>HYPERLINK("https://www.boe.es/gazeta/dias/1810/01/09/pdfs/GMD-1810-9.pdf#page=3","Abrir facsímil")</f>
        <v>Abrir facsímil</v>
      </c>
      <c r="K5462" s="3" t="s">
        <v>76</v>
      </c>
    </row>
    <row r="5463" spans="1:11" ht="42" customHeight="1">
      <c r="A5463" s="2" t="s">
        <v>14005</v>
      </c>
      <c r="B5463" s="2" t="s">
        <v>14006</v>
      </c>
      <c r="C5463" s="2" t="s">
        <v>26</v>
      </c>
      <c r="D5463" s="2" t="s">
        <v>220</v>
      </c>
      <c r="E5463" s="4">
        <v>-32762</v>
      </c>
      <c r="F5463" s="3" t="s">
        <v>231</v>
      </c>
      <c r="G5463" s="3" t="s">
        <v>140</v>
      </c>
      <c r="H5463" s="2" t="s">
        <v>74</v>
      </c>
      <c r="I5463" s="2" t="s">
        <v>14007</v>
      </c>
      <c r="J5463" s="3" t="str">
        <f>HYPERLINK("https://www.boe.es/gazeta/dias/1810/04/19/pdfs/GMD-1810-109.pdf#page=3","Abrir facsímil")</f>
        <v>Abrir facsímil</v>
      </c>
      <c r="K5463" s="3" t="s">
        <v>76</v>
      </c>
    </row>
    <row r="5464" spans="1:11" ht="42" customHeight="1">
      <c r="A5464" s="2" t="s">
        <v>14008</v>
      </c>
      <c r="B5464" s="2" t="s">
        <v>14009</v>
      </c>
      <c r="C5464" s="2" t="s">
        <v>26</v>
      </c>
      <c r="D5464" s="2" t="s">
        <v>27</v>
      </c>
      <c r="E5464" s="4">
        <v>-32839</v>
      </c>
      <c r="F5464" s="3" t="s">
        <v>28</v>
      </c>
      <c r="G5464" s="3" t="s">
        <v>29</v>
      </c>
      <c r="H5464" s="2" t="s">
        <v>74</v>
      </c>
      <c r="I5464" s="2" t="s">
        <v>14010</v>
      </c>
      <c r="J5464" s="3" t="str">
        <f>HYPERLINK("https://www.boe.es/gazeta/dias/1810/02/01/pdfs/GMD-1810-32.pdf#page=2","Abrir facsímil")</f>
        <v>Abrir facsímil</v>
      </c>
      <c r="K5464" s="3" t="s">
        <v>76</v>
      </c>
    </row>
    <row r="5465" spans="1:11" ht="42" customHeight="1">
      <c r="A5465" s="2" t="s">
        <v>14011</v>
      </c>
      <c r="B5465" s="2" t="s">
        <v>14012</v>
      </c>
      <c r="C5465" s="2" t="s">
        <v>26</v>
      </c>
      <c r="D5465" s="2" t="s">
        <v>27</v>
      </c>
      <c r="E5465" s="4">
        <v>-32543</v>
      </c>
      <c r="F5465" s="3" t="s">
        <v>69</v>
      </c>
      <c r="G5465" s="3" t="s">
        <v>84</v>
      </c>
      <c r="H5465" s="2" t="s">
        <v>74</v>
      </c>
      <c r="I5465" s="2" t="s">
        <v>14013</v>
      </c>
      <c r="J5465" s="3" t="str">
        <f>HYPERLINK("https://www.boe.es/gazeta/dias/1810/11/24/pdfs/GEI-1810-99.pdf#page=7","Abrir facsímil")</f>
        <v>Abrir facsímil</v>
      </c>
      <c r="K5465" s="3" t="s">
        <v>76</v>
      </c>
    </row>
    <row r="5466" spans="1:11" ht="42" customHeight="1">
      <c r="A5466" s="2" t="s">
        <v>14011</v>
      </c>
      <c r="B5466" s="2" t="s">
        <v>14012</v>
      </c>
      <c r="C5466" s="2" t="s">
        <v>26</v>
      </c>
      <c r="D5466" s="2" t="s">
        <v>27</v>
      </c>
      <c r="E5466" s="4">
        <v>-32543</v>
      </c>
      <c r="F5466" s="3" t="s">
        <v>69</v>
      </c>
      <c r="G5466" s="3" t="s">
        <v>70</v>
      </c>
      <c r="H5466" s="2" t="s">
        <v>74</v>
      </c>
      <c r="I5466" s="2" t="s">
        <v>14014</v>
      </c>
      <c r="J5466" s="3" t="str">
        <f>HYPERLINK("https://www.boe.es/gazeta/dias/1810/11/24/pdfs/GEI-1810-99.pdf#page=8","Abrir facsímil")</f>
        <v>Abrir facsímil</v>
      </c>
      <c r="K5466" s="3" t="s">
        <v>76</v>
      </c>
    </row>
    <row r="5467" spans="1:11" ht="42" customHeight="1">
      <c r="A5467" s="2" t="s">
        <v>14015</v>
      </c>
      <c r="B5467" s="2" t="s">
        <v>14016</v>
      </c>
      <c r="C5467" s="2" t="s">
        <v>88</v>
      </c>
      <c r="D5467" s="2" t="s">
        <v>117</v>
      </c>
      <c r="E5467" s="4">
        <v>-32861</v>
      </c>
      <c r="F5467" s="3" t="s">
        <v>796</v>
      </c>
      <c r="G5467" s="3" t="s">
        <v>29</v>
      </c>
      <c r="H5467" s="2" t="s">
        <v>74</v>
      </c>
      <c r="I5467" s="2" t="s">
        <v>14017</v>
      </c>
      <c r="J5467" s="3" t="str">
        <f>HYPERLINK("https://www.boe.es/gazeta/dias/1810/01/10/pdfs/GMD-1810-10.pdf#page=2","Abrir facsímil")</f>
        <v>Abrir facsímil</v>
      </c>
      <c r="K5467" s="3" t="s">
        <v>76</v>
      </c>
    </row>
    <row r="5468" spans="1:11" ht="42" customHeight="1">
      <c r="A5468" s="2" t="s">
        <v>14015</v>
      </c>
      <c r="B5468" s="2" t="s">
        <v>14016</v>
      </c>
      <c r="C5468" s="2" t="s">
        <v>26</v>
      </c>
      <c r="D5468" s="2" t="s">
        <v>18</v>
      </c>
      <c r="E5468" s="4">
        <v>-32820</v>
      </c>
      <c r="F5468" s="3" t="s">
        <v>226</v>
      </c>
      <c r="G5468" s="3" t="s">
        <v>356</v>
      </c>
      <c r="H5468" s="2" t="s">
        <v>74</v>
      </c>
      <c r="I5468" s="2" t="s">
        <v>14018</v>
      </c>
      <c r="J5468" s="3" t="str">
        <f>HYPERLINK("https://www.boe.es/gazeta/dias/1810/02/20/pdfs/GMD-1810-51.pdf#page=3","Abrir facsímil")</f>
        <v>Abrir facsímil</v>
      </c>
      <c r="K5468" s="3" t="s">
        <v>76</v>
      </c>
    </row>
    <row r="5469" spans="1:11" ht="42" customHeight="1">
      <c r="A5469" s="2" t="s">
        <v>14015</v>
      </c>
      <c r="B5469" s="2" t="s">
        <v>14016</v>
      </c>
      <c r="C5469" s="2" t="s">
        <v>88</v>
      </c>
      <c r="D5469" s="2" t="s">
        <v>117</v>
      </c>
      <c r="E5469" s="4">
        <v>-32531</v>
      </c>
      <c r="F5469" s="3" t="s">
        <v>2023</v>
      </c>
      <c r="G5469" s="3" t="s">
        <v>29</v>
      </c>
      <c r="H5469" s="2" t="s">
        <v>74</v>
      </c>
      <c r="I5469" s="2" t="s">
        <v>14019</v>
      </c>
      <c r="J5469" s="3" t="str">
        <f>HYPERLINK("https://www.boe.es/gazeta/dias/1810/12/06/pdfs/GMD-1810-340.pdf#page=4","Abrir facsímil")</f>
        <v>Abrir facsímil</v>
      </c>
      <c r="K5469" s="3" t="s">
        <v>76</v>
      </c>
    </row>
    <row r="5470" spans="1:11" ht="42" customHeight="1">
      <c r="A5470" s="2" t="s">
        <v>14020</v>
      </c>
      <c r="B5470" s="2" t="s">
        <v>14021</v>
      </c>
      <c r="C5470" s="2" t="s">
        <v>88</v>
      </c>
      <c r="D5470" s="2" t="s">
        <v>27</v>
      </c>
      <c r="E5470" s="4">
        <v>-32531</v>
      </c>
      <c r="F5470" s="3" t="s">
        <v>2023</v>
      </c>
      <c r="G5470" s="3" t="s">
        <v>29</v>
      </c>
      <c r="H5470" s="2" t="s">
        <v>74</v>
      </c>
      <c r="I5470" s="2" t="s">
        <v>14022</v>
      </c>
      <c r="J5470" s="3" t="str">
        <f>HYPERLINK("https://www.boe.es/gazeta/dias/1810/12/06/pdfs/GMD-1810-340.pdf#page=4","Abrir facsímil")</f>
        <v>Abrir facsímil</v>
      </c>
      <c r="K5470" s="3" t="s">
        <v>76</v>
      </c>
    </row>
    <row r="5471" spans="1:11" ht="42" customHeight="1">
      <c r="A5471" s="2" t="s">
        <v>14023</v>
      </c>
      <c r="B5471" s="2" t="s">
        <v>14024</v>
      </c>
      <c r="C5471" s="2" t="s">
        <v>26</v>
      </c>
      <c r="D5471" s="2" t="s">
        <v>39</v>
      </c>
      <c r="E5471" s="4">
        <v>-32702</v>
      </c>
      <c r="F5471" s="3" t="s">
        <v>179</v>
      </c>
      <c r="G5471" s="3" t="s">
        <v>119</v>
      </c>
      <c r="H5471" s="2" t="s">
        <v>74</v>
      </c>
      <c r="I5471" s="2" t="s">
        <v>14025</v>
      </c>
      <c r="J5471" s="3" t="str">
        <f>HYPERLINK("https://www.boe.es/gazeta/dias/1810/06/18/pdfs/GMD-C-1810-169.pdf#page=1","Abrir facsímil")</f>
        <v>Abrir facsímil</v>
      </c>
      <c r="K5471" s="3" t="s">
        <v>76</v>
      </c>
    </row>
    <row r="5472" spans="1:11" ht="42" customHeight="1">
      <c r="A5472" s="2" t="s">
        <v>14026</v>
      </c>
      <c r="B5472" s="2" t="s">
        <v>14027</v>
      </c>
      <c r="C5472" s="2" t="s">
        <v>88</v>
      </c>
      <c r="D5472" s="2" t="s">
        <v>18</v>
      </c>
      <c r="E5472" s="4">
        <v>-32805</v>
      </c>
      <c r="F5472" s="3" t="s">
        <v>2068</v>
      </c>
      <c r="G5472" s="3" t="s">
        <v>70</v>
      </c>
      <c r="H5472" s="2" t="s">
        <v>74</v>
      </c>
      <c r="I5472" s="2" t="s">
        <v>14028</v>
      </c>
      <c r="J5472" s="3" t="str">
        <f>HYPERLINK("https://www.boe.es/gazeta/dias/1810/03/07/pdfs/GMD-1810-66.pdf#page=3","Abrir facsímil")</f>
        <v>Abrir facsímil</v>
      </c>
      <c r="K5472" s="3" t="s">
        <v>76</v>
      </c>
    </row>
    <row r="5473" spans="1:11" ht="42" customHeight="1">
      <c r="A5473" s="2" t="s">
        <v>14029</v>
      </c>
      <c r="B5473" s="2" t="s">
        <v>14030</v>
      </c>
      <c r="C5473" s="2" t="s">
        <v>26</v>
      </c>
      <c r="D5473" s="2" t="s">
        <v>27</v>
      </c>
      <c r="E5473" s="4">
        <v>-32585</v>
      </c>
      <c r="F5473" s="3" t="s">
        <v>260</v>
      </c>
      <c r="G5473" s="3" t="s">
        <v>465</v>
      </c>
      <c r="H5473" s="2" t="s">
        <v>74</v>
      </c>
      <c r="I5473" s="2" t="s">
        <v>14031</v>
      </c>
      <c r="J5473" s="3" t="str">
        <f>HYPERLINK("https://www.boe.es/gazeta/dias/1810/10/13/pdfs/GEI-1810-81.pdf#page=8","Abrir facsímil")</f>
        <v>Abrir facsímil</v>
      </c>
      <c r="K5473" s="3" t="s">
        <v>76</v>
      </c>
    </row>
    <row r="5474" spans="1:11" ht="42" customHeight="1">
      <c r="A5474" s="2" t="s">
        <v>14032</v>
      </c>
      <c r="B5474" s="2" t="s">
        <v>14033</v>
      </c>
      <c r="C5474" s="2" t="s">
        <v>33</v>
      </c>
      <c r="D5474" s="2" t="s">
        <v>27</v>
      </c>
      <c r="E5474" s="4">
        <v>-32652</v>
      </c>
      <c r="F5474" s="3" t="s">
        <v>3295</v>
      </c>
      <c r="G5474" s="3" t="s">
        <v>7424</v>
      </c>
      <c r="H5474" s="2" t="s">
        <v>21</v>
      </c>
      <c r="I5474" s="2" t="s">
        <v>14034</v>
      </c>
      <c r="J5474" s="3" t="str">
        <f>HYPERLINK("https://www.boe.es/gazeta/dias/1810/08/07/pdfs/GEI-1810-52.pdf#page=8","Abrir facsímil")</f>
        <v>Abrir facsímil</v>
      </c>
      <c r="K5474" s="3" t="s">
        <v>23</v>
      </c>
    </row>
    <row r="5475" spans="1:11" ht="42" customHeight="1">
      <c r="A5475" s="2" t="s">
        <v>14035</v>
      </c>
      <c r="B5475" s="2" t="s">
        <v>14036</v>
      </c>
      <c r="C5475" s="2" t="s">
        <v>26</v>
      </c>
      <c r="D5475" s="2" t="s">
        <v>27</v>
      </c>
      <c r="E5475" s="4">
        <v>-32796</v>
      </c>
      <c r="F5475" s="3" t="s">
        <v>1129</v>
      </c>
      <c r="G5475" s="3" t="s">
        <v>679</v>
      </c>
      <c r="H5475" s="2" t="s">
        <v>74</v>
      </c>
      <c r="I5475" s="2" t="s">
        <v>14037</v>
      </c>
      <c r="J5475" s="3" t="str">
        <f>HYPERLINK("https://www.boe.es/gazeta/dias/1810/03/16/pdfs/GMD-1810-75.pdf#page=3","Abrir facsímil")</f>
        <v>Abrir facsímil</v>
      </c>
      <c r="K5475" s="3" t="s">
        <v>76</v>
      </c>
    </row>
    <row r="5476" spans="1:11" ht="42" customHeight="1">
      <c r="A5476" s="2" t="s">
        <v>14035</v>
      </c>
      <c r="B5476" s="2" t="s">
        <v>14036</v>
      </c>
      <c r="C5476" s="2" t="s">
        <v>88</v>
      </c>
      <c r="D5476" s="2" t="s">
        <v>117</v>
      </c>
      <c r="E5476" s="4">
        <v>-32566</v>
      </c>
      <c r="F5476" s="3" t="s">
        <v>405</v>
      </c>
      <c r="G5476" s="3" t="s">
        <v>469</v>
      </c>
      <c r="H5476" s="2" t="s">
        <v>74</v>
      </c>
      <c r="I5476" s="2" t="s">
        <v>14038</v>
      </c>
      <c r="J5476" s="3" t="str">
        <f>HYPERLINK("https://www.boe.es/gazeta/dias/1810/11/01/pdfs/GMD-1810-305.pdf#page=2","Abrir facsímil")</f>
        <v>Abrir facsímil</v>
      </c>
      <c r="K5476" s="3" t="s">
        <v>76</v>
      </c>
    </row>
    <row r="5477" spans="1:11" ht="42" customHeight="1">
      <c r="A5477" s="2" t="s">
        <v>14039</v>
      </c>
      <c r="B5477" s="2" t="s">
        <v>14040</v>
      </c>
      <c r="C5477" s="2" t="s">
        <v>26</v>
      </c>
      <c r="D5477" s="2" t="s">
        <v>39</v>
      </c>
      <c r="E5477" s="4">
        <v>-32684</v>
      </c>
      <c r="F5477" s="3" t="s">
        <v>295</v>
      </c>
      <c r="G5477" s="3" t="s">
        <v>4095</v>
      </c>
      <c r="H5477" s="2" t="s">
        <v>74</v>
      </c>
      <c r="I5477" s="2" t="s">
        <v>14041</v>
      </c>
      <c r="J5477" s="3" t="str">
        <f>HYPERLINK("https://www.boe.es/gazeta/dias/1810/07/06/pdfs/GMD-C-1810-187.pdf#page=3","Abrir facsímil")</f>
        <v>Abrir facsímil</v>
      </c>
      <c r="K5477" s="3" t="s">
        <v>76</v>
      </c>
    </row>
    <row r="5478" spans="1:11" ht="42" customHeight="1">
      <c r="A5478" s="2" t="s">
        <v>14042</v>
      </c>
      <c r="B5478" s="2" t="s">
        <v>14043</v>
      </c>
      <c r="C5478" s="2" t="s">
        <v>88</v>
      </c>
      <c r="D5478" s="2" t="s">
        <v>117</v>
      </c>
      <c r="E5478" s="4">
        <v>-32645</v>
      </c>
      <c r="F5478" s="3" t="s">
        <v>122</v>
      </c>
      <c r="G5478" s="3" t="s">
        <v>588</v>
      </c>
      <c r="H5478" s="2" t="s">
        <v>74</v>
      </c>
      <c r="I5478" s="2" t="s">
        <v>14044</v>
      </c>
      <c r="J5478" s="3" t="str">
        <f>HYPERLINK("https://www.boe.es/gazeta/dias/1810/08/14/pdfs/GEI-1810-56.pdf#page=15","Abrir facsímil")</f>
        <v>Abrir facsímil</v>
      </c>
      <c r="K5478" s="3" t="s">
        <v>76</v>
      </c>
    </row>
    <row r="5479" spans="1:11" ht="42" customHeight="1">
      <c r="A5479" s="2" t="s">
        <v>14045</v>
      </c>
      <c r="B5479" s="2" t="s">
        <v>14046</v>
      </c>
      <c r="C5479" s="2" t="s">
        <v>26</v>
      </c>
      <c r="D5479" s="2" t="s">
        <v>39</v>
      </c>
      <c r="E5479" s="4">
        <v>-32702</v>
      </c>
      <c r="F5479" s="3" t="s">
        <v>179</v>
      </c>
      <c r="G5479" s="3" t="s">
        <v>119</v>
      </c>
      <c r="H5479" s="2" t="s">
        <v>74</v>
      </c>
      <c r="I5479" s="2" t="s">
        <v>14047</v>
      </c>
      <c r="J5479" s="3" t="str">
        <f>HYPERLINK("https://www.boe.es/gazeta/dias/1810/06/18/pdfs/GMD-C-1810-169.pdf#page=1","Abrir facsímil")</f>
        <v>Abrir facsímil</v>
      </c>
      <c r="K5479" s="3" t="s">
        <v>76</v>
      </c>
    </row>
    <row r="5480" spans="1:11" ht="42" customHeight="1">
      <c r="A5480" s="2" t="s">
        <v>14048</v>
      </c>
      <c r="B5480" s="2" t="s">
        <v>14048</v>
      </c>
      <c r="C5480" s="2" t="s">
        <v>195</v>
      </c>
      <c r="D5480" s="2" t="s">
        <v>27</v>
      </c>
      <c r="E5480" s="4">
        <v>-32729</v>
      </c>
      <c r="F5480" s="3" t="s">
        <v>174</v>
      </c>
      <c r="G5480" s="3" t="s">
        <v>151</v>
      </c>
      <c r="H5480" s="2" t="s">
        <v>74</v>
      </c>
      <c r="I5480" s="2" t="s">
        <v>14049</v>
      </c>
      <c r="J5480" s="3" t="str">
        <f>HYPERLINK("https://www.boe.es/gazeta/dias/1810/05/22/pdfs/GEI-1810-28.pdf#page=12","Abrir facsímil")</f>
        <v>Abrir facsímil</v>
      </c>
      <c r="K5480" s="3" t="s">
        <v>76</v>
      </c>
    </row>
    <row r="5481" spans="1:11" ht="42" customHeight="1">
      <c r="A5481" s="2" t="s">
        <v>14048</v>
      </c>
      <c r="B5481" s="2" t="s">
        <v>14048</v>
      </c>
      <c r="C5481" s="2" t="s">
        <v>26</v>
      </c>
      <c r="D5481" s="2" t="s">
        <v>39</v>
      </c>
      <c r="E5481" s="4">
        <v>-32701</v>
      </c>
      <c r="F5481" s="3" t="s">
        <v>40</v>
      </c>
      <c r="G5481" s="3" t="s">
        <v>170</v>
      </c>
      <c r="H5481" s="2" t="s">
        <v>74</v>
      </c>
      <c r="I5481" s="2" t="s">
        <v>14050</v>
      </c>
      <c r="J5481" s="3" t="str">
        <f>HYPERLINK("https://www.boe.es/gazeta/dias/1810/06/19/pdfs/GMD-C-1810-170.pdf#page=1","Abrir facsímil")</f>
        <v>Abrir facsímil</v>
      </c>
      <c r="K5481" s="3" t="s">
        <v>76</v>
      </c>
    </row>
    <row r="5482" spans="1:11" ht="42" customHeight="1">
      <c r="A5482" s="2" t="s">
        <v>14048</v>
      </c>
      <c r="B5482" s="2" t="s">
        <v>14048</v>
      </c>
      <c r="C5482" s="2" t="s">
        <v>88</v>
      </c>
      <c r="D5482" s="2" t="s">
        <v>27</v>
      </c>
      <c r="E5482" s="4">
        <v>-32697</v>
      </c>
      <c r="F5482" s="3" t="s">
        <v>1859</v>
      </c>
      <c r="G5482" s="3" t="s">
        <v>70</v>
      </c>
      <c r="H5482" s="2" t="s">
        <v>74</v>
      </c>
      <c r="I5482" s="2" t="s">
        <v>14051</v>
      </c>
      <c r="J5482" s="3" t="str">
        <f>HYPERLINK("https://www.boe.es/gazeta/dias/1810/06/23/pdfs/GMD-1810-174.pdf#page=4","Abrir facsímil")</f>
        <v>Abrir facsímil</v>
      </c>
      <c r="K5482" s="3" t="s">
        <v>76</v>
      </c>
    </row>
    <row r="5483" spans="1:11" ht="42" customHeight="1">
      <c r="A5483" s="2" t="s">
        <v>14048</v>
      </c>
      <c r="B5483" s="2" t="s">
        <v>14048</v>
      </c>
      <c r="C5483" s="2" t="s">
        <v>33</v>
      </c>
      <c r="D5483" s="2" t="s">
        <v>27</v>
      </c>
      <c r="E5483" s="4">
        <v>-32689</v>
      </c>
      <c r="F5483" s="3" t="s">
        <v>571</v>
      </c>
      <c r="G5483" s="3" t="s">
        <v>140</v>
      </c>
      <c r="H5483" s="2" t="s">
        <v>74</v>
      </c>
      <c r="I5483" s="2" t="s">
        <v>14052</v>
      </c>
      <c r="J5483" s="3" t="str">
        <f>HYPERLINK("https://www.boe.es/gazeta/dias/1810/07/01/pdfs/GMD-1810-182.pdf#page=4","Abrir facsímil")</f>
        <v>Abrir facsímil</v>
      </c>
      <c r="K5483" s="3" t="s">
        <v>76</v>
      </c>
    </row>
    <row r="5484" spans="1:11" ht="42" customHeight="1">
      <c r="A5484" s="2" t="s">
        <v>14048</v>
      </c>
      <c r="B5484" s="2" t="s">
        <v>14048</v>
      </c>
      <c r="C5484" s="2" t="s">
        <v>26</v>
      </c>
      <c r="D5484" s="2" t="s">
        <v>27</v>
      </c>
      <c r="E5484" s="4">
        <v>-32666</v>
      </c>
      <c r="F5484" s="3" t="s">
        <v>1913</v>
      </c>
      <c r="G5484" s="3" t="s">
        <v>1914</v>
      </c>
      <c r="H5484" s="2" t="s">
        <v>74</v>
      </c>
      <c r="I5484" s="2" t="s">
        <v>14053</v>
      </c>
      <c r="J5484" s="3" t="str">
        <f>HYPERLINK("https://www.boe.es/gazeta/dias/1810/07/24/pdfs/GMD-1810-205.pdf#page=4","Abrir facsímil")</f>
        <v>Abrir facsímil</v>
      </c>
      <c r="K5484" s="3" t="s">
        <v>76</v>
      </c>
    </row>
    <row r="5485" spans="1:11" ht="42" customHeight="1">
      <c r="A5485" s="2" t="s">
        <v>14048</v>
      </c>
      <c r="B5485" s="2" t="s">
        <v>14048</v>
      </c>
      <c r="C5485" s="2" t="s">
        <v>26</v>
      </c>
      <c r="D5485" s="2" t="s">
        <v>220</v>
      </c>
      <c r="E5485" s="4">
        <v>-32522</v>
      </c>
      <c r="F5485" s="3" t="s">
        <v>1168</v>
      </c>
      <c r="G5485" s="3" t="s">
        <v>90</v>
      </c>
      <c r="H5485" s="2" t="s">
        <v>74</v>
      </c>
      <c r="I5485" s="2" t="s">
        <v>14054</v>
      </c>
      <c r="J5485" s="3" t="str">
        <f>HYPERLINK("https://www.boe.es/gazeta/dias/1810/12/15/pdfs/GMD-1810-349.pdf#page=3","Abrir facsímil")</f>
        <v>Abrir facsímil</v>
      </c>
      <c r="K5485" s="3" t="s">
        <v>76</v>
      </c>
    </row>
    <row r="5486" spans="1:11" ht="42" customHeight="1">
      <c r="A5486" s="2" t="s">
        <v>14055</v>
      </c>
      <c r="B5486" s="2" t="s">
        <v>14056</v>
      </c>
      <c r="C5486" s="2" t="s">
        <v>88</v>
      </c>
      <c r="D5486" s="2" t="s">
        <v>27</v>
      </c>
      <c r="E5486" s="4">
        <v>-32624</v>
      </c>
      <c r="F5486" s="3" t="s">
        <v>2176</v>
      </c>
      <c r="G5486" s="3" t="s">
        <v>14057</v>
      </c>
      <c r="H5486" s="2" t="s">
        <v>74</v>
      </c>
      <c r="I5486" s="2" t="s">
        <v>14058</v>
      </c>
      <c r="J5486" s="3" t="str">
        <f>HYPERLINK("https://www.boe.es/gazeta/dias/1810/09/04/pdfs/GEI-1810-64.pdf#page=3","Abrir facsímil")</f>
        <v>Abrir facsímil</v>
      </c>
      <c r="K5486" s="3" t="s">
        <v>76</v>
      </c>
    </row>
    <row r="5487" spans="1:11" ht="42" customHeight="1">
      <c r="A5487" s="2" t="s">
        <v>14059</v>
      </c>
      <c r="B5487" s="2" t="s">
        <v>14059</v>
      </c>
      <c r="C5487" s="2" t="s">
        <v>26</v>
      </c>
      <c r="D5487" s="2" t="s">
        <v>27</v>
      </c>
      <c r="E5487" s="4">
        <v>-32833</v>
      </c>
      <c r="F5487" s="3" t="s">
        <v>1836</v>
      </c>
      <c r="G5487" s="3" t="s">
        <v>29</v>
      </c>
      <c r="H5487" s="2" t="s">
        <v>74</v>
      </c>
      <c r="I5487" s="2" t="s">
        <v>14060</v>
      </c>
      <c r="J5487" s="3" t="str">
        <f>HYPERLINK("https://www.boe.es/gazeta/dias/1810/02/07/pdfs/GMD-1810-38.pdf#page=4","Abrir facsímil")</f>
        <v>Abrir facsímil</v>
      </c>
      <c r="K5487" s="3" t="s">
        <v>76</v>
      </c>
    </row>
    <row r="5488" spans="1:11" ht="42" customHeight="1">
      <c r="A5488" s="2" t="s">
        <v>14061</v>
      </c>
      <c r="B5488" s="2" t="s">
        <v>14062</v>
      </c>
      <c r="C5488" s="2" t="s">
        <v>26</v>
      </c>
      <c r="D5488" s="2" t="s">
        <v>27</v>
      </c>
      <c r="E5488" s="4">
        <v>-32771</v>
      </c>
      <c r="F5488" s="3" t="s">
        <v>543</v>
      </c>
      <c r="G5488" s="3" t="s">
        <v>65</v>
      </c>
      <c r="H5488" s="2" t="s">
        <v>74</v>
      </c>
      <c r="I5488" s="2" t="s">
        <v>14063</v>
      </c>
      <c r="J5488" s="3" t="str">
        <f>HYPERLINK("https://www.boe.es/gazeta/dias/1810/04/10/pdfs/GEI-1810-13.pdf#page=7","Abrir facsímil")</f>
        <v>Abrir facsímil</v>
      </c>
      <c r="K5488" s="3" t="s">
        <v>76</v>
      </c>
    </row>
    <row r="5489" spans="1:11" ht="42" customHeight="1">
      <c r="A5489" s="2" t="s">
        <v>14064</v>
      </c>
      <c r="B5489" s="2" t="s">
        <v>14065</v>
      </c>
      <c r="C5489" s="2" t="s">
        <v>26</v>
      </c>
      <c r="D5489" s="2" t="s">
        <v>27</v>
      </c>
      <c r="E5489" s="4">
        <v>-32654</v>
      </c>
      <c r="F5489" s="3" t="s">
        <v>1226</v>
      </c>
      <c r="G5489" s="3" t="s">
        <v>732</v>
      </c>
      <c r="H5489" s="2" t="s">
        <v>74</v>
      </c>
      <c r="I5489" s="2" t="s">
        <v>14066</v>
      </c>
      <c r="J5489" s="3" t="str">
        <f>HYPERLINK("https://www.boe.es/gazeta/dias/1810/08/05/pdfs/GMD-1810-217.pdf#page=3","Abrir facsímil")</f>
        <v>Abrir facsímil</v>
      </c>
      <c r="K5489" s="3" t="s">
        <v>76</v>
      </c>
    </row>
    <row r="5490" spans="1:11" ht="42" customHeight="1">
      <c r="A5490" s="2" t="s">
        <v>14067</v>
      </c>
      <c r="B5490" s="2" t="s">
        <v>14068</v>
      </c>
      <c r="C5490" s="2" t="s">
        <v>317</v>
      </c>
      <c r="D5490" s="2" t="s">
        <v>27</v>
      </c>
      <c r="E5490" s="4">
        <v>-32732</v>
      </c>
      <c r="F5490" s="3" t="s">
        <v>545</v>
      </c>
      <c r="G5490" s="3" t="s">
        <v>140</v>
      </c>
      <c r="H5490" s="2" t="s">
        <v>74</v>
      </c>
      <c r="I5490" s="2" t="s">
        <v>14069</v>
      </c>
      <c r="J5490" s="3" t="str">
        <f>HYPERLINK("https://www.boe.es/gazeta/dias/1810/05/19/pdfs/GMD-1810-139.pdf#page=3","Abrir facsímil")</f>
        <v>Abrir facsímil</v>
      </c>
      <c r="K5490" s="3" t="s">
        <v>76</v>
      </c>
    </row>
    <row r="5491" spans="1:11" ht="42" customHeight="1">
      <c r="A5491" s="2" t="s">
        <v>14070</v>
      </c>
      <c r="B5491" s="2" t="s">
        <v>14071</v>
      </c>
      <c r="C5491" s="2" t="s">
        <v>33</v>
      </c>
      <c r="D5491" s="2" t="s">
        <v>220</v>
      </c>
      <c r="E5491" s="4">
        <v>-32522</v>
      </c>
      <c r="F5491" s="3" t="s">
        <v>1168</v>
      </c>
      <c r="G5491" s="3" t="s">
        <v>90</v>
      </c>
      <c r="H5491" s="2" t="s">
        <v>74</v>
      </c>
      <c r="I5491" s="2" t="s">
        <v>14072</v>
      </c>
      <c r="J5491" s="3" t="str">
        <f>HYPERLINK("https://www.boe.es/gazeta/dias/1810/12/15/pdfs/GMD-1810-349.pdf#page=3","Abrir facsímil")</f>
        <v>Abrir facsímil</v>
      </c>
      <c r="K5491" s="3" t="s">
        <v>76</v>
      </c>
    </row>
    <row r="5492" spans="1:11" ht="42" customHeight="1">
      <c r="A5492" s="2" t="s">
        <v>14073</v>
      </c>
      <c r="B5492" s="2" t="s">
        <v>14074</v>
      </c>
      <c r="C5492" s="2" t="s">
        <v>26</v>
      </c>
      <c r="D5492" s="2" t="s">
        <v>27</v>
      </c>
      <c r="E5492" s="4">
        <v>-32545</v>
      </c>
      <c r="F5492" s="3" t="s">
        <v>165</v>
      </c>
      <c r="G5492" s="3" t="s">
        <v>166</v>
      </c>
      <c r="H5492" s="2" t="s">
        <v>74</v>
      </c>
      <c r="I5492" s="2" t="s">
        <v>14075</v>
      </c>
      <c r="J5492" s="3" t="str">
        <f>HYPERLINK("https://www.boe.es/gazeta/dias/1810/11/22/pdfs/GEI-1810-98.pdf#page=8","Abrir facsímil")</f>
        <v>Abrir facsímil</v>
      </c>
      <c r="K5492" s="3" t="s">
        <v>76</v>
      </c>
    </row>
    <row r="5493" spans="1:11" ht="42" customHeight="1">
      <c r="A5493" s="2" t="s">
        <v>14076</v>
      </c>
      <c r="B5493" s="2" t="s">
        <v>14077</v>
      </c>
      <c r="C5493" s="2" t="s">
        <v>26</v>
      </c>
      <c r="D5493" s="2" t="s">
        <v>27</v>
      </c>
      <c r="E5493" s="4">
        <v>-32761</v>
      </c>
      <c r="F5493" s="3" t="s">
        <v>811</v>
      </c>
      <c r="G5493" s="3" t="s">
        <v>140</v>
      </c>
      <c r="H5493" s="2" t="s">
        <v>74</v>
      </c>
      <c r="I5493" s="2" t="s">
        <v>14078</v>
      </c>
      <c r="J5493" s="3" t="str">
        <f>HYPERLINK("https://www.boe.es/gazeta/dias/1810/04/20/pdfs/GEI-1810-16.pdf#page=8","Abrir facsímil")</f>
        <v>Abrir facsímil</v>
      </c>
      <c r="K5493" s="3" t="s">
        <v>76</v>
      </c>
    </row>
    <row r="5494" spans="1:11" ht="42" customHeight="1">
      <c r="A5494" s="2" t="s">
        <v>14079</v>
      </c>
      <c r="B5494" s="2" t="s">
        <v>14080</v>
      </c>
      <c r="C5494" s="2" t="s">
        <v>17</v>
      </c>
      <c r="D5494" s="2" t="s">
        <v>18</v>
      </c>
      <c r="E5494" s="4">
        <v>-32562</v>
      </c>
      <c r="F5494" s="3" t="s">
        <v>1186</v>
      </c>
      <c r="G5494" s="3" t="s">
        <v>29</v>
      </c>
      <c r="H5494" s="2" t="s">
        <v>74</v>
      </c>
      <c r="I5494" s="2" t="s">
        <v>14081</v>
      </c>
      <c r="J5494" s="3" t="str">
        <f>HYPERLINK("https://www.boe.es/gazeta/dias/1810/11/05/pdfs/GMD-1810-309.pdf#page=2","Abrir facsímil")</f>
        <v>Abrir facsímil</v>
      </c>
      <c r="K5494" s="3" t="s">
        <v>76</v>
      </c>
    </row>
    <row r="5495" spans="1:11" ht="42" customHeight="1">
      <c r="A5495" s="2" t="s">
        <v>14082</v>
      </c>
      <c r="B5495" s="2" t="s">
        <v>14083</v>
      </c>
      <c r="C5495" s="2" t="s">
        <v>88</v>
      </c>
      <c r="D5495" s="2" t="s">
        <v>27</v>
      </c>
      <c r="E5495" s="4">
        <v>-32762</v>
      </c>
      <c r="F5495" s="3" t="s">
        <v>231</v>
      </c>
      <c r="G5495" s="3" t="s">
        <v>29</v>
      </c>
      <c r="H5495" s="2" t="s">
        <v>74</v>
      </c>
      <c r="I5495" s="2" t="s">
        <v>14084</v>
      </c>
      <c r="J5495" s="3" t="str">
        <f>HYPERLINK("https://www.boe.es/gazeta/dias/1810/04/19/pdfs/GMD-1810-109.pdf#page=2","Abrir facsímil")</f>
        <v>Abrir facsímil</v>
      </c>
      <c r="K5495" s="3" t="s">
        <v>76</v>
      </c>
    </row>
    <row r="5496" spans="1:11" ht="42" customHeight="1">
      <c r="A5496" s="2" t="s">
        <v>14085</v>
      </c>
      <c r="B5496" s="2" t="s">
        <v>14085</v>
      </c>
      <c r="C5496" s="2" t="s">
        <v>88</v>
      </c>
      <c r="D5496" s="2" t="s">
        <v>27</v>
      </c>
      <c r="E5496" s="4">
        <v>-32675</v>
      </c>
      <c r="F5496" s="3" t="s">
        <v>729</v>
      </c>
      <c r="G5496" s="3" t="s">
        <v>227</v>
      </c>
      <c r="H5496" s="2" t="s">
        <v>74</v>
      </c>
      <c r="I5496" s="2" t="s">
        <v>14086</v>
      </c>
      <c r="J5496" s="3" t="str">
        <f>HYPERLINK("https://www.boe.es/gazeta/dias/1810/07/15/pdfs/GMD-1810-196.pdf#page=3","Abrir facsímil")</f>
        <v>Abrir facsímil</v>
      </c>
      <c r="K5496" s="3" t="s">
        <v>76</v>
      </c>
    </row>
    <row r="5497" spans="1:11" ht="42" customHeight="1">
      <c r="A5497" s="2" t="s">
        <v>14085</v>
      </c>
      <c r="B5497" s="2" t="s">
        <v>14085</v>
      </c>
      <c r="C5497" s="2" t="s">
        <v>88</v>
      </c>
      <c r="D5497" s="2" t="s">
        <v>27</v>
      </c>
      <c r="E5497" s="4">
        <v>-32675</v>
      </c>
      <c r="F5497" s="3" t="s">
        <v>729</v>
      </c>
      <c r="G5497" s="3" t="s">
        <v>7071</v>
      </c>
      <c r="H5497" s="2" t="s">
        <v>74</v>
      </c>
      <c r="I5497" s="2" t="s">
        <v>14087</v>
      </c>
      <c r="J5497" s="3" t="str">
        <f>HYPERLINK("https://www.boe.es/gazeta/dias/1810/07/15/pdfs/GMD-1810-196.pdf#page=4","Abrir facsímil")</f>
        <v>Abrir facsímil</v>
      </c>
      <c r="K5497" s="3" t="s">
        <v>76</v>
      </c>
    </row>
    <row r="5498" spans="1:11" ht="42" customHeight="1">
      <c r="A5498" s="2" t="s">
        <v>14088</v>
      </c>
      <c r="B5498" s="2" t="s">
        <v>14088</v>
      </c>
      <c r="C5498" s="2" t="s">
        <v>88</v>
      </c>
      <c r="D5498" s="2" t="s">
        <v>27</v>
      </c>
      <c r="E5498" s="4">
        <v>-32606</v>
      </c>
      <c r="F5498" s="3" t="s">
        <v>1676</v>
      </c>
      <c r="G5498" s="3" t="s">
        <v>227</v>
      </c>
      <c r="H5498" s="2" t="s">
        <v>74</v>
      </c>
      <c r="I5498" s="2" t="s">
        <v>14089</v>
      </c>
      <c r="J5498" s="3" t="str">
        <f>HYPERLINK("https://www.boe.es/gazeta/dias/1810/09/22/pdfs/GMD-1810-265.pdf#page=3","Abrir facsímil")</f>
        <v>Abrir facsímil</v>
      </c>
      <c r="K5498" s="3" t="s">
        <v>76</v>
      </c>
    </row>
    <row r="5499" spans="1:11" ht="42" customHeight="1">
      <c r="A5499" s="2" t="s">
        <v>14090</v>
      </c>
      <c r="B5499" s="2" t="s">
        <v>14091</v>
      </c>
      <c r="C5499" s="2" t="s">
        <v>26</v>
      </c>
      <c r="D5499" s="2" t="s">
        <v>27</v>
      </c>
      <c r="E5499" s="4">
        <v>-32543</v>
      </c>
      <c r="F5499" s="3" t="s">
        <v>69</v>
      </c>
      <c r="G5499" s="3" t="s">
        <v>65</v>
      </c>
      <c r="H5499" s="2" t="s">
        <v>74</v>
      </c>
      <c r="I5499" s="2" t="s">
        <v>14092</v>
      </c>
      <c r="J5499" s="3" t="str">
        <f>HYPERLINK("https://www.boe.es/gazeta/dias/1810/11/24/pdfs/GEI-1810-99.pdf#page=3","Abrir facsímil")</f>
        <v>Abrir facsímil</v>
      </c>
      <c r="K5499" s="3" t="s">
        <v>76</v>
      </c>
    </row>
    <row r="5500" spans="1:11" ht="42" customHeight="1">
      <c r="A5500" s="2" t="s">
        <v>14093</v>
      </c>
      <c r="B5500" s="2" t="s">
        <v>14094</v>
      </c>
      <c r="C5500" s="2" t="s">
        <v>33</v>
      </c>
      <c r="D5500" s="2" t="s">
        <v>27</v>
      </c>
      <c r="E5500" s="4">
        <v>-32587</v>
      </c>
      <c r="F5500" s="3" t="s">
        <v>103</v>
      </c>
      <c r="G5500" s="3" t="s">
        <v>140</v>
      </c>
      <c r="H5500" s="2" t="s">
        <v>74</v>
      </c>
      <c r="I5500" s="2" t="s">
        <v>14095</v>
      </c>
      <c r="J5500" s="3" t="str">
        <f>HYPERLINK("https://www.boe.es/gazeta/dias/1810/10/11/pdfs/GEI-1810-80.pdf#page=6","Abrir facsímil")</f>
        <v>Abrir facsímil</v>
      </c>
      <c r="K5500" s="3" t="s">
        <v>76</v>
      </c>
    </row>
    <row r="5501" spans="1:11" ht="42" customHeight="1">
      <c r="A5501" s="2" t="s">
        <v>14096</v>
      </c>
      <c r="B5501" s="2" t="s">
        <v>14097</v>
      </c>
      <c r="C5501" s="2" t="s">
        <v>88</v>
      </c>
      <c r="D5501" s="2" t="s">
        <v>27</v>
      </c>
      <c r="E5501" s="4">
        <v>-32820</v>
      </c>
      <c r="F5501" s="3" t="s">
        <v>226</v>
      </c>
      <c r="G5501" s="3" t="s">
        <v>356</v>
      </c>
      <c r="H5501" s="2" t="s">
        <v>74</v>
      </c>
      <c r="I5501" s="2" t="s">
        <v>14098</v>
      </c>
      <c r="J5501" s="3" t="str">
        <f>HYPERLINK("https://www.boe.es/gazeta/dias/1810/02/20/pdfs/GMD-1810-51.pdf#page=3","Abrir facsímil")</f>
        <v>Abrir facsímil</v>
      </c>
      <c r="K5501" s="3" t="s">
        <v>76</v>
      </c>
    </row>
    <row r="5502" spans="1:11" ht="42" customHeight="1">
      <c r="A5502" s="2" t="s">
        <v>14099</v>
      </c>
      <c r="B5502" s="2" t="s">
        <v>14099</v>
      </c>
      <c r="C5502" s="2" t="s">
        <v>88</v>
      </c>
      <c r="D5502" s="2" t="s">
        <v>117</v>
      </c>
      <c r="E5502" s="4">
        <v>-32813</v>
      </c>
      <c r="F5502" s="3" t="s">
        <v>1067</v>
      </c>
      <c r="G5502" s="3" t="s">
        <v>13655</v>
      </c>
      <c r="H5502" s="2" t="s">
        <v>74</v>
      </c>
      <c r="I5502" s="2" t="s">
        <v>14100</v>
      </c>
      <c r="J5502" s="3" t="str">
        <f>HYPERLINK("https://www.boe.es/gazeta/dias/1810/02/27/pdfs/GMD-1810-58.pdf#page=2","Abrir facsímil")</f>
        <v>Abrir facsímil</v>
      </c>
      <c r="K5502" s="3" t="s">
        <v>76</v>
      </c>
    </row>
    <row r="5503" spans="1:11" ht="42" customHeight="1">
      <c r="A5503" s="2" t="s">
        <v>14099</v>
      </c>
      <c r="B5503" s="2" t="s">
        <v>14099</v>
      </c>
      <c r="C5503" s="2" t="s">
        <v>88</v>
      </c>
      <c r="D5503" s="2" t="s">
        <v>117</v>
      </c>
      <c r="E5503" s="4">
        <v>-32672</v>
      </c>
      <c r="F5503" s="3" t="s">
        <v>1663</v>
      </c>
      <c r="G5503" s="3" t="s">
        <v>119</v>
      </c>
      <c r="H5503" s="2" t="s">
        <v>74</v>
      </c>
      <c r="I5503" s="2" t="s">
        <v>14101</v>
      </c>
      <c r="J5503" s="3" t="str">
        <f>HYPERLINK("https://www.boe.es/gazeta/dias/1810/07/18/pdfs/GMD-1810-199.pdf#page=3","Abrir facsímil")</f>
        <v>Abrir facsímil</v>
      </c>
      <c r="K5503" s="3" t="s">
        <v>76</v>
      </c>
    </row>
    <row r="5504" spans="1:11" ht="42" customHeight="1">
      <c r="A5504" s="2" t="s">
        <v>14102</v>
      </c>
      <c r="B5504" s="2" t="s">
        <v>14103</v>
      </c>
      <c r="C5504" s="2" t="s">
        <v>26</v>
      </c>
      <c r="D5504" s="2" t="s">
        <v>39</v>
      </c>
      <c r="E5504" s="4">
        <v>-32702</v>
      </c>
      <c r="F5504" s="3" t="s">
        <v>179</v>
      </c>
      <c r="G5504" s="3" t="s">
        <v>213</v>
      </c>
      <c r="H5504" s="2" t="s">
        <v>74</v>
      </c>
      <c r="I5504" s="2" t="s">
        <v>14104</v>
      </c>
      <c r="J5504" s="3" t="str">
        <f>HYPERLINK("https://www.boe.es/gazeta/dias/1810/06/18/pdfs/GMD-C-1810-169.pdf#page=4","Abrir facsímil")</f>
        <v>Abrir facsímil</v>
      </c>
      <c r="K5504" s="3" t="s">
        <v>76</v>
      </c>
    </row>
    <row r="5505" spans="1:11" ht="42" customHeight="1">
      <c r="A5505" s="2" t="s">
        <v>14105</v>
      </c>
      <c r="B5505" s="2" t="s">
        <v>14106</v>
      </c>
      <c r="C5505" s="2" t="s">
        <v>26</v>
      </c>
      <c r="D5505" s="2" t="s">
        <v>39</v>
      </c>
      <c r="E5505" s="4">
        <v>-32702</v>
      </c>
      <c r="F5505" s="3" t="s">
        <v>179</v>
      </c>
      <c r="G5505" s="3" t="s">
        <v>119</v>
      </c>
      <c r="H5505" s="2" t="s">
        <v>74</v>
      </c>
      <c r="I5505" s="2" t="s">
        <v>14107</v>
      </c>
      <c r="J5505" s="3" t="str">
        <f>HYPERLINK("https://www.boe.es/gazeta/dias/1810/06/18/pdfs/GMD-C-1810-169.pdf#page=1","Abrir facsímil")</f>
        <v>Abrir facsímil</v>
      </c>
      <c r="K5505" s="3" t="s">
        <v>76</v>
      </c>
    </row>
    <row r="5506" spans="1:11" ht="42" customHeight="1">
      <c r="A5506" s="2" t="s">
        <v>14108</v>
      </c>
      <c r="B5506" s="2" t="s">
        <v>14109</v>
      </c>
      <c r="C5506" s="2" t="s">
        <v>17</v>
      </c>
      <c r="D5506" s="2" t="s">
        <v>27</v>
      </c>
      <c r="E5506" s="4">
        <v>-32820</v>
      </c>
      <c r="F5506" s="3" t="s">
        <v>226</v>
      </c>
      <c r="G5506" s="3" t="s">
        <v>356</v>
      </c>
      <c r="H5506" s="2" t="s">
        <v>74</v>
      </c>
      <c r="I5506" s="2" t="s">
        <v>14110</v>
      </c>
      <c r="J5506" s="3" t="str">
        <f>HYPERLINK("https://www.boe.es/gazeta/dias/1810/02/20/pdfs/GMD-1810-51.pdf#page=3","Abrir facsímil")</f>
        <v>Abrir facsímil</v>
      </c>
      <c r="K5506" s="3" t="s">
        <v>76</v>
      </c>
    </row>
    <row r="5507" spans="1:11" ht="42" customHeight="1">
      <c r="A5507" s="2" t="s">
        <v>14108</v>
      </c>
      <c r="B5507" s="2" t="s">
        <v>14109</v>
      </c>
      <c r="C5507" s="2" t="s">
        <v>225</v>
      </c>
      <c r="D5507" s="2" t="s">
        <v>117</v>
      </c>
      <c r="E5507" s="4">
        <v>-32708</v>
      </c>
      <c r="F5507" s="3" t="s">
        <v>654</v>
      </c>
      <c r="G5507" s="3" t="s">
        <v>90</v>
      </c>
      <c r="H5507" s="2" t="s">
        <v>74</v>
      </c>
      <c r="I5507" s="2" t="s">
        <v>14111</v>
      </c>
      <c r="J5507" s="3" t="str">
        <f>HYPERLINK("https://www.boe.es/gazeta/dias/1810/06/12/pdfs/GEI-1810-35.pdf#page=8","Abrir facsímil")</f>
        <v>Abrir facsímil</v>
      </c>
      <c r="K5507" s="3" t="s">
        <v>76</v>
      </c>
    </row>
    <row r="5508" spans="1:11" ht="42" customHeight="1">
      <c r="A5508" s="2" t="s">
        <v>14108</v>
      </c>
      <c r="B5508" s="2" t="s">
        <v>14109</v>
      </c>
      <c r="C5508" s="2" t="s">
        <v>26</v>
      </c>
      <c r="D5508" s="2" t="s">
        <v>27</v>
      </c>
      <c r="E5508" s="4">
        <v>-32701</v>
      </c>
      <c r="F5508" s="3" t="s">
        <v>671</v>
      </c>
      <c r="G5508" s="3" t="s">
        <v>151</v>
      </c>
      <c r="H5508" s="2" t="s">
        <v>74</v>
      </c>
      <c r="I5508" s="2" t="s">
        <v>14112</v>
      </c>
      <c r="J5508" s="3" t="str">
        <f>HYPERLINK("https://www.boe.es/gazeta/dias/1810/06/19/pdfs/GEI-1810-37.pdf#page=5","Abrir facsímil")</f>
        <v>Abrir facsímil</v>
      </c>
      <c r="K5508" s="3" t="s">
        <v>76</v>
      </c>
    </row>
    <row r="5509" spans="1:11" ht="42" customHeight="1">
      <c r="A5509" s="2" t="s">
        <v>14113</v>
      </c>
      <c r="B5509" s="2" t="s">
        <v>14114</v>
      </c>
      <c r="C5509" s="2" t="s">
        <v>88</v>
      </c>
      <c r="D5509" s="2" t="s">
        <v>27</v>
      </c>
      <c r="E5509" s="4">
        <v>-32575</v>
      </c>
      <c r="F5509" s="3" t="s">
        <v>135</v>
      </c>
      <c r="G5509" s="3" t="s">
        <v>2008</v>
      </c>
      <c r="H5509" s="2" t="s">
        <v>74</v>
      </c>
      <c r="I5509" s="2" t="s">
        <v>14115</v>
      </c>
      <c r="J5509" s="3" t="str">
        <f>HYPERLINK("https://www.boe.es/gazeta/dias/1810/10/23/pdfs/GEI-1810-85.pdf#page=8","Abrir facsímil")</f>
        <v>Abrir facsímil</v>
      </c>
      <c r="K5509" s="3" t="s">
        <v>76</v>
      </c>
    </row>
    <row r="5510" spans="1:11" ht="42" customHeight="1">
      <c r="A5510" s="2" t="s">
        <v>14116</v>
      </c>
      <c r="B5510" s="2" t="s">
        <v>14117</v>
      </c>
      <c r="C5510" s="2" t="s">
        <v>88</v>
      </c>
      <c r="D5510" s="2" t="s">
        <v>39</v>
      </c>
      <c r="E5510" s="4">
        <v>-32715</v>
      </c>
      <c r="F5510" s="3" t="s">
        <v>6792</v>
      </c>
      <c r="G5510" s="3" t="s">
        <v>140</v>
      </c>
      <c r="H5510" s="2" t="s">
        <v>74</v>
      </c>
      <c r="I5510" s="2" t="s">
        <v>14118</v>
      </c>
      <c r="J5510" s="3" t="str">
        <f>HYPERLINK("https://www.boe.es/gazeta/dias/1810/06/05/pdfs/GEI-D-1810-33.pdf#page=4","Abrir facsímil")</f>
        <v>Abrir facsímil</v>
      </c>
      <c r="K5510" s="3" t="s">
        <v>76</v>
      </c>
    </row>
    <row r="5511" spans="1:11" ht="42" customHeight="1">
      <c r="A5511" s="2" t="s">
        <v>14116</v>
      </c>
      <c r="B5511" s="2" t="s">
        <v>14117</v>
      </c>
      <c r="C5511" s="2" t="s">
        <v>88</v>
      </c>
      <c r="D5511" s="2" t="s">
        <v>27</v>
      </c>
      <c r="E5511" s="4">
        <v>-32645</v>
      </c>
      <c r="F5511" s="3" t="s">
        <v>122</v>
      </c>
      <c r="G5511" s="3" t="s">
        <v>588</v>
      </c>
      <c r="H5511" s="2" t="s">
        <v>74</v>
      </c>
      <c r="I5511" s="2" t="s">
        <v>14119</v>
      </c>
      <c r="J5511" s="3" t="str">
        <f>HYPERLINK("https://www.boe.es/gazeta/dias/1810/08/14/pdfs/GEI-1810-56.pdf#page=15","Abrir facsímil")</f>
        <v>Abrir facsímil</v>
      </c>
      <c r="K5511" s="3" t="s">
        <v>76</v>
      </c>
    </row>
    <row r="5512" spans="1:11" ht="42" customHeight="1">
      <c r="A5512" s="2" t="s">
        <v>14120</v>
      </c>
      <c r="B5512" s="2" t="s">
        <v>14121</v>
      </c>
      <c r="C5512" s="2" t="s">
        <v>225</v>
      </c>
      <c r="D5512" s="2" t="s">
        <v>27</v>
      </c>
      <c r="E5512" s="4">
        <v>-32782</v>
      </c>
      <c r="F5512" s="3" t="s">
        <v>79</v>
      </c>
      <c r="G5512" s="3" t="s">
        <v>80</v>
      </c>
      <c r="H5512" s="2" t="s">
        <v>74</v>
      </c>
      <c r="I5512" s="2" t="s">
        <v>14122</v>
      </c>
      <c r="J5512" s="3" t="str">
        <f>HYPERLINK("https://www.boe.es/gazeta/dias/1810/03/30/pdfs/GEI-1810-9.pdf#page=7","Abrir facsímil")</f>
        <v>Abrir facsímil</v>
      </c>
      <c r="K5512" s="3" t="s">
        <v>76</v>
      </c>
    </row>
    <row r="5513" spans="1:11" ht="42" customHeight="1">
      <c r="A5513" s="2" t="s">
        <v>14123</v>
      </c>
      <c r="B5513" s="2" t="s">
        <v>14124</v>
      </c>
      <c r="C5513" s="2" t="s">
        <v>88</v>
      </c>
      <c r="D5513" s="2" t="s">
        <v>18</v>
      </c>
      <c r="E5513" s="4">
        <v>-32710</v>
      </c>
      <c r="F5513" s="3" t="s">
        <v>126</v>
      </c>
      <c r="G5513" s="3" t="s">
        <v>180</v>
      </c>
      <c r="H5513" s="2" t="s">
        <v>74</v>
      </c>
      <c r="I5513" s="2" t="s">
        <v>14125</v>
      </c>
      <c r="J5513" s="3" t="str">
        <f>HYPERLINK("https://www.boe.es/gazeta/dias/1810/06/10/pdfs/GMD-1810-161.pdf#page=1","Abrir facsímil")</f>
        <v>Abrir facsímil</v>
      </c>
      <c r="K5513" s="3" t="s">
        <v>76</v>
      </c>
    </row>
    <row r="5514" spans="1:11" ht="42" customHeight="1">
      <c r="A5514" s="2" t="s">
        <v>14126</v>
      </c>
      <c r="B5514" s="2" t="s">
        <v>14127</v>
      </c>
      <c r="C5514" s="2" t="s">
        <v>88</v>
      </c>
      <c r="D5514" s="2" t="s">
        <v>27</v>
      </c>
      <c r="E5514" s="4">
        <v>-32799</v>
      </c>
      <c r="F5514" s="3" t="s">
        <v>2252</v>
      </c>
      <c r="G5514" s="3" t="s">
        <v>2253</v>
      </c>
      <c r="H5514" s="2" t="s">
        <v>74</v>
      </c>
      <c r="I5514" s="2" t="s">
        <v>14128</v>
      </c>
      <c r="J5514" s="3" t="str">
        <f>HYPERLINK("https://www.boe.es/gazeta/dias/1810/03/13/pdfs/GMD-1810-72.pdf#page=4","Abrir facsímil")</f>
        <v>Abrir facsímil</v>
      </c>
      <c r="K5514" s="3" t="s">
        <v>76</v>
      </c>
    </row>
    <row r="5515" spans="1:11" ht="42" customHeight="1">
      <c r="A5515" s="2" t="s">
        <v>14129</v>
      </c>
      <c r="B5515" s="2" t="s">
        <v>14130</v>
      </c>
      <c r="C5515" s="2" t="s">
        <v>26</v>
      </c>
      <c r="D5515" s="2" t="s">
        <v>27</v>
      </c>
      <c r="E5515" s="4">
        <v>-32526</v>
      </c>
      <c r="F5515" s="3" t="s">
        <v>530</v>
      </c>
      <c r="G5515" s="3" t="s">
        <v>531</v>
      </c>
      <c r="H5515" s="2" t="s">
        <v>74</v>
      </c>
      <c r="I5515" s="2" t="s">
        <v>14131</v>
      </c>
      <c r="J5515" s="3" t="str">
        <f>HYPERLINK("https://www.boe.es/gazeta/dias/1810/12/11/pdfs/GEI-1810-106.pdf#page=2","Abrir facsímil")</f>
        <v>Abrir facsímil</v>
      </c>
      <c r="K5515" s="3" t="s">
        <v>76</v>
      </c>
    </row>
    <row r="5516" spans="1:11" ht="42" customHeight="1">
      <c r="A5516" s="2" t="s">
        <v>14132</v>
      </c>
      <c r="B5516" s="2" t="s">
        <v>14132</v>
      </c>
      <c r="C5516" s="2" t="s">
        <v>26</v>
      </c>
      <c r="D5516" s="2" t="s">
        <v>220</v>
      </c>
      <c r="E5516" s="4">
        <v>-32839</v>
      </c>
      <c r="F5516" s="3" t="s">
        <v>28</v>
      </c>
      <c r="G5516" s="3" t="s">
        <v>2307</v>
      </c>
      <c r="H5516" s="2" t="s">
        <v>74</v>
      </c>
      <c r="I5516" s="2" t="s">
        <v>14133</v>
      </c>
      <c r="J5516" s="3" t="str">
        <f>HYPERLINK("https://www.boe.es/gazeta/dias/1810/02/01/pdfs/GMD-1810-32.pdf#page=1","Abrir facsímil")</f>
        <v>Abrir facsímil</v>
      </c>
      <c r="K5516" s="3" t="s">
        <v>76</v>
      </c>
    </row>
    <row r="5517" spans="1:11" ht="42" customHeight="1">
      <c r="A5517" s="2" t="s">
        <v>14134</v>
      </c>
      <c r="B5517" s="2" t="s">
        <v>14134</v>
      </c>
      <c r="C5517" s="2" t="s">
        <v>88</v>
      </c>
      <c r="D5517" s="2" t="s">
        <v>27</v>
      </c>
      <c r="E5517" s="4">
        <v>-32769</v>
      </c>
      <c r="F5517" s="3" t="s">
        <v>1543</v>
      </c>
      <c r="G5517" s="3" t="s">
        <v>2861</v>
      </c>
      <c r="H5517" s="2" t="s">
        <v>74</v>
      </c>
      <c r="I5517" s="2" t="s">
        <v>14135</v>
      </c>
      <c r="J5517" s="3" t="str">
        <f>HYPERLINK("https://www.boe.es/gazeta/dias/1810/04/12/pdfs/GMD-1810-102.pdf#page=3","Abrir facsímil")</f>
        <v>Abrir facsímil</v>
      </c>
      <c r="K5517" s="3" t="s">
        <v>76</v>
      </c>
    </row>
    <row r="5518" spans="1:11" ht="42" customHeight="1">
      <c r="A5518" s="2" t="s">
        <v>14136</v>
      </c>
      <c r="B5518" s="2" t="s">
        <v>14137</v>
      </c>
      <c r="C5518" s="2" t="s">
        <v>88</v>
      </c>
      <c r="D5518" s="2" t="s">
        <v>117</v>
      </c>
      <c r="E5518" s="4">
        <v>-32631</v>
      </c>
      <c r="F5518" s="3" t="s">
        <v>497</v>
      </c>
      <c r="G5518" s="3" t="s">
        <v>498</v>
      </c>
      <c r="H5518" s="2" t="s">
        <v>74</v>
      </c>
      <c r="I5518" s="2" t="s">
        <v>14138</v>
      </c>
      <c r="J5518" s="3" t="str">
        <f>HYPERLINK("https://www.boe.es/gazeta/dias/1810/08/28/pdfs/GMD-1810-240.pdf#page=2","Abrir facsímil")</f>
        <v>Abrir facsímil</v>
      </c>
      <c r="K5518" s="3" t="s">
        <v>76</v>
      </c>
    </row>
    <row r="5519" spans="1:11" ht="42" customHeight="1">
      <c r="A5519" s="2" t="s">
        <v>14139</v>
      </c>
      <c r="B5519" s="2" t="s">
        <v>14139</v>
      </c>
      <c r="C5519" s="2" t="s">
        <v>88</v>
      </c>
      <c r="D5519" s="2" t="s">
        <v>27</v>
      </c>
      <c r="E5519" s="4">
        <v>-32621</v>
      </c>
      <c r="F5519" s="3" t="s">
        <v>1897</v>
      </c>
      <c r="G5519" s="3" t="s">
        <v>90</v>
      </c>
      <c r="H5519" s="2" t="s">
        <v>74</v>
      </c>
      <c r="I5519" s="2" t="s">
        <v>14140</v>
      </c>
      <c r="J5519" s="3" t="str">
        <f>HYPERLINK("https://www.boe.es/gazeta/dias/1810/09/07/pdfs/GMD-1810-250.pdf#page=2","Abrir facsímil")</f>
        <v>Abrir facsímil</v>
      </c>
      <c r="K5519" s="3" t="s">
        <v>76</v>
      </c>
    </row>
    <row r="5520" spans="1:11" ht="42" customHeight="1">
      <c r="A5520" s="2" t="s">
        <v>14141</v>
      </c>
      <c r="B5520" s="2" t="s">
        <v>14142</v>
      </c>
      <c r="C5520" s="2" t="s">
        <v>225</v>
      </c>
      <c r="D5520" s="2" t="s">
        <v>27</v>
      </c>
      <c r="E5520" s="4">
        <v>-32782</v>
      </c>
      <c r="F5520" s="3" t="s">
        <v>1141</v>
      </c>
      <c r="G5520" s="3" t="s">
        <v>99</v>
      </c>
      <c r="H5520" s="2" t="s">
        <v>74</v>
      </c>
      <c r="I5520" s="2" t="s">
        <v>14143</v>
      </c>
      <c r="J5520" s="3" t="str">
        <f>HYPERLINK("https://www.boe.es/gazeta/dias/1810/03/30/pdfs/GMD-1810-89.pdf#page=3","Abrir facsímil")</f>
        <v>Abrir facsímil</v>
      </c>
      <c r="K5520" s="3" t="s">
        <v>76</v>
      </c>
    </row>
    <row r="5521" spans="1:11" ht="42" customHeight="1">
      <c r="A5521" s="2" t="s">
        <v>14144</v>
      </c>
      <c r="B5521" s="2" t="s">
        <v>14145</v>
      </c>
      <c r="C5521" s="2" t="s">
        <v>88</v>
      </c>
      <c r="D5521" s="2" t="s">
        <v>27</v>
      </c>
      <c r="E5521" s="4">
        <v>-32839</v>
      </c>
      <c r="F5521" s="3" t="s">
        <v>28</v>
      </c>
      <c r="G5521" s="3" t="s">
        <v>29</v>
      </c>
      <c r="H5521" s="2" t="s">
        <v>74</v>
      </c>
      <c r="I5521" s="2" t="s">
        <v>14146</v>
      </c>
      <c r="J5521" s="3" t="str">
        <f>HYPERLINK("https://www.boe.es/gazeta/dias/1810/02/01/pdfs/GMD-1810-32.pdf#page=2","Abrir facsímil")</f>
        <v>Abrir facsímil</v>
      </c>
      <c r="K5521" s="3" t="s">
        <v>76</v>
      </c>
    </row>
    <row r="5522" spans="1:11" ht="42" customHeight="1">
      <c r="A5522" s="2" t="s">
        <v>14147</v>
      </c>
      <c r="B5522" s="2" t="s">
        <v>14148</v>
      </c>
      <c r="C5522" s="2" t="s">
        <v>88</v>
      </c>
      <c r="D5522" s="2" t="s">
        <v>117</v>
      </c>
      <c r="E5522" s="4">
        <v>-32631</v>
      </c>
      <c r="F5522" s="3" t="s">
        <v>497</v>
      </c>
      <c r="G5522" s="3" t="s">
        <v>498</v>
      </c>
      <c r="H5522" s="2" t="s">
        <v>74</v>
      </c>
      <c r="I5522" s="2" t="s">
        <v>14149</v>
      </c>
      <c r="J5522" s="3" t="str">
        <f>HYPERLINK("https://www.boe.es/gazeta/dias/1810/08/28/pdfs/GMD-1810-240.pdf#page=2","Abrir facsímil")</f>
        <v>Abrir facsímil</v>
      </c>
      <c r="K5522" s="3" t="s">
        <v>76</v>
      </c>
    </row>
    <row r="5523" spans="1:11" ht="42" customHeight="1">
      <c r="A5523" s="2" t="s">
        <v>14150</v>
      </c>
      <c r="B5523" s="2" t="s">
        <v>14150</v>
      </c>
      <c r="C5523" s="2" t="s">
        <v>88</v>
      </c>
      <c r="D5523" s="2" t="s">
        <v>117</v>
      </c>
      <c r="E5523" s="4">
        <v>-32861</v>
      </c>
      <c r="F5523" s="3" t="s">
        <v>796</v>
      </c>
      <c r="G5523" s="3" t="s">
        <v>29</v>
      </c>
      <c r="H5523" s="2" t="s">
        <v>74</v>
      </c>
      <c r="I5523" s="2" t="s">
        <v>14151</v>
      </c>
      <c r="J5523" s="3" t="str">
        <f>HYPERLINK("https://www.boe.es/gazeta/dias/1810/01/10/pdfs/GMD-1810-10.pdf#page=2","Abrir facsímil")</f>
        <v>Abrir facsímil</v>
      </c>
      <c r="K5523" s="3" t="s">
        <v>76</v>
      </c>
    </row>
    <row r="5524" spans="1:11" ht="42" customHeight="1">
      <c r="A5524" s="2" t="s">
        <v>14150</v>
      </c>
      <c r="B5524" s="2" t="s">
        <v>14150</v>
      </c>
      <c r="C5524" s="2" t="s">
        <v>317</v>
      </c>
      <c r="D5524" s="2" t="s">
        <v>27</v>
      </c>
      <c r="E5524" s="4">
        <v>-32805</v>
      </c>
      <c r="F5524" s="3" t="s">
        <v>2068</v>
      </c>
      <c r="G5524" s="3" t="s">
        <v>29</v>
      </c>
      <c r="H5524" s="2" t="s">
        <v>74</v>
      </c>
      <c r="I5524" s="2" t="s">
        <v>14152</v>
      </c>
      <c r="J5524" s="3" t="str">
        <f>HYPERLINK("https://www.boe.es/gazeta/dias/1810/03/07/pdfs/GMD-1810-66.pdf#page=4","Abrir facsímil")</f>
        <v>Abrir facsímil</v>
      </c>
      <c r="K5524" s="3" t="s">
        <v>76</v>
      </c>
    </row>
    <row r="5525" spans="1:11" ht="42" customHeight="1">
      <c r="A5525" s="2" t="s">
        <v>14150</v>
      </c>
      <c r="B5525" s="2" t="s">
        <v>14150</v>
      </c>
      <c r="C5525" s="2" t="s">
        <v>26</v>
      </c>
      <c r="D5525" s="2" t="s">
        <v>39</v>
      </c>
      <c r="E5525" s="4">
        <v>-32702</v>
      </c>
      <c r="F5525" s="3" t="s">
        <v>179</v>
      </c>
      <c r="G5525" s="3" t="s">
        <v>517</v>
      </c>
      <c r="H5525" s="2" t="s">
        <v>74</v>
      </c>
      <c r="I5525" s="2" t="s">
        <v>14153</v>
      </c>
      <c r="J5525" s="3" t="str">
        <f>HYPERLINK("https://www.boe.es/gazeta/dias/1810/06/18/pdfs/GMD-C-1810-169.pdf#page=3","Abrir facsímil")</f>
        <v>Abrir facsímil</v>
      </c>
      <c r="K5525" s="3" t="s">
        <v>76</v>
      </c>
    </row>
    <row r="5526" spans="1:11" ht="42" customHeight="1">
      <c r="A5526" s="2" t="s">
        <v>14150</v>
      </c>
      <c r="B5526" s="2" t="s">
        <v>14150</v>
      </c>
      <c r="C5526" s="2" t="s">
        <v>88</v>
      </c>
      <c r="D5526" s="2" t="s">
        <v>27</v>
      </c>
      <c r="E5526" s="4">
        <v>-32701</v>
      </c>
      <c r="F5526" s="3" t="s">
        <v>671</v>
      </c>
      <c r="G5526" s="3" t="s">
        <v>151</v>
      </c>
      <c r="H5526" s="2" t="s">
        <v>74</v>
      </c>
      <c r="I5526" s="2" t="s">
        <v>14154</v>
      </c>
      <c r="J5526" s="3" t="str">
        <f>HYPERLINK("https://www.boe.es/gazeta/dias/1810/06/19/pdfs/GEI-1810-37.pdf#page=5","Abrir facsímil")</f>
        <v>Abrir facsímil</v>
      </c>
      <c r="K5526" s="3" t="s">
        <v>76</v>
      </c>
    </row>
    <row r="5527" spans="1:11" ht="42" customHeight="1">
      <c r="A5527" s="2" t="s">
        <v>14150</v>
      </c>
      <c r="B5527" s="2" t="s">
        <v>14150</v>
      </c>
      <c r="C5527" s="2" t="s">
        <v>26</v>
      </c>
      <c r="D5527" s="2" t="s">
        <v>39</v>
      </c>
      <c r="E5527" s="4">
        <v>-32698</v>
      </c>
      <c r="F5527" s="3" t="s">
        <v>2657</v>
      </c>
      <c r="G5527" s="3" t="s">
        <v>14155</v>
      </c>
      <c r="H5527" s="2" t="s">
        <v>74</v>
      </c>
      <c r="I5527" s="2" t="s">
        <v>14156</v>
      </c>
      <c r="J5527" s="3" t="str">
        <f>HYPERLINK("https://www.boe.es/gazeta/dias/1810/06/22/pdfs/GEI-D-1810-38.pdf#page=3","Abrir facsímil")</f>
        <v>Abrir facsímil</v>
      </c>
      <c r="K5527" s="3" t="s">
        <v>76</v>
      </c>
    </row>
    <row r="5528" spans="1:11" ht="42" customHeight="1">
      <c r="A5528" s="2" t="s">
        <v>14150</v>
      </c>
      <c r="B5528" s="2" t="s">
        <v>14150</v>
      </c>
      <c r="C5528" s="2" t="s">
        <v>26</v>
      </c>
      <c r="D5528" s="2" t="s">
        <v>27</v>
      </c>
      <c r="E5528" s="4">
        <v>-32575</v>
      </c>
      <c r="F5528" s="3" t="s">
        <v>135</v>
      </c>
      <c r="G5528" s="3" t="s">
        <v>136</v>
      </c>
      <c r="H5528" s="2" t="s">
        <v>74</v>
      </c>
      <c r="I5528" s="2" t="s">
        <v>14157</v>
      </c>
      <c r="J5528" s="3" t="str">
        <f>HYPERLINK("https://www.boe.es/gazeta/dias/1810/10/23/pdfs/GEI-1810-85.pdf#page=11","Abrir facsímil")</f>
        <v>Abrir facsímil</v>
      </c>
      <c r="K5528" s="3" t="s">
        <v>76</v>
      </c>
    </row>
    <row r="5529" spans="1:11" ht="42" customHeight="1">
      <c r="A5529" s="2" t="s">
        <v>14150</v>
      </c>
      <c r="B5529" s="2" t="s">
        <v>14150</v>
      </c>
      <c r="C5529" s="2" t="s">
        <v>88</v>
      </c>
      <c r="D5529" s="2" t="s">
        <v>27</v>
      </c>
      <c r="E5529" s="4">
        <v>-32566</v>
      </c>
      <c r="F5529" s="3" t="s">
        <v>649</v>
      </c>
      <c r="G5529" s="3" t="s">
        <v>11080</v>
      </c>
      <c r="H5529" s="2" t="s">
        <v>74</v>
      </c>
      <c r="I5529" s="2" t="s">
        <v>14158</v>
      </c>
      <c r="J5529" s="3" t="str">
        <f>HYPERLINK("https://www.boe.es/gazeta/dias/1810/11/01/pdfs/GEI-1810-89.pdf#page=8","Abrir facsímil")</f>
        <v>Abrir facsímil</v>
      </c>
      <c r="K5529" s="3" t="s">
        <v>76</v>
      </c>
    </row>
    <row r="5530" spans="1:11" ht="42" customHeight="1">
      <c r="A5530" s="2" t="s">
        <v>14159</v>
      </c>
      <c r="B5530" s="2" t="s">
        <v>14160</v>
      </c>
      <c r="C5530" s="2" t="s">
        <v>317</v>
      </c>
      <c r="D5530" s="2" t="s">
        <v>39</v>
      </c>
      <c r="E5530" s="4">
        <v>-32669</v>
      </c>
      <c r="F5530" s="3" t="s">
        <v>1110</v>
      </c>
      <c r="G5530" s="3" t="s">
        <v>1222</v>
      </c>
      <c r="H5530" s="2" t="s">
        <v>74</v>
      </c>
      <c r="I5530" s="2" t="s">
        <v>14161</v>
      </c>
      <c r="J5530" s="3" t="str">
        <f>HYPERLINK("https://www.boe.es/gazeta/dias/1810/07/21/pdfs/GMD-C-1810-202.pdf#page=2","Abrir facsímil")</f>
        <v>Abrir facsímil</v>
      </c>
      <c r="K5530" s="3" t="s">
        <v>76</v>
      </c>
    </row>
    <row r="5531" spans="1:11" ht="42" customHeight="1">
      <c r="A5531" s="2" t="s">
        <v>14162</v>
      </c>
      <c r="B5531" s="2" t="s">
        <v>14163</v>
      </c>
      <c r="C5531" s="2" t="s">
        <v>225</v>
      </c>
      <c r="D5531" s="2" t="s">
        <v>117</v>
      </c>
      <c r="E5531" s="4">
        <v>-32778</v>
      </c>
      <c r="F5531" s="3" t="s">
        <v>5869</v>
      </c>
      <c r="G5531" s="3" t="s">
        <v>701</v>
      </c>
      <c r="H5531" s="2" t="s">
        <v>74</v>
      </c>
      <c r="I5531" s="2" t="s">
        <v>14164</v>
      </c>
      <c r="J5531" s="3" t="str">
        <f>HYPERLINK("https://www.boe.es/gazeta/dias/1810/04/03/pdfs/GEI-1810-11.pdf#page=8","Abrir facsímil")</f>
        <v>Abrir facsímil</v>
      </c>
      <c r="K5531" s="3" t="s">
        <v>76</v>
      </c>
    </row>
    <row r="5532" spans="1:11" ht="42" customHeight="1">
      <c r="A5532" s="2" t="s">
        <v>14165</v>
      </c>
      <c r="B5532" s="2" t="s">
        <v>14166</v>
      </c>
      <c r="C5532" s="2" t="s">
        <v>26</v>
      </c>
      <c r="D5532" s="2" t="s">
        <v>39</v>
      </c>
      <c r="E5532" s="4">
        <v>-32686</v>
      </c>
      <c r="F5532" s="3" t="s">
        <v>3230</v>
      </c>
      <c r="G5532" s="3" t="s">
        <v>735</v>
      </c>
      <c r="H5532" s="2" t="s">
        <v>74</v>
      </c>
      <c r="I5532" s="2" t="s">
        <v>14167</v>
      </c>
      <c r="J5532" s="3" t="str">
        <f>HYPERLINK("https://www.boe.es/gazeta/dias/1810/07/04/pdfs/GMD-C-1810-185.pdf#page=2","Abrir facsímil")</f>
        <v>Abrir facsímil</v>
      </c>
      <c r="K5532" s="3" t="s">
        <v>76</v>
      </c>
    </row>
    <row r="5533" spans="1:11" ht="42" customHeight="1">
      <c r="A5533" s="2" t="s">
        <v>14168</v>
      </c>
      <c r="B5533" s="2" t="s">
        <v>14169</v>
      </c>
      <c r="C5533" s="2" t="s">
        <v>88</v>
      </c>
      <c r="D5533" s="2" t="s">
        <v>117</v>
      </c>
      <c r="E5533" s="4">
        <v>-32584</v>
      </c>
      <c r="F5533" s="3" t="s">
        <v>1560</v>
      </c>
      <c r="G5533" s="3" t="s">
        <v>971</v>
      </c>
      <c r="H5533" s="2" t="s">
        <v>74</v>
      </c>
      <c r="I5533" s="2" t="s">
        <v>14170</v>
      </c>
      <c r="J5533" s="3" t="str">
        <f>HYPERLINK("https://www.boe.es/gazeta/dias/1810/10/14/pdfs/GMD-1810-287.pdf#page=3","Abrir facsímil")</f>
        <v>Abrir facsímil</v>
      </c>
      <c r="K5533" s="3" t="s">
        <v>76</v>
      </c>
    </row>
    <row r="5534" spans="1:11" ht="42" customHeight="1">
      <c r="A5534" s="2" t="s">
        <v>14171</v>
      </c>
      <c r="B5534" s="2" t="s">
        <v>14172</v>
      </c>
      <c r="C5534" s="2" t="s">
        <v>88</v>
      </c>
      <c r="D5534" s="2" t="s">
        <v>27</v>
      </c>
      <c r="E5534" s="4">
        <v>-32656</v>
      </c>
      <c r="F5534" s="3" t="s">
        <v>1909</v>
      </c>
      <c r="G5534" s="3" t="s">
        <v>227</v>
      </c>
      <c r="H5534" s="2" t="s">
        <v>74</v>
      </c>
      <c r="I5534" s="2" t="s">
        <v>14173</v>
      </c>
      <c r="J5534" s="3" t="str">
        <f>HYPERLINK("https://www.boe.es/gazeta/dias/1810/08/03/pdfs/GEI-1810-50.pdf#page=8","Abrir facsímil")</f>
        <v>Abrir facsímil</v>
      </c>
      <c r="K5534" s="3" t="s">
        <v>76</v>
      </c>
    </row>
    <row r="5535" spans="1:11" ht="42" customHeight="1">
      <c r="A5535" s="2" t="s">
        <v>14174</v>
      </c>
      <c r="B5535" s="2" t="s">
        <v>14175</v>
      </c>
      <c r="C5535" s="2" t="s">
        <v>26</v>
      </c>
      <c r="D5535" s="2" t="s">
        <v>27</v>
      </c>
      <c r="E5535" s="4">
        <v>-32563</v>
      </c>
      <c r="F5535" s="3" t="s">
        <v>535</v>
      </c>
      <c r="G5535" s="3" t="s">
        <v>8537</v>
      </c>
      <c r="H5535" s="2" t="s">
        <v>74</v>
      </c>
      <c r="I5535" s="2" t="s">
        <v>14176</v>
      </c>
      <c r="J5535" s="3" t="str">
        <f>HYPERLINK("https://www.boe.es/gazeta/dias/1810/11/04/pdfs/GMD-1810-308.pdf#page=24","Abrir facsímil")</f>
        <v>Abrir facsímil</v>
      </c>
      <c r="K5535" s="3" t="s">
        <v>76</v>
      </c>
    </row>
    <row r="5536" spans="1:11" ht="42" customHeight="1">
      <c r="A5536" s="2" t="s">
        <v>14177</v>
      </c>
      <c r="B5536" s="2" t="s">
        <v>14178</v>
      </c>
      <c r="C5536" s="2" t="s">
        <v>88</v>
      </c>
      <c r="D5536" s="2" t="s">
        <v>27</v>
      </c>
      <c r="E5536" s="4">
        <v>-32642</v>
      </c>
      <c r="F5536" s="3" t="s">
        <v>657</v>
      </c>
      <c r="G5536" s="3" t="s">
        <v>29</v>
      </c>
      <c r="H5536" s="2" t="s">
        <v>21</v>
      </c>
      <c r="I5536" s="2" t="s">
        <v>14179</v>
      </c>
      <c r="J5536" s="3" t="str">
        <f>HYPERLINK("https://www.boe.es/gazeta/dias/1810/08/17/pdfs/GEI-1810-57.pdf#page=4","Abrir facsímil")</f>
        <v>Abrir facsímil</v>
      </c>
      <c r="K5536" s="3" t="s">
        <v>23</v>
      </c>
    </row>
    <row r="5537" spans="1:11" ht="42" customHeight="1">
      <c r="A5537" s="2" t="s">
        <v>14180</v>
      </c>
      <c r="B5537" s="2" t="s">
        <v>14181</v>
      </c>
      <c r="C5537" s="2" t="s">
        <v>17</v>
      </c>
      <c r="D5537" s="2" t="s">
        <v>18</v>
      </c>
      <c r="E5537" s="4">
        <v>-32618</v>
      </c>
      <c r="F5537" s="3" t="s">
        <v>1501</v>
      </c>
      <c r="G5537" s="3" t="s">
        <v>20</v>
      </c>
      <c r="H5537" s="2" t="s">
        <v>74</v>
      </c>
      <c r="I5537" s="2" t="s">
        <v>14182</v>
      </c>
      <c r="J5537" s="3" t="str">
        <f>HYPERLINK("https://www.boe.es/gazeta/dias/1810/09/10/pdfs/GMD-1810-253.pdf#page=4","Abrir facsímil")</f>
        <v>Abrir facsímil</v>
      </c>
      <c r="K5537" s="3" t="s">
        <v>76</v>
      </c>
    </row>
    <row r="5538" spans="1:11" ht="42" customHeight="1">
      <c r="A5538" s="2" t="s">
        <v>14183</v>
      </c>
      <c r="B5538" s="2" t="s">
        <v>14184</v>
      </c>
      <c r="C5538" s="2" t="s">
        <v>26</v>
      </c>
      <c r="D5538" s="2" t="s">
        <v>39</v>
      </c>
      <c r="E5538" s="4">
        <v>-32686</v>
      </c>
      <c r="F5538" s="3" t="s">
        <v>3230</v>
      </c>
      <c r="G5538" s="3" t="s">
        <v>735</v>
      </c>
      <c r="H5538" s="2" t="s">
        <v>74</v>
      </c>
      <c r="I5538" s="2" t="s">
        <v>14185</v>
      </c>
      <c r="J5538" s="3" t="str">
        <f>HYPERLINK("https://www.boe.es/gazeta/dias/1810/07/04/pdfs/GMD-C-1810-185.pdf#page=2","Abrir facsímil")</f>
        <v>Abrir facsímil</v>
      </c>
      <c r="K5538" s="3" t="s">
        <v>76</v>
      </c>
    </row>
    <row r="5539" spans="1:11" ht="42" customHeight="1">
      <c r="A5539" s="2" t="s">
        <v>14186</v>
      </c>
      <c r="B5539" s="2" t="s">
        <v>14187</v>
      </c>
      <c r="C5539" s="2" t="s">
        <v>26</v>
      </c>
      <c r="D5539" s="2" t="s">
        <v>27</v>
      </c>
      <c r="E5539" s="4">
        <v>-32749</v>
      </c>
      <c r="F5539" s="3" t="s">
        <v>2812</v>
      </c>
      <c r="G5539" s="3" t="s">
        <v>20</v>
      </c>
      <c r="H5539" s="2" t="s">
        <v>74</v>
      </c>
      <c r="I5539" s="2" t="s">
        <v>14188</v>
      </c>
      <c r="J5539" s="3" t="str">
        <f>HYPERLINK("https://www.boe.es/gazeta/dias/1810/05/02/pdfs/GMD-1810-122.pdf#page=4","Abrir facsímil")</f>
        <v>Abrir facsímil</v>
      </c>
      <c r="K5539" s="3" t="s">
        <v>76</v>
      </c>
    </row>
    <row r="5540" spans="1:11" ht="42" customHeight="1">
      <c r="A5540" s="2" t="s">
        <v>14189</v>
      </c>
      <c r="B5540" s="2" t="s">
        <v>14190</v>
      </c>
      <c r="C5540" s="2" t="s">
        <v>26</v>
      </c>
      <c r="D5540" s="2" t="s">
        <v>27</v>
      </c>
      <c r="E5540" s="4">
        <v>-32832</v>
      </c>
      <c r="F5540" s="3" t="s">
        <v>5089</v>
      </c>
      <c r="G5540" s="3" t="s">
        <v>140</v>
      </c>
      <c r="H5540" s="2" t="s">
        <v>74</v>
      </c>
      <c r="I5540" s="2" t="s">
        <v>14191</v>
      </c>
      <c r="J5540" s="3" t="str">
        <f>HYPERLINK("https://www.boe.es/gazeta/dias/1810/02/08/pdfs/GMD-1810-39.pdf#page=3","Abrir facsímil")</f>
        <v>Abrir facsímil</v>
      </c>
      <c r="K5540" s="3" t="s">
        <v>76</v>
      </c>
    </row>
    <row r="5541" spans="1:11" ht="42" customHeight="1">
      <c r="A5541" s="2" t="s">
        <v>14189</v>
      </c>
      <c r="B5541" s="2" t="s">
        <v>14190</v>
      </c>
      <c r="C5541" s="2" t="s">
        <v>26</v>
      </c>
      <c r="D5541" s="2" t="s">
        <v>39</v>
      </c>
      <c r="E5541" s="4">
        <v>-32669</v>
      </c>
      <c r="F5541" s="3" t="s">
        <v>1110</v>
      </c>
      <c r="G5541" s="3" t="s">
        <v>473</v>
      </c>
      <c r="H5541" s="2" t="s">
        <v>74</v>
      </c>
      <c r="I5541" s="2" t="s">
        <v>14192</v>
      </c>
      <c r="J5541" s="3" t="str">
        <f>HYPERLINK("https://www.boe.es/gazeta/dias/1810/07/21/pdfs/GMD-C-1810-202.pdf#page=3","Abrir facsímil")</f>
        <v>Abrir facsímil</v>
      </c>
      <c r="K5541" s="3" t="s">
        <v>76</v>
      </c>
    </row>
    <row r="5542" spans="1:11" ht="42" customHeight="1">
      <c r="A5542" s="2" t="s">
        <v>14193</v>
      </c>
      <c r="B5542" s="2" t="s">
        <v>14194</v>
      </c>
      <c r="C5542" s="2" t="s">
        <v>26</v>
      </c>
      <c r="D5542" s="2" t="s">
        <v>27</v>
      </c>
      <c r="E5542" s="4">
        <v>-32754</v>
      </c>
      <c r="F5542" s="3" t="s">
        <v>1057</v>
      </c>
      <c r="G5542" s="3" t="s">
        <v>14195</v>
      </c>
      <c r="H5542" s="2" t="s">
        <v>74</v>
      </c>
      <c r="I5542" s="2" t="s">
        <v>14196</v>
      </c>
      <c r="J5542" s="3" t="str">
        <f>HYPERLINK("https://www.boe.es/gazeta/dias/1810/04/27/pdfs/GEI-1810-18.pdf#page=8","Abrir facsímil")</f>
        <v>Abrir facsímil</v>
      </c>
      <c r="K5542" s="3" t="s">
        <v>76</v>
      </c>
    </row>
    <row r="5543" spans="1:11" ht="42" customHeight="1">
      <c r="A5543" s="2" t="s">
        <v>14197</v>
      </c>
      <c r="B5543" s="2" t="s">
        <v>14198</v>
      </c>
      <c r="C5543" s="2" t="s">
        <v>88</v>
      </c>
      <c r="D5543" s="2" t="s">
        <v>18</v>
      </c>
      <c r="E5543" s="4">
        <v>-32533</v>
      </c>
      <c r="F5543" s="3" t="s">
        <v>1357</v>
      </c>
      <c r="G5543" s="3" t="s">
        <v>1894</v>
      </c>
      <c r="H5543" s="2" t="s">
        <v>74</v>
      </c>
      <c r="I5543" s="2" t="s">
        <v>14199</v>
      </c>
      <c r="J5543" s="3" t="str">
        <f>HYPERLINK("https://www.boe.es/gazeta/dias/1810/12/04/pdfs/GEI-1810-103.pdf#page=7","Abrir facsímil")</f>
        <v>Abrir facsímil</v>
      </c>
      <c r="K5543" s="3" t="s">
        <v>76</v>
      </c>
    </row>
    <row r="5544" spans="1:11" ht="42" customHeight="1">
      <c r="A5544" s="2" t="s">
        <v>14200</v>
      </c>
      <c r="B5544" s="2" t="s">
        <v>14201</v>
      </c>
      <c r="C5544" s="2" t="s">
        <v>26</v>
      </c>
      <c r="D5544" s="2" t="s">
        <v>27</v>
      </c>
      <c r="E5544" s="4">
        <v>-32853</v>
      </c>
      <c r="F5544" s="3" t="s">
        <v>516</v>
      </c>
      <c r="G5544" s="3" t="s">
        <v>2035</v>
      </c>
      <c r="H5544" s="2" t="s">
        <v>74</v>
      </c>
      <c r="I5544" s="2" t="s">
        <v>14202</v>
      </c>
      <c r="J5544" s="3" t="str">
        <f>HYPERLINK("https://www.boe.es/gazeta/dias/1810/01/18/pdfs/GGB-1810-8.pdf#page=3","Abrir facsímil")</f>
        <v>Abrir facsímil</v>
      </c>
      <c r="K5544" s="3" t="s">
        <v>76</v>
      </c>
    </row>
    <row r="5545" spans="1:11" ht="42" customHeight="1">
      <c r="A5545" s="2" t="s">
        <v>14200</v>
      </c>
      <c r="B5545" s="2" t="s">
        <v>14201</v>
      </c>
      <c r="C5545" s="2" t="s">
        <v>26</v>
      </c>
      <c r="D5545" s="2" t="s">
        <v>18</v>
      </c>
      <c r="E5545" s="4">
        <v>-32775</v>
      </c>
      <c r="F5545" s="3" t="s">
        <v>553</v>
      </c>
      <c r="G5545" s="3" t="s">
        <v>9356</v>
      </c>
      <c r="H5545" s="2" t="s">
        <v>74</v>
      </c>
      <c r="I5545" s="2" t="s">
        <v>14203</v>
      </c>
      <c r="J5545" s="3" t="str">
        <f>HYPERLINK("https://www.boe.es/gazeta/dias/1810/04/06/pdfs/GEI-1810-12.pdf#page=10","Abrir facsímil")</f>
        <v>Abrir facsímil</v>
      </c>
      <c r="K5545" s="3" t="s">
        <v>76</v>
      </c>
    </row>
    <row r="5546" spans="1:11" ht="42" customHeight="1">
      <c r="A5546" s="2" t="s">
        <v>14200</v>
      </c>
      <c r="B5546" s="2" t="s">
        <v>14201</v>
      </c>
      <c r="C5546" s="2" t="s">
        <v>26</v>
      </c>
      <c r="D5546" s="2" t="s">
        <v>39</v>
      </c>
      <c r="E5546" s="4">
        <v>-32702</v>
      </c>
      <c r="F5546" s="3" t="s">
        <v>179</v>
      </c>
      <c r="G5546" s="3" t="s">
        <v>180</v>
      </c>
      <c r="H5546" s="2" t="s">
        <v>74</v>
      </c>
      <c r="I5546" s="2" t="s">
        <v>14204</v>
      </c>
      <c r="J5546" s="3" t="str">
        <f>HYPERLINK("https://www.boe.es/gazeta/dias/1810/06/18/pdfs/GMD-C-1810-169.pdf#page=2","Abrir facsímil")</f>
        <v>Abrir facsímil</v>
      </c>
      <c r="K5546" s="3" t="s">
        <v>76</v>
      </c>
    </row>
    <row r="5547" spans="1:11" ht="42" customHeight="1">
      <c r="A5547" s="2" t="s">
        <v>14200</v>
      </c>
      <c r="B5547" s="2" t="s">
        <v>14201</v>
      </c>
      <c r="C5547" s="2" t="s">
        <v>88</v>
      </c>
      <c r="D5547" s="2" t="s">
        <v>39</v>
      </c>
      <c r="E5547" s="4">
        <v>-32698</v>
      </c>
      <c r="F5547" s="3" t="s">
        <v>2657</v>
      </c>
      <c r="G5547" s="3" t="s">
        <v>3327</v>
      </c>
      <c r="H5547" s="2" t="s">
        <v>74</v>
      </c>
      <c r="I5547" s="2" t="s">
        <v>14205</v>
      </c>
      <c r="J5547" s="3" t="str">
        <f>HYPERLINK("https://www.boe.es/gazeta/dias/1810/06/22/pdfs/GEI-D-1810-38.pdf#page=2","Abrir facsímil")</f>
        <v>Abrir facsímil</v>
      </c>
      <c r="K5547" s="3" t="s">
        <v>76</v>
      </c>
    </row>
    <row r="5548" spans="1:11" ht="42" customHeight="1">
      <c r="A5548" s="2" t="s">
        <v>14200</v>
      </c>
      <c r="B5548" s="2" t="s">
        <v>14201</v>
      </c>
      <c r="C5548" s="2" t="s">
        <v>26</v>
      </c>
      <c r="D5548" s="2" t="s">
        <v>39</v>
      </c>
      <c r="E5548" s="4">
        <v>-32698</v>
      </c>
      <c r="F5548" s="3" t="s">
        <v>2657</v>
      </c>
      <c r="G5548" s="3" t="s">
        <v>14155</v>
      </c>
      <c r="H5548" s="2" t="s">
        <v>74</v>
      </c>
      <c r="I5548" s="2" t="s">
        <v>14206</v>
      </c>
      <c r="J5548" s="3" t="str">
        <f>HYPERLINK("https://www.boe.es/gazeta/dias/1810/06/22/pdfs/GEI-D-1810-38.pdf#page=3","Abrir facsímil")</f>
        <v>Abrir facsímil</v>
      </c>
      <c r="K5548" s="3" t="s">
        <v>76</v>
      </c>
    </row>
    <row r="5549" spans="1:11" ht="42" customHeight="1">
      <c r="A5549" s="2" t="s">
        <v>14200</v>
      </c>
      <c r="B5549" s="2" t="s">
        <v>14201</v>
      </c>
      <c r="C5549" s="2" t="s">
        <v>88</v>
      </c>
      <c r="D5549" s="2" t="s">
        <v>39</v>
      </c>
      <c r="E5549" s="4">
        <v>-32698</v>
      </c>
      <c r="F5549" s="3" t="s">
        <v>2657</v>
      </c>
      <c r="G5549" s="3" t="s">
        <v>2658</v>
      </c>
      <c r="H5549" s="2" t="s">
        <v>74</v>
      </c>
      <c r="I5549" s="2" t="s">
        <v>14207</v>
      </c>
      <c r="J5549" s="3" t="str">
        <f>HYPERLINK("https://www.boe.es/gazeta/dias/1810/06/22/pdfs/GEI-D-1810-38.pdf#page=4","Abrir facsímil")</f>
        <v>Abrir facsímil</v>
      </c>
      <c r="K5549" s="3" t="s">
        <v>76</v>
      </c>
    </row>
    <row r="5550" spans="1:11" ht="42" customHeight="1">
      <c r="A5550" s="2" t="s">
        <v>14200</v>
      </c>
      <c r="B5550" s="2" t="s">
        <v>14201</v>
      </c>
      <c r="C5550" s="2" t="s">
        <v>26</v>
      </c>
      <c r="D5550" s="2" t="s">
        <v>27</v>
      </c>
      <c r="E5550" s="4">
        <v>-32642</v>
      </c>
      <c r="F5550" s="3" t="s">
        <v>657</v>
      </c>
      <c r="G5550" s="3" t="s">
        <v>29</v>
      </c>
      <c r="H5550" s="2" t="s">
        <v>74</v>
      </c>
      <c r="I5550" s="2" t="s">
        <v>14208</v>
      </c>
      <c r="J5550" s="3" t="str">
        <f>HYPERLINK("https://www.boe.es/gazeta/dias/1810/08/17/pdfs/GEI-1810-57.pdf#page=4","Abrir facsímil")</f>
        <v>Abrir facsímil</v>
      </c>
      <c r="K5550" s="3" t="s">
        <v>76</v>
      </c>
    </row>
    <row r="5551" spans="1:11" ht="42" customHeight="1">
      <c r="A5551" s="2" t="s">
        <v>14200</v>
      </c>
      <c r="B5551" s="2" t="s">
        <v>14201</v>
      </c>
      <c r="C5551" s="2" t="s">
        <v>26</v>
      </c>
      <c r="D5551" s="2" t="s">
        <v>27</v>
      </c>
      <c r="E5551" s="4">
        <v>-32642</v>
      </c>
      <c r="F5551" s="3" t="s">
        <v>657</v>
      </c>
      <c r="G5551" s="3" t="s">
        <v>658</v>
      </c>
      <c r="H5551" s="2" t="s">
        <v>74</v>
      </c>
      <c r="I5551" s="2" t="s">
        <v>14209</v>
      </c>
      <c r="J5551" s="3" t="str">
        <f>HYPERLINK("https://www.boe.es/gazeta/dias/1810/08/17/pdfs/GEI-1810-57.pdf#page=5","Abrir facsímil")</f>
        <v>Abrir facsímil</v>
      </c>
      <c r="K5551" s="3" t="s">
        <v>76</v>
      </c>
    </row>
    <row r="5552" spans="1:11" ht="42" customHeight="1">
      <c r="A5552" s="2" t="s">
        <v>14200</v>
      </c>
      <c r="B5552" s="2" t="s">
        <v>14201</v>
      </c>
      <c r="C5552" s="2" t="s">
        <v>111</v>
      </c>
      <c r="D5552" s="2" t="s">
        <v>18</v>
      </c>
      <c r="E5552" s="4">
        <v>-32610</v>
      </c>
      <c r="F5552" s="3" t="s">
        <v>4991</v>
      </c>
      <c r="G5552" s="3" t="s">
        <v>5554</v>
      </c>
      <c r="H5552" s="2" t="s">
        <v>74</v>
      </c>
      <c r="I5552" s="2" t="s">
        <v>14210</v>
      </c>
      <c r="J5552" s="3" t="str">
        <f>HYPERLINK("https://www.boe.es/gazeta/dias/1810/09/18/pdfs/GEI-1810-69.pdf#page=12","Abrir facsímil")</f>
        <v>Abrir facsímil</v>
      </c>
      <c r="K5552" s="3" t="s">
        <v>76</v>
      </c>
    </row>
    <row r="5553" spans="1:11" ht="42" customHeight="1">
      <c r="A5553" s="2" t="s">
        <v>14200</v>
      </c>
      <c r="B5553" s="2" t="s">
        <v>14201</v>
      </c>
      <c r="C5553" s="2" t="s">
        <v>26</v>
      </c>
      <c r="D5553" s="2" t="s">
        <v>27</v>
      </c>
      <c r="E5553" s="4">
        <v>-32608</v>
      </c>
      <c r="F5553" s="3" t="s">
        <v>781</v>
      </c>
      <c r="G5553" s="3" t="s">
        <v>3133</v>
      </c>
      <c r="H5553" s="2" t="s">
        <v>74</v>
      </c>
      <c r="I5553" s="2" t="s">
        <v>14211</v>
      </c>
      <c r="J5553" s="3" t="str">
        <f>HYPERLINK("https://www.boe.es/gazeta/dias/1810/09/20/pdfs/GEI-1810-70.pdf#page=3","Abrir facsímil")</f>
        <v>Abrir facsímil</v>
      </c>
      <c r="K5553" s="3" t="s">
        <v>76</v>
      </c>
    </row>
    <row r="5554" spans="1:11" ht="42" customHeight="1">
      <c r="A5554" s="2" t="s">
        <v>14200</v>
      </c>
      <c r="B5554" s="2" t="s">
        <v>14201</v>
      </c>
      <c r="C5554" s="2" t="s">
        <v>26</v>
      </c>
      <c r="D5554" s="2" t="s">
        <v>27</v>
      </c>
      <c r="E5554" s="4">
        <v>-32596</v>
      </c>
      <c r="F5554" s="3" t="s">
        <v>248</v>
      </c>
      <c r="G5554" s="3" t="s">
        <v>14212</v>
      </c>
      <c r="H5554" s="2" t="s">
        <v>74</v>
      </c>
      <c r="I5554" s="2" t="s">
        <v>14213</v>
      </c>
      <c r="J5554" s="3" t="str">
        <f>HYPERLINK("https://www.boe.es/gazeta/dias/1810/10/02/pdfs/GEI-1810-76.pdf#page=4","Abrir facsímil")</f>
        <v>Abrir facsímil</v>
      </c>
      <c r="K5554" s="3" t="s">
        <v>76</v>
      </c>
    </row>
    <row r="5555" spans="1:11" ht="42" customHeight="1">
      <c r="A5555" s="2" t="s">
        <v>14200</v>
      </c>
      <c r="B5555" s="2" t="s">
        <v>14201</v>
      </c>
      <c r="C5555" s="2" t="s">
        <v>26</v>
      </c>
      <c r="D5555" s="2" t="s">
        <v>27</v>
      </c>
      <c r="E5555" s="4">
        <v>-32575</v>
      </c>
      <c r="F5555" s="3" t="s">
        <v>135</v>
      </c>
      <c r="G5555" s="3" t="s">
        <v>136</v>
      </c>
      <c r="H5555" s="2" t="s">
        <v>74</v>
      </c>
      <c r="I5555" s="2" t="s">
        <v>14214</v>
      </c>
      <c r="J5555" s="3" t="str">
        <f>HYPERLINK("https://www.boe.es/gazeta/dias/1810/10/23/pdfs/GEI-1810-85.pdf#page=11","Abrir facsímil")</f>
        <v>Abrir facsímil</v>
      </c>
      <c r="K5555" s="3" t="s">
        <v>76</v>
      </c>
    </row>
    <row r="5556" spans="1:11" ht="42" customHeight="1">
      <c r="A5556" s="2" t="s">
        <v>14200</v>
      </c>
      <c r="B5556" s="2" t="s">
        <v>14201</v>
      </c>
      <c r="C5556" s="2" t="s">
        <v>111</v>
      </c>
      <c r="D5556" s="2" t="s">
        <v>27</v>
      </c>
      <c r="E5556" s="4">
        <v>-32519</v>
      </c>
      <c r="F5556" s="3" t="s">
        <v>2299</v>
      </c>
      <c r="G5556" s="3" t="s">
        <v>10890</v>
      </c>
      <c r="H5556" s="2" t="s">
        <v>74</v>
      </c>
      <c r="I5556" s="2" t="s">
        <v>14215</v>
      </c>
      <c r="J5556" s="3" t="str">
        <f>HYPERLINK("https://www.boe.es/gazeta/dias/1810/12/18/pdfs/GEI-1810-109.pdf#page=1","Abrir facsímil")</f>
        <v>Abrir facsímil</v>
      </c>
      <c r="K5556" s="3" t="s">
        <v>76</v>
      </c>
    </row>
    <row r="5557" spans="1:11" ht="42" customHeight="1">
      <c r="A5557" s="2" t="s">
        <v>14216</v>
      </c>
      <c r="B5557" s="2" t="s">
        <v>14217</v>
      </c>
      <c r="C5557" s="2" t="s">
        <v>26</v>
      </c>
      <c r="D5557" s="2" t="s">
        <v>27</v>
      </c>
      <c r="E5557" s="4">
        <v>-32575</v>
      </c>
      <c r="F5557" s="3" t="s">
        <v>135</v>
      </c>
      <c r="G5557" s="3" t="s">
        <v>136</v>
      </c>
      <c r="H5557" s="2" t="s">
        <v>74</v>
      </c>
      <c r="I5557" s="2" t="s">
        <v>14218</v>
      </c>
      <c r="J5557" s="3" t="str">
        <f>HYPERLINK("https://www.boe.es/gazeta/dias/1810/10/23/pdfs/GEI-1810-85.pdf#page=11","Abrir facsímil")</f>
        <v>Abrir facsímil</v>
      </c>
      <c r="K5557" s="3" t="s">
        <v>76</v>
      </c>
    </row>
    <row r="5558" spans="1:11" ht="42" customHeight="1">
      <c r="A5558" s="2" t="s">
        <v>14219</v>
      </c>
      <c r="B5558" s="2" t="s">
        <v>14220</v>
      </c>
      <c r="C5558" s="2" t="s">
        <v>88</v>
      </c>
      <c r="D5558" s="2" t="s">
        <v>27</v>
      </c>
      <c r="E5558" s="4">
        <v>-32711</v>
      </c>
      <c r="F5558" s="3" t="s">
        <v>1888</v>
      </c>
      <c r="G5558" s="3" t="s">
        <v>29</v>
      </c>
      <c r="H5558" s="2" t="s">
        <v>74</v>
      </c>
      <c r="I5558" s="2" t="s">
        <v>14221</v>
      </c>
      <c r="J5558" s="3" t="str">
        <f>HYPERLINK("https://www.boe.es/gazeta/dias/1810/06/09/pdfs/GMD-1810-160.pdf#page=4","Abrir facsímil")</f>
        <v>Abrir facsímil</v>
      </c>
      <c r="K5558" s="3" t="s">
        <v>76</v>
      </c>
    </row>
    <row r="5559" spans="1:11" ht="42" customHeight="1">
      <c r="A5559" s="2" t="s">
        <v>14222</v>
      </c>
      <c r="B5559" s="2" t="s">
        <v>14223</v>
      </c>
      <c r="C5559" s="2" t="s">
        <v>17</v>
      </c>
      <c r="D5559" s="2" t="s">
        <v>27</v>
      </c>
      <c r="E5559" s="4">
        <v>-32721</v>
      </c>
      <c r="F5559" s="3" t="s">
        <v>3437</v>
      </c>
      <c r="G5559" s="3" t="s">
        <v>20</v>
      </c>
      <c r="H5559" s="2" t="s">
        <v>74</v>
      </c>
      <c r="I5559" s="2" t="s">
        <v>14224</v>
      </c>
      <c r="J5559" s="3" t="str">
        <f>HYPERLINK("https://www.boe.es/gazeta/dias/1810/05/30/pdfs/GMD-1810-150.pdf#page=4","Abrir facsímil")</f>
        <v>Abrir facsímil</v>
      </c>
      <c r="K5559" s="3" t="s">
        <v>76</v>
      </c>
    </row>
    <row r="5560" spans="1:11" ht="42" customHeight="1">
      <c r="A5560" s="2" t="s">
        <v>14225</v>
      </c>
      <c r="B5560" s="2" t="s">
        <v>14225</v>
      </c>
      <c r="C5560" s="2" t="s">
        <v>88</v>
      </c>
      <c r="D5560" s="2" t="s">
        <v>117</v>
      </c>
      <c r="E5560" s="4">
        <v>-32576</v>
      </c>
      <c r="F5560" s="3" t="s">
        <v>447</v>
      </c>
      <c r="G5560" s="3" t="s">
        <v>291</v>
      </c>
      <c r="H5560" s="2" t="s">
        <v>74</v>
      </c>
      <c r="I5560" s="2" t="s">
        <v>14226</v>
      </c>
      <c r="J5560" s="3" t="str">
        <f>HYPERLINK("https://www.boe.es/gazeta/dias/1810/10/22/pdfs/GMD-1810-295.pdf#page=3","Abrir facsímil")</f>
        <v>Abrir facsímil</v>
      </c>
      <c r="K5560" s="3" t="s">
        <v>76</v>
      </c>
    </row>
    <row r="5561" spans="1:11" ht="42" customHeight="1">
      <c r="A5561" s="2" t="s">
        <v>14227</v>
      </c>
      <c r="B5561" s="2" t="s">
        <v>14228</v>
      </c>
      <c r="C5561" s="2" t="s">
        <v>26</v>
      </c>
      <c r="D5561" s="2" t="s">
        <v>39</v>
      </c>
      <c r="E5561" s="4">
        <v>-32702</v>
      </c>
      <c r="F5561" s="3" t="s">
        <v>179</v>
      </c>
      <c r="G5561" s="3" t="s">
        <v>180</v>
      </c>
      <c r="H5561" s="2" t="s">
        <v>74</v>
      </c>
      <c r="I5561" s="2" t="s">
        <v>14229</v>
      </c>
      <c r="J5561" s="3" t="str">
        <f>HYPERLINK("https://www.boe.es/gazeta/dias/1810/06/18/pdfs/GMD-C-1810-169.pdf#page=2","Abrir facsímil")</f>
        <v>Abrir facsímil</v>
      </c>
      <c r="K5561" s="3" t="s">
        <v>76</v>
      </c>
    </row>
    <row r="5562" spans="1:11" ht="42" customHeight="1">
      <c r="A5562" s="2" t="s">
        <v>14230</v>
      </c>
      <c r="B5562" s="2" t="s">
        <v>14231</v>
      </c>
      <c r="C5562" s="2" t="s">
        <v>26</v>
      </c>
      <c r="D5562" s="2" t="s">
        <v>39</v>
      </c>
      <c r="E5562" s="4">
        <v>-32701</v>
      </c>
      <c r="F5562" s="3" t="s">
        <v>40</v>
      </c>
      <c r="G5562" s="3" t="s">
        <v>315</v>
      </c>
      <c r="H5562" s="2" t="s">
        <v>74</v>
      </c>
      <c r="I5562" s="2" t="s">
        <v>14232</v>
      </c>
      <c r="J5562" s="3" t="str">
        <f>HYPERLINK("https://www.boe.es/gazeta/dias/1810/06/19/pdfs/GMD-C-1810-170.pdf#page=2","Abrir facsímil")</f>
        <v>Abrir facsímil</v>
      </c>
      <c r="K5562" s="3" t="s">
        <v>76</v>
      </c>
    </row>
    <row r="5563" spans="1:11" ht="42" customHeight="1">
      <c r="A5563" s="2" t="s">
        <v>14233</v>
      </c>
      <c r="B5563" s="2" t="s">
        <v>14234</v>
      </c>
      <c r="C5563" s="2" t="s">
        <v>33</v>
      </c>
      <c r="D5563" s="2" t="s">
        <v>18</v>
      </c>
      <c r="E5563" s="4">
        <v>-32601</v>
      </c>
      <c r="F5563" s="3" t="s">
        <v>392</v>
      </c>
      <c r="G5563" s="3" t="s">
        <v>35</v>
      </c>
      <c r="H5563" s="2" t="s">
        <v>74</v>
      </c>
      <c r="I5563" s="2" t="s">
        <v>14235</v>
      </c>
      <c r="J5563" s="3" t="str">
        <f>HYPERLINK("https://www.boe.es/gazeta/dias/1810/09/27/pdfs/GEI-1810-74E.pdf#page=2","Abrir facsímil")</f>
        <v>Abrir facsímil</v>
      </c>
      <c r="K5563" s="3" t="s">
        <v>76</v>
      </c>
    </row>
    <row r="5564" spans="1:11" ht="42" customHeight="1">
      <c r="A5564" s="2" t="s">
        <v>14236</v>
      </c>
      <c r="B5564" s="2" t="s">
        <v>14237</v>
      </c>
      <c r="C5564" s="2" t="s">
        <v>26</v>
      </c>
      <c r="D5564" s="2" t="s">
        <v>27</v>
      </c>
      <c r="E5564" s="4">
        <v>-32543</v>
      </c>
      <c r="F5564" s="3" t="s">
        <v>69</v>
      </c>
      <c r="G5564" s="3" t="s">
        <v>70</v>
      </c>
      <c r="H5564" s="2" t="s">
        <v>74</v>
      </c>
      <c r="I5564" s="2" t="s">
        <v>14238</v>
      </c>
      <c r="J5564" s="3" t="str">
        <f>HYPERLINK("https://www.boe.es/gazeta/dias/1810/11/24/pdfs/GEI-1810-99.pdf#page=8","Abrir facsímil")</f>
        <v>Abrir facsímil</v>
      </c>
      <c r="K5564" s="3" t="s">
        <v>76</v>
      </c>
    </row>
    <row r="5565" spans="1:11" ht="42" customHeight="1">
      <c r="A5565" s="2" t="s">
        <v>14239</v>
      </c>
      <c r="B5565" s="2" t="s">
        <v>14240</v>
      </c>
      <c r="C5565" s="2" t="s">
        <v>26</v>
      </c>
      <c r="D5565" s="2" t="s">
        <v>39</v>
      </c>
      <c r="E5565" s="4">
        <v>-32701</v>
      </c>
      <c r="F5565" s="3" t="s">
        <v>40</v>
      </c>
      <c r="G5565" s="3" t="s">
        <v>170</v>
      </c>
      <c r="H5565" s="2" t="s">
        <v>74</v>
      </c>
      <c r="I5565" s="2" t="s">
        <v>14241</v>
      </c>
      <c r="J5565" s="3" t="str">
        <f>HYPERLINK("https://www.boe.es/gazeta/dias/1810/06/19/pdfs/GMD-C-1810-170.pdf#page=1","Abrir facsímil")</f>
        <v>Abrir facsímil</v>
      </c>
      <c r="K5565" s="3" t="s">
        <v>76</v>
      </c>
    </row>
    <row r="5566" spans="1:11" ht="42" customHeight="1">
      <c r="A5566" s="2" t="s">
        <v>14242</v>
      </c>
      <c r="B5566" s="2" t="s">
        <v>14243</v>
      </c>
      <c r="C5566" s="2" t="s">
        <v>26</v>
      </c>
      <c r="D5566" s="2" t="s">
        <v>39</v>
      </c>
      <c r="E5566" s="4">
        <v>-32701</v>
      </c>
      <c r="F5566" s="3" t="s">
        <v>40</v>
      </c>
      <c r="G5566" s="3" t="s">
        <v>315</v>
      </c>
      <c r="H5566" s="2" t="s">
        <v>74</v>
      </c>
      <c r="I5566" s="2" t="s">
        <v>14244</v>
      </c>
      <c r="J5566" s="3" t="str">
        <f>HYPERLINK("https://www.boe.es/gazeta/dias/1810/06/19/pdfs/GMD-C-1810-170.pdf#page=2","Abrir facsímil")</f>
        <v>Abrir facsímil</v>
      </c>
      <c r="K5566" s="3" t="s">
        <v>76</v>
      </c>
    </row>
    <row r="5567" spans="1:11" ht="42" customHeight="1">
      <c r="A5567" s="2" t="s">
        <v>14242</v>
      </c>
      <c r="B5567" s="2" t="s">
        <v>14243</v>
      </c>
      <c r="C5567" s="2" t="s">
        <v>26</v>
      </c>
      <c r="D5567" s="2" t="s">
        <v>39</v>
      </c>
      <c r="E5567" s="4">
        <v>-32661</v>
      </c>
      <c r="F5567" s="3" t="s">
        <v>157</v>
      </c>
      <c r="G5567" s="3" t="s">
        <v>158</v>
      </c>
      <c r="H5567" s="2" t="s">
        <v>74</v>
      </c>
      <c r="I5567" s="2" t="s">
        <v>14245</v>
      </c>
      <c r="J5567" s="3" t="str">
        <f>HYPERLINK("https://www.boe.es/gazeta/dias/1810/07/29/pdfs/GMD-C-1810-210.pdf#page=1","Abrir facsímil")</f>
        <v>Abrir facsímil</v>
      </c>
      <c r="K5567" s="3" t="s">
        <v>76</v>
      </c>
    </row>
    <row r="5568" spans="1:11" ht="42" customHeight="1">
      <c r="A5568" s="2" t="s">
        <v>14246</v>
      </c>
      <c r="B5568" s="2" t="s">
        <v>14247</v>
      </c>
      <c r="C5568" s="2" t="s">
        <v>26</v>
      </c>
      <c r="D5568" s="2" t="s">
        <v>27</v>
      </c>
      <c r="E5568" s="4">
        <v>-32689</v>
      </c>
      <c r="F5568" s="3" t="s">
        <v>571</v>
      </c>
      <c r="G5568" s="3" t="s">
        <v>140</v>
      </c>
      <c r="H5568" s="2" t="s">
        <v>74</v>
      </c>
      <c r="I5568" s="2" t="s">
        <v>14248</v>
      </c>
      <c r="J5568" s="3" t="str">
        <f>HYPERLINK("https://www.boe.es/gazeta/dias/1810/07/01/pdfs/GMD-1810-182.pdf#page=4","Abrir facsímil")</f>
        <v>Abrir facsímil</v>
      </c>
      <c r="K5568" s="3" t="s">
        <v>76</v>
      </c>
    </row>
    <row r="5569" spans="1:11" ht="42" customHeight="1">
      <c r="A5569" s="2" t="s">
        <v>14249</v>
      </c>
      <c r="B5569" s="2" t="s">
        <v>14250</v>
      </c>
      <c r="C5569" s="2" t="s">
        <v>26</v>
      </c>
      <c r="D5569" s="2" t="s">
        <v>27</v>
      </c>
      <c r="E5569" s="4">
        <v>-32575</v>
      </c>
      <c r="F5569" s="3" t="s">
        <v>135</v>
      </c>
      <c r="G5569" s="3" t="s">
        <v>136</v>
      </c>
      <c r="H5569" s="2" t="s">
        <v>74</v>
      </c>
      <c r="I5569" s="2" t="s">
        <v>14251</v>
      </c>
      <c r="J5569" s="3" t="str">
        <f>HYPERLINK("https://www.boe.es/gazeta/dias/1810/10/23/pdfs/GEI-1810-85.pdf#page=11","Abrir facsímil")</f>
        <v>Abrir facsímil</v>
      </c>
      <c r="K5569" s="3" t="s">
        <v>76</v>
      </c>
    </row>
    <row r="5570" spans="1:11" ht="42" customHeight="1">
      <c r="A5570" s="2" t="s">
        <v>14252</v>
      </c>
      <c r="B5570" s="2" t="s">
        <v>14253</v>
      </c>
      <c r="C5570" s="2" t="s">
        <v>26</v>
      </c>
      <c r="D5570" s="2" t="s">
        <v>27</v>
      </c>
      <c r="E5570" s="4">
        <v>-32693</v>
      </c>
      <c r="F5570" s="3" t="s">
        <v>54</v>
      </c>
      <c r="G5570" s="3" t="s">
        <v>20</v>
      </c>
      <c r="H5570" s="2" t="s">
        <v>74</v>
      </c>
      <c r="I5570" s="2" t="s">
        <v>14254</v>
      </c>
      <c r="J5570" s="3" t="str">
        <f>HYPERLINK("https://www.boe.es/gazeta/dias/1810/06/27/pdfs/GMD-1810-178.pdf#page=4","Abrir facsímil")</f>
        <v>Abrir facsímil</v>
      </c>
      <c r="K5570" s="3" t="s">
        <v>76</v>
      </c>
    </row>
    <row r="5571" spans="1:11" ht="42" customHeight="1">
      <c r="A5571" s="2" t="s">
        <v>14255</v>
      </c>
      <c r="B5571" s="2" t="s">
        <v>14256</v>
      </c>
      <c r="C5571" s="2" t="s">
        <v>225</v>
      </c>
      <c r="D5571" s="2" t="s">
        <v>27</v>
      </c>
      <c r="E5571" s="4">
        <v>-32707</v>
      </c>
      <c r="F5571" s="3" t="s">
        <v>1753</v>
      </c>
      <c r="G5571" s="3" t="s">
        <v>227</v>
      </c>
      <c r="H5571" s="2" t="s">
        <v>74</v>
      </c>
      <c r="I5571" s="2" t="s">
        <v>14257</v>
      </c>
      <c r="J5571" s="3" t="str">
        <f>HYPERLINK("https://www.boe.es/gazeta/dias/1810/06/13/pdfs/GMD-1810-164.pdf#page=4","Abrir facsímil")</f>
        <v>Abrir facsímil</v>
      </c>
      <c r="K5571" s="3" t="s">
        <v>76</v>
      </c>
    </row>
    <row r="5572" spans="1:11" ht="42" customHeight="1">
      <c r="A5572" s="2" t="s">
        <v>14258</v>
      </c>
      <c r="B5572" s="2" t="s">
        <v>14259</v>
      </c>
      <c r="C5572" s="2" t="s">
        <v>33</v>
      </c>
      <c r="D5572" s="2" t="s">
        <v>18</v>
      </c>
      <c r="E5572" s="4">
        <v>-32538</v>
      </c>
      <c r="F5572" s="3" t="s">
        <v>1949</v>
      </c>
      <c r="G5572" s="3" t="s">
        <v>213</v>
      </c>
      <c r="H5572" s="2" t="s">
        <v>74</v>
      </c>
      <c r="I5572" s="2" t="s">
        <v>14260</v>
      </c>
      <c r="J5572" s="3" t="str">
        <f>HYPERLINK("https://www.boe.es/gazeta/dias/1810/11/29/pdfs/GEI-1810-101.pdf#page=8","Abrir facsímil")</f>
        <v>Abrir facsímil</v>
      </c>
      <c r="K5572" s="3" t="s">
        <v>76</v>
      </c>
    </row>
    <row r="5573" spans="1:11" ht="42" customHeight="1">
      <c r="A5573" s="2" t="s">
        <v>14261</v>
      </c>
      <c r="B5573" s="2" t="s">
        <v>14262</v>
      </c>
      <c r="C5573" s="2" t="s">
        <v>88</v>
      </c>
      <c r="D5573" s="2" t="s">
        <v>117</v>
      </c>
      <c r="E5573" s="4">
        <v>-32713</v>
      </c>
      <c r="F5573" s="3" t="s">
        <v>959</v>
      </c>
      <c r="G5573" s="3" t="s">
        <v>960</v>
      </c>
      <c r="H5573" s="2" t="s">
        <v>74</v>
      </c>
      <c r="I5573" s="2" t="s">
        <v>14263</v>
      </c>
      <c r="J5573" s="3" t="str">
        <f>HYPERLINK("https://www.boe.es/gazeta/dias/1810/06/07/pdfs/GMD-1810-158.pdf#page=4","Abrir facsímil")</f>
        <v>Abrir facsímil</v>
      </c>
      <c r="K5573" s="3" t="s">
        <v>76</v>
      </c>
    </row>
    <row r="5574" spans="1:11" ht="42" customHeight="1">
      <c r="A5574" s="2" t="s">
        <v>14261</v>
      </c>
      <c r="B5574" s="2" t="s">
        <v>14262</v>
      </c>
      <c r="C5574" s="2" t="s">
        <v>17</v>
      </c>
      <c r="D5574" s="2" t="s">
        <v>27</v>
      </c>
      <c r="E5574" s="4">
        <v>-32704</v>
      </c>
      <c r="F5574" s="3" t="s">
        <v>94</v>
      </c>
      <c r="G5574" s="3" t="s">
        <v>20</v>
      </c>
      <c r="H5574" s="2" t="s">
        <v>74</v>
      </c>
      <c r="I5574" s="2" t="s">
        <v>14264</v>
      </c>
      <c r="J5574" s="3" t="str">
        <f>HYPERLINK("https://www.boe.es/gazeta/dias/1810/06/16/pdfs/GMD-1810-167.pdf#page=4","Abrir facsímil")</f>
        <v>Abrir facsímil</v>
      </c>
      <c r="K5574" s="3" t="s">
        <v>76</v>
      </c>
    </row>
    <row r="5575" spans="1:11" ht="42" customHeight="1">
      <c r="A5575" s="2" t="s">
        <v>14265</v>
      </c>
      <c r="B5575" s="2" t="s">
        <v>14266</v>
      </c>
      <c r="C5575" s="2" t="s">
        <v>26</v>
      </c>
      <c r="D5575" s="2" t="s">
        <v>27</v>
      </c>
      <c r="E5575" s="4">
        <v>-32689</v>
      </c>
      <c r="F5575" s="3" t="s">
        <v>571</v>
      </c>
      <c r="G5575" s="3" t="s">
        <v>140</v>
      </c>
      <c r="H5575" s="2" t="s">
        <v>74</v>
      </c>
      <c r="I5575" s="2" t="s">
        <v>14267</v>
      </c>
      <c r="J5575" s="3" t="str">
        <f>HYPERLINK("https://www.boe.es/gazeta/dias/1810/07/01/pdfs/GMD-1810-182.pdf#page=4","Abrir facsímil")</f>
        <v>Abrir facsímil</v>
      </c>
      <c r="K5575" s="3" t="s">
        <v>76</v>
      </c>
    </row>
    <row r="5576" spans="1:11" ht="42" customHeight="1">
      <c r="A5576" s="2" t="s">
        <v>14268</v>
      </c>
      <c r="B5576" s="2" t="s">
        <v>14269</v>
      </c>
      <c r="C5576" s="2" t="s">
        <v>26</v>
      </c>
      <c r="D5576" s="2" t="s">
        <v>18</v>
      </c>
      <c r="E5576" s="4">
        <v>-32688</v>
      </c>
      <c r="F5576" s="3" t="s">
        <v>997</v>
      </c>
      <c r="G5576" s="3" t="s">
        <v>749</v>
      </c>
      <c r="H5576" s="2" t="s">
        <v>74</v>
      </c>
      <c r="I5576" s="2" t="s">
        <v>14270</v>
      </c>
      <c r="J5576" s="3" t="str">
        <f>HYPERLINK("https://www.boe.es/gazeta/dias/1810/07/02/pdfs/GMD-1810-183.pdf#page=4","Abrir facsímil")</f>
        <v>Abrir facsímil</v>
      </c>
      <c r="K5576" s="3" t="s">
        <v>76</v>
      </c>
    </row>
    <row r="5577" spans="1:11" ht="42" customHeight="1">
      <c r="A5577" s="2" t="s">
        <v>14271</v>
      </c>
      <c r="B5577" s="2" t="s">
        <v>14272</v>
      </c>
      <c r="C5577" s="2" t="s">
        <v>33</v>
      </c>
      <c r="D5577" s="2" t="s">
        <v>27</v>
      </c>
      <c r="E5577" s="4">
        <v>-32761</v>
      </c>
      <c r="F5577" s="3" t="s">
        <v>811</v>
      </c>
      <c r="G5577" s="3" t="s">
        <v>140</v>
      </c>
      <c r="H5577" s="2" t="s">
        <v>74</v>
      </c>
      <c r="I5577" s="2" t="s">
        <v>14273</v>
      </c>
      <c r="J5577" s="3" t="str">
        <f>HYPERLINK("https://www.boe.es/gazeta/dias/1810/04/20/pdfs/GEI-1810-16.pdf#page=8","Abrir facsímil")</f>
        <v>Abrir facsímil</v>
      </c>
      <c r="K5577" s="3" t="s">
        <v>76</v>
      </c>
    </row>
    <row r="5578" spans="1:11" ht="42" customHeight="1">
      <c r="A5578" s="2" t="s">
        <v>14274</v>
      </c>
      <c r="B5578" s="2" t="s">
        <v>14275</v>
      </c>
      <c r="C5578" s="2" t="s">
        <v>26</v>
      </c>
      <c r="D5578" s="2" t="s">
        <v>27</v>
      </c>
      <c r="E5578" s="4">
        <v>-32526</v>
      </c>
      <c r="F5578" s="3" t="s">
        <v>530</v>
      </c>
      <c r="G5578" s="3" t="s">
        <v>531</v>
      </c>
      <c r="H5578" s="2" t="s">
        <v>74</v>
      </c>
      <c r="I5578" s="2" t="s">
        <v>14276</v>
      </c>
      <c r="J5578" s="3" t="str">
        <f>HYPERLINK("https://www.boe.es/gazeta/dias/1810/12/11/pdfs/GEI-1810-106.pdf#page=2","Abrir facsímil")</f>
        <v>Abrir facsímil</v>
      </c>
      <c r="K5578" s="3" t="s">
        <v>76</v>
      </c>
    </row>
    <row r="5579" spans="1:11" ht="42" customHeight="1">
      <c r="A5579" s="2" t="s">
        <v>14277</v>
      </c>
      <c r="B5579" s="2" t="s">
        <v>14278</v>
      </c>
      <c r="C5579" s="2" t="s">
        <v>26</v>
      </c>
      <c r="D5579" s="2" t="s">
        <v>27</v>
      </c>
      <c r="E5579" s="4">
        <v>-32647</v>
      </c>
      <c r="F5579" s="3" t="s">
        <v>118</v>
      </c>
      <c r="G5579" s="3" t="s">
        <v>119</v>
      </c>
      <c r="H5579" s="2" t="s">
        <v>74</v>
      </c>
      <c r="I5579" s="2" t="s">
        <v>14279</v>
      </c>
      <c r="J5579" s="3" t="str">
        <f>HYPERLINK("https://www.boe.es/gazeta/dias/1810/08/12/pdfs/GMD-1810-224.pdf#page=3","Abrir facsímil")</f>
        <v>Abrir facsímil</v>
      </c>
      <c r="K5579" s="3" t="s">
        <v>76</v>
      </c>
    </row>
    <row r="5580" spans="1:11" ht="42" customHeight="1">
      <c r="A5580" s="2" t="s">
        <v>14280</v>
      </c>
      <c r="B5580" s="2" t="s">
        <v>14281</v>
      </c>
      <c r="C5580" s="2" t="s">
        <v>26</v>
      </c>
      <c r="D5580" s="2" t="s">
        <v>27</v>
      </c>
      <c r="E5580" s="4">
        <v>-32593</v>
      </c>
      <c r="F5580" s="3" t="s">
        <v>12153</v>
      </c>
      <c r="G5580" s="3" t="s">
        <v>886</v>
      </c>
      <c r="H5580" s="2" t="s">
        <v>74</v>
      </c>
      <c r="I5580" s="2" t="s">
        <v>14282</v>
      </c>
      <c r="J5580" s="3" t="str">
        <f>HYPERLINK("https://www.boe.es/gazeta/dias/1810/10/05/pdfs/GMD-1810-278.pdf#page=4","Abrir facsímil")</f>
        <v>Abrir facsímil</v>
      </c>
      <c r="K5580" s="3" t="s">
        <v>76</v>
      </c>
    </row>
    <row r="5581" spans="1:11" ht="42" customHeight="1">
      <c r="A5581" s="2" t="s">
        <v>14283</v>
      </c>
      <c r="B5581" s="2" t="s">
        <v>14284</v>
      </c>
      <c r="C5581" s="2" t="s">
        <v>26</v>
      </c>
      <c r="D5581" s="2" t="s">
        <v>18</v>
      </c>
      <c r="E5581" s="4">
        <v>-32720</v>
      </c>
      <c r="F5581" s="3" t="s">
        <v>3377</v>
      </c>
      <c r="G5581" s="3" t="s">
        <v>3378</v>
      </c>
      <c r="H5581" s="2" t="s">
        <v>74</v>
      </c>
      <c r="I5581" s="2" t="s">
        <v>14285</v>
      </c>
      <c r="J5581" s="3" t="str">
        <f>HYPERLINK("https://www.boe.es/gazeta/dias/1810/05/31/pdfs/GMD-1810-151.pdf#page=4","Abrir facsímil")</f>
        <v>Abrir facsímil</v>
      </c>
      <c r="K5581" s="3" t="s">
        <v>76</v>
      </c>
    </row>
    <row r="5582" spans="1:11" ht="42" customHeight="1">
      <c r="A5582" s="2" t="s">
        <v>14286</v>
      </c>
      <c r="B5582" s="2" t="s">
        <v>14287</v>
      </c>
      <c r="C5582" s="2" t="s">
        <v>26</v>
      </c>
      <c r="D5582" s="2" t="s">
        <v>39</v>
      </c>
      <c r="E5582" s="4">
        <v>-32702</v>
      </c>
      <c r="F5582" s="3" t="s">
        <v>179</v>
      </c>
      <c r="G5582" s="3" t="s">
        <v>213</v>
      </c>
      <c r="H5582" s="2" t="s">
        <v>74</v>
      </c>
      <c r="I5582" s="2" t="s">
        <v>14288</v>
      </c>
      <c r="J5582" s="3" t="str">
        <f>HYPERLINK("https://www.boe.es/gazeta/dias/1810/06/18/pdfs/GMD-C-1810-169.pdf#page=4","Abrir facsímil")</f>
        <v>Abrir facsímil</v>
      </c>
      <c r="K5582" s="3" t="s">
        <v>76</v>
      </c>
    </row>
    <row r="5583" spans="1:11" ht="42" customHeight="1">
      <c r="A5583" s="2" t="s">
        <v>14289</v>
      </c>
      <c r="B5583" s="2" t="s">
        <v>14289</v>
      </c>
      <c r="C5583" s="2" t="s">
        <v>88</v>
      </c>
      <c r="D5583" s="2" t="s">
        <v>27</v>
      </c>
      <c r="E5583" s="4">
        <v>-32556</v>
      </c>
      <c r="F5583" s="3" t="s">
        <v>799</v>
      </c>
      <c r="G5583" s="3" t="s">
        <v>140</v>
      </c>
      <c r="H5583" s="2" t="s">
        <v>74</v>
      </c>
      <c r="I5583" s="2" t="s">
        <v>14290</v>
      </c>
      <c r="J5583" s="3" t="str">
        <f>HYPERLINK("https://www.boe.es/gazeta/dias/1810/11/11/pdfs/GMD-1810-315.pdf#page=2","Abrir facsímil")</f>
        <v>Abrir facsímil</v>
      </c>
      <c r="K5583" s="3" t="s">
        <v>76</v>
      </c>
    </row>
    <row r="5584" spans="1:11" ht="42" customHeight="1">
      <c r="A5584" s="2" t="s">
        <v>14291</v>
      </c>
      <c r="B5584" s="2" t="s">
        <v>14292</v>
      </c>
      <c r="C5584" s="2" t="s">
        <v>26</v>
      </c>
      <c r="D5584" s="2" t="s">
        <v>39</v>
      </c>
      <c r="E5584" s="4">
        <v>-32702</v>
      </c>
      <c r="F5584" s="3" t="s">
        <v>179</v>
      </c>
      <c r="G5584" s="3" t="s">
        <v>119</v>
      </c>
      <c r="H5584" s="2" t="s">
        <v>74</v>
      </c>
      <c r="I5584" s="2" t="s">
        <v>14293</v>
      </c>
      <c r="J5584" s="3" t="str">
        <f>HYPERLINK("https://www.boe.es/gazeta/dias/1810/06/18/pdfs/GMD-C-1810-169.pdf#page=1","Abrir facsímil")</f>
        <v>Abrir facsímil</v>
      </c>
      <c r="K5584" s="3" t="s">
        <v>76</v>
      </c>
    </row>
    <row r="5585" spans="1:11" ht="42" customHeight="1">
      <c r="A5585" s="2" t="s">
        <v>14294</v>
      </c>
      <c r="B5585" s="2" t="s">
        <v>14295</v>
      </c>
      <c r="C5585" s="2" t="s">
        <v>26</v>
      </c>
      <c r="D5585" s="2" t="s">
        <v>27</v>
      </c>
      <c r="E5585" s="4">
        <v>-32526</v>
      </c>
      <c r="F5585" s="3" t="s">
        <v>530</v>
      </c>
      <c r="G5585" s="3" t="s">
        <v>531</v>
      </c>
      <c r="H5585" s="2" t="s">
        <v>74</v>
      </c>
      <c r="I5585" s="2" t="s">
        <v>14296</v>
      </c>
      <c r="J5585" s="3" t="str">
        <f>HYPERLINK("https://www.boe.es/gazeta/dias/1810/12/11/pdfs/GEI-1810-106.pdf#page=2","Abrir facsímil")</f>
        <v>Abrir facsímil</v>
      </c>
      <c r="K5585" s="3" t="s">
        <v>76</v>
      </c>
    </row>
    <row r="5586" spans="1:11" ht="42" customHeight="1">
      <c r="A5586" s="2" t="s">
        <v>14297</v>
      </c>
      <c r="B5586" s="2" t="s">
        <v>14298</v>
      </c>
      <c r="C5586" s="2" t="s">
        <v>88</v>
      </c>
      <c r="D5586" s="2" t="s">
        <v>27</v>
      </c>
      <c r="E5586" s="4">
        <v>-32618</v>
      </c>
      <c r="F5586" s="3" t="s">
        <v>1501</v>
      </c>
      <c r="G5586" s="3" t="s">
        <v>20</v>
      </c>
      <c r="H5586" s="2" t="s">
        <v>74</v>
      </c>
      <c r="I5586" s="2" t="s">
        <v>14299</v>
      </c>
      <c r="J5586" s="3" t="str">
        <f>HYPERLINK("https://www.boe.es/gazeta/dias/1810/09/10/pdfs/GMD-1810-253.pdf#page=4","Abrir facsímil")</f>
        <v>Abrir facsímil</v>
      </c>
      <c r="K5586" s="3" t="s">
        <v>76</v>
      </c>
    </row>
    <row r="5587" spans="1:11" ht="42" customHeight="1">
      <c r="A5587" s="2" t="s">
        <v>14300</v>
      </c>
      <c r="B5587" s="2" t="s">
        <v>14301</v>
      </c>
      <c r="C5587" s="2" t="s">
        <v>33</v>
      </c>
      <c r="D5587" s="2" t="s">
        <v>27</v>
      </c>
      <c r="E5587" s="4">
        <v>-32869</v>
      </c>
      <c r="F5587" s="3" t="s">
        <v>5318</v>
      </c>
      <c r="G5587" s="3" t="s">
        <v>227</v>
      </c>
      <c r="H5587" s="2" t="s">
        <v>74</v>
      </c>
      <c r="I5587" s="2" t="s">
        <v>14302</v>
      </c>
      <c r="J5587" s="3" t="str">
        <f>HYPERLINK("https://www.boe.es/gazeta/dias/1810/01/02/pdfs/GGB-1810-1.pdf#page=6","Abrir facsímil")</f>
        <v>Abrir facsímil</v>
      </c>
      <c r="K5587" s="3" t="s">
        <v>76</v>
      </c>
    </row>
    <row r="5588" spans="1:11" ht="42" customHeight="1">
      <c r="A5588" s="2" t="s">
        <v>14303</v>
      </c>
      <c r="B5588" s="2" t="s">
        <v>14304</v>
      </c>
      <c r="C5588" s="2" t="s">
        <v>26</v>
      </c>
      <c r="D5588" s="2" t="s">
        <v>39</v>
      </c>
      <c r="E5588" s="4">
        <v>-32702</v>
      </c>
      <c r="F5588" s="3" t="s">
        <v>179</v>
      </c>
      <c r="G5588" s="3" t="s">
        <v>119</v>
      </c>
      <c r="H5588" s="2" t="s">
        <v>74</v>
      </c>
      <c r="I5588" s="2" t="s">
        <v>14305</v>
      </c>
      <c r="J5588" s="3" t="str">
        <f>HYPERLINK("https://www.boe.es/gazeta/dias/1810/06/18/pdfs/GMD-C-1810-169.pdf#page=1","Abrir facsímil")</f>
        <v>Abrir facsímil</v>
      </c>
      <c r="K5588" s="3" t="s">
        <v>76</v>
      </c>
    </row>
    <row r="5589" spans="1:11" ht="42" customHeight="1">
      <c r="A5589" s="2" t="s">
        <v>14306</v>
      </c>
      <c r="B5589" s="2" t="s">
        <v>14307</v>
      </c>
      <c r="C5589" s="2" t="s">
        <v>26</v>
      </c>
      <c r="D5589" s="2" t="s">
        <v>27</v>
      </c>
      <c r="E5589" s="4">
        <v>-32750</v>
      </c>
      <c r="F5589" s="3" t="s">
        <v>10042</v>
      </c>
      <c r="G5589" s="3" t="s">
        <v>14308</v>
      </c>
      <c r="H5589" s="2" t="s">
        <v>74</v>
      </c>
      <c r="I5589" s="2" t="s">
        <v>14309</v>
      </c>
      <c r="J5589" s="3" t="str">
        <f>HYPERLINK("https://www.boe.es/gazeta/dias/1810/05/01/pdfs/GEI-1810-19.pdf#page=3","Abrir facsímil")</f>
        <v>Abrir facsímil</v>
      </c>
      <c r="K5589" s="3" t="s">
        <v>76</v>
      </c>
    </row>
    <row r="5590" spans="1:11" ht="42" customHeight="1">
      <c r="A5590" s="2" t="s">
        <v>14310</v>
      </c>
      <c r="B5590" s="2" t="s">
        <v>14310</v>
      </c>
      <c r="C5590" s="2" t="s">
        <v>33</v>
      </c>
      <c r="D5590" s="2" t="s">
        <v>220</v>
      </c>
      <c r="E5590" s="4">
        <v>-32552</v>
      </c>
      <c r="F5590" s="3" t="s">
        <v>234</v>
      </c>
      <c r="G5590" s="3" t="s">
        <v>227</v>
      </c>
      <c r="H5590" s="2" t="s">
        <v>74</v>
      </c>
      <c r="I5590" s="2" t="s">
        <v>14311</v>
      </c>
      <c r="J5590" s="3" t="str">
        <f>HYPERLINK("https://www.boe.es/gazeta/dias/1810/11/15/pdfs/GMD-1810-319.pdf#page=2","Abrir facsímil")</f>
        <v>Abrir facsímil</v>
      </c>
      <c r="K5590" s="3" t="s">
        <v>76</v>
      </c>
    </row>
    <row r="5591" spans="1:11" ht="42" customHeight="1">
      <c r="A5591" s="2" t="s">
        <v>14312</v>
      </c>
      <c r="B5591" s="2" t="s">
        <v>14312</v>
      </c>
      <c r="C5591" s="2" t="s">
        <v>88</v>
      </c>
      <c r="D5591" s="2" t="s">
        <v>27</v>
      </c>
      <c r="E5591" s="4">
        <v>-32542</v>
      </c>
      <c r="F5591" s="3" t="s">
        <v>6175</v>
      </c>
      <c r="G5591" s="3" t="s">
        <v>5985</v>
      </c>
      <c r="H5591" s="2" t="s">
        <v>74</v>
      </c>
      <c r="I5591" s="2" t="s">
        <v>14313</v>
      </c>
      <c r="J5591" s="3" t="str">
        <f>HYPERLINK("https://www.boe.es/gazeta/dias/1810/11/25/pdfs/GMD-1810-329.pdf#page=3","Abrir facsímil")</f>
        <v>Abrir facsímil</v>
      </c>
      <c r="K5591" s="3" t="s">
        <v>76</v>
      </c>
    </row>
    <row r="5592" spans="1:11" ht="42" customHeight="1">
      <c r="A5592" s="2" t="s">
        <v>14314</v>
      </c>
      <c r="B5592" s="2" t="s">
        <v>14314</v>
      </c>
      <c r="C5592" s="2" t="s">
        <v>88</v>
      </c>
      <c r="D5592" s="2" t="s">
        <v>117</v>
      </c>
      <c r="E5592" s="4">
        <v>-32817</v>
      </c>
      <c r="F5592" s="3" t="s">
        <v>450</v>
      </c>
      <c r="G5592" s="3" t="s">
        <v>1638</v>
      </c>
      <c r="H5592" s="2" t="s">
        <v>74</v>
      </c>
      <c r="I5592" s="2" t="s">
        <v>14315</v>
      </c>
      <c r="J5592" s="3" t="str">
        <f>HYPERLINK("https://www.boe.es/gazeta/dias/1810/02/23/pdfs/GMD-1810-54.pdf#page=2","Abrir facsímil")</f>
        <v>Abrir facsímil</v>
      </c>
      <c r="K5592" s="3" t="s">
        <v>76</v>
      </c>
    </row>
    <row r="5593" spans="1:11" ht="42" customHeight="1">
      <c r="A5593" s="2" t="s">
        <v>14316</v>
      </c>
      <c r="B5593" s="2" t="s">
        <v>14316</v>
      </c>
      <c r="C5593" s="2" t="s">
        <v>88</v>
      </c>
      <c r="D5593" s="2" t="s">
        <v>117</v>
      </c>
      <c r="E5593" s="4">
        <v>-32769</v>
      </c>
      <c r="F5593" s="3" t="s">
        <v>1543</v>
      </c>
      <c r="G5593" s="3" t="s">
        <v>29</v>
      </c>
      <c r="H5593" s="2" t="s">
        <v>74</v>
      </c>
      <c r="I5593" s="2" t="s">
        <v>14317</v>
      </c>
      <c r="J5593" s="3" t="str">
        <f>HYPERLINK("https://www.boe.es/gazeta/dias/1810/04/12/pdfs/GMD-1810-102.pdf#page=2","Abrir facsímil")</f>
        <v>Abrir facsímil</v>
      </c>
      <c r="K5593" s="3" t="s">
        <v>76</v>
      </c>
    </row>
    <row r="5594" spans="1:11" ht="42" customHeight="1">
      <c r="A5594" s="2" t="s">
        <v>14316</v>
      </c>
      <c r="B5594" s="2" t="s">
        <v>14316</v>
      </c>
      <c r="C5594" s="2" t="s">
        <v>88</v>
      </c>
      <c r="D5594" s="2" t="s">
        <v>27</v>
      </c>
      <c r="E5594" s="4">
        <v>-32733</v>
      </c>
      <c r="F5594" s="3" t="s">
        <v>644</v>
      </c>
      <c r="G5594" s="3" t="s">
        <v>645</v>
      </c>
      <c r="H5594" s="2" t="s">
        <v>74</v>
      </c>
      <c r="I5594" s="2" t="s">
        <v>14318</v>
      </c>
      <c r="J5594" s="3" t="str">
        <f>HYPERLINK("https://www.boe.es/gazeta/dias/1810/05/18/pdfs/GMD-1810-138.pdf#page=3","Abrir facsímil")</f>
        <v>Abrir facsímil</v>
      </c>
      <c r="K5594" s="3" t="s">
        <v>76</v>
      </c>
    </row>
    <row r="5595" spans="1:11" ht="42" customHeight="1">
      <c r="A5595" s="2" t="s">
        <v>14316</v>
      </c>
      <c r="B5595" s="2" t="s">
        <v>14316</v>
      </c>
      <c r="C5595" s="2" t="s">
        <v>88</v>
      </c>
      <c r="D5595" s="2" t="s">
        <v>117</v>
      </c>
      <c r="E5595" s="4">
        <v>-32659</v>
      </c>
      <c r="F5595" s="3" t="s">
        <v>1684</v>
      </c>
      <c r="G5595" s="3" t="s">
        <v>14319</v>
      </c>
      <c r="H5595" s="2" t="s">
        <v>74</v>
      </c>
      <c r="I5595" s="2" t="s">
        <v>14320</v>
      </c>
      <c r="J5595" s="3" t="str">
        <f>HYPERLINK("https://www.boe.es/gazeta/dias/1810/07/31/pdfs/GMD-1810-212.pdf#page=1","Abrir facsímil")</f>
        <v>Abrir facsímil</v>
      </c>
      <c r="K5595" s="3" t="s">
        <v>76</v>
      </c>
    </row>
    <row r="5596" spans="1:11" ht="42" customHeight="1">
      <c r="A5596" s="2" t="s">
        <v>14316</v>
      </c>
      <c r="B5596" s="2" t="s">
        <v>14316</v>
      </c>
      <c r="C5596" s="2" t="s">
        <v>88</v>
      </c>
      <c r="D5596" s="2" t="s">
        <v>117</v>
      </c>
      <c r="E5596" s="4">
        <v>-32644</v>
      </c>
      <c r="F5596" s="3" t="s">
        <v>457</v>
      </c>
      <c r="G5596" s="3" t="s">
        <v>90</v>
      </c>
      <c r="H5596" s="2" t="s">
        <v>74</v>
      </c>
      <c r="I5596" s="2" t="s">
        <v>14321</v>
      </c>
      <c r="J5596" s="3" t="str">
        <f>HYPERLINK("https://www.boe.es/gazeta/dias/1810/08/15/pdfs/GMD-1810-227.pdf#page=2","Abrir facsímil")</f>
        <v>Abrir facsímil</v>
      </c>
      <c r="K5596" s="3" t="s">
        <v>76</v>
      </c>
    </row>
    <row r="5597" spans="1:11" ht="42" customHeight="1">
      <c r="A5597" s="2" t="s">
        <v>14316</v>
      </c>
      <c r="B5597" s="2" t="s">
        <v>14316</v>
      </c>
      <c r="C5597" s="2" t="s">
        <v>88</v>
      </c>
      <c r="D5597" s="2" t="s">
        <v>18</v>
      </c>
      <c r="E5597" s="4">
        <v>-32624</v>
      </c>
      <c r="F5597" s="3" t="s">
        <v>2838</v>
      </c>
      <c r="G5597" s="3" t="s">
        <v>70</v>
      </c>
      <c r="H5597" s="2" t="s">
        <v>74</v>
      </c>
      <c r="I5597" s="2" t="s">
        <v>14322</v>
      </c>
      <c r="J5597" s="3" t="str">
        <f>HYPERLINK("https://www.boe.es/gazeta/dias/1810/09/04/pdfs/GMD-1810-247.pdf#page=3","Abrir facsímil")</f>
        <v>Abrir facsímil</v>
      </c>
      <c r="K5597" s="3" t="s">
        <v>76</v>
      </c>
    </row>
    <row r="5598" spans="1:11" ht="42" customHeight="1">
      <c r="A5598" s="2" t="s">
        <v>14316</v>
      </c>
      <c r="B5598" s="2" t="s">
        <v>14316</v>
      </c>
      <c r="C5598" s="2" t="s">
        <v>88</v>
      </c>
      <c r="D5598" s="2" t="s">
        <v>117</v>
      </c>
      <c r="E5598" s="4">
        <v>-32609</v>
      </c>
      <c r="F5598" s="3" t="s">
        <v>5358</v>
      </c>
      <c r="G5598" s="3" t="s">
        <v>180</v>
      </c>
      <c r="H5598" s="2" t="s">
        <v>74</v>
      </c>
      <c r="I5598" s="2" t="s">
        <v>14323</v>
      </c>
      <c r="J5598" s="3" t="str">
        <f>HYPERLINK("https://www.boe.es/gazeta/dias/1810/09/19/pdfs/GMD-1810-262.pdf#page=3","Abrir facsímil")</f>
        <v>Abrir facsímil</v>
      </c>
      <c r="K5598" s="3" t="s">
        <v>76</v>
      </c>
    </row>
    <row r="5599" spans="1:11" ht="42" customHeight="1">
      <c r="A5599" s="2" t="s">
        <v>14316</v>
      </c>
      <c r="B5599" s="2" t="s">
        <v>14316</v>
      </c>
      <c r="C5599" s="2" t="s">
        <v>88</v>
      </c>
      <c r="D5599" s="2" t="s">
        <v>117</v>
      </c>
      <c r="E5599" s="4">
        <v>-32575</v>
      </c>
      <c r="F5599" s="3" t="s">
        <v>135</v>
      </c>
      <c r="G5599" s="3" t="s">
        <v>140</v>
      </c>
      <c r="H5599" s="2" t="s">
        <v>74</v>
      </c>
      <c r="I5599" s="2" t="s">
        <v>14324</v>
      </c>
      <c r="J5599" s="3" t="str">
        <f>HYPERLINK("https://www.boe.es/gazeta/dias/1810/10/23/pdfs/GEI-1810-85.pdf#page=10","Abrir facsímil")</f>
        <v>Abrir facsímil</v>
      </c>
      <c r="K5599" s="3" t="s">
        <v>76</v>
      </c>
    </row>
    <row r="5600" spans="1:11" ht="42" customHeight="1">
      <c r="A5600" s="2" t="s">
        <v>14316</v>
      </c>
      <c r="B5600" s="2" t="s">
        <v>14316</v>
      </c>
      <c r="C5600" s="2" t="s">
        <v>88</v>
      </c>
      <c r="D5600" s="2" t="s">
        <v>27</v>
      </c>
      <c r="E5600" s="4">
        <v>-32561</v>
      </c>
      <c r="F5600" s="3" t="s">
        <v>273</v>
      </c>
      <c r="G5600" s="3" t="s">
        <v>3749</v>
      </c>
      <c r="H5600" s="2" t="s">
        <v>74</v>
      </c>
      <c r="I5600" s="2" t="s">
        <v>14325</v>
      </c>
      <c r="J5600" s="3" t="str">
        <f>HYPERLINK("https://www.boe.es/gazeta/dias/1810/11/06/pdfs/GEI-1810-91.pdf#page=1","Abrir facsímil")</f>
        <v>Abrir facsímil</v>
      </c>
      <c r="K5600" s="3" t="s">
        <v>76</v>
      </c>
    </row>
    <row r="5601" spans="1:11" ht="42" customHeight="1">
      <c r="A5601" s="2" t="s">
        <v>14316</v>
      </c>
      <c r="B5601" s="2" t="s">
        <v>14316</v>
      </c>
      <c r="C5601" s="2" t="s">
        <v>88</v>
      </c>
      <c r="D5601" s="2" t="s">
        <v>117</v>
      </c>
      <c r="E5601" s="4">
        <v>-32552</v>
      </c>
      <c r="F5601" s="3" t="s">
        <v>234</v>
      </c>
      <c r="G5601" s="3" t="s">
        <v>227</v>
      </c>
      <c r="H5601" s="2" t="s">
        <v>74</v>
      </c>
      <c r="I5601" s="2" t="s">
        <v>14326</v>
      </c>
      <c r="J5601" s="3" t="str">
        <f>HYPERLINK("https://www.boe.es/gazeta/dias/1810/11/15/pdfs/GMD-1810-319.pdf#page=2","Abrir facsímil")</f>
        <v>Abrir facsímil</v>
      </c>
      <c r="K5601" s="3" t="s">
        <v>76</v>
      </c>
    </row>
    <row r="5602" spans="1:11" ht="42" customHeight="1">
      <c r="A5602" s="2" t="s">
        <v>14316</v>
      </c>
      <c r="B5602" s="2" t="s">
        <v>14316</v>
      </c>
      <c r="C5602" s="2" t="s">
        <v>88</v>
      </c>
      <c r="D5602" s="2" t="s">
        <v>117</v>
      </c>
      <c r="E5602" s="4">
        <v>-32552</v>
      </c>
      <c r="F5602" s="3" t="s">
        <v>234</v>
      </c>
      <c r="G5602" s="3" t="s">
        <v>99</v>
      </c>
      <c r="H5602" s="2" t="s">
        <v>74</v>
      </c>
      <c r="I5602" s="2" t="s">
        <v>14327</v>
      </c>
      <c r="J5602" s="3" t="str">
        <f>HYPERLINK("https://www.boe.es/gazeta/dias/1810/11/15/pdfs/GMD-1810-319.pdf#page=3","Abrir facsímil")</f>
        <v>Abrir facsímil</v>
      </c>
      <c r="K5602" s="3" t="s">
        <v>76</v>
      </c>
    </row>
    <row r="5603" spans="1:11" ht="42" customHeight="1">
      <c r="A5603" s="2" t="s">
        <v>14316</v>
      </c>
      <c r="B5603" s="2" t="s">
        <v>14316</v>
      </c>
      <c r="C5603" s="2" t="s">
        <v>88</v>
      </c>
      <c r="D5603" s="2" t="s">
        <v>117</v>
      </c>
      <c r="E5603" s="4">
        <v>-32547</v>
      </c>
      <c r="F5603" s="3" t="s">
        <v>14328</v>
      </c>
      <c r="G5603" s="3" t="s">
        <v>35</v>
      </c>
      <c r="H5603" s="2" t="s">
        <v>74</v>
      </c>
      <c r="I5603" s="2" t="s">
        <v>14329</v>
      </c>
      <c r="J5603" s="3" t="str">
        <f>HYPERLINK("https://www.boe.es/gazeta/dias/1810/11/20/pdfs/GMD-1810-324.pdf#page=2","Abrir facsímil")</f>
        <v>Abrir facsímil</v>
      </c>
      <c r="K5603" s="3" t="s">
        <v>76</v>
      </c>
    </row>
    <row r="5604" spans="1:11" ht="42" customHeight="1">
      <c r="A5604" s="2" t="s">
        <v>14316</v>
      </c>
      <c r="B5604" s="2" t="s">
        <v>14316</v>
      </c>
      <c r="C5604" s="2" t="s">
        <v>26</v>
      </c>
      <c r="D5604" s="2" t="s">
        <v>27</v>
      </c>
      <c r="E5604" s="4">
        <v>-32542</v>
      </c>
      <c r="F5604" s="3" t="s">
        <v>6175</v>
      </c>
      <c r="G5604" s="3" t="s">
        <v>5985</v>
      </c>
      <c r="H5604" s="2" t="s">
        <v>74</v>
      </c>
      <c r="I5604" s="2" t="s">
        <v>14330</v>
      </c>
      <c r="J5604" s="3" t="str">
        <f>HYPERLINK("https://www.boe.es/gazeta/dias/1810/11/25/pdfs/GMD-1810-329.pdf#page=2","Abrir facsímil")</f>
        <v>Abrir facsímil</v>
      </c>
      <c r="K5604" s="3" t="s">
        <v>76</v>
      </c>
    </row>
    <row r="5605" spans="1:11" ht="42" customHeight="1">
      <c r="A5605" s="2" t="s">
        <v>14316</v>
      </c>
      <c r="B5605" s="2" t="s">
        <v>14316</v>
      </c>
      <c r="C5605" s="2" t="s">
        <v>26</v>
      </c>
      <c r="D5605" s="2" t="s">
        <v>27</v>
      </c>
      <c r="E5605" s="4">
        <v>-32540</v>
      </c>
      <c r="F5605" s="3" t="s">
        <v>255</v>
      </c>
      <c r="G5605" s="3" t="s">
        <v>1659</v>
      </c>
      <c r="H5605" s="2" t="s">
        <v>74</v>
      </c>
      <c r="I5605" s="2" t="s">
        <v>14331</v>
      </c>
      <c r="J5605" s="3" t="str">
        <f>HYPERLINK("https://www.boe.es/gazeta/dias/1810/11/27/pdfs/GMD-1810-331.pdf#page=1","Abrir facsímil")</f>
        <v>Abrir facsímil</v>
      </c>
      <c r="K5605" s="3" t="s">
        <v>76</v>
      </c>
    </row>
    <row r="5606" spans="1:11" ht="42" customHeight="1">
      <c r="A5606" s="2" t="s">
        <v>14316</v>
      </c>
      <c r="B5606" s="2" t="s">
        <v>14316</v>
      </c>
      <c r="C5606" s="2" t="s">
        <v>88</v>
      </c>
      <c r="D5606" s="2" t="s">
        <v>27</v>
      </c>
      <c r="E5606" s="4">
        <v>-32539</v>
      </c>
      <c r="F5606" s="3" t="s">
        <v>11216</v>
      </c>
      <c r="G5606" s="3" t="s">
        <v>473</v>
      </c>
      <c r="H5606" s="2" t="s">
        <v>74</v>
      </c>
      <c r="I5606" s="2" t="s">
        <v>14332</v>
      </c>
      <c r="J5606" s="3" t="str">
        <f>HYPERLINK("https://www.boe.es/gazeta/dias/1810/11/28/pdfs/GMD-1810-332.pdf#page=3","Abrir facsímil")</f>
        <v>Abrir facsímil</v>
      </c>
      <c r="K5606" s="3" t="s">
        <v>76</v>
      </c>
    </row>
    <row r="5607" spans="1:11" ht="42" customHeight="1">
      <c r="A5607" s="2" t="s">
        <v>14316</v>
      </c>
      <c r="B5607" s="2" t="s">
        <v>14316</v>
      </c>
      <c r="C5607" s="2" t="s">
        <v>88</v>
      </c>
      <c r="D5607" s="2" t="s">
        <v>117</v>
      </c>
      <c r="E5607" s="4">
        <v>-32525</v>
      </c>
      <c r="F5607" s="3" t="s">
        <v>9404</v>
      </c>
      <c r="G5607" s="3" t="s">
        <v>99</v>
      </c>
      <c r="H5607" s="2" t="s">
        <v>74</v>
      </c>
      <c r="I5607" s="2" t="s">
        <v>14333</v>
      </c>
      <c r="J5607" s="3" t="str">
        <f>HYPERLINK("https://www.boe.es/gazeta/dias/1810/12/12/pdfs/GMD-1810-346.pdf#page=3","Abrir facsímil")</f>
        <v>Abrir facsímil</v>
      </c>
      <c r="K5607" s="3" t="s">
        <v>76</v>
      </c>
    </row>
    <row r="5608" spans="1:11" ht="42" customHeight="1">
      <c r="A5608" s="2" t="s">
        <v>14316</v>
      </c>
      <c r="B5608" s="2" t="s">
        <v>14316</v>
      </c>
      <c r="C5608" s="2" t="s">
        <v>26</v>
      </c>
      <c r="D5608" s="2" t="s">
        <v>27</v>
      </c>
      <c r="E5608" s="4">
        <v>-32508</v>
      </c>
      <c r="F5608" s="3" t="s">
        <v>2609</v>
      </c>
      <c r="G5608" s="3" t="s">
        <v>227</v>
      </c>
      <c r="H5608" s="2" t="s">
        <v>74</v>
      </c>
      <c r="I5608" s="2" t="s">
        <v>14334</v>
      </c>
      <c r="J5608" s="3" t="str">
        <f>HYPERLINK("https://www.boe.es/gazeta/dias/1810/12/29/pdfs/GMD-1810-363.pdf#page=2","Abrir facsímil")</f>
        <v>Abrir facsímil</v>
      </c>
      <c r="K5608" s="3" t="s">
        <v>76</v>
      </c>
    </row>
    <row r="5609" spans="1:11" ht="42" customHeight="1">
      <c r="A5609" s="2" t="s">
        <v>14335</v>
      </c>
      <c r="B5609" s="2" t="s">
        <v>14335</v>
      </c>
      <c r="C5609" s="2" t="s">
        <v>88</v>
      </c>
      <c r="D5609" s="2" t="s">
        <v>220</v>
      </c>
      <c r="E5609" s="4">
        <v>-32804</v>
      </c>
      <c r="F5609" s="3" t="s">
        <v>583</v>
      </c>
      <c r="G5609" s="3" t="s">
        <v>584</v>
      </c>
      <c r="H5609" s="2" t="s">
        <v>74</v>
      </c>
      <c r="I5609" s="2" t="s">
        <v>14336</v>
      </c>
      <c r="J5609" s="3" t="str">
        <f>HYPERLINK("https://www.boe.es/gazeta/dias/1810/03/08/pdfs/GMD-1810-67.pdf#page=1","Abrir facsímil")</f>
        <v>Abrir facsímil</v>
      </c>
      <c r="K5609" s="3" t="s">
        <v>76</v>
      </c>
    </row>
    <row r="5610" spans="1:11" ht="42" customHeight="1">
      <c r="A5610" s="2" t="s">
        <v>14337</v>
      </c>
      <c r="B5610" s="2" t="s">
        <v>14338</v>
      </c>
      <c r="C5610" s="2" t="s">
        <v>26</v>
      </c>
      <c r="D5610" s="2" t="s">
        <v>27</v>
      </c>
      <c r="E5610" s="4">
        <v>-32689</v>
      </c>
      <c r="F5610" s="3" t="s">
        <v>571</v>
      </c>
      <c r="G5610" s="3" t="s">
        <v>29</v>
      </c>
      <c r="H5610" s="2" t="s">
        <v>74</v>
      </c>
      <c r="I5610" s="2" t="s">
        <v>14339</v>
      </c>
      <c r="J5610" s="3" t="str">
        <f>HYPERLINK("https://www.boe.es/gazeta/dias/1810/07/01/pdfs/GMD-1810-182.pdf#page=3","Abrir facsímil")</f>
        <v>Abrir facsímil</v>
      </c>
      <c r="K5610" s="3" t="s">
        <v>76</v>
      </c>
    </row>
    <row r="5611" spans="1:11" ht="42" customHeight="1">
      <c r="A5611" s="2" t="s">
        <v>14340</v>
      </c>
      <c r="B5611" s="2" t="s">
        <v>14340</v>
      </c>
      <c r="C5611" s="2" t="s">
        <v>88</v>
      </c>
      <c r="D5611" s="2" t="s">
        <v>117</v>
      </c>
      <c r="E5611" s="4">
        <v>-32671</v>
      </c>
      <c r="F5611" s="3" t="s">
        <v>3682</v>
      </c>
      <c r="G5611" s="3" t="s">
        <v>2864</v>
      </c>
      <c r="H5611" s="2" t="s">
        <v>74</v>
      </c>
      <c r="I5611" s="2" t="s">
        <v>14341</v>
      </c>
      <c r="J5611" s="3" t="str">
        <f>HYPERLINK("https://www.boe.es/gazeta/dias/1810/07/19/pdfs/GMD-1810-200.pdf#page=3","Abrir facsímil")</f>
        <v>Abrir facsímil</v>
      </c>
      <c r="K5611" s="3" t="s">
        <v>76</v>
      </c>
    </row>
    <row r="5612" spans="1:11" ht="42" customHeight="1">
      <c r="A5612" s="2" t="s">
        <v>14342</v>
      </c>
      <c r="B5612" s="2" t="s">
        <v>14343</v>
      </c>
      <c r="C5612" s="2" t="s">
        <v>88</v>
      </c>
      <c r="D5612" s="2" t="s">
        <v>18</v>
      </c>
      <c r="E5612" s="4">
        <v>-32761</v>
      </c>
      <c r="F5612" s="3" t="s">
        <v>2093</v>
      </c>
      <c r="G5612" s="3" t="s">
        <v>2094</v>
      </c>
      <c r="H5612" s="2" t="s">
        <v>74</v>
      </c>
      <c r="I5612" s="2" t="s">
        <v>14344</v>
      </c>
      <c r="J5612" s="3" t="str">
        <f>HYPERLINK("https://www.boe.es/gazeta/dias/1810/04/20/pdfs/GMD-1810-110.pdf#page=2","Abrir facsímil")</f>
        <v>Abrir facsímil</v>
      </c>
      <c r="K5612" s="3" t="s">
        <v>76</v>
      </c>
    </row>
    <row r="5613" spans="1:11" ht="42" customHeight="1">
      <c r="A5613" s="2" t="s">
        <v>14345</v>
      </c>
      <c r="B5613" s="2" t="s">
        <v>14346</v>
      </c>
      <c r="C5613" s="2" t="s">
        <v>26</v>
      </c>
      <c r="D5613" s="2" t="s">
        <v>27</v>
      </c>
      <c r="E5613" s="4">
        <v>-32575</v>
      </c>
      <c r="F5613" s="3" t="s">
        <v>135</v>
      </c>
      <c r="G5613" s="3" t="s">
        <v>140</v>
      </c>
      <c r="H5613" s="2" t="s">
        <v>74</v>
      </c>
      <c r="I5613" s="2" t="s">
        <v>14347</v>
      </c>
      <c r="J5613" s="3" t="str">
        <f>HYPERLINK("https://www.boe.es/gazeta/dias/1810/10/23/pdfs/GEI-1810-85.pdf#page=10","Abrir facsímil")</f>
        <v>Abrir facsímil</v>
      </c>
      <c r="K5613" s="3" t="s">
        <v>76</v>
      </c>
    </row>
    <row r="5614" spans="1:11" ht="42" customHeight="1">
      <c r="A5614" s="2" t="s">
        <v>14348</v>
      </c>
      <c r="B5614" s="2" t="s">
        <v>14349</v>
      </c>
      <c r="C5614" s="2" t="s">
        <v>26</v>
      </c>
      <c r="D5614" s="2" t="s">
        <v>27</v>
      </c>
      <c r="E5614" s="4">
        <v>-32575</v>
      </c>
      <c r="F5614" s="3" t="s">
        <v>135</v>
      </c>
      <c r="G5614" s="3" t="s">
        <v>136</v>
      </c>
      <c r="H5614" s="2" t="s">
        <v>74</v>
      </c>
      <c r="I5614" s="2" t="s">
        <v>14350</v>
      </c>
      <c r="J5614" s="3" t="str">
        <f>HYPERLINK("https://www.boe.es/gazeta/dias/1810/10/23/pdfs/GEI-1810-85.pdf#page=11","Abrir facsímil")</f>
        <v>Abrir facsímil</v>
      </c>
      <c r="K5614" s="3" t="s">
        <v>76</v>
      </c>
    </row>
    <row r="5615" spans="1:11" ht="42" customHeight="1">
      <c r="A5615" s="2" t="s">
        <v>14351</v>
      </c>
      <c r="B5615" s="2" t="s">
        <v>14352</v>
      </c>
      <c r="C5615" s="2" t="s">
        <v>111</v>
      </c>
      <c r="D5615" s="2" t="s">
        <v>18</v>
      </c>
      <c r="E5615" s="4">
        <v>-32764</v>
      </c>
      <c r="F5615" s="3" t="s">
        <v>640</v>
      </c>
      <c r="G5615" s="3" t="s">
        <v>641</v>
      </c>
      <c r="H5615" s="2" t="s">
        <v>74</v>
      </c>
      <c r="I5615" s="2" t="s">
        <v>14353</v>
      </c>
      <c r="J5615" s="3" t="str">
        <f>HYPERLINK("https://www.boe.es/gazeta/dias/1810/04/17/pdfs/GEI-1810-15.pdf#page=8","Abrir facsímil")</f>
        <v>Abrir facsímil</v>
      </c>
      <c r="K5615" s="3" t="s">
        <v>76</v>
      </c>
    </row>
    <row r="5616" spans="1:11" ht="42" customHeight="1">
      <c r="A5616" s="2" t="s">
        <v>14354</v>
      </c>
      <c r="B5616" s="2" t="s">
        <v>14355</v>
      </c>
      <c r="C5616" s="2" t="s">
        <v>26</v>
      </c>
      <c r="D5616" s="2" t="s">
        <v>27</v>
      </c>
      <c r="E5616" s="4">
        <v>-32669</v>
      </c>
      <c r="F5616" s="3" t="s">
        <v>217</v>
      </c>
      <c r="G5616" s="3" t="s">
        <v>29</v>
      </c>
      <c r="H5616" s="2" t="s">
        <v>74</v>
      </c>
      <c r="I5616" s="2" t="s">
        <v>14356</v>
      </c>
      <c r="J5616" s="3" t="str">
        <f>HYPERLINK("https://www.boe.es/gazeta/dias/1810/07/21/pdfs/GMD-1810-202.pdf#page=3","Abrir facsímil")</f>
        <v>Abrir facsímil</v>
      </c>
      <c r="K5616" s="3" t="s">
        <v>76</v>
      </c>
    </row>
    <row r="5617" spans="1:11" ht="42" customHeight="1">
      <c r="A5617" s="2" t="s">
        <v>14357</v>
      </c>
      <c r="B5617" s="2" t="s">
        <v>14357</v>
      </c>
      <c r="C5617" s="2" t="s">
        <v>33</v>
      </c>
      <c r="D5617" s="2" t="s">
        <v>27</v>
      </c>
      <c r="E5617" s="4">
        <v>-32707</v>
      </c>
      <c r="F5617" s="3" t="s">
        <v>1753</v>
      </c>
      <c r="G5617" s="3" t="s">
        <v>227</v>
      </c>
      <c r="H5617" s="2" t="s">
        <v>74</v>
      </c>
      <c r="I5617" s="2" t="s">
        <v>14358</v>
      </c>
      <c r="J5617" s="3" t="str">
        <f>HYPERLINK("https://www.boe.es/gazeta/dias/1810/06/13/pdfs/GMD-1810-164.pdf#page=4","Abrir facsímil")</f>
        <v>Abrir facsímil</v>
      </c>
      <c r="K5617" s="3" t="s">
        <v>76</v>
      </c>
    </row>
    <row r="5618" spans="1:11" ht="42" customHeight="1">
      <c r="A5618" s="2" t="s">
        <v>14359</v>
      </c>
      <c r="B5618" s="2" t="s">
        <v>14360</v>
      </c>
      <c r="C5618" s="2" t="s">
        <v>225</v>
      </c>
      <c r="D5618" s="2" t="s">
        <v>27</v>
      </c>
      <c r="E5618" s="4">
        <v>-32531</v>
      </c>
      <c r="F5618" s="3" t="s">
        <v>2023</v>
      </c>
      <c r="G5618" s="3" t="s">
        <v>29</v>
      </c>
      <c r="H5618" s="2" t="s">
        <v>74</v>
      </c>
      <c r="I5618" s="2" t="s">
        <v>14361</v>
      </c>
      <c r="J5618" s="3" t="str">
        <f>HYPERLINK("https://www.boe.es/gazeta/dias/1810/12/06/pdfs/GMD-1810-340.pdf#page=4","Abrir facsímil")</f>
        <v>Abrir facsímil</v>
      </c>
      <c r="K5618" s="3" t="s">
        <v>76</v>
      </c>
    </row>
    <row r="5619" spans="1:11" ht="42" customHeight="1">
      <c r="A5619" s="2" t="s">
        <v>14362</v>
      </c>
      <c r="B5619" s="2" t="s">
        <v>14363</v>
      </c>
      <c r="C5619" s="2" t="s">
        <v>26</v>
      </c>
      <c r="D5619" s="2" t="s">
        <v>27</v>
      </c>
      <c r="E5619" s="4">
        <v>-32580</v>
      </c>
      <c r="F5619" s="3" t="s">
        <v>833</v>
      </c>
      <c r="G5619" s="3" t="s">
        <v>1488</v>
      </c>
      <c r="H5619" s="2" t="s">
        <v>74</v>
      </c>
      <c r="I5619" s="2" t="s">
        <v>14364</v>
      </c>
      <c r="J5619" s="3" t="str">
        <f>HYPERLINK("https://www.boe.es/gazeta/dias/1810/10/18/pdfs/GMD-1810-291.pdf#page=4","Abrir facsímil")</f>
        <v>Abrir facsímil</v>
      </c>
      <c r="K5619" s="3" t="s">
        <v>76</v>
      </c>
    </row>
    <row r="5620" spans="1:11" ht="42" customHeight="1">
      <c r="A5620" s="2" t="s">
        <v>14365</v>
      </c>
      <c r="B5620" s="2" t="s">
        <v>14365</v>
      </c>
      <c r="C5620" s="2" t="s">
        <v>26</v>
      </c>
      <c r="D5620" s="2" t="s">
        <v>39</v>
      </c>
      <c r="E5620" s="4">
        <v>-32701</v>
      </c>
      <c r="F5620" s="3" t="s">
        <v>40</v>
      </c>
      <c r="G5620" s="3" t="s">
        <v>170</v>
      </c>
      <c r="H5620" s="2" t="s">
        <v>74</v>
      </c>
      <c r="I5620" s="2" t="s">
        <v>14366</v>
      </c>
      <c r="J5620" s="3" t="str">
        <f>HYPERLINK("https://www.boe.es/gazeta/dias/1810/06/19/pdfs/GMD-C-1810-170.pdf#page=1","Abrir facsímil")</f>
        <v>Abrir facsímil</v>
      </c>
      <c r="K5620" s="3" t="s">
        <v>76</v>
      </c>
    </row>
    <row r="5621" spans="1:11" ht="42" customHeight="1">
      <c r="A5621" s="2" t="s">
        <v>14367</v>
      </c>
      <c r="B5621" s="2" t="s">
        <v>14368</v>
      </c>
      <c r="C5621" s="2" t="s">
        <v>26</v>
      </c>
      <c r="D5621" s="2" t="s">
        <v>27</v>
      </c>
      <c r="E5621" s="4">
        <v>-32654</v>
      </c>
      <c r="F5621" s="3" t="s">
        <v>1226</v>
      </c>
      <c r="G5621" s="3" t="s">
        <v>180</v>
      </c>
      <c r="H5621" s="2" t="s">
        <v>74</v>
      </c>
      <c r="I5621" s="2" t="s">
        <v>14369</v>
      </c>
      <c r="J5621" s="3" t="str">
        <f>HYPERLINK("https://www.boe.es/gazeta/dias/1810/08/05/pdfs/GMD-1810-217.pdf#page=4","Abrir facsímil")</f>
        <v>Abrir facsímil</v>
      </c>
      <c r="K5621" s="3" t="s">
        <v>76</v>
      </c>
    </row>
    <row r="5622" spans="1:11" ht="42" customHeight="1">
      <c r="A5622" s="2" t="s">
        <v>14370</v>
      </c>
      <c r="B5622" s="2" t="s">
        <v>14370</v>
      </c>
      <c r="C5622" s="2" t="s">
        <v>88</v>
      </c>
      <c r="D5622" s="2" t="s">
        <v>27</v>
      </c>
      <c r="E5622" s="4">
        <v>-32771</v>
      </c>
      <c r="F5622" s="3" t="s">
        <v>543</v>
      </c>
      <c r="G5622" s="3" t="s">
        <v>65</v>
      </c>
      <c r="H5622" s="2" t="s">
        <v>74</v>
      </c>
      <c r="I5622" s="2" t="s">
        <v>14371</v>
      </c>
      <c r="J5622" s="3" t="str">
        <f>HYPERLINK("https://www.boe.es/gazeta/dias/1810/04/10/pdfs/GEI-1810-13.pdf#page=7","Abrir facsímil")</f>
        <v>Abrir facsímil</v>
      </c>
      <c r="K5622" s="3" t="s">
        <v>76</v>
      </c>
    </row>
    <row r="5623" spans="1:11" ht="42" customHeight="1">
      <c r="A5623" s="2" t="s">
        <v>14370</v>
      </c>
      <c r="B5623" s="2" t="s">
        <v>14370</v>
      </c>
      <c r="C5623" s="2" t="s">
        <v>88</v>
      </c>
      <c r="D5623" s="2" t="s">
        <v>27</v>
      </c>
      <c r="E5623" s="4">
        <v>-32700</v>
      </c>
      <c r="F5623" s="3" t="s">
        <v>89</v>
      </c>
      <c r="G5623" s="3" t="s">
        <v>29</v>
      </c>
      <c r="H5623" s="2" t="s">
        <v>74</v>
      </c>
      <c r="I5623" s="2" t="s">
        <v>14372</v>
      </c>
      <c r="J5623" s="3" t="str">
        <f>HYPERLINK("https://www.boe.es/gazeta/dias/1810/06/20/pdfs/GMD-1810-171.pdf#page=3","Abrir facsímil")</f>
        <v>Abrir facsímil</v>
      </c>
      <c r="K5623" s="3" t="s">
        <v>76</v>
      </c>
    </row>
    <row r="5624" spans="1:11" ht="42" customHeight="1">
      <c r="A5624" s="2" t="s">
        <v>14373</v>
      </c>
      <c r="B5624" s="2" t="s">
        <v>14374</v>
      </c>
      <c r="C5624" s="2" t="s">
        <v>26</v>
      </c>
      <c r="D5624" s="2" t="s">
        <v>27</v>
      </c>
      <c r="E5624" s="4">
        <v>-32547</v>
      </c>
      <c r="F5624" s="3" t="s">
        <v>407</v>
      </c>
      <c r="G5624" s="3" t="s">
        <v>408</v>
      </c>
      <c r="H5624" s="2" t="s">
        <v>74</v>
      </c>
      <c r="I5624" s="2" t="s">
        <v>14375</v>
      </c>
      <c r="J5624" s="3" t="str">
        <f>HYPERLINK("https://www.boe.es/gazeta/dias/1810/11/20/pdfs/GEI-1810-97.pdf#page=8","Abrir facsímil")</f>
        <v>Abrir facsímil</v>
      </c>
      <c r="K5624" s="3" t="s">
        <v>76</v>
      </c>
    </row>
    <row r="5625" spans="1:11" ht="42" customHeight="1">
      <c r="A5625" s="2" t="s">
        <v>14376</v>
      </c>
      <c r="B5625" s="2" t="s">
        <v>14377</v>
      </c>
      <c r="C5625" s="2" t="s">
        <v>88</v>
      </c>
      <c r="D5625" s="2" t="s">
        <v>117</v>
      </c>
      <c r="E5625" s="4">
        <v>-32589</v>
      </c>
      <c r="F5625" s="3" t="s">
        <v>3026</v>
      </c>
      <c r="G5625" s="3" t="s">
        <v>1894</v>
      </c>
      <c r="H5625" s="2" t="s">
        <v>74</v>
      </c>
      <c r="I5625" s="2" t="s">
        <v>14378</v>
      </c>
      <c r="J5625" s="3" t="str">
        <f>HYPERLINK("https://www.boe.es/gazeta/dias/1810/10/09/pdfs/GEI-1810-79.pdf#page=3","Abrir facsímil")</f>
        <v>Abrir facsímil</v>
      </c>
      <c r="K5625" s="3" t="s">
        <v>76</v>
      </c>
    </row>
    <row r="5626" spans="1:11" ht="42" customHeight="1">
      <c r="A5626" s="2" t="s">
        <v>14379</v>
      </c>
      <c r="B5626" s="2" t="s">
        <v>14380</v>
      </c>
      <c r="C5626" s="2" t="s">
        <v>88</v>
      </c>
      <c r="D5626" s="2" t="s">
        <v>117</v>
      </c>
      <c r="E5626" s="4">
        <v>-32697</v>
      </c>
      <c r="F5626" s="3" t="s">
        <v>1859</v>
      </c>
      <c r="G5626" s="3" t="s">
        <v>70</v>
      </c>
      <c r="H5626" s="2" t="s">
        <v>74</v>
      </c>
      <c r="I5626" s="2" t="s">
        <v>14381</v>
      </c>
      <c r="J5626" s="3" t="str">
        <f>HYPERLINK("https://www.boe.es/gazeta/dias/1810/06/23/pdfs/GMD-1810-174.pdf#page=4","Abrir facsímil")</f>
        <v>Abrir facsímil</v>
      </c>
      <c r="K5626" s="3" t="s">
        <v>76</v>
      </c>
    </row>
    <row r="5627" spans="1:11" ht="42" customHeight="1">
      <c r="A5627" s="2" t="s">
        <v>14382</v>
      </c>
      <c r="B5627" s="2" t="s">
        <v>14383</v>
      </c>
      <c r="C5627" s="2" t="s">
        <v>26</v>
      </c>
      <c r="D5627" s="2" t="s">
        <v>39</v>
      </c>
      <c r="E5627" s="4">
        <v>-32701</v>
      </c>
      <c r="F5627" s="3" t="s">
        <v>40</v>
      </c>
      <c r="G5627" s="3" t="s">
        <v>170</v>
      </c>
      <c r="H5627" s="2" t="s">
        <v>74</v>
      </c>
      <c r="I5627" s="2" t="s">
        <v>14384</v>
      </c>
      <c r="J5627" s="3" t="str">
        <f>HYPERLINK("https://www.boe.es/gazeta/dias/1810/06/19/pdfs/GMD-C-1810-170.pdf#page=1","Abrir facsímil")</f>
        <v>Abrir facsímil</v>
      </c>
      <c r="K5627" s="3" t="s">
        <v>76</v>
      </c>
    </row>
    <row r="5628" spans="1:11" ht="42" customHeight="1">
      <c r="A5628" s="2" t="s">
        <v>14385</v>
      </c>
      <c r="B5628" s="2" t="s">
        <v>14386</v>
      </c>
      <c r="C5628" s="2" t="s">
        <v>26</v>
      </c>
      <c r="D5628" s="2" t="s">
        <v>39</v>
      </c>
      <c r="E5628" s="4">
        <v>-32701</v>
      </c>
      <c r="F5628" s="3" t="s">
        <v>40</v>
      </c>
      <c r="G5628" s="3" t="s">
        <v>315</v>
      </c>
      <c r="H5628" s="2" t="s">
        <v>74</v>
      </c>
      <c r="I5628" s="2" t="s">
        <v>14387</v>
      </c>
      <c r="J5628" s="3" t="str">
        <f>HYPERLINK("https://www.boe.es/gazeta/dias/1810/06/19/pdfs/GMD-C-1810-170.pdf#page=2","Abrir facsímil")</f>
        <v>Abrir facsímil</v>
      </c>
      <c r="K5628" s="3" t="s">
        <v>76</v>
      </c>
    </row>
    <row r="5629" spans="1:11" ht="42" customHeight="1">
      <c r="A5629" s="2" t="s">
        <v>14388</v>
      </c>
      <c r="B5629" s="2" t="s">
        <v>14389</v>
      </c>
      <c r="C5629" s="2" t="s">
        <v>111</v>
      </c>
      <c r="D5629" s="2" t="s">
        <v>220</v>
      </c>
      <c r="E5629" s="4">
        <v>-32743</v>
      </c>
      <c r="F5629" s="3" t="s">
        <v>2265</v>
      </c>
      <c r="G5629" s="3" t="s">
        <v>2266</v>
      </c>
      <c r="H5629" s="2" t="s">
        <v>74</v>
      </c>
      <c r="I5629" s="2" t="s">
        <v>14390</v>
      </c>
      <c r="J5629" s="3" t="str">
        <f>HYPERLINK("https://www.boe.es/gazeta/dias/1810/05/08/pdfs/GEI-1810-22.pdf#page=8","Abrir facsímil")</f>
        <v>Abrir facsímil</v>
      </c>
      <c r="K5629" s="3" t="s">
        <v>76</v>
      </c>
    </row>
    <row r="5630" spans="1:11" ht="42" customHeight="1">
      <c r="A5630" s="2" t="s">
        <v>14391</v>
      </c>
      <c r="B5630" s="2" t="s">
        <v>14392</v>
      </c>
      <c r="C5630" s="2" t="s">
        <v>225</v>
      </c>
      <c r="D5630" s="2" t="s">
        <v>117</v>
      </c>
      <c r="E5630" s="4">
        <v>-32851</v>
      </c>
      <c r="F5630" s="3" t="s">
        <v>4243</v>
      </c>
      <c r="G5630" s="3" t="s">
        <v>20</v>
      </c>
      <c r="H5630" s="2" t="s">
        <v>74</v>
      </c>
      <c r="I5630" s="2" t="s">
        <v>14393</v>
      </c>
      <c r="J5630" s="3" t="str">
        <f>HYPERLINK("https://www.boe.es/gazeta/dias/1810/01/20/pdfs/GMD-1810-20.pdf#page=4","Abrir facsímil")</f>
        <v>Abrir facsímil</v>
      </c>
      <c r="K5630" s="3" t="s">
        <v>76</v>
      </c>
    </row>
    <row r="5631" spans="1:11" ht="42" customHeight="1">
      <c r="A5631" s="2" t="s">
        <v>14394</v>
      </c>
      <c r="B5631" s="2" t="s">
        <v>14395</v>
      </c>
      <c r="C5631" s="2" t="s">
        <v>88</v>
      </c>
      <c r="D5631" s="2" t="s">
        <v>58</v>
      </c>
      <c r="E5631" s="4">
        <v>-32629</v>
      </c>
      <c r="F5631" s="3" t="s">
        <v>4320</v>
      </c>
      <c r="G5631" s="3" t="s">
        <v>4321</v>
      </c>
      <c r="H5631" s="2" t="s">
        <v>74</v>
      </c>
      <c r="I5631" s="2" t="s">
        <v>14396</v>
      </c>
      <c r="J5631" s="3" t="str">
        <f>HYPERLINK("https://www.boe.es/gazeta/dias/1810/08/30/pdfs/GEI-1810-61E.pdf#page=1","Abrir facsímil")</f>
        <v>Abrir facsímil</v>
      </c>
      <c r="K5631" s="3" t="s">
        <v>76</v>
      </c>
    </row>
    <row r="5632" spans="1:11" ht="42" customHeight="1">
      <c r="A5632" s="2" t="s">
        <v>14397</v>
      </c>
      <c r="B5632" s="2" t="s">
        <v>14397</v>
      </c>
      <c r="C5632" s="2" t="s">
        <v>26</v>
      </c>
      <c r="D5632" s="2" t="s">
        <v>27</v>
      </c>
      <c r="E5632" s="4">
        <v>-32685</v>
      </c>
      <c r="F5632" s="3" t="s">
        <v>1106</v>
      </c>
      <c r="G5632" s="3" t="s">
        <v>20</v>
      </c>
      <c r="H5632" s="2" t="s">
        <v>74</v>
      </c>
      <c r="I5632" s="2" t="s">
        <v>14398</v>
      </c>
      <c r="J5632" s="3" t="str">
        <f>HYPERLINK("https://www.boe.es/gazeta/dias/1810/07/05/pdfs/GMD-1810-186.pdf#page=4","Abrir facsímil")</f>
        <v>Abrir facsímil</v>
      </c>
      <c r="K5632" s="3" t="s">
        <v>76</v>
      </c>
    </row>
    <row r="5633" spans="1:11" ht="42" customHeight="1">
      <c r="A5633" s="2" t="s">
        <v>14399</v>
      </c>
      <c r="B5633" s="2" t="s">
        <v>14399</v>
      </c>
      <c r="C5633" s="2" t="s">
        <v>17</v>
      </c>
      <c r="D5633" s="2" t="s">
        <v>27</v>
      </c>
      <c r="E5633" s="4">
        <v>-32553</v>
      </c>
      <c r="F5633" s="3" t="s">
        <v>2276</v>
      </c>
      <c r="G5633" s="3" t="s">
        <v>1656</v>
      </c>
      <c r="H5633" s="2" t="s">
        <v>74</v>
      </c>
      <c r="I5633" s="2" t="s">
        <v>14400</v>
      </c>
      <c r="J5633" s="3" t="str">
        <f>HYPERLINK("https://www.boe.es/gazeta/dias/1810/11/14/pdfs/GMD-1810-318.pdf#page=4","Abrir facsímil")</f>
        <v>Abrir facsímil</v>
      </c>
      <c r="K5633" s="3" t="s">
        <v>76</v>
      </c>
    </row>
    <row r="5634" spans="1:11" ht="42" customHeight="1">
      <c r="A5634" s="2" t="s">
        <v>14401</v>
      </c>
      <c r="B5634" s="2" t="s">
        <v>14401</v>
      </c>
      <c r="C5634" s="2" t="s">
        <v>88</v>
      </c>
      <c r="D5634" s="2" t="s">
        <v>27</v>
      </c>
      <c r="E5634" s="4">
        <v>-32562</v>
      </c>
      <c r="F5634" s="3" t="s">
        <v>1186</v>
      </c>
      <c r="G5634" s="3" t="s">
        <v>29</v>
      </c>
      <c r="H5634" s="2" t="s">
        <v>74</v>
      </c>
      <c r="I5634" s="2" t="s">
        <v>14402</v>
      </c>
      <c r="J5634" s="3" t="str">
        <f>HYPERLINK("https://www.boe.es/gazeta/dias/1810/11/05/pdfs/GMD-1810-309.pdf#page=2","Abrir facsímil")</f>
        <v>Abrir facsímil</v>
      </c>
      <c r="K5634" s="3" t="s">
        <v>76</v>
      </c>
    </row>
    <row r="5635" spans="1:11" ht="42" customHeight="1">
      <c r="A5635" s="2" t="s">
        <v>14403</v>
      </c>
      <c r="B5635" s="2" t="s">
        <v>14404</v>
      </c>
      <c r="C5635" s="2" t="s">
        <v>26</v>
      </c>
      <c r="D5635" s="2" t="s">
        <v>39</v>
      </c>
      <c r="E5635" s="4">
        <v>-32701</v>
      </c>
      <c r="F5635" s="3" t="s">
        <v>40</v>
      </c>
      <c r="G5635" s="3" t="s">
        <v>170</v>
      </c>
      <c r="H5635" s="2" t="s">
        <v>74</v>
      </c>
      <c r="I5635" s="2" t="s">
        <v>14405</v>
      </c>
      <c r="J5635" s="3" t="str">
        <f>HYPERLINK("https://www.boe.es/gazeta/dias/1810/06/19/pdfs/GMD-C-1810-170.pdf#page=1","Abrir facsímil")</f>
        <v>Abrir facsímil</v>
      </c>
      <c r="K5635" s="3" t="s">
        <v>76</v>
      </c>
    </row>
    <row r="5636" spans="1:11" ht="42" customHeight="1">
      <c r="A5636" s="2" t="s">
        <v>14406</v>
      </c>
      <c r="B5636" s="2" t="s">
        <v>14407</v>
      </c>
      <c r="C5636" s="2" t="s">
        <v>26</v>
      </c>
      <c r="D5636" s="2" t="s">
        <v>27</v>
      </c>
      <c r="E5636" s="4">
        <v>-32763</v>
      </c>
      <c r="F5636" s="3" t="s">
        <v>1146</v>
      </c>
      <c r="G5636" s="3" t="s">
        <v>140</v>
      </c>
      <c r="H5636" s="2" t="s">
        <v>74</v>
      </c>
      <c r="I5636" s="2" t="s">
        <v>14408</v>
      </c>
      <c r="J5636" s="3" t="str">
        <f>HYPERLINK("https://www.boe.es/gazeta/dias/1810/04/18/pdfs/GMD-1810-108.pdf#page=3","Abrir facsímil")</f>
        <v>Abrir facsímil</v>
      </c>
      <c r="K5636" s="3" t="s">
        <v>76</v>
      </c>
    </row>
    <row r="5637" spans="1:11" ht="42" customHeight="1">
      <c r="A5637" s="2" t="s">
        <v>14409</v>
      </c>
      <c r="B5637" s="2" t="s">
        <v>14410</v>
      </c>
      <c r="C5637" s="2" t="s">
        <v>26</v>
      </c>
      <c r="D5637" s="2" t="s">
        <v>27</v>
      </c>
      <c r="E5637" s="4">
        <v>-32584</v>
      </c>
      <c r="F5637" s="3" t="s">
        <v>1560</v>
      </c>
      <c r="G5637" s="3" t="s">
        <v>971</v>
      </c>
      <c r="H5637" s="2" t="s">
        <v>74</v>
      </c>
      <c r="I5637" s="2" t="s">
        <v>14411</v>
      </c>
      <c r="J5637" s="3" t="str">
        <f>HYPERLINK("https://www.boe.es/gazeta/dias/1810/10/14/pdfs/GMD-1810-287.pdf#page=3","Abrir facsímil")</f>
        <v>Abrir facsímil</v>
      </c>
      <c r="K5637" s="3" t="s">
        <v>76</v>
      </c>
    </row>
    <row r="5638" spans="1:11" ht="42" customHeight="1">
      <c r="A5638" s="2" t="s">
        <v>14412</v>
      </c>
      <c r="B5638" s="2" t="s">
        <v>14412</v>
      </c>
      <c r="C5638" s="2" t="s">
        <v>317</v>
      </c>
      <c r="D5638" s="2" t="s">
        <v>220</v>
      </c>
      <c r="E5638" s="4">
        <v>-32862</v>
      </c>
      <c r="F5638" s="3" t="s">
        <v>878</v>
      </c>
      <c r="G5638" s="3" t="s">
        <v>735</v>
      </c>
      <c r="H5638" s="2" t="s">
        <v>74</v>
      </c>
      <c r="I5638" s="2" t="s">
        <v>14413</v>
      </c>
      <c r="J5638" s="3" t="str">
        <f>HYPERLINK("https://www.boe.es/gazeta/dias/1810/01/09/pdfs/GMD-1810-9.pdf#page=1","Abrir facsímil")</f>
        <v>Abrir facsímil</v>
      </c>
      <c r="K5638" s="3" t="s">
        <v>76</v>
      </c>
    </row>
    <row r="5639" spans="1:11" ht="42" customHeight="1">
      <c r="A5639" s="2" t="s">
        <v>14412</v>
      </c>
      <c r="B5639" s="2" t="s">
        <v>14412</v>
      </c>
      <c r="C5639" s="2" t="s">
        <v>88</v>
      </c>
      <c r="D5639" s="2" t="s">
        <v>117</v>
      </c>
      <c r="E5639" s="4">
        <v>-32853</v>
      </c>
      <c r="F5639" s="3" t="s">
        <v>12771</v>
      </c>
      <c r="G5639" s="3" t="s">
        <v>2514</v>
      </c>
      <c r="H5639" s="2" t="s">
        <v>74</v>
      </c>
      <c r="I5639" s="2" t="s">
        <v>14414</v>
      </c>
      <c r="J5639" s="3" t="str">
        <f>HYPERLINK("https://www.boe.es/gazeta/dias/1810/01/18/pdfs/GMD-1810-18.pdf#page=1","Abrir facsímil")</f>
        <v>Abrir facsímil</v>
      </c>
      <c r="K5639" s="3" t="s">
        <v>76</v>
      </c>
    </row>
    <row r="5640" spans="1:11" ht="42" customHeight="1">
      <c r="A5640" s="2" t="s">
        <v>14415</v>
      </c>
      <c r="B5640" s="2" t="s">
        <v>14416</v>
      </c>
      <c r="C5640" s="2" t="s">
        <v>26</v>
      </c>
      <c r="D5640" s="2" t="s">
        <v>27</v>
      </c>
      <c r="E5640" s="4">
        <v>-32550</v>
      </c>
      <c r="F5640" s="3" t="s">
        <v>1472</v>
      </c>
      <c r="G5640" s="3" t="s">
        <v>1473</v>
      </c>
      <c r="H5640" s="2" t="s">
        <v>74</v>
      </c>
      <c r="I5640" s="2" t="s">
        <v>14417</v>
      </c>
      <c r="J5640" s="3" t="str">
        <f>HYPERLINK("https://www.boe.es/gazeta/dias/1810/11/17/pdfs/GEI-1810-96.pdf#page=8","Abrir facsímil")</f>
        <v>Abrir facsímil</v>
      </c>
      <c r="K5640" s="3" t="s">
        <v>76</v>
      </c>
    </row>
    <row r="5641" spans="1:11" ht="42" customHeight="1">
      <c r="A5641" s="2" t="s">
        <v>14418</v>
      </c>
      <c r="B5641" s="2" t="s">
        <v>14419</v>
      </c>
      <c r="C5641" s="2" t="s">
        <v>26</v>
      </c>
      <c r="D5641" s="2" t="s">
        <v>27</v>
      </c>
      <c r="E5641" s="4">
        <v>-32545</v>
      </c>
      <c r="F5641" s="3" t="s">
        <v>165</v>
      </c>
      <c r="G5641" s="3" t="s">
        <v>166</v>
      </c>
      <c r="H5641" s="2" t="s">
        <v>74</v>
      </c>
      <c r="I5641" s="2" t="s">
        <v>14420</v>
      </c>
      <c r="J5641" s="3" t="str">
        <f>HYPERLINK("https://www.boe.es/gazeta/dias/1810/11/22/pdfs/GEI-1810-98.pdf#page=8","Abrir facsímil")</f>
        <v>Abrir facsímil</v>
      </c>
      <c r="K5641" s="3" t="s">
        <v>76</v>
      </c>
    </row>
    <row r="5642" spans="1:11" ht="42" customHeight="1">
      <c r="A5642" s="2" t="s">
        <v>14421</v>
      </c>
      <c r="B5642" s="2" t="s">
        <v>14422</v>
      </c>
      <c r="C5642" s="2" t="s">
        <v>26</v>
      </c>
      <c r="D5642" s="2" t="s">
        <v>27</v>
      </c>
      <c r="E5642" s="4">
        <v>-32839</v>
      </c>
      <c r="F5642" s="3" t="s">
        <v>28</v>
      </c>
      <c r="G5642" s="3" t="s">
        <v>29</v>
      </c>
      <c r="H5642" s="2" t="s">
        <v>74</v>
      </c>
      <c r="I5642" s="2" t="s">
        <v>14423</v>
      </c>
      <c r="J5642" s="3" t="str">
        <f>HYPERLINK("https://www.boe.es/gazeta/dias/1810/02/01/pdfs/GMD-1810-32.pdf#page=3","Abrir facsímil")</f>
        <v>Abrir facsímil</v>
      </c>
      <c r="K5642" s="3" t="s">
        <v>76</v>
      </c>
    </row>
    <row r="5643" spans="1:11" ht="42" customHeight="1">
      <c r="A5643" s="2" t="s">
        <v>14424</v>
      </c>
      <c r="B5643" s="2" t="s">
        <v>14425</v>
      </c>
      <c r="C5643" s="2" t="s">
        <v>88</v>
      </c>
      <c r="D5643" s="2" t="s">
        <v>27</v>
      </c>
      <c r="E5643" s="4">
        <v>-32784</v>
      </c>
      <c r="F5643" s="3" t="s">
        <v>429</v>
      </c>
      <c r="G5643" s="3" t="s">
        <v>131</v>
      </c>
      <c r="H5643" s="2" t="s">
        <v>74</v>
      </c>
      <c r="I5643" s="2" t="s">
        <v>14426</v>
      </c>
      <c r="J5643" s="3" t="str">
        <f>HYPERLINK("https://www.boe.es/gazeta/dias/1810/03/28/pdfs/GMD-1810-87.pdf#page=3","Abrir facsímil")</f>
        <v>Abrir facsímil</v>
      </c>
      <c r="K5643" s="3" t="s">
        <v>76</v>
      </c>
    </row>
    <row r="5644" spans="1:11" ht="42" customHeight="1">
      <c r="A5644" s="2" t="s">
        <v>14427</v>
      </c>
      <c r="B5644" s="2" t="s">
        <v>14428</v>
      </c>
      <c r="C5644" s="2" t="s">
        <v>33</v>
      </c>
      <c r="D5644" s="2" t="s">
        <v>27</v>
      </c>
      <c r="E5644" s="4">
        <v>-32710</v>
      </c>
      <c r="F5644" s="3" t="s">
        <v>126</v>
      </c>
      <c r="G5644" s="3" t="s">
        <v>184</v>
      </c>
      <c r="H5644" s="2" t="s">
        <v>74</v>
      </c>
      <c r="I5644" s="2" t="s">
        <v>14429</v>
      </c>
      <c r="J5644" s="3" t="str">
        <f>HYPERLINK("https://www.boe.es/gazeta/dias/1810/06/10/pdfs/GMD-1810-161.pdf#page=3","Abrir facsímil")</f>
        <v>Abrir facsímil</v>
      </c>
      <c r="K5644" s="3" t="s">
        <v>76</v>
      </c>
    </row>
    <row r="5645" spans="1:11" ht="42" customHeight="1">
      <c r="A5645" s="2" t="s">
        <v>14430</v>
      </c>
      <c r="B5645" s="2" t="s">
        <v>14431</v>
      </c>
      <c r="C5645" s="2" t="s">
        <v>26</v>
      </c>
      <c r="D5645" s="2" t="s">
        <v>18</v>
      </c>
      <c r="E5645" s="4">
        <v>-32741</v>
      </c>
      <c r="F5645" s="3" t="s">
        <v>98</v>
      </c>
      <c r="G5645" s="3" t="s">
        <v>90</v>
      </c>
      <c r="H5645" s="2" t="s">
        <v>74</v>
      </c>
      <c r="I5645" s="2" t="s">
        <v>14432</v>
      </c>
      <c r="J5645" s="3" t="str">
        <f>HYPERLINK("https://www.boe.es/gazeta/dias/1810/05/10/pdfs/GMD-1810-130.pdf#page=4","Abrir facsímil")</f>
        <v>Abrir facsímil</v>
      </c>
      <c r="K5645" s="3" t="s">
        <v>76</v>
      </c>
    </row>
    <row r="5646" spans="1:11" ht="42" customHeight="1">
      <c r="A5646" s="2" t="s">
        <v>14433</v>
      </c>
      <c r="B5646" s="2" t="s">
        <v>14434</v>
      </c>
      <c r="C5646" s="2" t="s">
        <v>225</v>
      </c>
      <c r="D5646" s="2" t="s">
        <v>27</v>
      </c>
      <c r="E5646" s="4">
        <v>-32538</v>
      </c>
      <c r="F5646" s="3" t="s">
        <v>1949</v>
      </c>
      <c r="G5646" s="3" t="s">
        <v>213</v>
      </c>
      <c r="H5646" s="2" t="s">
        <v>74</v>
      </c>
      <c r="I5646" s="2" t="s">
        <v>14435</v>
      </c>
      <c r="J5646" s="3" t="str">
        <f>HYPERLINK("https://www.boe.es/gazeta/dias/1810/11/29/pdfs/GEI-1810-101.pdf#page=8","Abrir facsímil")</f>
        <v>Abrir facsímil</v>
      </c>
      <c r="K5646" s="3" t="s">
        <v>76</v>
      </c>
    </row>
    <row r="5647" spans="1:11" ht="42" customHeight="1">
      <c r="A5647" s="2" t="s">
        <v>14436</v>
      </c>
      <c r="B5647" s="2" t="s">
        <v>14437</v>
      </c>
      <c r="C5647" s="2" t="s">
        <v>26</v>
      </c>
      <c r="D5647" s="2" t="s">
        <v>27</v>
      </c>
      <c r="E5647" s="4">
        <v>-32649</v>
      </c>
      <c r="F5647" s="3" t="s">
        <v>1988</v>
      </c>
      <c r="G5647" s="3" t="s">
        <v>227</v>
      </c>
      <c r="H5647" s="2" t="s">
        <v>74</v>
      </c>
      <c r="I5647" s="2" t="s">
        <v>14438</v>
      </c>
      <c r="J5647" s="3" t="str">
        <f>HYPERLINK("https://www.boe.es/gazeta/dias/1810/08/10/pdfs/GMD-1810-222.pdf#page=4","Abrir facsímil")</f>
        <v>Abrir facsímil</v>
      </c>
      <c r="K5647" s="3" t="s">
        <v>76</v>
      </c>
    </row>
    <row r="5648" spans="1:11" ht="42" customHeight="1">
      <c r="A5648" s="2" t="s">
        <v>14439</v>
      </c>
      <c r="B5648" s="2" t="s">
        <v>14440</v>
      </c>
      <c r="C5648" s="2" t="s">
        <v>88</v>
      </c>
      <c r="D5648" s="2" t="s">
        <v>27</v>
      </c>
      <c r="E5648" s="4">
        <v>-32710</v>
      </c>
      <c r="F5648" s="3" t="s">
        <v>126</v>
      </c>
      <c r="G5648" s="3" t="s">
        <v>184</v>
      </c>
      <c r="H5648" s="2" t="s">
        <v>74</v>
      </c>
      <c r="I5648" s="2" t="s">
        <v>14441</v>
      </c>
      <c r="J5648" s="3" t="str">
        <f>HYPERLINK("https://www.boe.es/gazeta/dias/1810/06/10/pdfs/GMD-1810-161.pdf#page=3","Abrir facsímil")</f>
        <v>Abrir facsímil</v>
      </c>
      <c r="K5648" s="3" t="s">
        <v>76</v>
      </c>
    </row>
    <row r="5649" spans="1:11" ht="42" customHeight="1">
      <c r="A5649" s="2" t="s">
        <v>14442</v>
      </c>
      <c r="B5649" s="2" t="s">
        <v>14443</v>
      </c>
      <c r="C5649" s="2" t="s">
        <v>26</v>
      </c>
      <c r="D5649" s="2" t="s">
        <v>27</v>
      </c>
      <c r="E5649" s="4">
        <v>-32757</v>
      </c>
      <c r="F5649" s="3" t="s">
        <v>1136</v>
      </c>
      <c r="G5649" s="3" t="s">
        <v>1901</v>
      </c>
      <c r="H5649" s="2" t="s">
        <v>74</v>
      </c>
      <c r="I5649" s="2" t="s">
        <v>14444</v>
      </c>
      <c r="J5649" s="3" t="str">
        <f>HYPERLINK("https://www.boe.es/gazeta/dias/1810/04/24/pdfs/GEI-1810-17.pdf#page=8","Abrir facsímil")</f>
        <v>Abrir facsímil</v>
      </c>
      <c r="K5649" s="3" t="s">
        <v>76</v>
      </c>
    </row>
    <row r="5650" spans="1:11" ht="42" customHeight="1">
      <c r="A5650" s="2" t="s">
        <v>14445</v>
      </c>
      <c r="B5650" s="2" t="s">
        <v>14446</v>
      </c>
      <c r="C5650" s="2" t="s">
        <v>26</v>
      </c>
      <c r="D5650" s="2" t="s">
        <v>27</v>
      </c>
      <c r="E5650" s="4">
        <v>-32738</v>
      </c>
      <c r="F5650" s="3" t="s">
        <v>321</v>
      </c>
      <c r="G5650" s="3" t="s">
        <v>140</v>
      </c>
      <c r="H5650" s="2" t="s">
        <v>74</v>
      </c>
      <c r="I5650" s="2" t="s">
        <v>14447</v>
      </c>
      <c r="J5650" s="3" t="str">
        <f>HYPERLINK("https://www.boe.es/gazeta/dias/1810/05/13/pdfs/GMD-1810-133.pdf#page=4","Abrir facsímil")</f>
        <v>Abrir facsímil</v>
      </c>
      <c r="K5650" s="3" t="s">
        <v>76</v>
      </c>
    </row>
    <row r="5651" spans="1:11" ht="42" customHeight="1">
      <c r="A5651" s="2" t="s">
        <v>14448</v>
      </c>
      <c r="B5651" s="2" t="s">
        <v>14449</v>
      </c>
      <c r="C5651" s="2" t="s">
        <v>26</v>
      </c>
      <c r="D5651" s="2" t="s">
        <v>27</v>
      </c>
      <c r="E5651" s="4">
        <v>-32710</v>
      </c>
      <c r="F5651" s="3" t="s">
        <v>126</v>
      </c>
      <c r="G5651" s="3" t="s">
        <v>180</v>
      </c>
      <c r="H5651" s="2" t="s">
        <v>74</v>
      </c>
      <c r="I5651" s="2" t="s">
        <v>14450</v>
      </c>
      <c r="J5651" s="3" t="str">
        <f>HYPERLINK("https://www.boe.es/gazeta/dias/1810/06/10/pdfs/GMD-1810-161.pdf#page=1","Abrir facsímil")</f>
        <v>Abrir facsímil</v>
      </c>
      <c r="K5651" s="3" t="s">
        <v>76</v>
      </c>
    </row>
    <row r="5652" spans="1:11" ht="42" customHeight="1">
      <c r="A5652" s="2" t="s">
        <v>14451</v>
      </c>
      <c r="B5652" s="2" t="s">
        <v>14451</v>
      </c>
      <c r="C5652" s="2" t="s">
        <v>88</v>
      </c>
      <c r="D5652" s="2" t="s">
        <v>27</v>
      </c>
      <c r="E5652" s="4">
        <v>-32780</v>
      </c>
      <c r="F5652" s="3" t="s">
        <v>1295</v>
      </c>
      <c r="G5652" s="3" t="s">
        <v>213</v>
      </c>
      <c r="H5652" s="2" t="s">
        <v>74</v>
      </c>
      <c r="I5652" s="2" t="s">
        <v>14452</v>
      </c>
      <c r="J5652" s="3" t="str">
        <f>HYPERLINK("https://www.boe.es/gazeta/dias/1810/04/01/pdfs/GMD-1810-91.pdf#page=3","Abrir facsímil")</f>
        <v>Abrir facsímil</v>
      </c>
      <c r="K5652" s="3" t="s">
        <v>76</v>
      </c>
    </row>
    <row r="5653" spans="1:11" ht="42" customHeight="1">
      <c r="A5653" s="2" t="s">
        <v>14453</v>
      </c>
      <c r="B5653" s="2" t="s">
        <v>14453</v>
      </c>
      <c r="C5653" s="2" t="s">
        <v>225</v>
      </c>
      <c r="D5653" s="2" t="s">
        <v>27</v>
      </c>
      <c r="E5653" s="4">
        <v>-32705</v>
      </c>
      <c r="F5653" s="3" t="s">
        <v>1158</v>
      </c>
      <c r="G5653" s="3" t="s">
        <v>35</v>
      </c>
      <c r="H5653" s="2" t="s">
        <v>74</v>
      </c>
      <c r="I5653" s="2" t="s">
        <v>14454</v>
      </c>
      <c r="J5653" s="3" t="str">
        <f>HYPERLINK("https://www.boe.es/gazeta/dias/1810/06/15/pdfs/GMD-1810-166.pdf#page=2","Abrir facsímil")</f>
        <v>Abrir facsímil</v>
      </c>
      <c r="K5653" s="3" t="s">
        <v>76</v>
      </c>
    </row>
    <row r="5654" spans="1:11" ht="42" customHeight="1">
      <c r="A5654" s="2" t="s">
        <v>14455</v>
      </c>
      <c r="B5654" s="2" t="s">
        <v>14455</v>
      </c>
      <c r="C5654" s="2" t="s">
        <v>88</v>
      </c>
      <c r="D5654" s="2" t="s">
        <v>117</v>
      </c>
      <c r="E5654" s="4">
        <v>-32803</v>
      </c>
      <c r="F5654" s="3" t="s">
        <v>4052</v>
      </c>
      <c r="G5654" s="3" t="s">
        <v>458</v>
      </c>
      <c r="H5654" s="2" t="s">
        <v>74</v>
      </c>
      <c r="I5654" s="2" t="s">
        <v>14456</v>
      </c>
      <c r="J5654" s="3" t="str">
        <f>HYPERLINK("https://www.boe.es/gazeta/dias/1810/03/09/pdfs/GMD-1810-68.pdf#page=1","Abrir facsímil")</f>
        <v>Abrir facsímil</v>
      </c>
      <c r="K5654" s="3" t="s">
        <v>76</v>
      </c>
    </row>
    <row r="5655" spans="1:11" ht="42" customHeight="1">
      <c r="A5655" s="2" t="s">
        <v>14457</v>
      </c>
      <c r="B5655" s="2" t="s">
        <v>14458</v>
      </c>
      <c r="C5655" s="2" t="s">
        <v>26</v>
      </c>
      <c r="D5655" s="2" t="s">
        <v>39</v>
      </c>
      <c r="E5655" s="4">
        <v>-32650</v>
      </c>
      <c r="F5655" s="3" t="s">
        <v>765</v>
      </c>
      <c r="G5655" s="3" t="s">
        <v>766</v>
      </c>
      <c r="H5655" s="2" t="s">
        <v>74</v>
      </c>
      <c r="I5655" s="2" t="s">
        <v>14459</v>
      </c>
      <c r="J5655" s="3" t="str">
        <f>HYPERLINK("https://www.boe.es/gazeta/dias/1810/08/09/pdfs/GMD-C-1810-221.pdf#page=3","Abrir facsímil")</f>
        <v>Abrir facsímil</v>
      </c>
      <c r="K5655" s="3" t="s">
        <v>76</v>
      </c>
    </row>
    <row r="5656" spans="1:11" ht="42" customHeight="1">
      <c r="A5656" s="2" t="s">
        <v>14460</v>
      </c>
      <c r="B5656" s="2" t="s">
        <v>14461</v>
      </c>
      <c r="C5656" s="2" t="s">
        <v>26</v>
      </c>
      <c r="D5656" s="2" t="s">
        <v>27</v>
      </c>
      <c r="E5656" s="4">
        <v>-32799</v>
      </c>
      <c r="F5656" s="3" t="s">
        <v>2252</v>
      </c>
      <c r="G5656" s="3" t="s">
        <v>99</v>
      </c>
      <c r="H5656" s="2" t="s">
        <v>74</v>
      </c>
      <c r="I5656" s="2" t="s">
        <v>14462</v>
      </c>
      <c r="J5656" s="3" t="str">
        <f>HYPERLINK("https://www.boe.es/gazeta/dias/1810/03/13/pdfs/GMD-1810-72.pdf#page=3","Abrir facsímil")</f>
        <v>Abrir facsímil</v>
      </c>
      <c r="K5656" s="3" t="s">
        <v>76</v>
      </c>
    </row>
    <row r="5657" spans="1:11" ht="42" customHeight="1">
      <c r="A5657" s="2" t="s">
        <v>14463</v>
      </c>
      <c r="B5657" s="2" t="s">
        <v>14463</v>
      </c>
      <c r="C5657" s="2" t="s">
        <v>88</v>
      </c>
      <c r="D5657" s="2" t="s">
        <v>117</v>
      </c>
      <c r="E5657" s="4">
        <v>-32578</v>
      </c>
      <c r="F5657" s="3" t="s">
        <v>2333</v>
      </c>
      <c r="G5657" s="3" t="s">
        <v>4095</v>
      </c>
      <c r="H5657" s="2" t="s">
        <v>74</v>
      </c>
      <c r="I5657" s="2" t="s">
        <v>14464</v>
      </c>
      <c r="J5657" s="3" t="str">
        <f>HYPERLINK("https://www.boe.es/gazeta/dias/1810/10/20/pdfs/GEI-1810-84.pdf#page=3","Abrir facsímil")</f>
        <v>Abrir facsímil</v>
      </c>
      <c r="K5657" s="3" t="s">
        <v>76</v>
      </c>
    </row>
    <row r="5658" spans="1:11" ht="42" customHeight="1">
      <c r="A5658" s="2" t="s">
        <v>14465</v>
      </c>
      <c r="B5658" s="2" t="s">
        <v>14466</v>
      </c>
      <c r="C5658" s="2" t="s">
        <v>26</v>
      </c>
      <c r="D5658" s="2" t="s">
        <v>27</v>
      </c>
      <c r="E5658" s="4">
        <v>-32575</v>
      </c>
      <c r="F5658" s="3" t="s">
        <v>135</v>
      </c>
      <c r="G5658" s="3" t="s">
        <v>140</v>
      </c>
      <c r="H5658" s="2" t="s">
        <v>74</v>
      </c>
      <c r="I5658" s="2" t="s">
        <v>14467</v>
      </c>
      <c r="J5658" s="3" t="str">
        <f>HYPERLINK("https://www.boe.es/gazeta/dias/1810/10/23/pdfs/GEI-1810-85.pdf#page=10","Abrir facsímil")</f>
        <v>Abrir facsímil</v>
      </c>
      <c r="K5658" s="3" t="s">
        <v>76</v>
      </c>
    </row>
    <row r="5659" spans="1:11" ht="42" customHeight="1">
      <c r="A5659" s="2" t="s">
        <v>14468</v>
      </c>
      <c r="B5659" s="2" t="s">
        <v>14469</v>
      </c>
      <c r="C5659" s="2" t="s">
        <v>26</v>
      </c>
      <c r="D5659" s="2" t="s">
        <v>39</v>
      </c>
      <c r="E5659" s="4">
        <v>-32684</v>
      </c>
      <c r="F5659" s="3" t="s">
        <v>295</v>
      </c>
      <c r="G5659" s="3" t="s">
        <v>4095</v>
      </c>
      <c r="H5659" s="2" t="s">
        <v>74</v>
      </c>
      <c r="I5659" s="2" t="s">
        <v>14470</v>
      </c>
      <c r="J5659" s="3" t="str">
        <f>HYPERLINK("https://www.boe.es/gazeta/dias/1810/07/06/pdfs/GMD-C-1810-187.pdf#page=3","Abrir facsímil")</f>
        <v>Abrir facsímil</v>
      </c>
      <c r="K5659" s="3" t="s">
        <v>76</v>
      </c>
    </row>
    <row r="5660" spans="1:11" ht="42" customHeight="1">
      <c r="A5660" s="2" t="s">
        <v>14471</v>
      </c>
      <c r="B5660" s="2" t="s">
        <v>14472</v>
      </c>
      <c r="C5660" s="2" t="s">
        <v>26</v>
      </c>
      <c r="D5660" s="2" t="s">
        <v>27</v>
      </c>
      <c r="E5660" s="4">
        <v>-32669</v>
      </c>
      <c r="F5660" s="3" t="s">
        <v>217</v>
      </c>
      <c r="G5660" s="3" t="s">
        <v>29</v>
      </c>
      <c r="H5660" s="2" t="s">
        <v>74</v>
      </c>
      <c r="I5660" s="2" t="s">
        <v>14473</v>
      </c>
      <c r="J5660" s="3" t="str">
        <f>HYPERLINK("https://www.boe.es/gazeta/dias/1810/07/21/pdfs/GMD-1810-202.pdf#page=3","Abrir facsímil")</f>
        <v>Abrir facsímil</v>
      </c>
      <c r="K5660" s="3" t="s">
        <v>76</v>
      </c>
    </row>
    <row r="5661" spans="1:11" ht="42" customHeight="1">
      <c r="A5661" s="2" t="s">
        <v>14474</v>
      </c>
      <c r="B5661" s="2" t="s">
        <v>14475</v>
      </c>
      <c r="C5661" s="2" t="s">
        <v>88</v>
      </c>
      <c r="D5661" s="2" t="s">
        <v>27</v>
      </c>
      <c r="E5661" s="4">
        <v>-32524</v>
      </c>
      <c r="F5661" s="3" t="s">
        <v>281</v>
      </c>
      <c r="G5661" s="3" t="s">
        <v>373</v>
      </c>
      <c r="H5661" s="2" t="s">
        <v>74</v>
      </c>
      <c r="I5661" s="2" t="s">
        <v>14476</v>
      </c>
      <c r="J5661" s="3" t="str">
        <f>HYPERLINK("https://www.boe.es/gazeta/dias/1810/12/13/pdfs/GEI-1810-107.pdf#page=8","Abrir facsímil")</f>
        <v>Abrir facsímil</v>
      </c>
      <c r="K5661" s="3" t="s">
        <v>76</v>
      </c>
    </row>
    <row r="5662" spans="1:11" ht="42" customHeight="1">
      <c r="A5662" s="2" t="s">
        <v>14477</v>
      </c>
      <c r="B5662" s="2" t="s">
        <v>14477</v>
      </c>
      <c r="C5662" s="2" t="s">
        <v>88</v>
      </c>
      <c r="D5662" s="2" t="s">
        <v>220</v>
      </c>
      <c r="E5662" s="4">
        <v>-32776</v>
      </c>
      <c r="F5662" s="3" t="s">
        <v>752</v>
      </c>
      <c r="G5662" s="3" t="s">
        <v>1691</v>
      </c>
      <c r="H5662" s="2" t="s">
        <v>74</v>
      </c>
      <c r="I5662" s="2" t="s">
        <v>14478</v>
      </c>
      <c r="J5662" s="3" t="str">
        <f>HYPERLINK("https://www.boe.es/gazeta/dias/1810/04/05/pdfs/GMD-1810-95.pdf#page=2","Abrir facsímil")</f>
        <v>Abrir facsímil</v>
      </c>
      <c r="K5662" s="3" t="s">
        <v>76</v>
      </c>
    </row>
    <row r="5663" spans="1:11" ht="42" customHeight="1">
      <c r="A5663" s="2" t="s">
        <v>14479</v>
      </c>
      <c r="B5663" s="2" t="s">
        <v>14480</v>
      </c>
      <c r="C5663" s="2" t="s">
        <v>111</v>
      </c>
      <c r="D5663" s="2" t="s">
        <v>27</v>
      </c>
      <c r="E5663" s="4">
        <v>-32607</v>
      </c>
      <c r="F5663" s="3" t="s">
        <v>6044</v>
      </c>
      <c r="G5663" s="3" t="s">
        <v>99</v>
      </c>
      <c r="H5663" s="2" t="s">
        <v>74</v>
      </c>
      <c r="I5663" s="2" t="s">
        <v>14481</v>
      </c>
      <c r="J5663" s="3" t="str">
        <f>HYPERLINK("https://www.boe.es/gazeta/dias/1810/09/21/pdfs/GMD-1810-264.pdf#page=3","Abrir facsímil")</f>
        <v>Abrir facsímil</v>
      </c>
      <c r="K5663" s="3" t="s">
        <v>76</v>
      </c>
    </row>
    <row r="5664" spans="1:11" ht="42" customHeight="1">
      <c r="A5664" s="2" t="s">
        <v>14482</v>
      </c>
      <c r="B5664" s="2" t="s">
        <v>14483</v>
      </c>
      <c r="C5664" s="2" t="s">
        <v>317</v>
      </c>
      <c r="D5664" s="2" t="s">
        <v>117</v>
      </c>
      <c r="E5664" s="4">
        <v>-32619</v>
      </c>
      <c r="F5664" s="3" t="s">
        <v>1270</v>
      </c>
      <c r="G5664" s="3" t="s">
        <v>1271</v>
      </c>
      <c r="H5664" s="2" t="s">
        <v>74</v>
      </c>
      <c r="I5664" s="2" t="s">
        <v>14484</v>
      </c>
      <c r="J5664" s="3" t="str">
        <f>HYPERLINK("https://www.boe.es/gazeta/dias/1810/09/09/pdfs/GMD-1810-252.pdf#page=4","Abrir facsímil")</f>
        <v>Abrir facsímil</v>
      </c>
      <c r="K5664" s="3" t="s">
        <v>76</v>
      </c>
    </row>
    <row r="5665" spans="1:11" ht="42" customHeight="1">
      <c r="A5665" s="2" t="s">
        <v>14485</v>
      </c>
      <c r="B5665" s="2" t="s">
        <v>14486</v>
      </c>
      <c r="C5665" s="2" t="s">
        <v>26</v>
      </c>
      <c r="D5665" s="2" t="s">
        <v>27</v>
      </c>
      <c r="E5665" s="4">
        <v>-32647</v>
      </c>
      <c r="F5665" s="3" t="s">
        <v>118</v>
      </c>
      <c r="G5665" s="3" t="s">
        <v>20</v>
      </c>
      <c r="H5665" s="2" t="s">
        <v>74</v>
      </c>
      <c r="I5665" s="2" t="s">
        <v>14487</v>
      </c>
      <c r="J5665" s="3" t="str">
        <f>HYPERLINK("https://www.boe.es/gazeta/dias/1810/08/12/pdfs/GMD-1810-224.pdf#page=4","Abrir facsímil")</f>
        <v>Abrir facsímil</v>
      </c>
      <c r="K5665" s="3" t="s">
        <v>76</v>
      </c>
    </row>
    <row r="5666" spans="1:11" ht="42" customHeight="1">
      <c r="A5666" s="2" t="s">
        <v>14488</v>
      </c>
      <c r="B5666" s="2" t="s">
        <v>14489</v>
      </c>
      <c r="C5666" s="2" t="s">
        <v>26</v>
      </c>
      <c r="D5666" s="2" t="s">
        <v>27</v>
      </c>
      <c r="E5666" s="4">
        <v>-32529</v>
      </c>
      <c r="F5666" s="3" t="s">
        <v>112</v>
      </c>
      <c r="G5666" s="3" t="s">
        <v>9393</v>
      </c>
      <c r="H5666" s="2" t="s">
        <v>74</v>
      </c>
      <c r="I5666" s="2" t="s">
        <v>14490</v>
      </c>
      <c r="J5666" s="3" t="str">
        <f>HYPERLINK("https://www.boe.es/gazeta/dias/1810/12/08/pdfs/GEI-1810-105.pdf#page=4","Abrir facsímil")</f>
        <v>Abrir facsímil</v>
      </c>
      <c r="K5666" s="3" t="s">
        <v>76</v>
      </c>
    </row>
    <row r="5667" spans="1:11" ht="42" customHeight="1">
      <c r="A5667" s="2" t="s">
        <v>14491</v>
      </c>
      <c r="B5667" s="2" t="s">
        <v>14492</v>
      </c>
      <c r="C5667" s="2" t="s">
        <v>26</v>
      </c>
      <c r="D5667" s="2" t="s">
        <v>27</v>
      </c>
      <c r="E5667" s="4">
        <v>-32563</v>
      </c>
      <c r="F5667" s="3" t="s">
        <v>535</v>
      </c>
      <c r="G5667" s="3" t="s">
        <v>1142</v>
      </c>
      <c r="H5667" s="2" t="s">
        <v>74</v>
      </c>
      <c r="I5667" s="2" t="s">
        <v>14493</v>
      </c>
      <c r="J5667" s="3" t="str">
        <f>HYPERLINK("https://www.boe.es/gazeta/dias/1810/11/04/pdfs/GMD-1810-308.pdf#page=17","Abrir facsímil")</f>
        <v>Abrir facsímil</v>
      </c>
      <c r="K5667" s="3" t="s">
        <v>76</v>
      </c>
    </row>
    <row r="5668" spans="1:11" ht="42" customHeight="1">
      <c r="A5668" s="2" t="s">
        <v>14494</v>
      </c>
      <c r="B5668" s="2" t="s">
        <v>14495</v>
      </c>
      <c r="C5668" s="2" t="s">
        <v>26</v>
      </c>
      <c r="D5668" s="2" t="s">
        <v>39</v>
      </c>
      <c r="E5668" s="4">
        <v>-32701</v>
      </c>
      <c r="F5668" s="3" t="s">
        <v>40</v>
      </c>
      <c r="G5668" s="3" t="s">
        <v>333</v>
      </c>
      <c r="H5668" s="2" t="s">
        <v>74</v>
      </c>
      <c r="I5668" s="2" t="s">
        <v>14496</v>
      </c>
      <c r="J5668" s="3" t="str">
        <f>HYPERLINK("https://www.boe.es/gazeta/dias/1810/06/19/pdfs/GMD-C-1810-170.pdf#page=4","Abrir facsímil")</f>
        <v>Abrir facsímil</v>
      </c>
      <c r="K5668" s="3" t="s">
        <v>76</v>
      </c>
    </row>
    <row r="5669" spans="1:11" ht="42" customHeight="1">
      <c r="A5669" s="2" t="s">
        <v>14497</v>
      </c>
      <c r="B5669" s="2" t="s">
        <v>14497</v>
      </c>
      <c r="C5669" s="2" t="s">
        <v>225</v>
      </c>
      <c r="D5669" s="2" t="s">
        <v>117</v>
      </c>
      <c r="E5669" s="4">
        <v>-32687</v>
      </c>
      <c r="F5669" s="3" t="s">
        <v>221</v>
      </c>
      <c r="G5669" s="3" t="s">
        <v>70</v>
      </c>
      <c r="H5669" s="2" t="s">
        <v>74</v>
      </c>
      <c r="I5669" s="2" t="s">
        <v>14498</v>
      </c>
      <c r="J5669" s="3" t="str">
        <f>HYPERLINK("https://www.boe.es/gazeta/dias/1810/07/03/pdfs/GMD-1810-184.pdf#page=2","Abrir facsímil")</f>
        <v>Abrir facsímil</v>
      </c>
      <c r="K5669" s="3" t="s">
        <v>76</v>
      </c>
    </row>
    <row r="5670" spans="1:11" ht="42" customHeight="1">
      <c r="A5670" s="2" t="s">
        <v>14499</v>
      </c>
      <c r="B5670" s="2" t="s">
        <v>14500</v>
      </c>
      <c r="C5670" s="2" t="s">
        <v>88</v>
      </c>
      <c r="D5670" s="2" t="s">
        <v>27</v>
      </c>
      <c r="E5670" s="4">
        <v>-32710</v>
      </c>
      <c r="F5670" s="3" t="s">
        <v>126</v>
      </c>
      <c r="G5670" s="3" t="s">
        <v>35</v>
      </c>
      <c r="H5670" s="2" t="s">
        <v>74</v>
      </c>
      <c r="I5670" s="2" t="s">
        <v>14501</v>
      </c>
      <c r="J5670" s="3" t="str">
        <f>HYPERLINK("https://www.boe.es/gazeta/dias/1810/06/10/pdfs/GMD-1810-161.pdf#page=2","Abrir facsímil")</f>
        <v>Abrir facsímil</v>
      </c>
      <c r="K5670" s="3" t="s">
        <v>76</v>
      </c>
    </row>
    <row r="5671" spans="1:11" ht="42" customHeight="1">
      <c r="A5671" s="2" t="s">
        <v>14502</v>
      </c>
      <c r="B5671" s="2" t="s">
        <v>14503</v>
      </c>
      <c r="C5671" s="2" t="s">
        <v>88</v>
      </c>
      <c r="D5671" s="2" t="s">
        <v>27</v>
      </c>
      <c r="E5671" s="4">
        <v>-32550</v>
      </c>
      <c r="F5671" s="3" t="s">
        <v>1472</v>
      </c>
      <c r="G5671" s="3" t="s">
        <v>1473</v>
      </c>
      <c r="H5671" s="2" t="s">
        <v>74</v>
      </c>
      <c r="I5671" s="2" t="s">
        <v>14504</v>
      </c>
      <c r="J5671" s="3" t="str">
        <f>HYPERLINK("https://www.boe.es/gazeta/dias/1810/11/17/pdfs/GEI-1810-96.pdf#page=8","Abrir facsímil")</f>
        <v>Abrir facsímil</v>
      </c>
      <c r="K5671" s="3" t="s">
        <v>76</v>
      </c>
    </row>
    <row r="5672" spans="1:11" ht="42" customHeight="1">
      <c r="A5672" s="2" t="s">
        <v>14505</v>
      </c>
      <c r="B5672" s="2" t="s">
        <v>14505</v>
      </c>
      <c r="C5672" s="2" t="s">
        <v>88</v>
      </c>
      <c r="D5672" s="2" t="s">
        <v>27</v>
      </c>
      <c r="E5672" s="4">
        <v>-32762</v>
      </c>
      <c r="F5672" s="3" t="s">
        <v>231</v>
      </c>
      <c r="G5672" s="3" t="s">
        <v>140</v>
      </c>
      <c r="H5672" s="2" t="s">
        <v>74</v>
      </c>
      <c r="I5672" s="2" t="s">
        <v>14506</v>
      </c>
      <c r="J5672" s="3" t="str">
        <f>HYPERLINK("https://www.boe.es/gazeta/dias/1810/04/19/pdfs/GMD-1810-109.pdf#page=3","Abrir facsímil")</f>
        <v>Abrir facsímil</v>
      </c>
      <c r="K5672" s="3" t="s">
        <v>76</v>
      </c>
    </row>
    <row r="5673" spans="1:11" ht="42" customHeight="1">
      <c r="A5673" s="2" t="s">
        <v>14507</v>
      </c>
      <c r="B5673" s="2" t="s">
        <v>14508</v>
      </c>
      <c r="C5673" s="2" t="s">
        <v>26</v>
      </c>
      <c r="D5673" s="2" t="s">
        <v>27</v>
      </c>
      <c r="E5673" s="4">
        <v>-32839</v>
      </c>
      <c r="F5673" s="3" t="s">
        <v>28</v>
      </c>
      <c r="G5673" s="3" t="s">
        <v>29</v>
      </c>
      <c r="H5673" s="2" t="s">
        <v>74</v>
      </c>
      <c r="I5673" s="2" t="s">
        <v>14509</v>
      </c>
      <c r="J5673" s="3" t="str">
        <f>HYPERLINK("https://www.boe.es/gazeta/dias/1810/02/01/pdfs/GMD-1810-32.pdf#page=3","Abrir facsímil")</f>
        <v>Abrir facsímil</v>
      </c>
      <c r="K5673" s="3" t="s">
        <v>76</v>
      </c>
    </row>
    <row r="5674" spans="1:11" ht="42" customHeight="1">
      <c r="A5674" s="2" t="s">
        <v>14510</v>
      </c>
      <c r="B5674" s="2" t="s">
        <v>14511</v>
      </c>
      <c r="C5674" s="2" t="s">
        <v>33</v>
      </c>
      <c r="D5674" s="2" t="s">
        <v>27</v>
      </c>
      <c r="E5674" s="4">
        <v>-32710</v>
      </c>
      <c r="F5674" s="3" t="s">
        <v>126</v>
      </c>
      <c r="G5674" s="3" t="s">
        <v>20</v>
      </c>
      <c r="H5674" s="2" t="s">
        <v>74</v>
      </c>
      <c r="I5674" s="2" t="s">
        <v>14512</v>
      </c>
      <c r="J5674" s="3" t="str">
        <f>HYPERLINK("https://www.boe.es/gazeta/dias/1810/06/10/pdfs/GMD-1810-161.pdf#page=4","Abrir facsímil")</f>
        <v>Abrir facsímil</v>
      </c>
      <c r="K5674" s="3" t="s">
        <v>76</v>
      </c>
    </row>
    <row r="5675" spans="1:11" ht="42" customHeight="1">
      <c r="A5675" s="2" t="s">
        <v>14513</v>
      </c>
      <c r="B5675" s="2" t="s">
        <v>14514</v>
      </c>
      <c r="C5675" s="2" t="s">
        <v>17</v>
      </c>
      <c r="D5675" s="2" t="s">
        <v>27</v>
      </c>
      <c r="E5675" s="4">
        <v>-32688</v>
      </c>
      <c r="F5675" s="3" t="s">
        <v>997</v>
      </c>
      <c r="G5675" s="3" t="s">
        <v>749</v>
      </c>
      <c r="H5675" s="2" t="s">
        <v>74</v>
      </c>
      <c r="I5675" s="2" t="s">
        <v>14515</v>
      </c>
      <c r="J5675" s="3" t="str">
        <f>HYPERLINK("https://www.boe.es/gazeta/dias/1810/07/02/pdfs/GMD-1810-183.pdf#page=4","Abrir facsímil")</f>
        <v>Abrir facsímil</v>
      </c>
      <c r="K5675" s="3" t="s">
        <v>76</v>
      </c>
    </row>
    <row r="5676" spans="1:11" ht="42" customHeight="1">
      <c r="A5676" s="2" t="s">
        <v>14516</v>
      </c>
      <c r="B5676" s="2" t="s">
        <v>14517</v>
      </c>
      <c r="C5676" s="2" t="s">
        <v>195</v>
      </c>
      <c r="D5676" s="2" t="s">
        <v>27</v>
      </c>
      <c r="E5676" s="4">
        <v>-32756</v>
      </c>
      <c r="F5676" s="3" t="s">
        <v>203</v>
      </c>
      <c r="G5676" s="3" t="s">
        <v>180</v>
      </c>
      <c r="H5676" s="2" t="s">
        <v>74</v>
      </c>
      <c r="I5676" s="2" t="s">
        <v>14518</v>
      </c>
      <c r="J5676" s="3" t="str">
        <f>HYPERLINK("https://www.boe.es/gazeta/dias/1810/04/25/pdfs/GMD-1810-115.pdf#page=4","Abrir facsímil")</f>
        <v>Abrir facsímil</v>
      </c>
      <c r="K5676" s="3" t="s">
        <v>76</v>
      </c>
    </row>
    <row r="5677" spans="1:11" ht="42" customHeight="1">
      <c r="A5677" s="2" t="s">
        <v>14519</v>
      </c>
      <c r="B5677" s="2" t="s">
        <v>14520</v>
      </c>
      <c r="C5677" s="2" t="s">
        <v>225</v>
      </c>
      <c r="D5677" s="2" t="s">
        <v>18</v>
      </c>
      <c r="E5677" s="4">
        <v>-32538</v>
      </c>
      <c r="F5677" s="3" t="s">
        <v>1949</v>
      </c>
      <c r="G5677" s="3" t="s">
        <v>213</v>
      </c>
      <c r="H5677" s="2" t="s">
        <v>74</v>
      </c>
      <c r="I5677" s="2" t="s">
        <v>14521</v>
      </c>
      <c r="J5677" s="3" t="str">
        <f>HYPERLINK("https://www.boe.es/gazeta/dias/1810/11/29/pdfs/GEI-1810-101.pdf#page=8","Abrir facsímil")</f>
        <v>Abrir facsímil</v>
      </c>
      <c r="K5677" s="3" t="s">
        <v>76</v>
      </c>
    </row>
    <row r="5678" spans="1:11" ht="42" customHeight="1">
      <c r="A5678" s="2" t="s">
        <v>14522</v>
      </c>
      <c r="B5678" s="2" t="s">
        <v>14523</v>
      </c>
      <c r="C5678" s="2" t="s">
        <v>17</v>
      </c>
      <c r="D5678" s="2" t="s">
        <v>27</v>
      </c>
      <c r="E5678" s="4">
        <v>-32775</v>
      </c>
      <c r="F5678" s="3" t="s">
        <v>308</v>
      </c>
      <c r="G5678" s="3" t="s">
        <v>140</v>
      </c>
      <c r="H5678" s="2" t="s">
        <v>74</v>
      </c>
      <c r="I5678" s="2" t="s">
        <v>14524</v>
      </c>
      <c r="J5678" s="3" t="str">
        <f>HYPERLINK("https://www.boe.es/gazeta/dias/1810/04/06/pdfs/GMD-1810-96.pdf#page=3","Abrir facsímil")</f>
        <v>Abrir facsímil</v>
      </c>
      <c r="K5678" s="3" t="s">
        <v>76</v>
      </c>
    </row>
    <row r="5679" spans="1:11" ht="42" customHeight="1">
      <c r="A5679" s="2" t="s">
        <v>14525</v>
      </c>
      <c r="B5679" s="2" t="s">
        <v>14526</v>
      </c>
      <c r="C5679" s="2" t="s">
        <v>111</v>
      </c>
      <c r="D5679" s="2" t="s">
        <v>27</v>
      </c>
      <c r="E5679" s="4">
        <v>-32842</v>
      </c>
      <c r="F5679" s="3" t="s">
        <v>1291</v>
      </c>
      <c r="G5679" s="3" t="s">
        <v>1292</v>
      </c>
      <c r="H5679" s="2" t="s">
        <v>74</v>
      </c>
      <c r="I5679" s="2" t="s">
        <v>14527</v>
      </c>
      <c r="J5679" s="3" t="str">
        <f>HYPERLINK("https://www.boe.es/gazeta/dias/1810/01/29/pdfs/GMD-1810-29.pdf#page=3","Abrir facsímil")</f>
        <v>Abrir facsímil</v>
      </c>
      <c r="K5679" s="3" t="s">
        <v>76</v>
      </c>
    </row>
    <row r="5680" spans="1:11" ht="42" customHeight="1">
      <c r="A5680" s="2" t="s">
        <v>14528</v>
      </c>
      <c r="B5680" s="2" t="s">
        <v>14528</v>
      </c>
      <c r="C5680" s="2" t="s">
        <v>26</v>
      </c>
      <c r="D5680" s="2" t="s">
        <v>27</v>
      </c>
      <c r="E5680" s="4">
        <v>-32709</v>
      </c>
      <c r="F5680" s="3" t="s">
        <v>14529</v>
      </c>
      <c r="G5680" s="3" t="s">
        <v>29</v>
      </c>
      <c r="H5680" s="2" t="s">
        <v>74</v>
      </c>
      <c r="I5680" s="2" t="s">
        <v>14530</v>
      </c>
      <c r="J5680" s="3" t="str">
        <f>HYPERLINK("https://www.boe.es/gazeta/dias/1810/06/11/pdfs/GMD-1810-162.pdf#page=3","Abrir facsímil")</f>
        <v>Abrir facsímil</v>
      </c>
      <c r="K5680" s="3" t="s">
        <v>76</v>
      </c>
    </row>
    <row r="5681" spans="1:11" ht="42" customHeight="1">
      <c r="A5681" s="2" t="s">
        <v>14531</v>
      </c>
      <c r="B5681" s="2" t="s">
        <v>14532</v>
      </c>
      <c r="C5681" s="2" t="s">
        <v>26</v>
      </c>
      <c r="D5681" s="2" t="s">
        <v>27</v>
      </c>
      <c r="E5681" s="4">
        <v>-32735</v>
      </c>
      <c r="F5681" s="3" t="s">
        <v>612</v>
      </c>
      <c r="G5681" s="3" t="s">
        <v>359</v>
      </c>
      <c r="H5681" s="2" t="s">
        <v>74</v>
      </c>
      <c r="I5681" s="2" t="s">
        <v>14533</v>
      </c>
      <c r="J5681" s="3" t="str">
        <f>HYPERLINK("https://www.boe.es/gazeta/dias/1810/05/16/pdfs/GMD-1810-136.pdf#page=3","Abrir facsímil")</f>
        <v>Abrir facsímil</v>
      </c>
      <c r="K5681" s="3" t="s">
        <v>76</v>
      </c>
    </row>
    <row r="5682" spans="1:11" ht="42" customHeight="1">
      <c r="A5682" s="2" t="s">
        <v>14534</v>
      </c>
      <c r="B5682" s="2" t="s">
        <v>14534</v>
      </c>
      <c r="C5682" s="2" t="s">
        <v>88</v>
      </c>
      <c r="D5682" s="2" t="s">
        <v>18</v>
      </c>
      <c r="E5682" s="4">
        <v>-32560</v>
      </c>
      <c r="F5682" s="3" t="s">
        <v>4111</v>
      </c>
      <c r="G5682" s="3" t="s">
        <v>140</v>
      </c>
      <c r="H5682" s="2" t="s">
        <v>74</v>
      </c>
      <c r="I5682" s="2" t="s">
        <v>14535</v>
      </c>
      <c r="J5682" s="3" t="str">
        <f>HYPERLINK("https://www.boe.es/gazeta/dias/1810/11/07/pdfs/GMD-1810-311.pdf#page=2","Abrir facsímil")</f>
        <v>Abrir facsímil</v>
      </c>
      <c r="K5682" s="3" t="s">
        <v>76</v>
      </c>
    </row>
    <row r="5683" spans="1:11" ht="42" customHeight="1">
      <c r="A5683" s="2" t="s">
        <v>14536</v>
      </c>
      <c r="B5683" s="2" t="s">
        <v>14537</v>
      </c>
      <c r="C5683" s="2" t="s">
        <v>26</v>
      </c>
      <c r="D5683" s="2" t="s">
        <v>39</v>
      </c>
      <c r="E5683" s="4">
        <v>-32702</v>
      </c>
      <c r="F5683" s="3" t="s">
        <v>179</v>
      </c>
      <c r="G5683" s="3" t="s">
        <v>213</v>
      </c>
      <c r="H5683" s="2" t="s">
        <v>74</v>
      </c>
      <c r="I5683" s="2" t="s">
        <v>14538</v>
      </c>
      <c r="J5683" s="3" t="str">
        <f>HYPERLINK("https://www.boe.es/gazeta/dias/1810/06/18/pdfs/GMD-C-1810-169.pdf#page=4","Abrir facsímil")</f>
        <v>Abrir facsímil</v>
      </c>
      <c r="K5683" s="3" t="s">
        <v>76</v>
      </c>
    </row>
    <row r="5684" spans="1:11" ht="42" customHeight="1">
      <c r="A5684" s="2" t="s">
        <v>14539</v>
      </c>
      <c r="B5684" s="2" t="s">
        <v>14540</v>
      </c>
      <c r="C5684" s="2" t="s">
        <v>88</v>
      </c>
      <c r="D5684" s="2" t="s">
        <v>27</v>
      </c>
      <c r="E5684" s="4">
        <v>-32819</v>
      </c>
      <c r="F5684" s="3" t="s">
        <v>5942</v>
      </c>
      <c r="G5684" s="3" t="s">
        <v>70</v>
      </c>
      <c r="H5684" s="2" t="s">
        <v>74</v>
      </c>
      <c r="I5684" s="2" t="s">
        <v>14541</v>
      </c>
      <c r="J5684" s="3" t="str">
        <f>HYPERLINK("https://www.boe.es/gazeta/dias/1810/02/21/pdfs/GMD-1810-52.pdf#page=2","Abrir facsímil")</f>
        <v>Abrir facsímil</v>
      </c>
      <c r="K5684" s="3" t="s">
        <v>76</v>
      </c>
    </row>
    <row r="5685" spans="1:11" ht="42" customHeight="1">
      <c r="A5685" s="2" t="s">
        <v>14542</v>
      </c>
      <c r="B5685" s="2" t="s">
        <v>14543</v>
      </c>
      <c r="C5685" s="2" t="s">
        <v>26</v>
      </c>
      <c r="D5685" s="2" t="s">
        <v>27</v>
      </c>
      <c r="E5685" s="4">
        <v>-32691</v>
      </c>
      <c r="F5685" s="3" t="s">
        <v>3021</v>
      </c>
      <c r="G5685" s="3" t="s">
        <v>2595</v>
      </c>
      <c r="H5685" s="2" t="s">
        <v>74</v>
      </c>
      <c r="I5685" s="2" t="s">
        <v>14544</v>
      </c>
      <c r="J5685" s="3" t="str">
        <f>HYPERLINK("https://www.boe.es/gazeta/dias/1810/06/29/pdfs/GEI-1810-40.pdf#page=3","Abrir facsímil")</f>
        <v>Abrir facsímil</v>
      </c>
      <c r="K5685" s="3" t="s">
        <v>76</v>
      </c>
    </row>
    <row r="5686" spans="1:11" ht="42" customHeight="1">
      <c r="A5686" s="2" t="s">
        <v>14545</v>
      </c>
      <c r="B5686" s="2" t="s">
        <v>14546</v>
      </c>
      <c r="C5686" s="2" t="s">
        <v>88</v>
      </c>
      <c r="D5686" s="2" t="s">
        <v>27</v>
      </c>
      <c r="E5686" s="4">
        <v>-32608</v>
      </c>
      <c r="F5686" s="3" t="s">
        <v>781</v>
      </c>
      <c r="G5686" s="3" t="s">
        <v>782</v>
      </c>
      <c r="H5686" s="2" t="s">
        <v>74</v>
      </c>
      <c r="I5686" s="2" t="s">
        <v>14547</v>
      </c>
      <c r="J5686" s="3" t="str">
        <f>HYPERLINK("https://www.boe.es/gazeta/dias/1810/09/20/pdfs/GEI-1810-70.pdf#page=5","Abrir facsímil")</f>
        <v>Abrir facsímil</v>
      </c>
      <c r="K5686" s="3" t="s">
        <v>76</v>
      </c>
    </row>
    <row r="5687" spans="1:11" ht="42" customHeight="1">
      <c r="A5687" s="2" t="s">
        <v>14548</v>
      </c>
      <c r="B5687" s="2" t="s">
        <v>14548</v>
      </c>
      <c r="C5687" s="2" t="s">
        <v>195</v>
      </c>
      <c r="D5687" s="2" t="s">
        <v>27</v>
      </c>
      <c r="E5687" s="4">
        <v>-32563</v>
      </c>
      <c r="F5687" s="3" t="s">
        <v>535</v>
      </c>
      <c r="G5687" s="3" t="s">
        <v>1335</v>
      </c>
      <c r="H5687" s="2" t="s">
        <v>74</v>
      </c>
      <c r="I5687" s="2" t="s">
        <v>14549</v>
      </c>
      <c r="J5687" s="3" t="str">
        <f>HYPERLINK("https://www.boe.es/gazeta/dias/1810/11/04/pdfs/GMD-1810-308.pdf#page=6","Abrir facsímil")</f>
        <v>Abrir facsímil</v>
      </c>
      <c r="K5687" s="3" t="s">
        <v>76</v>
      </c>
    </row>
    <row r="5688" spans="1:11" ht="42" customHeight="1">
      <c r="A5688" s="2" t="s">
        <v>14550</v>
      </c>
      <c r="B5688" s="2" t="s">
        <v>14550</v>
      </c>
      <c r="C5688" s="2" t="s">
        <v>88</v>
      </c>
      <c r="D5688" s="2" t="s">
        <v>27</v>
      </c>
      <c r="E5688" s="4">
        <v>-32510</v>
      </c>
      <c r="F5688" s="3" t="s">
        <v>1955</v>
      </c>
      <c r="G5688" s="3" t="s">
        <v>1956</v>
      </c>
      <c r="H5688" s="2" t="s">
        <v>74</v>
      </c>
      <c r="I5688" s="2" t="s">
        <v>14551</v>
      </c>
      <c r="J5688" s="3" t="str">
        <f>HYPERLINK("https://www.boe.es/gazeta/dias/1810/12/27/pdfs/GEI-1810-113.pdf#page=6","Abrir facsímil")</f>
        <v>Abrir facsímil</v>
      </c>
      <c r="K5688" s="3" t="s">
        <v>76</v>
      </c>
    </row>
    <row r="5689" spans="1:11" ht="42" customHeight="1">
      <c r="A5689" s="2" t="s">
        <v>14552</v>
      </c>
      <c r="B5689" s="2" t="s">
        <v>14553</v>
      </c>
      <c r="C5689" s="2" t="s">
        <v>26</v>
      </c>
      <c r="D5689" s="2" t="s">
        <v>27</v>
      </c>
      <c r="E5689" s="4">
        <v>-32549</v>
      </c>
      <c r="F5689" s="3" t="s">
        <v>1237</v>
      </c>
      <c r="G5689" s="3" t="s">
        <v>493</v>
      </c>
      <c r="H5689" s="2" t="s">
        <v>74</v>
      </c>
      <c r="I5689" s="2" t="s">
        <v>14554</v>
      </c>
      <c r="J5689" s="3" t="str">
        <f>HYPERLINK("https://www.boe.es/gazeta/dias/1810/11/18/pdfs/GMD-1810-322.pdf#page=2","Abrir facsímil")</f>
        <v>Abrir facsímil</v>
      </c>
      <c r="K5689" s="3" t="s">
        <v>76</v>
      </c>
    </row>
    <row r="5690" spans="1:11" ht="42" customHeight="1">
      <c r="A5690" s="2" t="s">
        <v>14555</v>
      </c>
      <c r="B5690" s="2" t="s">
        <v>14556</v>
      </c>
      <c r="C5690" s="2" t="s">
        <v>26</v>
      </c>
      <c r="D5690" s="2" t="s">
        <v>58</v>
      </c>
      <c r="E5690" s="4">
        <v>-32651</v>
      </c>
      <c r="F5690" s="3" t="s">
        <v>59</v>
      </c>
      <c r="G5690" s="3" t="s">
        <v>60</v>
      </c>
      <c r="H5690" s="2" t="s">
        <v>74</v>
      </c>
      <c r="I5690" s="2" t="s">
        <v>14557</v>
      </c>
      <c r="J5690" s="3" t="str">
        <f>HYPERLINK("https://www.boe.es/gazeta/dias/1810/08/08/pdfs/GEI-1810-53E.pdf#page=3","Abrir facsímil")</f>
        <v>Abrir facsímil</v>
      </c>
      <c r="K5690" s="3" t="s">
        <v>76</v>
      </c>
    </row>
    <row r="5691" spans="1:11" ht="42" customHeight="1">
      <c r="A5691" s="2" t="s">
        <v>14558</v>
      </c>
      <c r="B5691" s="2" t="s">
        <v>14559</v>
      </c>
      <c r="C5691" s="2" t="s">
        <v>26</v>
      </c>
      <c r="D5691" s="2" t="s">
        <v>27</v>
      </c>
      <c r="E5691" s="4">
        <v>-32515</v>
      </c>
      <c r="F5691" s="3" t="s">
        <v>351</v>
      </c>
      <c r="G5691" s="3" t="s">
        <v>352</v>
      </c>
      <c r="H5691" s="2" t="s">
        <v>74</v>
      </c>
      <c r="I5691" s="2" t="s">
        <v>14560</v>
      </c>
      <c r="J5691" s="3" t="str">
        <f>HYPERLINK("https://www.boe.es/gazeta/dias/1810/12/22/pdfs/GEI-1810-111.pdf#page=8","Abrir facsímil")</f>
        <v>Abrir facsímil</v>
      </c>
      <c r="K5691" s="3" t="s">
        <v>76</v>
      </c>
    </row>
    <row r="5692" spans="1:11" ht="42" customHeight="1">
      <c r="A5692" s="2" t="s">
        <v>14561</v>
      </c>
      <c r="B5692" s="2" t="s">
        <v>14562</v>
      </c>
      <c r="C5692" s="2" t="s">
        <v>26</v>
      </c>
      <c r="D5692" s="2" t="s">
        <v>27</v>
      </c>
      <c r="E5692" s="4">
        <v>-32575</v>
      </c>
      <c r="F5692" s="3" t="s">
        <v>135</v>
      </c>
      <c r="G5692" s="3" t="s">
        <v>140</v>
      </c>
      <c r="H5692" s="2" t="s">
        <v>74</v>
      </c>
      <c r="I5692" s="2" t="s">
        <v>14563</v>
      </c>
      <c r="J5692" s="3" t="str">
        <f>HYPERLINK("https://www.boe.es/gazeta/dias/1810/10/23/pdfs/GEI-1810-85.pdf#page=10","Abrir facsímil")</f>
        <v>Abrir facsímil</v>
      </c>
      <c r="K5692" s="3" t="s">
        <v>76</v>
      </c>
    </row>
    <row r="5693" spans="1:11" ht="42" customHeight="1">
      <c r="A5693" s="2" t="s">
        <v>14564</v>
      </c>
      <c r="B5693" s="2" t="s">
        <v>14564</v>
      </c>
      <c r="C5693" s="2" t="s">
        <v>88</v>
      </c>
      <c r="D5693" s="2" t="s">
        <v>27</v>
      </c>
      <c r="E5693" s="4">
        <v>-32628</v>
      </c>
      <c r="F5693" s="3" t="s">
        <v>3118</v>
      </c>
      <c r="G5693" s="3" t="s">
        <v>465</v>
      </c>
      <c r="H5693" s="2" t="s">
        <v>74</v>
      </c>
      <c r="I5693" s="2" t="s">
        <v>14565</v>
      </c>
      <c r="J5693" s="3" t="str">
        <f>HYPERLINK("https://www.boe.es/gazeta/dias/1810/08/31/pdfs/GEI-1810-62.pdf#page=8","Abrir facsímil")</f>
        <v>Abrir facsímil</v>
      </c>
      <c r="K5693" s="3" t="s">
        <v>76</v>
      </c>
    </row>
    <row r="5694" spans="1:11" ht="42" customHeight="1">
      <c r="A5694" s="2" t="s">
        <v>14566</v>
      </c>
      <c r="B5694" s="2" t="s">
        <v>14566</v>
      </c>
      <c r="C5694" s="2" t="s">
        <v>88</v>
      </c>
      <c r="D5694" s="2" t="s">
        <v>27</v>
      </c>
      <c r="E5694" s="4">
        <v>-32740</v>
      </c>
      <c r="F5694" s="3" t="s">
        <v>721</v>
      </c>
      <c r="G5694" s="3" t="s">
        <v>359</v>
      </c>
      <c r="H5694" s="2" t="s">
        <v>74</v>
      </c>
      <c r="I5694" s="2" t="s">
        <v>14567</v>
      </c>
      <c r="J5694" s="3" t="str">
        <f>HYPERLINK("https://www.boe.es/gazeta/dias/1810/05/11/pdfs/GEI-1810-24.pdf#page=6","Abrir facsímil")</f>
        <v>Abrir facsímil</v>
      </c>
      <c r="K5694" s="3" t="s">
        <v>76</v>
      </c>
    </row>
    <row r="5695" spans="1:11" ht="42" customHeight="1">
      <c r="A5695" s="2" t="s">
        <v>14566</v>
      </c>
      <c r="B5695" s="2" t="s">
        <v>14566</v>
      </c>
      <c r="C5695" s="2" t="s">
        <v>88</v>
      </c>
      <c r="D5695" s="2" t="s">
        <v>27</v>
      </c>
      <c r="E5695" s="4">
        <v>-32736</v>
      </c>
      <c r="F5695" s="3" t="s">
        <v>1933</v>
      </c>
      <c r="G5695" s="3" t="s">
        <v>213</v>
      </c>
      <c r="H5695" s="2" t="s">
        <v>74</v>
      </c>
      <c r="I5695" s="2" t="s">
        <v>14568</v>
      </c>
      <c r="J5695" s="3" t="str">
        <f>HYPERLINK("https://www.boe.es/gazeta/dias/1810/05/15/pdfs/GEI-1810-25.pdf#page=4","Abrir facsímil")</f>
        <v>Abrir facsímil</v>
      </c>
      <c r="K5695" s="3" t="s">
        <v>76</v>
      </c>
    </row>
    <row r="5696" spans="1:11" ht="42" customHeight="1">
      <c r="A5696" s="2" t="s">
        <v>14566</v>
      </c>
      <c r="B5696" s="2" t="s">
        <v>14566</v>
      </c>
      <c r="C5696" s="2" t="s">
        <v>88</v>
      </c>
      <c r="D5696" s="2" t="s">
        <v>27</v>
      </c>
      <c r="E5696" s="4">
        <v>-32698</v>
      </c>
      <c r="F5696" s="3" t="s">
        <v>2705</v>
      </c>
      <c r="G5696" s="3" t="s">
        <v>4518</v>
      </c>
      <c r="H5696" s="2" t="s">
        <v>74</v>
      </c>
      <c r="I5696" s="2" t="s">
        <v>14569</v>
      </c>
      <c r="J5696" s="3" t="str">
        <f>HYPERLINK("https://www.boe.es/gazeta/dias/1810/06/22/pdfs/GEI-1810-38.pdf#page=6","Abrir facsímil")</f>
        <v>Abrir facsímil</v>
      </c>
      <c r="K5696" s="3" t="s">
        <v>76</v>
      </c>
    </row>
    <row r="5697" spans="1:11" ht="42" customHeight="1">
      <c r="A5697" s="2" t="s">
        <v>14566</v>
      </c>
      <c r="B5697" s="2" t="s">
        <v>14566</v>
      </c>
      <c r="C5697" s="2" t="s">
        <v>225</v>
      </c>
      <c r="D5697" s="2" t="s">
        <v>27</v>
      </c>
      <c r="E5697" s="4">
        <v>-32684</v>
      </c>
      <c r="F5697" s="3" t="s">
        <v>1373</v>
      </c>
      <c r="G5697" s="3" t="s">
        <v>1821</v>
      </c>
      <c r="H5697" s="2" t="s">
        <v>74</v>
      </c>
      <c r="I5697" s="2" t="s">
        <v>14570</v>
      </c>
      <c r="J5697" s="3" t="str">
        <f>HYPERLINK("https://www.boe.es/gazeta/dias/1810/07/06/pdfs/GEI-1810-42.pdf#page=3","Abrir facsímil")</f>
        <v>Abrir facsímil</v>
      </c>
      <c r="K5697" s="3" t="s">
        <v>76</v>
      </c>
    </row>
    <row r="5698" spans="1:11" ht="42" customHeight="1">
      <c r="A5698" s="2" t="s">
        <v>14566</v>
      </c>
      <c r="B5698" s="2" t="s">
        <v>14566</v>
      </c>
      <c r="C5698" s="2" t="s">
        <v>88</v>
      </c>
      <c r="D5698" s="2" t="s">
        <v>27</v>
      </c>
      <c r="E5698" s="4">
        <v>-32684</v>
      </c>
      <c r="F5698" s="3" t="s">
        <v>1373</v>
      </c>
      <c r="G5698" s="3" t="s">
        <v>613</v>
      </c>
      <c r="H5698" s="2" t="s">
        <v>74</v>
      </c>
      <c r="I5698" s="2" t="s">
        <v>14571</v>
      </c>
      <c r="J5698" s="3" t="str">
        <f>HYPERLINK("https://www.boe.es/gazeta/dias/1810/07/06/pdfs/GEI-1810-42.pdf#page=4","Abrir facsímil")</f>
        <v>Abrir facsímil</v>
      </c>
      <c r="K5698" s="3" t="s">
        <v>76</v>
      </c>
    </row>
    <row r="5699" spans="1:11" ht="42" customHeight="1">
      <c r="A5699" s="2" t="s">
        <v>14566</v>
      </c>
      <c r="B5699" s="2" t="s">
        <v>14566</v>
      </c>
      <c r="C5699" s="2" t="s">
        <v>88</v>
      </c>
      <c r="D5699" s="2" t="s">
        <v>27</v>
      </c>
      <c r="E5699" s="4">
        <v>-32559</v>
      </c>
      <c r="F5699" s="3" t="s">
        <v>3062</v>
      </c>
      <c r="G5699" s="3" t="s">
        <v>14572</v>
      </c>
      <c r="H5699" s="2" t="s">
        <v>74</v>
      </c>
      <c r="I5699" s="2" t="s">
        <v>14573</v>
      </c>
      <c r="J5699" s="3" t="str">
        <f>HYPERLINK("https://www.boe.es/gazeta/dias/1810/11/08/pdfs/GEI-1810-92.pdf#page=8","Abrir facsímil")</f>
        <v>Abrir facsímil</v>
      </c>
      <c r="K5699" s="3" t="s">
        <v>76</v>
      </c>
    </row>
    <row r="5700" spans="1:11" ht="42" customHeight="1">
      <c r="A5700" s="2" t="s">
        <v>14566</v>
      </c>
      <c r="B5700" s="2" t="s">
        <v>14566</v>
      </c>
      <c r="C5700" s="2" t="s">
        <v>88</v>
      </c>
      <c r="D5700" s="2" t="s">
        <v>117</v>
      </c>
      <c r="E5700" s="4">
        <v>-32536</v>
      </c>
      <c r="F5700" s="3" t="s">
        <v>9556</v>
      </c>
      <c r="G5700" s="3" t="s">
        <v>9557</v>
      </c>
      <c r="H5700" s="2" t="s">
        <v>74</v>
      </c>
      <c r="I5700" s="2" t="s">
        <v>14574</v>
      </c>
      <c r="J5700" s="3" t="str">
        <f>HYPERLINK("https://www.boe.es/gazeta/dias/1810/12/01/pdfs/GEI-1810-102.pdf#page=5","Abrir facsímil")</f>
        <v>Abrir facsímil</v>
      </c>
      <c r="K5700" s="3" t="s">
        <v>76</v>
      </c>
    </row>
    <row r="5701" spans="1:11" ht="42" customHeight="1">
      <c r="A5701" s="2" t="s">
        <v>14575</v>
      </c>
      <c r="B5701" s="2" t="s">
        <v>14576</v>
      </c>
      <c r="C5701" s="2" t="s">
        <v>26</v>
      </c>
      <c r="D5701" s="2" t="s">
        <v>27</v>
      </c>
      <c r="E5701" s="4">
        <v>-32575</v>
      </c>
      <c r="F5701" s="3" t="s">
        <v>135</v>
      </c>
      <c r="G5701" s="3" t="s">
        <v>136</v>
      </c>
      <c r="H5701" s="2" t="s">
        <v>74</v>
      </c>
      <c r="I5701" s="2" t="s">
        <v>14577</v>
      </c>
      <c r="J5701" s="3" t="str">
        <f>HYPERLINK("https://www.boe.es/gazeta/dias/1810/10/23/pdfs/GEI-1810-85.pdf#page=11","Abrir facsímil")</f>
        <v>Abrir facsímil</v>
      </c>
      <c r="K5701" s="3" t="s">
        <v>76</v>
      </c>
    </row>
    <row r="5702" spans="1:11" ht="42" customHeight="1">
      <c r="A5702" s="2" t="s">
        <v>14578</v>
      </c>
      <c r="B5702" s="2" t="s">
        <v>14578</v>
      </c>
      <c r="C5702" s="2" t="s">
        <v>26</v>
      </c>
      <c r="D5702" s="2" t="s">
        <v>27</v>
      </c>
      <c r="E5702" s="4">
        <v>-32619</v>
      </c>
      <c r="F5702" s="3" t="s">
        <v>1270</v>
      </c>
      <c r="G5702" s="3" t="s">
        <v>70</v>
      </c>
      <c r="H5702" s="2" t="s">
        <v>74</v>
      </c>
      <c r="I5702" s="2" t="s">
        <v>14579</v>
      </c>
      <c r="J5702" s="3" t="str">
        <f>HYPERLINK("https://www.boe.es/gazeta/dias/1810/09/09/pdfs/GMD-1810-252.pdf#page=1","Abrir facsímil")</f>
        <v>Abrir facsímil</v>
      </c>
      <c r="K5702" s="3" t="s">
        <v>76</v>
      </c>
    </row>
    <row r="5703" spans="1:11" ht="42" customHeight="1">
      <c r="A5703" s="2" t="s">
        <v>14578</v>
      </c>
      <c r="B5703" s="2" t="s">
        <v>14578</v>
      </c>
      <c r="C5703" s="2" t="s">
        <v>26</v>
      </c>
      <c r="D5703" s="2" t="s">
        <v>27</v>
      </c>
      <c r="E5703" s="4">
        <v>-32619</v>
      </c>
      <c r="F5703" s="3" t="s">
        <v>1270</v>
      </c>
      <c r="G5703" s="3" t="s">
        <v>14580</v>
      </c>
      <c r="H5703" s="2" t="s">
        <v>74</v>
      </c>
      <c r="I5703" s="2" t="s">
        <v>14581</v>
      </c>
      <c r="J5703" s="3" t="str">
        <f>HYPERLINK("https://www.boe.es/gazeta/dias/1810/09/09/pdfs/GMD-1810-252.pdf#page=2","Abrir facsímil")</f>
        <v>Abrir facsímil</v>
      </c>
      <c r="K5703" s="3" t="s">
        <v>76</v>
      </c>
    </row>
    <row r="5704" spans="1:11" ht="42" customHeight="1">
      <c r="A5704" s="2" t="s">
        <v>14582</v>
      </c>
      <c r="B5704" s="2" t="s">
        <v>14583</v>
      </c>
      <c r="C5704" s="2" t="s">
        <v>225</v>
      </c>
      <c r="D5704" s="2" t="s">
        <v>27</v>
      </c>
      <c r="E5704" s="4">
        <v>-32697</v>
      </c>
      <c r="F5704" s="3" t="s">
        <v>1859</v>
      </c>
      <c r="G5704" s="3" t="s">
        <v>70</v>
      </c>
      <c r="H5704" s="2" t="s">
        <v>74</v>
      </c>
      <c r="I5704" s="2" t="s">
        <v>14584</v>
      </c>
      <c r="J5704" s="3" t="str">
        <f>HYPERLINK("https://www.boe.es/gazeta/dias/1810/06/23/pdfs/GMD-1810-174.pdf#page=4","Abrir facsímil")</f>
        <v>Abrir facsímil</v>
      </c>
      <c r="K5704" s="3" t="s">
        <v>76</v>
      </c>
    </row>
    <row r="5705" spans="1:11" ht="42" customHeight="1">
      <c r="A5705" s="2" t="s">
        <v>14582</v>
      </c>
      <c r="B5705" s="2" t="s">
        <v>14583</v>
      </c>
      <c r="C5705" s="2" t="s">
        <v>225</v>
      </c>
      <c r="D5705" s="2" t="s">
        <v>27</v>
      </c>
      <c r="E5705" s="4">
        <v>-32509</v>
      </c>
      <c r="F5705" s="3" t="s">
        <v>212</v>
      </c>
      <c r="G5705" s="3" t="s">
        <v>213</v>
      </c>
      <c r="H5705" s="2" t="s">
        <v>74</v>
      </c>
      <c r="I5705" s="2" t="s">
        <v>14585</v>
      </c>
      <c r="J5705" s="3" t="str">
        <f>HYPERLINK("https://www.boe.es/gazeta/dias/1810/12/28/pdfs/GMD-1810-362.pdf#page=4","Abrir facsímil")</f>
        <v>Abrir facsímil</v>
      </c>
      <c r="K5705" s="3" t="s">
        <v>76</v>
      </c>
    </row>
    <row r="5706" spans="1:11" ht="42" customHeight="1">
      <c r="A5706" s="2" t="s">
        <v>14586</v>
      </c>
      <c r="B5706" s="2" t="s">
        <v>14587</v>
      </c>
      <c r="C5706" s="2" t="s">
        <v>111</v>
      </c>
      <c r="D5706" s="2" t="s">
        <v>27</v>
      </c>
      <c r="E5706" s="4">
        <v>-32837</v>
      </c>
      <c r="F5706" s="3" t="s">
        <v>196</v>
      </c>
      <c r="G5706" s="3" t="s">
        <v>140</v>
      </c>
      <c r="H5706" s="2" t="s">
        <v>74</v>
      </c>
      <c r="I5706" s="2" t="s">
        <v>14588</v>
      </c>
      <c r="J5706" s="3" t="str">
        <f>HYPERLINK("https://www.boe.es/gazeta/dias/1810/02/03/pdfs/GMD-1810-34.pdf#page=4","Abrir facsímil")</f>
        <v>Abrir facsímil</v>
      </c>
      <c r="K5706" s="3" t="s">
        <v>76</v>
      </c>
    </row>
    <row r="5707" spans="1:11" ht="42" customHeight="1">
      <c r="A5707" s="2" t="s">
        <v>14589</v>
      </c>
      <c r="B5707" s="2" t="s">
        <v>14590</v>
      </c>
      <c r="C5707" s="2" t="s">
        <v>26</v>
      </c>
      <c r="D5707" s="2" t="s">
        <v>27</v>
      </c>
      <c r="E5707" s="4">
        <v>-32568</v>
      </c>
      <c r="F5707" s="3" t="s">
        <v>1233</v>
      </c>
      <c r="G5707" s="3" t="s">
        <v>140</v>
      </c>
      <c r="H5707" s="2" t="s">
        <v>74</v>
      </c>
      <c r="I5707" s="2" t="s">
        <v>14591</v>
      </c>
      <c r="J5707" s="3" t="str">
        <f>HYPERLINK("https://www.boe.es/gazeta/dias/1810/10/30/pdfs/GMD-1810-303.pdf#page=4","Abrir facsímil")</f>
        <v>Abrir facsímil</v>
      </c>
      <c r="K5707" s="3" t="s">
        <v>76</v>
      </c>
    </row>
    <row r="5708" spans="1:11" ht="42" customHeight="1">
      <c r="A5708" s="2" t="s">
        <v>14592</v>
      </c>
      <c r="B5708" s="2" t="s">
        <v>14593</v>
      </c>
      <c r="C5708" s="2" t="s">
        <v>33</v>
      </c>
      <c r="D5708" s="2" t="s">
        <v>27</v>
      </c>
      <c r="E5708" s="4">
        <v>-32659</v>
      </c>
      <c r="F5708" s="3" t="s">
        <v>1684</v>
      </c>
      <c r="G5708" s="3" t="s">
        <v>29</v>
      </c>
      <c r="H5708" s="2" t="s">
        <v>74</v>
      </c>
      <c r="I5708" s="2" t="s">
        <v>14594</v>
      </c>
      <c r="J5708" s="3" t="str">
        <f>HYPERLINK("https://www.boe.es/gazeta/dias/1810/07/31/pdfs/GMD-1810-212.pdf#page=4","Abrir facsímil")</f>
        <v>Abrir facsímil</v>
      </c>
      <c r="K5708" s="3" t="s">
        <v>76</v>
      </c>
    </row>
    <row r="5709" spans="1:11" ht="42" customHeight="1">
      <c r="A5709" s="2" t="s">
        <v>14595</v>
      </c>
      <c r="B5709" s="2" t="s">
        <v>14595</v>
      </c>
      <c r="C5709" s="2" t="s">
        <v>88</v>
      </c>
      <c r="D5709" s="2" t="s">
        <v>27</v>
      </c>
      <c r="E5709" s="4">
        <v>-32687</v>
      </c>
      <c r="F5709" s="3" t="s">
        <v>263</v>
      </c>
      <c r="G5709" s="3" t="s">
        <v>20</v>
      </c>
      <c r="H5709" s="2" t="s">
        <v>74</v>
      </c>
      <c r="I5709" s="2" t="s">
        <v>14596</v>
      </c>
      <c r="J5709" s="3" t="str">
        <f>HYPERLINK("https://www.boe.es/gazeta/dias/1810/07/03/pdfs/GEI-1810-41.pdf#page=4","Abrir facsímil")</f>
        <v>Abrir facsímil</v>
      </c>
      <c r="K5709" s="3" t="s">
        <v>76</v>
      </c>
    </row>
    <row r="5710" spans="1:11" ht="42" customHeight="1">
      <c r="A5710" s="2" t="s">
        <v>14597</v>
      </c>
      <c r="B5710" s="2" t="s">
        <v>14598</v>
      </c>
      <c r="C5710" s="2" t="s">
        <v>17</v>
      </c>
      <c r="D5710" s="2" t="s">
        <v>27</v>
      </c>
      <c r="E5710" s="4">
        <v>-32820</v>
      </c>
      <c r="F5710" s="3" t="s">
        <v>226</v>
      </c>
      <c r="G5710" s="3" t="s">
        <v>356</v>
      </c>
      <c r="H5710" s="2" t="s">
        <v>74</v>
      </c>
      <c r="I5710" s="2" t="s">
        <v>14599</v>
      </c>
      <c r="J5710" s="3" t="str">
        <f>HYPERLINK("https://www.boe.es/gazeta/dias/1810/02/20/pdfs/GMD-1810-51.pdf#page=3","Abrir facsímil")</f>
        <v>Abrir facsímil</v>
      </c>
      <c r="K5710" s="3" t="s">
        <v>76</v>
      </c>
    </row>
    <row r="5711" spans="1:11" ht="42" customHeight="1">
      <c r="A5711" s="2" t="s">
        <v>14600</v>
      </c>
      <c r="B5711" s="2" t="s">
        <v>14601</v>
      </c>
      <c r="C5711" s="2" t="s">
        <v>88</v>
      </c>
      <c r="D5711" s="2" t="s">
        <v>117</v>
      </c>
      <c r="E5711" s="4">
        <v>-32687</v>
      </c>
      <c r="F5711" s="3" t="s">
        <v>263</v>
      </c>
      <c r="G5711" s="3" t="s">
        <v>99</v>
      </c>
      <c r="H5711" s="2" t="s">
        <v>74</v>
      </c>
      <c r="I5711" s="2" t="s">
        <v>14602</v>
      </c>
      <c r="J5711" s="3" t="str">
        <f>HYPERLINK("https://www.boe.es/gazeta/dias/1810/07/03/pdfs/GEI-1810-41.pdf#page=3","Abrir facsímil")</f>
        <v>Abrir facsímil</v>
      </c>
      <c r="K5711" s="3" t="s">
        <v>76</v>
      </c>
    </row>
    <row r="5712" spans="1:11" ht="42" customHeight="1">
      <c r="A5712" s="2" t="s">
        <v>14603</v>
      </c>
      <c r="B5712" s="2" t="s">
        <v>14603</v>
      </c>
      <c r="C5712" s="2" t="s">
        <v>88</v>
      </c>
      <c r="D5712" s="2" t="s">
        <v>117</v>
      </c>
      <c r="E5712" s="4">
        <v>-32531</v>
      </c>
      <c r="F5712" s="3" t="s">
        <v>2483</v>
      </c>
      <c r="G5712" s="3" t="s">
        <v>2686</v>
      </c>
      <c r="H5712" s="2" t="s">
        <v>74</v>
      </c>
      <c r="I5712" s="2" t="s">
        <v>14604</v>
      </c>
      <c r="J5712" s="3" t="str">
        <f>HYPERLINK("https://www.boe.es/gazeta/dias/1810/12/06/pdfs/GEI-1810-104.pdf#page=8","Abrir facsímil")</f>
        <v>Abrir facsímil</v>
      </c>
      <c r="K5712" s="3" t="s">
        <v>76</v>
      </c>
    </row>
    <row r="5713" spans="1:11" ht="42" customHeight="1">
      <c r="A5713" s="2" t="s">
        <v>14605</v>
      </c>
      <c r="B5713" s="2" t="s">
        <v>14606</v>
      </c>
      <c r="C5713" s="2" t="s">
        <v>88</v>
      </c>
      <c r="D5713" s="2" t="s">
        <v>117</v>
      </c>
      <c r="E5713" s="4">
        <v>-32845</v>
      </c>
      <c r="F5713" s="3" t="s">
        <v>1454</v>
      </c>
      <c r="G5713" s="3" t="s">
        <v>213</v>
      </c>
      <c r="H5713" s="2" t="s">
        <v>74</v>
      </c>
      <c r="I5713" s="2" t="s">
        <v>14607</v>
      </c>
      <c r="J5713" s="3" t="str">
        <f>HYPERLINK("https://www.boe.es/gazeta/dias/1810/01/26/pdfs/GMD-1810-26.pdf#page=4","Abrir facsímil")</f>
        <v>Abrir facsímil</v>
      </c>
      <c r="K5713" s="3" t="s">
        <v>76</v>
      </c>
    </row>
    <row r="5714" spans="1:11" ht="42" customHeight="1">
      <c r="A5714" s="2" t="s">
        <v>14608</v>
      </c>
      <c r="B5714" s="2" t="s">
        <v>14608</v>
      </c>
      <c r="C5714" s="2" t="s">
        <v>317</v>
      </c>
      <c r="D5714" s="2" t="s">
        <v>117</v>
      </c>
      <c r="E5714" s="4">
        <v>-32554</v>
      </c>
      <c r="F5714" s="3" t="s">
        <v>5190</v>
      </c>
      <c r="G5714" s="3" t="s">
        <v>2073</v>
      </c>
      <c r="H5714" s="2" t="s">
        <v>74</v>
      </c>
      <c r="I5714" s="2" t="s">
        <v>14609</v>
      </c>
      <c r="J5714" s="3" t="str">
        <f>HYPERLINK("https://www.boe.es/gazeta/dias/1810/11/13/pdfs/GEI-1810-94.pdf#page=2","Abrir facsímil")</f>
        <v>Abrir facsímil</v>
      </c>
      <c r="K5714" s="3" t="s">
        <v>76</v>
      </c>
    </row>
    <row r="5715" spans="1:11" ht="42" customHeight="1">
      <c r="A5715" s="2" t="s">
        <v>14610</v>
      </c>
      <c r="B5715" s="2" t="s">
        <v>14610</v>
      </c>
      <c r="C5715" s="2" t="s">
        <v>88</v>
      </c>
      <c r="D5715" s="2" t="s">
        <v>27</v>
      </c>
      <c r="E5715" s="4">
        <v>-32691</v>
      </c>
      <c r="F5715" s="3" t="s">
        <v>3021</v>
      </c>
      <c r="G5715" s="3" t="s">
        <v>1540</v>
      </c>
      <c r="H5715" s="2" t="s">
        <v>74</v>
      </c>
      <c r="I5715" s="2" t="s">
        <v>14611</v>
      </c>
      <c r="J5715" s="3" t="str">
        <f>HYPERLINK("https://www.boe.es/gazeta/dias/1810/06/29/pdfs/GEI-1810-40.pdf#page=1","Abrir facsímil")</f>
        <v>Abrir facsímil</v>
      </c>
      <c r="K5715" s="3" t="s">
        <v>76</v>
      </c>
    </row>
    <row r="5716" spans="1:11" ht="42" customHeight="1">
      <c r="A5716" s="2" t="s">
        <v>14612</v>
      </c>
      <c r="B5716" s="2" t="s">
        <v>14612</v>
      </c>
      <c r="C5716" s="2" t="s">
        <v>17</v>
      </c>
      <c r="D5716" s="2" t="s">
        <v>27</v>
      </c>
      <c r="E5716" s="4">
        <v>-32543</v>
      </c>
      <c r="F5716" s="3" t="s">
        <v>4082</v>
      </c>
      <c r="G5716" s="3" t="s">
        <v>104</v>
      </c>
      <c r="H5716" s="2" t="s">
        <v>74</v>
      </c>
      <c r="I5716" s="2" t="s">
        <v>14613</v>
      </c>
      <c r="J5716" s="3" t="str">
        <f>HYPERLINK("https://www.boe.es/gazeta/dias/1810/11/24/pdfs/GMD-1810-328.pdf#page=3","Abrir facsímil")</f>
        <v>Abrir facsímil</v>
      </c>
      <c r="K5716" s="3" t="s">
        <v>76</v>
      </c>
    </row>
    <row r="5717" spans="1:11" ht="42" customHeight="1">
      <c r="A5717" s="2" t="s">
        <v>14614</v>
      </c>
      <c r="B5717" s="2" t="s">
        <v>14615</v>
      </c>
      <c r="C5717" s="2" t="s">
        <v>26</v>
      </c>
      <c r="D5717" s="2" t="s">
        <v>39</v>
      </c>
      <c r="E5717" s="4">
        <v>-32701</v>
      </c>
      <c r="F5717" s="3" t="s">
        <v>40</v>
      </c>
      <c r="G5717" s="3" t="s">
        <v>41</v>
      </c>
      <c r="H5717" s="2" t="s">
        <v>21</v>
      </c>
      <c r="I5717" s="2" t="s">
        <v>14616</v>
      </c>
      <c r="J5717" s="3" t="str">
        <f>HYPERLINK("https://www.boe.es/gazeta/dias/1810/06/19/pdfs/GMD-C-1810-170.pdf#page=3","Abrir facsímil")</f>
        <v>Abrir facsímil</v>
      </c>
      <c r="K5717" s="3" t="s">
        <v>23</v>
      </c>
    </row>
    <row r="5718" spans="1:11" ht="42" customHeight="1">
      <c r="A5718" s="2" t="s">
        <v>14617</v>
      </c>
      <c r="B5718" s="2" t="s">
        <v>14618</v>
      </c>
      <c r="C5718" s="2" t="s">
        <v>88</v>
      </c>
      <c r="D5718" s="2" t="s">
        <v>27</v>
      </c>
      <c r="E5718" s="4">
        <v>-32700</v>
      </c>
      <c r="F5718" s="3" t="s">
        <v>89</v>
      </c>
      <c r="G5718" s="3" t="s">
        <v>70</v>
      </c>
      <c r="H5718" s="2" t="s">
        <v>74</v>
      </c>
      <c r="I5718" s="2" t="s">
        <v>14619</v>
      </c>
      <c r="J5718" s="3" t="str">
        <f>HYPERLINK("https://www.boe.es/gazeta/dias/1810/06/20/pdfs/GMD-1810-171.pdf#page=4","Abrir facsímil")</f>
        <v>Abrir facsímil</v>
      </c>
      <c r="K5718" s="3" t="s">
        <v>76</v>
      </c>
    </row>
    <row r="5719" spans="1:11" ht="42" customHeight="1">
      <c r="A5719" s="2" t="s">
        <v>14620</v>
      </c>
      <c r="B5719" s="2" t="s">
        <v>14620</v>
      </c>
      <c r="C5719" s="2" t="s">
        <v>317</v>
      </c>
      <c r="D5719" s="2" t="s">
        <v>27</v>
      </c>
      <c r="E5719" s="4">
        <v>-32519</v>
      </c>
      <c r="F5719" s="3" t="s">
        <v>2299</v>
      </c>
      <c r="G5719" s="3" t="s">
        <v>1044</v>
      </c>
      <c r="H5719" s="2" t="s">
        <v>74</v>
      </c>
      <c r="I5719" s="2" t="s">
        <v>14621</v>
      </c>
      <c r="J5719" s="3" t="str">
        <f>HYPERLINK("https://www.boe.es/gazeta/dias/1810/12/18/pdfs/GEI-1810-109.pdf#page=7","Abrir facsímil")</f>
        <v>Abrir facsímil</v>
      </c>
      <c r="K5719" s="3" t="s">
        <v>76</v>
      </c>
    </row>
    <row r="5720" spans="1:11" ht="42" customHeight="1">
      <c r="A5720" s="2" t="s">
        <v>14622</v>
      </c>
      <c r="B5720" s="2" t="s">
        <v>14622</v>
      </c>
      <c r="C5720" s="2" t="s">
        <v>26</v>
      </c>
      <c r="D5720" s="2" t="s">
        <v>27</v>
      </c>
      <c r="E5720" s="4">
        <v>-32587</v>
      </c>
      <c r="F5720" s="3" t="s">
        <v>103</v>
      </c>
      <c r="G5720" s="3" t="s">
        <v>106</v>
      </c>
      <c r="H5720" s="2" t="s">
        <v>74</v>
      </c>
      <c r="I5720" s="2" t="s">
        <v>14623</v>
      </c>
      <c r="J5720" s="3" t="str">
        <f>HYPERLINK("https://www.boe.es/gazeta/dias/1810/10/11/pdfs/GEI-1810-80.pdf#page=5","Abrir facsímil")</f>
        <v>Abrir facsímil</v>
      </c>
      <c r="K5720" s="3" t="s">
        <v>76</v>
      </c>
    </row>
    <row r="5721" spans="1:11" ht="42" customHeight="1">
      <c r="A5721" s="2" t="s">
        <v>14624</v>
      </c>
      <c r="B5721" s="2" t="s">
        <v>14625</v>
      </c>
      <c r="C5721" s="2" t="s">
        <v>88</v>
      </c>
      <c r="D5721" s="2" t="s">
        <v>27</v>
      </c>
      <c r="E5721" s="4">
        <v>-32708</v>
      </c>
      <c r="F5721" s="3" t="s">
        <v>654</v>
      </c>
      <c r="G5721" s="3" t="s">
        <v>655</v>
      </c>
      <c r="H5721" s="2" t="s">
        <v>74</v>
      </c>
      <c r="I5721" s="2" t="s">
        <v>14626</v>
      </c>
      <c r="J5721" s="3" t="str">
        <f>HYPERLINK("https://www.boe.es/gazeta/dias/1810/06/12/pdfs/GEI-1810-35.pdf#page=3","Abrir facsímil")</f>
        <v>Abrir facsímil</v>
      </c>
      <c r="K5721" s="3" t="s">
        <v>76</v>
      </c>
    </row>
    <row r="5722" spans="1:11" ht="42" customHeight="1">
      <c r="A5722" s="2" t="s">
        <v>14627</v>
      </c>
      <c r="B5722" s="2" t="s">
        <v>14628</v>
      </c>
      <c r="C5722" s="2" t="s">
        <v>26</v>
      </c>
      <c r="D5722" s="2" t="s">
        <v>27</v>
      </c>
      <c r="E5722" s="4">
        <v>-32645</v>
      </c>
      <c r="F5722" s="3" t="s">
        <v>122</v>
      </c>
      <c r="G5722" s="3" t="s">
        <v>119</v>
      </c>
      <c r="H5722" s="2" t="s">
        <v>74</v>
      </c>
      <c r="I5722" s="2" t="s">
        <v>14629</v>
      </c>
      <c r="J5722" s="3" t="str">
        <f>HYPERLINK("https://www.boe.es/gazeta/dias/1810/08/14/pdfs/GEI-1810-56.pdf#page=14","Abrir facsímil")</f>
        <v>Abrir facsímil</v>
      </c>
      <c r="K5722" s="3" t="s">
        <v>76</v>
      </c>
    </row>
    <row r="5723" spans="1:11" ht="42" customHeight="1">
      <c r="A5723" s="2" t="s">
        <v>14630</v>
      </c>
      <c r="B5723" s="2" t="s">
        <v>14630</v>
      </c>
      <c r="C5723" s="2" t="s">
        <v>88</v>
      </c>
      <c r="D5723" s="2" t="s">
        <v>27</v>
      </c>
      <c r="E5723" s="4">
        <v>-32675</v>
      </c>
      <c r="F5723" s="3" t="s">
        <v>729</v>
      </c>
      <c r="G5723" s="3" t="s">
        <v>7071</v>
      </c>
      <c r="H5723" s="2" t="s">
        <v>74</v>
      </c>
      <c r="I5723" s="2" t="s">
        <v>14631</v>
      </c>
      <c r="J5723" s="3" t="str">
        <f>HYPERLINK("https://www.boe.es/gazeta/dias/1810/07/15/pdfs/GMD-1810-196.pdf#page=4","Abrir facsímil")</f>
        <v>Abrir facsímil</v>
      </c>
      <c r="K5723" s="3" t="s">
        <v>76</v>
      </c>
    </row>
    <row r="5724" spans="1:11" ht="42" customHeight="1">
      <c r="A5724" s="2" t="s">
        <v>14632</v>
      </c>
      <c r="B5724" s="2" t="s">
        <v>14633</v>
      </c>
      <c r="C5724" s="2" t="s">
        <v>26</v>
      </c>
      <c r="D5724" s="2" t="s">
        <v>27</v>
      </c>
      <c r="E5724" s="4">
        <v>-32839</v>
      </c>
      <c r="F5724" s="3" t="s">
        <v>28</v>
      </c>
      <c r="G5724" s="3" t="s">
        <v>29</v>
      </c>
      <c r="H5724" s="2" t="s">
        <v>74</v>
      </c>
      <c r="I5724" s="2" t="s">
        <v>14634</v>
      </c>
      <c r="J5724" s="3" t="str">
        <f>HYPERLINK("https://www.boe.es/gazeta/dias/1810/02/01/pdfs/GMD-1810-32.pdf#page=3","Abrir facsímil")</f>
        <v>Abrir facsímil</v>
      </c>
      <c r="K5724" s="3" t="s">
        <v>76</v>
      </c>
    </row>
    <row r="5725" spans="1:11" ht="42" customHeight="1">
      <c r="A5725" s="2" t="s">
        <v>14635</v>
      </c>
      <c r="B5725" s="2" t="s">
        <v>14636</v>
      </c>
      <c r="C5725" s="2" t="s">
        <v>17</v>
      </c>
      <c r="D5725" s="2" t="s">
        <v>18</v>
      </c>
      <c r="E5725" s="4">
        <v>-32732</v>
      </c>
      <c r="F5725" s="3" t="s">
        <v>545</v>
      </c>
      <c r="G5725" s="3" t="s">
        <v>90</v>
      </c>
      <c r="H5725" s="2" t="s">
        <v>74</v>
      </c>
      <c r="I5725" s="2" t="s">
        <v>14637</v>
      </c>
      <c r="J5725" s="3" t="str">
        <f>HYPERLINK("https://www.boe.es/gazeta/dias/1810/05/19/pdfs/GMD-1810-139.pdf#page=4","Abrir facsímil")</f>
        <v>Abrir facsímil</v>
      </c>
      <c r="K5725" s="3" t="s">
        <v>76</v>
      </c>
    </row>
    <row r="5726" spans="1:11" ht="42" customHeight="1">
      <c r="A5726" s="2" t="s">
        <v>14638</v>
      </c>
      <c r="B5726" s="2" t="s">
        <v>14639</v>
      </c>
      <c r="C5726" s="2" t="s">
        <v>26</v>
      </c>
      <c r="D5726" s="2" t="s">
        <v>39</v>
      </c>
      <c r="E5726" s="4">
        <v>-32684</v>
      </c>
      <c r="F5726" s="3" t="s">
        <v>295</v>
      </c>
      <c r="G5726" s="3" t="s">
        <v>213</v>
      </c>
      <c r="H5726" s="2" t="s">
        <v>74</v>
      </c>
      <c r="I5726" s="2" t="s">
        <v>14640</v>
      </c>
      <c r="J5726" s="3" t="str">
        <f>HYPERLINK("https://www.boe.es/gazeta/dias/1810/07/06/pdfs/GMD-C-1810-187.pdf#page=2","Abrir facsímil")</f>
        <v>Abrir facsímil</v>
      </c>
      <c r="K5726" s="3" t="s">
        <v>76</v>
      </c>
    </row>
    <row r="5727" spans="1:11" ht="42" customHeight="1">
      <c r="A5727" s="2" t="s">
        <v>14641</v>
      </c>
      <c r="B5727" s="2" t="s">
        <v>14641</v>
      </c>
      <c r="C5727" s="2" t="s">
        <v>88</v>
      </c>
      <c r="D5727" s="2" t="s">
        <v>27</v>
      </c>
      <c r="E5727" s="4">
        <v>-32722</v>
      </c>
      <c r="F5727" s="3" t="s">
        <v>856</v>
      </c>
      <c r="G5727" s="3" t="s">
        <v>8344</v>
      </c>
      <c r="H5727" s="2" t="s">
        <v>74</v>
      </c>
      <c r="I5727" s="2" t="s">
        <v>14642</v>
      </c>
      <c r="J5727" s="3" t="str">
        <f>HYPERLINK("https://www.boe.es/gazeta/dias/1810/05/29/pdfs/GEI-1810-31.pdf#page=9","Abrir facsímil")</f>
        <v>Abrir facsímil</v>
      </c>
      <c r="K5727" s="3" t="s">
        <v>76</v>
      </c>
    </row>
    <row r="5728" spans="1:11" ht="42" customHeight="1">
      <c r="A5728" s="2" t="s">
        <v>14643</v>
      </c>
      <c r="B5728" s="2" t="s">
        <v>14643</v>
      </c>
      <c r="C5728" s="2" t="s">
        <v>88</v>
      </c>
      <c r="D5728" s="2" t="s">
        <v>27</v>
      </c>
      <c r="E5728" s="4">
        <v>-32639</v>
      </c>
      <c r="F5728" s="3" t="s">
        <v>3411</v>
      </c>
      <c r="G5728" s="3" t="s">
        <v>3412</v>
      </c>
      <c r="H5728" s="2" t="s">
        <v>74</v>
      </c>
      <c r="I5728" s="2" t="s">
        <v>14644</v>
      </c>
      <c r="J5728" s="3" t="str">
        <f>HYPERLINK("https://www.boe.es/gazeta/dias/1810/08/20/pdfs/GMD-1810-232.pdf#page=4","Abrir facsímil")</f>
        <v>Abrir facsímil</v>
      </c>
      <c r="K5728" s="3" t="s">
        <v>76</v>
      </c>
    </row>
    <row r="5729" spans="1:11" ht="42" customHeight="1">
      <c r="A5729" s="2" t="s">
        <v>14645</v>
      </c>
      <c r="B5729" s="2" t="s">
        <v>14645</v>
      </c>
      <c r="C5729" s="2" t="s">
        <v>225</v>
      </c>
      <c r="D5729" s="2" t="s">
        <v>117</v>
      </c>
      <c r="E5729" s="4">
        <v>-32521</v>
      </c>
      <c r="F5729" s="3" t="s">
        <v>3569</v>
      </c>
      <c r="G5729" s="3" t="s">
        <v>291</v>
      </c>
      <c r="H5729" s="2" t="s">
        <v>74</v>
      </c>
      <c r="I5729" s="2" t="s">
        <v>14646</v>
      </c>
      <c r="J5729" s="3" t="str">
        <f>HYPERLINK("https://www.boe.es/gazeta/dias/1810/12/16/pdfs/GMD-1810-350.pdf#page=1","Abrir facsímil")</f>
        <v>Abrir facsímil</v>
      </c>
      <c r="K5729" s="3" t="s">
        <v>76</v>
      </c>
    </row>
    <row r="5730" spans="1:11" ht="42" customHeight="1">
      <c r="A5730" s="2" t="s">
        <v>14647</v>
      </c>
      <c r="B5730" s="2" t="s">
        <v>14647</v>
      </c>
      <c r="C5730" s="2" t="s">
        <v>88</v>
      </c>
      <c r="D5730" s="2" t="s">
        <v>27</v>
      </c>
      <c r="E5730" s="4">
        <v>-32721</v>
      </c>
      <c r="F5730" s="3" t="s">
        <v>3437</v>
      </c>
      <c r="G5730" s="3" t="s">
        <v>213</v>
      </c>
      <c r="H5730" s="2" t="s">
        <v>74</v>
      </c>
      <c r="I5730" s="2" t="s">
        <v>14648</v>
      </c>
      <c r="J5730" s="3" t="str">
        <f>HYPERLINK("https://www.boe.es/gazeta/dias/1810/05/30/pdfs/GMD-1810-150.pdf#page=2","Abrir facsímil")</f>
        <v>Abrir facsímil</v>
      </c>
      <c r="K5730" s="3" t="s">
        <v>76</v>
      </c>
    </row>
    <row r="5731" spans="1:11" ht="42" customHeight="1">
      <c r="A5731" s="2" t="s">
        <v>14649</v>
      </c>
      <c r="B5731" s="2" t="s">
        <v>14649</v>
      </c>
      <c r="C5731" s="2" t="s">
        <v>88</v>
      </c>
      <c r="D5731" s="2" t="s">
        <v>27</v>
      </c>
      <c r="E5731" s="4">
        <v>-32596</v>
      </c>
      <c r="F5731" s="3" t="s">
        <v>248</v>
      </c>
      <c r="G5731" s="3" t="s">
        <v>14212</v>
      </c>
      <c r="H5731" s="2" t="s">
        <v>74</v>
      </c>
      <c r="I5731" s="2" t="s">
        <v>14650</v>
      </c>
      <c r="J5731" s="3" t="str">
        <f>HYPERLINK("https://www.boe.es/gazeta/dias/1810/10/02/pdfs/GEI-1810-76.pdf#page=4","Abrir facsímil")</f>
        <v>Abrir facsímil</v>
      </c>
      <c r="K5731" s="3" t="s">
        <v>76</v>
      </c>
    </row>
    <row r="5732" spans="1:11" ht="42" customHeight="1">
      <c r="A5732" s="2" t="s">
        <v>14651</v>
      </c>
      <c r="B5732" s="2" t="s">
        <v>14652</v>
      </c>
      <c r="C5732" s="2" t="s">
        <v>17</v>
      </c>
      <c r="D5732" s="2" t="s">
        <v>27</v>
      </c>
      <c r="E5732" s="4">
        <v>-32728</v>
      </c>
      <c r="F5732" s="3" t="s">
        <v>269</v>
      </c>
      <c r="G5732" s="3" t="s">
        <v>70</v>
      </c>
      <c r="H5732" s="2" t="s">
        <v>74</v>
      </c>
      <c r="I5732" s="2" t="s">
        <v>14653</v>
      </c>
      <c r="J5732" s="3" t="str">
        <f>HYPERLINK("https://www.boe.es/gazeta/dias/1810/05/23/pdfs/GMD-1810-143.pdf#page=4","Abrir facsímil")</f>
        <v>Abrir facsímil</v>
      </c>
      <c r="K5732" s="3" t="s">
        <v>76</v>
      </c>
    </row>
    <row r="5733" spans="1:11" ht="42" customHeight="1">
      <c r="A5733" s="2" t="s">
        <v>14654</v>
      </c>
      <c r="B5733" s="2" t="s">
        <v>14655</v>
      </c>
      <c r="C5733" s="2" t="s">
        <v>26</v>
      </c>
      <c r="D5733" s="2" t="s">
        <v>27</v>
      </c>
      <c r="E5733" s="4">
        <v>-32557</v>
      </c>
      <c r="F5733" s="3" t="s">
        <v>837</v>
      </c>
      <c r="G5733" s="3" t="s">
        <v>2073</v>
      </c>
      <c r="H5733" s="2" t="s">
        <v>74</v>
      </c>
      <c r="I5733" s="2" t="s">
        <v>14656</v>
      </c>
      <c r="J5733" s="3" t="str">
        <f>HYPERLINK("https://www.boe.es/gazeta/dias/1810/11/10/pdfs/GEI-1810-93.pdf#page=7","Abrir facsímil")</f>
        <v>Abrir facsímil</v>
      </c>
      <c r="K5733" s="3" t="s">
        <v>76</v>
      </c>
    </row>
    <row r="5734" spans="1:11" ht="42" customHeight="1">
      <c r="A5734" s="2" t="s">
        <v>14657</v>
      </c>
      <c r="B5734" s="2" t="s">
        <v>14658</v>
      </c>
      <c r="C5734" s="2" t="s">
        <v>26</v>
      </c>
      <c r="D5734" s="2" t="s">
        <v>27</v>
      </c>
      <c r="E5734" s="4">
        <v>-32647</v>
      </c>
      <c r="F5734" s="3" t="s">
        <v>118</v>
      </c>
      <c r="G5734" s="3" t="s">
        <v>119</v>
      </c>
      <c r="H5734" s="2" t="s">
        <v>74</v>
      </c>
      <c r="I5734" s="2" t="s">
        <v>14659</v>
      </c>
      <c r="J5734" s="3" t="str">
        <f>HYPERLINK("https://www.boe.es/gazeta/dias/1810/08/12/pdfs/GMD-1810-224.pdf#page=3","Abrir facsímil")</f>
        <v>Abrir facsímil</v>
      </c>
      <c r="K5734" s="3" t="s">
        <v>76</v>
      </c>
    </row>
    <row r="5735" spans="1:11" ht="42" customHeight="1">
      <c r="A5735" s="2" t="s">
        <v>14660</v>
      </c>
      <c r="B5735" s="2" t="s">
        <v>14660</v>
      </c>
      <c r="C5735" s="2" t="s">
        <v>26</v>
      </c>
      <c r="D5735" s="2" t="s">
        <v>27</v>
      </c>
      <c r="E5735" s="4">
        <v>-32537</v>
      </c>
      <c r="F5735" s="3" t="s">
        <v>1091</v>
      </c>
      <c r="G5735" s="3" t="s">
        <v>14661</v>
      </c>
      <c r="H5735" s="2" t="s">
        <v>74</v>
      </c>
      <c r="I5735" s="2" t="s">
        <v>14662</v>
      </c>
      <c r="J5735" s="3" t="str">
        <f>HYPERLINK("https://www.boe.es/gazeta/dias/1810/11/30/pdfs/GMD-1810-334.pdf#page=1","Abrir facsímil")</f>
        <v>Abrir facsímil</v>
      </c>
      <c r="K5735" s="3" t="s">
        <v>76</v>
      </c>
    </row>
    <row r="5736" spans="1:11" ht="42" customHeight="1">
      <c r="A5736" s="2" t="s">
        <v>14663</v>
      </c>
      <c r="B5736" s="2" t="s">
        <v>14664</v>
      </c>
      <c r="C5736" s="2" t="s">
        <v>225</v>
      </c>
      <c r="D5736" s="2" t="s">
        <v>27</v>
      </c>
      <c r="E5736" s="4">
        <v>-32766</v>
      </c>
      <c r="F5736" s="3" t="s">
        <v>492</v>
      </c>
      <c r="G5736" s="3" t="s">
        <v>291</v>
      </c>
      <c r="H5736" s="2" t="s">
        <v>74</v>
      </c>
      <c r="I5736" s="2" t="s">
        <v>14665</v>
      </c>
      <c r="J5736" s="3" t="str">
        <f>HYPERLINK("https://www.boe.es/gazeta/dias/1810/04/15/pdfs/GMD-1810-105.pdf#page=2","Abrir facsímil")</f>
        <v>Abrir facsímil</v>
      </c>
      <c r="K5736" s="3" t="s">
        <v>76</v>
      </c>
    </row>
    <row r="5737" spans="1:11" ht="42" customHeight="1">
      <c r="A5737" s="2" t="s">
        <v>14666</v>
      </c>
      <c r="B5737" s="2" t="s">
        <v>14666</v>
      </c>
      <c r="C5737" s="2" t="s">
        <v>111</v>
      </c>
      <c r="D5737" s="2" t="s">
        <v>27</v>
      </c>
      <c r="E5737" s="4">
        <v>-32679</v>
      </c>
      <c r="F5737" s="3" t="s">
        <v>616</v>
      </c>
      <c r="G5737" s="3" t="s">
        <v>29</v>
      </c>
      <c r="H5737" s="2" t="s">
        <v>74</v>
      </c>
      <c r="I5737" s="2" t="s">
        <v>14667</v>
      </c>
      <c r="J5737" s="3" t="str">
        <f>HYPERLINK("https://www.boe.es/gazeta/dias/1810/07/11/pdfs/GMD-1810-192.pdf#page=4","Abrir facsímil")</f>
        <v>Abrir facsímil</v>
      </c>
      <c r="K5737" s="3" t="s">
        <v>76</v>
      </c>
    </row>
    <row r="5738" spans="1:11" ht="42" customHeight="1">
      <c r="A5738" s="2" t="s">
        <v>14668</v>
      </c>
      <c r="B5738" s="2" t="s">
        <v>14668</v>
      </c>
      <c r="C5738" s="2" t="s">
        <v>33</v>
      </c>
      <c r="D5738" s="2" t="s">
        <v>27</v>
      </c>
      <c r="E5738" s="4">
        <v>-32556</v>
      </c>
      <c r="F5738" s="3" t="s">
        <v>799</v>
      </c>
      <c r="G5738" s="3" t="s">
        <v>9173</v>
      </c>
      <c r="H5738" s="2" t="s">
        <v>74</v>
      </c>
      <c r="I5738" s="2" t="s">
        <v>14669</v>
      </c>
      <c r="J5738" s="3" t="str">
        <f>HYPERLINK("https://www.boe.es/gazeta/dias/1810/11/11/pdfs/GMD-1810-315.pdf#page=1","Abrir facsímil")</f>
        <v>Abrir facsímil</v>
      </c>
      <c r="K5738" s="3" t="s">
        <v>76</v>
      </c>
    </row>
    <row r="5739" spans="1:11" ht="42" customHeight="1">
      <c r="A5739" s="2" t="s">
        <v>14670</v>
      </c>
      <c r="B5739" s="2" t="s">
        <v>14670</v>
      </c>
      <c r="C5739" s="2" t="s">
        <v>26</v>
      </c>
      <c r="D5739" s="2" t="s">
        <v>27</v>
      </c>
      <c r="E5739" s="4">
        <v>-32723</v>
      </c>
      <c r="F5739" s="3" t="s">
        <v>464</v>
      </c>
      <c r="G5739" s="3" t="s">
        <v>465</v>
      </c>
      <c r="H5739" s="2" t="s">
        <v>74</v>
      </c>
      <c r="I5739" s="2" t="s">
        <v>14671</v>
      </c>
      <c r="J5739" s="3" t="str">
        <f>HYPERLINK("https://www.boe.es/gazeta/dias/1810/05/28/pdfs/GMD-1810-148.pdf#page=1","Abrir facsímil")</f>
        <v>Abrir facsímil</v>
      </c>
      <c r="K5739" s="3" t="s">
        <v>76</v>
      </c>
    </row>
    <row r="5740" spans="1:11" ht="42" customHeight="1">
      <c r="A5740" s="2" t="s">
        <v>14670</v>
      </c>
      <c r="B5740" s="2" t="s">
        <v>14670</v>
      </c>
      <c r="C5740" s="2" t="s">
        <v>26</v>
      </c>
      <c r="D5740" s="2" t="s">
        <v>220</v>
      </c>
      <c r="E5740" s="4">
        <v>-32694</v>
      </c>
      <c r="F5740" s="3" t="s">
        <v>2189</v>
      </c>
      <c r="G5740" s="3" t="s">
        <v>35</v>
      </c>
      <c r="H5740" s="2" t="s">
        <v>74</v>
      </c>
      <c r="I5740" s="2" t="s">
        <v>14672</v>
      </c>
      <c r="J5740" s="3" t="str">
        <f>HYPERLINK("https://www.boe.es/gazeta/dias/1810/06/26/pdfs/GEI-1810-39.pdf#page=2","Abrir facsímil")</f>
        <v>Abrir facsímil</v>
      </c>
      <c r="K5740" s="3" t="s">
        <v>76</v>
      </c>
    </row>
    <row r="5741" spans="1:11" ht="42" customHeight="1">
      <c r="A5741" s="2" t="s">
        <v>14670</v>
      </c>
      <c r="B5741" s="2" t="s">
        <v>14670</v>
      </c>
      <c r="C5741" s="2" t="s">
        <v>88</v>
      </c>
      <c r="D5741" s="2" t="s">
        <v>117</v>
      </c>
      <c r="E5741" s="4">
        <v>-32553</v>
      </c>
      <c r="F5741" s="3" t="s">
        <v>2276</v>
      </c>
      <c r="G5741" s="3" t="s">
        <v>140</v>
      </c>
      <c r="H5741" s="2" t="s">
        <v>74</v>
      </c>
      <c r="I5741" s="2" t="s">
        <v>14673</v>
      </c>
      <c r="J5741" s="3" t="str">
        <f>HYPERLINK("https://www.boe.es/gazeta/dias/1810/11/14/pdfs/GMD-1810-318.pdf#page=2","Abrir facsímil")</f>
        <v>Abrir facsímil</v>
      </c>
      <c r="K5741" s="3" t="s">
        <v>76</v>
      </c>
    </row>
    <row r="5742" spans="1:11" ht="42" customHeight="1">
      <c r="A5742" s="2" t="s">
        <v>14670</v>
      </c>
      <c r="B5742" s="2" t="s">
        <v>14670</v>
      </c>
      <c r="C5742" s="2" t="s">
        <v>33</v>
      </c>
      <c r="D5742" s="2" t="s">
        <v>27</v>
      </c>
      <c r="E5742" s="4">
        <v>-32539</v>
      </c>
      <c r="F5742" s="3" t="s">
        <v>11216</v>
      </c>
      <c r="G5742" s="3" t="s">
        <v>11473</v>
      </c>
      <c r="H5742" s="2" t="s">
        <v>74</v>
      </c>
      <c r="I5742" s="2" t="s">
        <v>14674</v>
      </c>
      <c r="J5742" s="3" t="str">
        <f>HYPERLINK("https://www.boe.es/gazeta/dias/1810/11/28/pdfs/GMD-1810-332.pdf#page=1","Abrir facsímil")</f>
        <v>Abrir facsímil</v>
      </c>
      <c r="K5742" s="3" t="s">
        <v>76</v>
      </c>
    </row>
    <row r="5743" spans="1:11" ht="42" customHeight="1">
      <c r="A5743" s="2" t="s">
        <v>14670</v>
      </c>
      <c r="B5743" s="2" t="s">
        <v>14670</v>
      </c>
      <c r="C5743" s="2" t="s">
        <v>26</v>
      </c>
      <c r="D5743" s="2" t="s">
        <v>27</v>
      </c>
      <c r="E5743" s="4">
        <v>-32523</v>
      </c>
      <c r="F5743" s="3" t="s">
        <v>1484</v>
      </c>
      <c r="G5743" s="3" t="s">
        <v>119</v>
      </c>
      <c r="H5743" s="2" t="s">
        <v>74</v>
      </c>
      <c r="I5743" s="2" t="s">
        <v>14675</v>
      </c>
      <c r="J5743" s="3" t="str">
        <f>HYPERLINK("https://www.boe.es/gazeta/dias/1810/12/14/pdfs/GMD-1810-348.pdf#page=2","Abrir facsímil")</f>
        <v>Abrir facsímil</v>
      </c>
      <c r="K5743" s="3" t="s">
        <v>76</v>
      </c>
    </row>
    <row r="5744" spans="1:11" ht="42" customHeight="1">
      <c r="A5744" s="2" t="s">
        <v>14670</v>
      </c>
      <c r="B5744" s="2" t="s">
        <v>14670</v>
      </c>
      <c r="C5744" s="2" t="s">
        <v>33</v>
      </c>
      <c r="D5744" s="2" t="s">
        <v>27</v>
      </c>
      <c r="E5744" s="4">
        <v>-32517</v>
      </c>
      <c r="F5744" s="3" t="s">
        <v>979</v>
      </c>
      <c r="G5744" s="3" t="s">
        <v>29</v>
      </c>
      <c r="H5744" s="2" t="s">
        <v>74</v>
      </c>
      <c r="I5744" s="2" t="s">
        <v>14676</v>
      </c>
      <c r="J5744" s="3" t="str">
        <f>HYPERLINK("https://www.boe.es/gazeta/dias/1810/12/20/pdfs/GMD-1810-354.pdf#page=3","Abrir facsímil")</f>
        <v>Abrir facsímil</v>
      </c>
      <c r="K5744" s="3" t="s">
        <v>76</v>
      </c>
    </row>
    <row r="5745" spans="1:11" ht="42" customHeight="1">
      <c r="A5745" s="2" t="s">
        <v>14677</v>
      </c>
      <c r="B5745" s="2" t="s">
        <v>14677</v>
      </c>
      <c r="C5745" s="2" t="s">
        <v>26</v>
      </c>
      <c r="D5745" s="2" t="s">
        <v>27</v>
      </c>
      <c r="E5745" s="4">
        <v>-32562</v>
      </c>
      <c r="F5745" s="3" t="s">
        <v>1186</v>
      </c>
      <c r="G5745" s="3" t="s">
        <v>735</v>
      </c>
      <c r="H5745" s="2" t="s">
        <v>74</v>
      </c>
      <c r="I5745" s="2" t="s">
        <v>14678</v>
      </c>
      <c r="J5745" s="3" t="str">
        <f>HYPERLINK("https://www.boe.es/gazeta/dias/1810/11/05/pdfs/GMD-1810-309.pdf#page=1","Abrir facsímil")</f>
        <v>Abrir facsímil</v>
      </c>
      <c r="K5745" s="3" t="s">
        <v>76</v>
      </c>
    </row>
    <row r="5746" spans="1:11" ht="42" customHeight="1">
      <c r="A5746" s="2" t="s">
        <v>14679</v>
      </c>
      <c r="B5746" s="2" t="s">
        <v>14680</v>
      </c>
      <c r="C5746" s="2" t="s">
        <v>33</v>
      </c>
      <c r="D5746" s="2" t="s">
        <v>58</v>
      </c>
      <c r="E5746" s="4">
        <v>-32601</v>
      </c>
      <c r="F5746" s="3" t="s">
        <v>392</v>
      </c>
      <c r="G5746" s="3" t="s">
        <v>1430</v>
      </c>
      <c r="H5746" s="2" t="s">
        <v>74</v>
      </c>
      <c r="I5746" s="2" t="s">
        <v>14681</v>
      </c>
      <c r="J5746" s="3" t="str">
        <f>HYPERLINK("https://www.boe.es/gazeta/dias/1810/09/27/pdfs/GEI-1810-74E.pdf#page=3","Abrir facsímil")</f>
        <v>Abrir facsímil</v>
      </c>
      <c r="K5746" s="3" t="s">
        <v>76</v>
      </c>
    </row>
    <row r="5747" spans="1:11" ht="42" customHeight="1">
      <c r="A5747" s="2" t="s">
        <v>14682</v>
      </c>
      <c r="B5747" s="2" t="s">
        <v>14683</v>
      </c>
      <c r="C5747" s="2" t="s">
        <v>317</v>
      </c>
      <c r="D5747" s="2" t="s">
        <v>27</v>
      </c>
      <c r="E5747" s="4">
        <v>-32537</v>
      </c>
      <c r="F5747" s="3" t="s">
        <v>1091</v>
      </c>
      <c r="G5747" s="3" t="s">
        <v>20</v>
      </c>
      <c r="H5747" s="2" t="s">
        <v>74</v>
      </c>
      <c r="I5747" s="2" t="s">
        <v>14684</v>
      </c>
      <c r="J5747" s="3" t="str">
        <f>HYPERLINK("https://www.boe.es/gazeta/dias/1810/11/30/pdfs/GMD-1810-334.pdf#page=4","Abrir facsímil")</f>
        <v>Abrir facsímil</v>
      </c>
      <c r="K5747" s="3" t="s">
        <v>76</v>
      </c>
    </row>
    <row r="5748" spans="1:11" ht="42" customHeight="1">
      <c r="A5748" s="2" t="s">
        <v>14685</v>
      </c>
      <c r="B5748" s="2" t="s">
        <v>14686</v>
      </c>
      <c r="C5748" s="2" t="s">
        <v>225</v>
      </c>
      <c r="D5748" s="2" t="s">
        <v>27</v>
      </c>
      <c r="E5748" s="4">
        <v>-32719</v>
      </c>
      <c r="F5748" s="3" t="s">
        <v>5543</v>
      </c>
      <c r="G5748" s="3" t="s">
        <v>1616</v>
      </c>
      <c r="H5748" s="2" t="s">
        <v>74</v>
      </c>
      <c r="I5748" s="2" t="s">
        <v>14687</v>
      </c>
      <c r="J5748" s="3" t="str">
        <f>HYPERLINK("https://www.boe.es/gazeta/dias/1810/06/01/pdfs/GEI-1810-32.pdf#page=8","Abrir facsímil")</f>
        <v>Abrir facsímil</v>
      </c>
      <c r="K5748" s="3" t="s">
        <v>76</v>
      </c>
    </row>
    <row r="5749" spans="1:11" ht="42" customHeight="1">
      <c r="A5749" s="2" t="s">
        <v>14688</v>
      </c>
      <c r="B5749" s="2" t="s">
        <v>14689</v>
      </c>
      <c r="C5749" s="2" t="s">
        <v>26</v>
      </c>
      <c r="D5749" s="2" t="s">
        <v>27</v>
      </c>
      <c r="E5749" s="4">
        <v>-32528</v>
      </c>
      <c r="F5749" s="3" t="s">
        <v>3058</v>
      </c>
      <c r="G5749" s="3" t="s">
        <v>359</v>
      </c>
      <c r="H5749" s="2" t="s">
        <v>74</v>
      </c>
      <c r="I5749" s="2" t="s">
        <v>14690</v>
      </c>
      <c r="J5749" s="3" t="str">
        <f>HYPERLINK("https://www.boe.es/gazeta/dias/1810/12/09/pdfs/GMD-1810-343.pdf#page=3","Abrir facsímil")</f>
        <v>Abrir facsímil</v>
      </c>
      <c r="K5749" s="3" t="s">
        <v>76</v>
      </c>
    </row>
    <row r="5750" spans="1:11" ht="42" customHeight="1">
      <c r="A5750" s="2" t="s">
        <v>14691</v>
      </c>
      <c r="B5750" s="2" t="s">
        <v>14692</v>
      </c>
      <c r="C5750" s="2" t="s">
        <v>88</v>
      </c>
      <c r="D5750" s="2" t="s">
        <v>117</v>
      </c>
      <c r="E5750" s="4">
        <v>-32697</v>
      </c>
      <c r="F5750" s="3" t="s">
        <v>1859</v>
      </c>
      <c r="G5750" s="3" t="s">
        <v>70</v>
      </c>
      <c r="H5750" s="2" t="s">
        <v>74</v>
      </c>
      <c r="I5750" s="2" t="s">
        <v>14693</v>
      </c>
      <c r="J5750" s="3" t="str">
        <f>HYPERLINK("https://www.boe.es/gazeta/dias/1810/06/23/pdfs/GMD-1810-174.pdf#page=4","Abrir facsímil")</f>
        <v>Abrir facsímil</v>
      </c>
      <c r="K5750" s="3" t="s">
        <v>76</v>
      </c>
    </row>
    <row r="5751" spans="1:11" ht="42" customHeight="1">
      <c r="A5751" s="2" t="s">
        <v>14694</v>
      </c>
      <c r="B5751" s="2" t="s">
        <v>14695</v>
      </c>
      <c r="C5751" s="2" t="s">
        <v>26</v>
      </c>
      <c r="D5751" s="2" t="s">
        <v>27</v>
      </c>
      <c r="E5751" s="4">
        <v>-32591</v>
      </c>
      <c r="F5751" s="3" t="s">
        <v>377</v>
      </c>
      <c r="G5751" s="3" t="s">
        <v>136</v>
      </c>
      <c r="H5751" s="2" t="s">
        <v>74</v>
      </c>
      <c r="I5751" s="2" t="s">
        <v>14696</v>
      </c>
      <c r="J5751" s="3" t="str">
        <f>HYPERLINK("https://www.boe.es/gazeta/dias/1810/10/07/pdfs/GMD-1810-280.pdf#page=3","Abrir facsímil")</f>
        <v>Abrir facsímil</v>
      </c>
      <c r="K5751" s="3" t="s">
        <v>76</v>
      </c>
    </row>
    <row r="5752" spans="1:11" ht="42" customHeight="1">
      <c r="A5752" s="2" t="s">
        <v>14697</v>
      </c>
      <c r="B5752" s="2" t="s">
        <v>14698</v>
      </c>
      <c r="C5752" s="2" t="s">
        <v>26</v>
      </c>
      <c r="D5752" s="2" t="s">
        <v>27</v>
      </c>
      <c r="E5752" s="4">
        <v>-32647</v>
      </c>
      <c r="F5752" s="3" t="s">
        <v>118</v>
      </c>
      <c r="G5752" s="3" t="s">
        <v>140</v>
      </c>
      <c r="H5752" s="2" t="s">
        <v>74</v>
      </c>
      <c r="I5752" s="2" t="s">
        <v>14699</v>
      </c>
      <c r="J5752" s="3" t="str">
        <f>HYPERLINK("https://www.boe.es/gazeta/dias/1810/08/12/pdfs/GMD-1810-224.pdf#page=2","Abrir facsímil")</f>
        <v>Abrir facsímil</v>
      </c>
      <c r="K5752" s="3" t="s">
        <v>76</v>
      </c>
    </row>
    <row r="5753" spans="1:11" ht="42" customHeight="1">
      <c r="A5753" s="2" t="s">
        <v>14700</v>
      </c>
      <c r="B5753" s="2" t="s">
        <v>14700</v>
      </c>
      <c r="C5753" s="2" t="s">
        <v>88</v>
      </c>
      <c r="D5753" s="2" t="s">
        <v>27</v>
      </c>
      <c r="E5753" s="4">
        <v>-32601</v>
      </c>
      <c r="F5753" s="3" t="s">
        <v>10916</v>
      </c>
      <c r="G5753" s="3" t="s">
        <v>227</v>
      </c>
      <c r="H5753" s="2" t="s">
        <v>74</v>
      </c>
      <c r="I5753" s="2" t="s">
        <v>14701</v>
      </c>
      <c r="J5753" s="3" t="str">
        <f>HYPERLINK("https://www.boe.es/gazeta/dias/1810/09/27/pdfs/GMD-1810-270.pdf#page=4","Abrir facsímil")</f>
        <v>Abrir facsímil</v>
      </c>
      <c r="K5753" s="3" t="s">
        <v>76</v>
      </c>
    </row>
    <row r="5754" spans="1:11" ht="42" customHeight="1">
      <c r="A5754" s="2" t="s">
        <v>14702</v>
      </c>
      <c r="B5754" s="2" t="s">
        <v>14702</v>
      </c>
      <c r="C5754" s="2" t="s">
        <v>88</v>
      </c>
      <c r="D5754" s="2" t="s">
        <v>27</v>
      </c>
      <c r="E5754" s="4">
        <v>-32650</v>
      </c>
      <c r="F5754" s="3" t="s">
        <v>9008</v>
      </c>
      <c r="G5754" s="3" t="s">
        <v>70</v>
      </c>
      <c r="H5754" s="2" t="s">
        <v>74</v>
      </c>
      <c r="I5754" s="2" t="s">
        <v>14703</v>
      </c>
      <c r="J5754" s="3" t="str">
        <f>HYPERLINK("https://www.boe.es/gazeta/dias/1810/08/09/pdfs/GMD-1810-221.pdf#page=1","Abrir facsímil")</f>
        <v>Abrir facsímil</v>
      </c>
      <c r="K5754" s="3" t="s">
        <v>76</v>
      </c>
    </row>
    <row r="5755" spans="1:11" ht="42" customHeight="1">
      <c r="A5755" s="2" t="s">
        <v>14704</v>
      </c>
      <c r="B5755" s="2" t="s">
        <v>14705</v>
      </c>
      <c r="C5755" s="2" t="s">
        <v>26</v>
      </c>
      <c r="D5755" s="2" t="s">
        <v>27</v>
      </c>
      <c r="E5755" s="4">
        <v>-32575</v>
      </c>
      <c r="F5755" s="3" t="s">
        <v>135</v>
      </c>
      <c r="G5755" s="3" t="s">
        <v>140</v>
      </c>
      <c r="H5755" s="2" t="s">
        <v>74</v>
      </c>
      <c r="I5755" s="2" t="s">
        <v>14706</v>
      </c>
      <c r="J5755" s="3" t="str">
        <f>HYPERLINK("https://www.boe.es/gazeta/dias/1810/10/23/pdfs/GEI-1810-85.pdf#page=10","Abrir facsímil")</f>
        <v>Abrir facsímil</v>
      </c>
      <c r="K5755" s="3" t="s">
        <v>76</v>
      </c>
    </row>
    <row r="5756" spans="1:11" ht="42" customHeight="1">
      <c r="A5756" s="2" t="s">
        <v>14707</v>
      </c>
      <c r="B5756" s="2" t="s">
        <v>14707</v>
      </c>
      <c r="C5756" s="2" t="s">
        <v>26</v>
      </c>
      <c r="D5756" s="2" t="s">
        <v>27</v>
      </c>
      <c r="E5756" s="4">
        <v>-32768</v>
      </c>
      <c r="F5756" s="3" t="s">
        <v>4236</v>
      </c>
      <c r="G5756" s="3" t="s">
        <v>140</v>
      </c>
      <c r="H5756" s="2" t="s">
        <v>74</v>
      </c>
      <c r="I5756" s="2" t="s">
        <v>14708</v>
      </c>
      <c r="J5756" s="3" t="str">
        <f>HYPERLINK("https://www.boe.es/gazeta/dias/1810/04/13/pdfs/GMD-1810-103.pdf#page=2","Abrir facsímil")</f>
        <v>Abrir facsímil</v>
      </c>
      <c r="K5756" s="3" t="s">
        <v>76</v>
      </c>
    </row>
    <row r="5757" spans="1:11" ht="42" customHeight="1">
      <c r="A5757" s="2" t="s">
        <v>14709</v>
      </c>
      <c r="B5757" s="2" t="s">
        <v>14710</v>
      </c>
      <c r="C5757" s="2" t="s">
        <v>26</v>
      </c>
      <c r="D5757" s="2" t="s">
        <v>27</v>
      </c>
      <c r="E5757" s="4">
        <v>-32526</v>
      </c>
      <c r="F5757" s="3" t="s">
        <v>530</v>
      </c>
      <c r="G5757" s="3" t="s">
        <v>531</v>
      </c>
      <c r="H5757" s="2" t="s">
        <v>74</v>
      </c>
      <c r="I5757" s="2" t="s">
        <v>14711</v>
      </c>
      <c r="J5757" s="3" t="str">
        <f>HYPERLINK("https://www.boe.es/gazeta/dias/1810/12/11/pdfs/GEI-1810-106.pdf#page=2","Abrir facsímil")</f>
        <v>Abrir facsímil</v>
      </c>
      <c r="K5757" s="3" t="s">
        <v>76</v>
      </c>
    </row>
    <row r="5758" spans="1:11" ht="42" customHeight="1">
      <c r="A5758" s="2" t="s">
        <v>14712</v>
      </c>
      <c r="B5758" s="2" t="s">
        <v>14713</v>
      </c>
      <c r="C5758" s="2" t="s">
        <v>26</v>
      </c>
      <c r="D5758" s="2" t="s">
        <v>39</v>
      </c>
      <c r="E5758" s="4">
        <v>-32661</v>
      </c>
      <c r="F5758" s="3" t="s">
        <v>157</v>
      </c>
      <c r="G5758" s="3" t="s">
        <v>592</v>
      </c>
      <c r="H5758" s="2" t="s">
        <v>74</v>
      </c>
      <c r="I5758" s="2" t="s">
        <v>14714</v>
      </c>
      <c r="J5758" s="3" t="str">
        <f>HYPERLINK("https://www.boe.es/gazeta/dias/1810/07/29/pdfs/GMD-C-1810-210.pdf#page=2","Abrir facsímil")</f>
        <v>Abrir facsímil</v>
      </c>
      <c r="K5758" s="3" t="s">
        <v>76</v>
      </c>
    </row>
    <row r="5759" spans="1:11" ht="42" customHeight="1">
      <c r="A5759" s="2" t="s">
        <v>14715</v>
      </c>
      <c r="B5759" s="2" t="s">
        <v>14716</v>
      </c>
      <c r="C5759" s="2" t="s">
        <v>26</v>
      </c>
      <c r="D5759" s="2" t="s">
        <v>27</v>
      </c>
      <c r="E5759" s="4">
        <v>-32738</v>
      </c>
      <c r="F5759" s="3" t="s">
        <v>321</v>
      </c>
      <c r="G5759" s="3" t="s">
        <v>140</v>
      </c>
      <c r="H5759" s="2" t="s">
        <v>74</v>
      </c>
      <c r="I5759" s="2" t="s">
        <v>14717</v>
      </c>
      <c r="J5759" s="3" t="str">
        <f>HYPERLINK("https://www.boe.es/gazeta/dias/1810/05/13/pdfs/GMD-1810-133.pdf#page=4","Abrir facsímil")</f>
        <v>Abrir facsímil</v>
      </c>
      <c r="K5759" s="3" t="s">
        <v>76</v>
      </c>
    </row>
    <row r="5760" spans="1:11" ht="42" customHeight="1">
      <c r="A5760" s="2" t="s">
        <v>14718</v>
      </c>
      <c r="B5760" s="2" t="s">
        <v>14719</v>
      </c>
      <c r="C5760" s="2" t="s">
        <v>225</v>
      </c>
      <c r="D5760" s="2" t="s">
        <v>27</v>
      </c>
      <c r="E5760" s="4">
        <v>-32509</v>
      </c>
      <c r="F5760" s="3" t="s">
        <v>212</v>
      </c>
      <c r="G5760" s="3" t="s">
        <v>213</v>
      </c>
      <c r="H5760" s="2" t="s">
        <v>74</v>
      </c>
      <c r="I5760" s="2" t="s">
        <v>14720</v>
      </c>
      <c r="J5760" s="3" t="str">
        <f>HYPERLINK("https://www.boe.es/gazeta/dias/1810/12/28/pdfs/GMD-1810-362.pdf#page=1","Abrir facsímil")</f>
        <v>Abrir facsímil</v>
      </c>
      <c r="K5760" s="3" t="s">
        <v>76</v>
      </c>
    </row>
    <row r="5761" spans="1:11" ht="42" customHeight="1">
      <c r="A5761" s="2" t="s">
        <v>14721</v>
      </c>
      <c r="B5761" s="2" t="s">
        <v>14722</v>
      </c>
      <c r="C5761" s="2" t="s">
        <v>17</v>
      </c>
      <c r="D5761" s="2" t="s">
        <v>27</v>
      </c>
      <c r="E5761" s="4">
        <v>-32820</v>
      </c>
      <c r="F5761" s="3" t="s">
        <v>226</v>
      </c>
      <c r="G5761" s="3" t="s">
        <v>227</v>
      </c>
      <c r="H5761" s="2" t="s">
        <v>74</v>
      </c>
      <c r="I5761" s="2" t="s">
        <v>14723</v>
      </c>
      <c r="J5761" s="3" t="str">
        <f>HYPERLINK("https://www.boe.es/gazeta/dias/1810/02/20/pdfs/GMD-1810-51.pdf#page=4","Abrir facsímil")</f>
        <v>Abrir facsímil</v>
      </c>
      <c r="K5761" s="3" t="s">
        <v>76</v>
      </c>
    </row>
    <row r="5762" spans="1:11" ht="42" customHeight="1">
      <c r="A5762" s="2" t="s">
        <v>14721</v>
      </c>
      <c r="B5762" s="2" t="s">
        <v>14722</v>
      </c>
      <c r="C5762" s="2" t="s">
        <v>26</v>
      </c>
      <c r="D5762" s="2" t="s">
        <v>27</v>
      </c>
      <c r="E5762" s="4">
        <v>-32526</v>
      </c>
      <c r="F5762" s="3" t="s">
        <v>530</v>
      </c>
      <c r="G5762" s="3" t="s">
        <v>2688</v>
      </c>
      <c r="H5762" s="2" t="s">
        <v>74</v>
      </c>
      <c r="I5762" s="2" t="s">
        <v>14724</v>
      </c>
      <c r="J5762" s="3" t="str">
        <f>HYPERLINK("https://www.boe.es/gazeta/dias/1810/12/11/pdfs/GEI-1810-106.pdf#page=7","Abrir facsímil")</f>
        <v>Abrir facsímil</v>
      </c>
      <c r="K5762" s="3" t="s">
        <v>76</v>
      </c>
    </row>
    <row r="5763" spans="1:11" ht="42" customHeight="1">
      <c r="A5763" s="2" t="s">
        <v>14725</v>
      </c>
      <c r="B5763" s="2" t="s">
        <v>14726</v>
      </c>
      <c r="C5763" s="2" t="s">
        <v>26</v>
      </c>
      <c r="D5763" s="2" t="s">
        <v>39</v>
      </c>
      <c r="E5763" s="4">
        <v>-32702</v>
      </c>
      <c r="F5763" s="3" t="s">
        <v>179</v>
      </c>
      <c r="G5763" s="3" t="s">
        <v>517</v>
      </c>
      <c r="H5763" s="2" t="s">
        <v>74</v>
      </c>
      <c r="I5763" s="2" t="s">
        <v>14727</v>
      </c>
      <c r="J5763" s="3" t="str">
        <f>HYPERLINK("https://www.boe.es/gazeta/dias/1810/06/18/pdfs/GMD-C-1810-169.pdf#page=3","Abrir facsímil")</f>
        <v>Abrir facsímil</v>
      </c>
      <c r="K5763" s="3" t="s">
        <v>76</v>
      </c>
    </row>
    <row r="5764" spans="1:11" ht="42" customHeight="1">
      <c r="A5764" s="2" t="s">
        <v>14728</v>
      </c>
      <c r="B5764" s="2" t="s">
        <v>14728</v>
      </c>
      <c r="C5764" s="2" t="s">
        <v>26</v>
      </c>
      <c r="D5764" s="2" t="s">
        <v>27</v>
      </c>
      <c r="E5764" s="4">
        <v>-32522</v>
      </c>
      <c r="F5764" s="3" t="s">
        <v>3137</v>
      </c>
      <c r="G5764" s="3" t="s">
        <v>782</v>
      </c>
      <c r="H5764" s="2" t="s">
        <v>74</v>
      </c>
      <c r="I5764" s="2" t="s">
        <v>14729</v>
      </c>
      <c r="J5764" s="3" t="str">
        <f>HYPERLINK("https://www.boe.es/gazeta/dias/1810/12/15/pdfs/GEI-1810-108.pdf#page=5","Abrir facsímil")</f>
        <v>Abrir facsímil</v>
      </c>
      <c r="K5764" s="3" t="s">
        <v>76</v>
      </c>
    </row>
    <row r="5765" spans="1:11" ht="42" customHeight="1">
      <c r="A5765" s="2" t="s">
        <v>14730</v>
      </c>
      <c r="B5765" s="2" t="s">
        <v>14730</v>
      </c>
      <c r="C5765" s="2" t="s">
        <v>26</v>
      </c>
      <c r="D5765" s="2" t="s">
        <v>27</v>
      </c>
      <c r="E5765" s="4">
        <v>-32861</v>
      </c>
      <c r="F5765" s="3" t="s">
        <v>796</v>
      </c>
      <c r="G5765" s="3" t="s">
        <v>29</v>
      </c>
      <c r="H5765" s="2" t="s">
        <v>74</v>
      </c>
      <c r="I5765" s="2" t="s">
        <v>14731</v>
      </c>
      <c r="J5765" s="3" t="str">
        <f>HYPERLINK("https://www.boe.es/gazeta/dias/1810/01/10/pdfs/GMD-1810-10.pdf#page=2","Abrir facsímil")</f>
        <v>Abrir facsímil</v>
      </c>
      <c r="K5765" s="3" t="s">
        <v>76</v>
      </c>
    </row>
    <row r="5766" spans="1:11" ht="42" customHeight="1">
      <c r="A5766" s="2" t="s">
        <v>14730</v>
      </c>
      <c r="B5766" s="2" t="s">
        <v>14730</v>
      </c>
      <c r="C5766" s="2" t="s">
        <v>88</v>
      </c>
      <c r="D5766" s="2" t="s">
        <v>27</v>
      </c>
      <c r="E5766" s="4">
        <v>-32861</v>
      </c>
      <c r="F5766" s="3" t="s">
        <v>796</v>
      </c>
      <c r="G5766" s="3" t="s">
        <v>99</v>
      </c>
      <c r="H5766" s="2" t="s">
        <v>74</v>
      </c>
      <c r="I5766" s="2" t="s">
        <v>14732</v>
      </c>
      <c r="J5766" s="3" t="str">
        <f>HYPERLINK("https://www.boe.es/gazeta/dias/1810/01/10/pdfs/GMD-1810-10.pdf#page=3","Abrir facsímil")</f>
        <v>Abrir facsímil</v>
      </c>
      <c r="K5766" s="3" t="s">
        <v>76</v>
      </c>
    </row>
    <row r="5767" spans="1:11" ht="42" customHeight="1">
      <c r="A5767" s="2" t="s">
        <v>14730</v>
      </c>
      <c r="B5767" s="2" t="s">
        <v>14730</v>
      </c>
      <c r="C5767" s="2" t="s">
        <v>26</v>
      </c>
      <c r="D5767" s="2" t="s">
        <v>27</v>
      </c>
      <c r="E5767" s="4">
        <v>-32776</v>
      </c>
      <c r="F5767" s="3" t="s">
        <v>752</v>
      </c>
      <c r="G5767" s="3" t="s">
        <v>213</v>
      </c>
      <c r="H5767" s="2" t="s">
        <v>74</v>
      </c>
      <c r="I5767" s="2" t="s">
        <v>14733</v>
      </c>
      <c r="J5767" s="3" t="str">
        <f>HYPERLINK("https://www.boe.es/gazeta/dias/1810/04/05/pdfs/GMD-1810-95.pdf#page=3","Abrir facsímil")</f>
        <v>Abrir facsímil</v>
      </c>
      <c r="K5767" s="3" t="s">
        <v>76</v>
      </c>
    </row>
    <row r="5768" spans="1:11" ht="42" customHeight="1">
      <c r="A5768" s="2" t="s">
        <v>14730</v>
      </c>
      <c r="B5768" s="2" t="s">
        <v>14730</v>
      </c>
      <c r="C5768" s="2" t="s">
        <v>111</v>
      </c>
      <c r="D5768" s="2" t="s">
        <v>18</v>
      </c>
      <c r="E5768" s="4">
        <v>-32764</v>
      </c>
      <c r="F5768" s="3" t="s">
        <v>640</v>
      </c>
      <c r="G5768" s="3" t="s">
        <v>641</v>
      </c>
      <c r="H5768" s="2" t="s">
        <v>74</v>
      </c>
      <c r="I5768" s="2" t="s">
        <v>14734</v>
      </c>
      <c r="J5768" s="3" t="str">
        <f>HYPERLINK("https://www.boe.es/gazeta/dias/1810/04/17/pdfs/GEI-1810-15.pdf#page=8","Abrir facsímil")</f>
        <v>Abrir facsímil</v>
      </c>
      <c r="K5768" s="3" t="s">
        <v>76</v>
      </c>
    </row>
    <row r="5769" spans="1:11" ht="42" customHeight="1">
      <c r="A5769" s="2" t="s">
        <v>14730</v>
      </c>
      <c r="B5769" s="2" t="s">
        <v>14730</v>
      </c>
      <c r="C5769" s="2" t="s">
        <v>88</v>
      </c>
      <c r="D5769" s="2" t="s">
        <v>27</v>
      </c>
      <c r="E5769" s="4">
        <v>-32732</v>
      </c>
      <c r="F5769" s="3" t="s">
        <v>545</v>
      </c>
      <c r="G5769" s="3" t="s">
        <v>140</v>
      </c>
      <c r="H5769" s="2" t="s">
        <v>74</v>
      </c>
      <c r="I5769" s="2" t="s">
        <v>14735</v>
      </c>
      <c r="J5769" s="3" t="str">
        <f>HYPERLINK("https://www.boe.es/gazeta/dias/1810/05/19/pdfs/GMD-1810-139.pdf#page=3","Abrir facsímil")</f>
        <v>Abrir facsímil</v>
      </c>
      <c r="K5769" s="3" t="s">
        <v>76</v>
      </c>
    </row>
    <row r="5770" spans="1:11" ht="42" customHeight="1">
      <c r="A5770" s="2" t="s">
        <v>14730</v>
      </c>
      <c r="B5770" s="2" t="s">
        <v>14730</v>
      </c>
      <c r="C5770" s="2" t="s">
        <v>317</v>
      </c>
      <c r="D5770" s="2" t="s">
        <v>27</v>
      </c>
      <c r="E5770" s="4">
        <v>-32732</v>
      </c>
      <c r="F5770" s="3" t="s">
        <v>545</v>
      </c>
      <c r="G5770" s="3" t="s">
        <v>90</v>
      </c>
      <c r="H5770" s="2" t="s">
        <v>74</v>
      </c>
      <c r="I5770" s="2" t="s">
        <v>14736</v>
      </c>
      <c r="J5770" s="3" t="str">
        <f>HYPERLINK("https://www.boe.es/gazeta/dias/1810/05/19/pdfs/GMD-1810-139.pdf#page=4","Abrir facsímil")</f>
        <v>Abrir facsímil</v>
      </c>
      <c r="K5770" s="3" t="s">
        <v>76</v>
      </c>
    </row>
    <row r="5771" spans="1:11" ht="42" customHeight="1">
      <c r="A5771" s="2" t="s">
        <v>14730</v>
      </c>
      <c r="B5771" s="2" t="s">
        <v>14730</v>
      </c>
      <c r="C5771" s="2" t="s">
        <v>26</v>
      </c>
      <c r="D5771" s="2" t="s">
        <v>27</v>
      </c>
      <c r="E5771" s="4">
        <v>-32722</v>
      </c>
      <c r="F5771" s="3" t="s">
        <v>856</v>
      </c>
      <c r="G5771" s="3" t="s">
        <v>668</v>
      </c>
      <c r="H5771" s="2" t="s">
        <v>74</v>
      </c>
      <c r="I5771" s="2" t="s">
        <v>14737</v>
      </c>
      <c r="J5771" s="3" t="str">
        <f>HYPERLINK("https://www.boe.es/gazeta/dias/1810/05/29/pdfs/GEI-1810-31.pdf#page=12","Abrir facsímil")</f>
        <v>Abrir facsímil</v>
      </c>
      <c r="K5771" s="3" t="s">
        <v>76</v>
      </c>
    </row>
    <row r="5772" spans="1:11" ht="42" customHeight="1">
      <c r="A5772" s="2" t="s">
        <v>14730</v>
      </c>
      <c r="B5772" s="2" t="s">
        <v>14730</v>
      </c>
      <c r="C5772" s="2" t="s">
        <v>26</v>
      </c>
      <c r="D5772" s="2" t="s">
        <v>18</v>
      </c>
      <c r="E5772" s="4">
        <v>-32704</v>
      </c>
      <c r="F5772" s="3" t="s">
        <v>94</v>
      </c>
      <c r="G5772" s="3" t="s">
        <v>20</v>
      </c>
      <c r="H5772" s="2" t="s">
        <v>74</v>
      </c>
      <c r="I5772" s="2" t="s">
        <v>14738</v>
      </c>
      <c r="J5772" s="3" t="str">
        <f>HYPERLINK("https://www.boe.es/gazeta/dias/1810/06/16/pdfs/GMD-1810-167.pdf#page=4","Abrir facsímil")</f>
        <v>Abrir facsímil</v>
      </c>
      <c r="K5772" s="3" t="s">
        <v>76</v>
      </c>
    </row>
    <row r="5773" spans="1:11" ht="42" customHeight="1">
      <c r="A5773" s="2" t="s">
        <v>14730</v>
      </c>
      <c r="B5773" s="2" t="s">
        <v>14730</v>
      </c>
      <c r="C5773" s="2" t="s">
        <v>26</v>
      </c>
      <c r="D5773" s="2" t="s">
        <v>27</v>
      </c>
      <c r="E5773" s="4">
        <v>-32666</v>
      </c>
      <c r="F5773" s="3" t="s">
        <v>1913</v>
      </c>
      <c r="G5773" s="3" t="s">
        <v>1914</v>
      </c>
      <c r="H5773" s="2" t="s">
        <v>74</v>
      </c>
      <c r="I5773" s="2" t="s">
        <v>14739</v>
      </c>
      <c r="J5773" s="3" t="str">
        <f>HYPERLINK("https://www.boe.es/gazeta/dias/1810/07/24/pdfs/GMD-1810-205.pdf#page=4","Abrir facsímil")</f>
        <v>Abrir facsímil</v>
      </c>
      <c r="K5773" s="3" t="s">
        <v>76</v>
      </c>
    </row>
    <row r="5774" spans="1:11" ht="42" customHeight="1">
      <c r="A5774" s="2" t="s">
        <v>14730</v>
      </c>
      <c r="B5774" s="2" t="s">
        <v>14730</v>
      </c>
      <c r="C5774" s="2" t="s">
        <v>26</v>
      </c>
      <c r="D5774" s="2" t="s">
        <v>27</v>
      </c>
      <c r="E5774" s="4">
        <v>-32584</v>
      </c>
      <c r="F5774" s="3" t="s">
        <v>1560</v>
      </c>
      <c r="G5774" s="3" t="s">
        <v>971</v>
      </c>
      <c r="H5774" s="2" t="s">
        <v>74</v>
      </c>
      <c r="I5774" s="2" t="s">
        <v>14740</v>
      </c>
      <c r="J5774" s="3" t="str">
        <f>HYPERLINK("https://www.boe.es/gazeta/dias/1810/10/14/pdfs/GMD-1810-287.pdf#page=3","Abrir facsímil")</f>
        <v>Abrir facsímil</v>
      </c>
      <c r="K5774" s="3" t="s">
        <v>76</v>
      </c>
    </row>
    <row r="5775" spans="1:11" ht="42" customHeight="1">
      <c r="A5775" s="2" t="s">
        <v>14730</v>
      </c>
      <c r="B5775" s="2" t="s">
        <v>14730</v>
      </c>
      <c r="C5775" s="2" t="s">
        <v>88</v>
      </c>
      <c r="D5775" s="2" t="s">
        <v>27</v>
      </c>
      <c r="E5775" s="4">
        <v>-32566</v>
      </c>
      <c r="F5775" s="3" t="s">
        <v>405</v>
      </c>
      <c r="G5775" s="3" t="s">
        <v>469</v>
      </c>
      <c r="H5775" s="2" t="s">
        <v>74</v>
      </c>
      <c r="I5775" s="2" t="s">
        <v>14741</v>
      </c>
      <c r="J5775" s="3" t="str">
        <f>HYPERLINK("https://www.boe.es/gazeta/dias/1810/11/01/pdfs/GMD-1810-305.pdf#page=2","Abrir facsímil")</f>
        <v>Abrir facsímil</v>
      </c>
      <c r="K5775" s="3" t="s">
        <v>76</v>
      </c>
    </row>
    <row r="5776" spans="1:11" ht="42" customHeight="1">
      <c r="A5776" s="2" t="s">
        <v>14730</v>
      </c>
      <c r="B5776" s="2" t="s">
        <v>14730</v>
      </c>
      <c r="C5776" s="2" t="s">
        <v>26</v>
      </c>
      <c r="D5776" s="2" t="s">
        <v>18</v>
      </c>
      <c r="E5776" s="4">
        <v>-32566</v>
      </c>
      <c r="F5776" s="3" t="s">
        <v>405</v>
      </c>
      <c r="G5776" s="3" t="s">
        <v>99</v>
      </c>
      <c r="H5776" s="2" t="s">
        <v>74</v>
      </c>
      <c r="I5776" s="2" t="s">
        <v>14742</v>
      </c>
      <c r="J5776" s="3" t="str">
        <f>HYPERLINK("https://www.boe.es/gazeta/dias/1810/11/01/pdfs/GMD-1810-305.pdf#page=3","Abrir facsímil")</f>
        <v>Abrir facsímil</v>
      </c>
      <c r="K5776" s="3" t="s">
        <v>76</v>
      </c>
    </row>
    <row r="5777" spans="1:11" ht="42" customHeight="1">
      <c r="A5777" s="2" t="s">
        <v>14730</v>
      </c>
      <c r="B5777" s="2" t="s">
        <v>14730</v>
      </c>
      <c r="C5777" s="2" t="s">
        <v>88</v>
      </c>
      <c r="D5777" s="2" t="s">
        <v>117</v>
      </c>
      <c r="E5777" s="4">
        <v>-32564</v>
      </c>
      <c r="F5777" s="3" t="s">
        <v>1604</v>
      </c>
      <c r="G5777" s="3" t="s">
        <v>1605</v>
      </c>
      <c r="H5777" s="2" t="s">
        <v>74</v>
      </c>
      <c r="I5777" s="2" t="s">
        <v>14743</v>
      </c>
      <c r="J5777" s="3" t="str">
        <f>HYPERLINK("https://www.boe.es/gazeta/dias/1810/11/03/pdfs/GMD-1810-307.pdf#page=2","Abrir facsímil")</f>
        <v>Abrir facsímil</v>
      </c>
      <c r="K5777" s="3" t="s">
        <v>76</v>
      </c>
    </row>
    <row r="5778" spans="1:11" ht="42" customHeight="1">
      <c r="A5778" s="2" t="s">
        <v>14730</v>
      </c>
      <c r="B5778" s="2" t="s">
        <v>14730</v>
      </c>
      <c r="C5778" s="2" t="s">
        <v>195</v>
      </c>
      <c r="D5778" s="2" t="s">
        <v>27</v>
      </c>
      <c r="E5778" s="4">
        <v>-32563</v>
      </c>
      <c r="F5778" s="3" t="s">
        <v>535</v>
      </c>
      <c r="G5778" s="3" t="s">
        <v>5594</v>
      </c>
      <c r="H5778" s="2" t="s">
        <v>74</v>
      </c>
      <c r="I5778" s="2" t="s">
        <v>14744</v>
      </c>
      <c r="J5778" s="3" t="str">
        <f>HYPERLINK("https://www.boe.es/gazeta/dias/1810/11/04/pdfs/GMD-1810-308.pdf#page=10","Abrir facsímil")</f>
        <v>Abrir facsímil</v>
      </c>
      <c r="K5778" s="3" t="s">
        <v>76</v>
      </c>
    </row>
    <row r="5779" spans="1:11" ht="42" customHeight="1">
      <c r="A5779" s="2" t="s">
        <v>14745</v>
      </c>
      <c r="B5779" s="2" t="s">
        <v>14745</v>
      </c>
      <c r="C5779" s="2" t="s">
        <v>88</v>
      </c>
      <c r="D5779" s="2" t="s">
        <v>27</v>
      </c>
      <c r="E5779" s="4">
        <v>-32700</v>
      </c>
      <c r="F5779" s="3" t="s">
        <v>89</v>
      </c>
      <c r="G5779" s="3" t="s">
        <v>29</v>
      </c>
      <c r="H5779" s="2" t="s">
        <v>74</v>
      </c>
      <c r="I5779" s="2" t="s">
        <v>14746</v>
      </c>
      <c r="J5779" s="3" t="str">
        <f>HYPERLINK("https://www.boe.es/gazeta/dias/1810/06/20/pdfs/GMD-1810-171.pdf#page=3","Abrir facsímil")</f>
        <v>Abrir facsímil</v>
      </c>
      <c r="K5779" s="3" t="s">
        <v>76</v>
      </c>
    </row>
    <row r="5780" spans="1:11" ht="42" customHeight="1">
      <c r="A5780" s="2" t="s">
        <v>14747</v>
      </c>
      <c r="B5780" s="2" t="s">
        <v>14748</v>
      </c>
      <c r="C5780" s="2" t="s">
        <v>88</v>
      </c>
      <c r="D5780" s="2" t="s">
        <v>117</v>
      </c>
      <c r="E5780" s="4">
        <v>-32766</v>
      </c>
      <c r="F5780" s="3" t="s">
        <v>492</v>
      </c>
      <c r="G5780" s="3" t="s">
        <v>99</v>
      </c>
      <c r="H5780" s="2" t="s">
        <v>74</v>
      </c>
      <c r="I5780" s="2" t="s">
        <v>14749</v>
      </c>
      <c r="J5780" s="3" t="str">
        <f>HYPERLINK("https://www.boe.es/gazeta/dias/1810/04/15/pdfs/GMD-1810-105.pdf#page=3","Abrir facsímil")</f>
        <v>Abrir facsímil</v>
      </c>
      <c r="K5780" s="3" t="s">
        <v>76</v>
      </c>
    </row>
    <row r="5781" spans="1:11" ht="42" customHeight="1">
      <c r="A5781" s="2" t="s">
        <v>14747</v>
      </c>
      <c r="B5781" s="2" t="s">
        <v>14748</v>
      </c>
      <c r="C5781" s="2" t="s">
        <v>88</v>
      </c>
      <c r="D5781" s="2" t="s">
        <v>117</v>
      </c>
      <c r="E5781" s="4">
        <v>-32737</v>
      </c>
      <c r="F5781" s="3" t="s">
        <v>1847</v>
      </c>
      <c r="G5781" s="3" t="s">
        <v>99</v>
      </c>
      <c r="H5781" s="2" t="s">
        <v>74</v>
      </c>
      <c r="I5781" s="2" t="s">
        <v>14750</v>
      </c>
      <c r="J5781" s="3" t="str">
        <f>HYPERLINK("https://www.boe.es/gazeta/dias/1810/05/14/pdfs/GMD-1810-134.pdf#page=3","Abrir facsímil")</f>
        <v>Abrir facsímil</v>
      </c>
      <c r="K5781" s="3" t="s">
        <v>76</v>
      </c>
    </row>
    <row r="5782" spans="1:11" ht="42" customHeight="1">
      <c r="A5782" s="2" t="s">
        <v>14747</v>
      </c>
      <c r="B5782" s="2" t="s">
        <v>14748</v>
      </c>
      <c r="C5782" s="2" t="s">
        <v>111</v>
      </c>
      <c r="D5782" s="2" t="s">
        <v>18</v>
      </c>
      <c r="E5782" s="4">
        <v>-32517</v>
      </c>
      <c r="F5782" s="3" t="s">
        <v>566</v>
      </c>
      <c r="G5782" s="3" t="s">
        <v>762</v>
      </c>
      <c r="H5782" s="2" t="s">
        <v>74</v>
      </c>
      <c r="I5782" s="2" t="s">
        <v>14751</v>
      </c>
      <c r="J5782" s="3" t="str">
        <f>HYPERLINK("https://www.boe.es/gazeta/dias/1810/12/20/pdfs/GEI-1810-110.pdf#page=8","Abrir facsímil")</f>
        <v>Abrir facsímil</v>
      </c>
      <c r="K5782" s="3" t="s">
        <v>76</v>
      </c>
    </row>
    <row r="5783" spans="1:11" ht="42" customHeight="1">
      <c r="A5783" s="2" t="s">
        <v>14752</v>
      </c>
      <c r="B5783" s="2" t="s">
        <v>14753</v>
      </c>
      <c r="C5783" s="2" t="s">
        <v>88</v>
      </c>
      <c r="D5783" s="2" t="s">
        <v>27</v>
      </c>
      <c r="E5783" s="4">
        <v>-32710</v>
      </c>
      <c r="F5783" s="3" t="s">
        <v>126</v>
      </c>
      <c r="G5783" s="3" t="s">
        <v>35</v>
      </c>
      <c r="H5783" s="2" t="s">
        <v>74</v>
      </c>
      <c r="I5783" s="2" t="s">
        <v>14754</v>
      </c>
      <c r="J5783" s="3" t="str">
        <f>HYPERLINK("https://www.boe.es/gazeta/dias/1810/06/10/pdfs/GMD-1810-161.pdf#page=2","Abrir facsímil")</f>
        <v>Abrir facsímil</v>
      </c>
      <c r="K5783" s="3" t="s">
        <v>76</v>
      </c>
    </row>
    <row r="5784" spans="1:11" ht="42" customHeight="1">
      <c r="A5784" s="2" t="s">
        <v>14755</v>
      </c>
      <c r="B5784" s="2" t="s">
        <v>14756</v>
      </c>
      <c r="C5784" s="2" t="s">
        <v>26</v>
      </c>
      <c r="D5784" s="2" t="s">
        <v>27</v>
      </c>
      <c r="E5784" s="4">
        <v>-32764</v>
      </c>
      <c r="F5784" s="3" t="s">
        <v>640</v>
      </c>
      <c r="G5784" s="3" t="s">
        <v>641</v>
      </c>
      <c r="H5784" s="2" t="s">
        <v>74</v>
      </c>
      <c r="I5784" s="2" t="s">
        <v>14757</v>
      </c>
      <c r="J5784" s="3" t="str">
        <f>HYPERLINK("https://www.boe.es/gazeta/dias/1810/04/17/pdfs/GEI-1810-15.pdf#page=8","Abrir facsímil")</f>
        <v>Abrir facsímil</v>
      </c>
      <c r="K5784" s="3" t="s">
        <v>76</v>
      </c>
    </row>
    <row r="5785" spans="1:11" ht="42" customHeight="1">
      <c r="A5785" s="2" t="s">
        <v>14758</v>
      </c>
      <c r="B5785" s="2" t="s">
        <v>14758</v>
      </c>
      <c r="C5785" s="2" t="s">
        <v>88</v>
      </c>
      <c r="D5785" s="2" t="s">
        <v>27</v>
      </c>
      <c r="E5785" s="4">
        <v>-32510</v>
      </c>
      <c r="F5785" s="3" t="s">
        <v>9898</v>
      </c>
      <c r="G5785" s="3" t="s">
        <v>227</v>
      </c>
      <c r="H5785" s="2" t="s">
        <v>74</v>
      </c>
      <c r="I5785" s="2" t="s">
        <v>14759</v>
      </c>
      <c r="J5785" s="3" t="str">
        <f>HYPERLINK("https://www.boe.es/gazeta/dias/1810/12/27/pdfs/GMD-1810-361.pdf#page=2","Abrir facsímil")</f>
        <v>Abrir facsímil</v>
      </c>
      <c r="K5785" s="3" t="s">
        <v>76</v>
      </c>
    </row>
    <row r="5786" spans="1:11" ht="42" customHeight="1">
      <c r="A5786" s="2" t="s">
        <v>14760</v>
      </c>
      <c r="B5786" s="2" t="s">
        <v>14760</v>
      </c>
      <c r="C5786" s="2" t="s">
        <v>88</v>
      </c>
      <c r="D5786" s="2" t="s">
        <v>117</v>
      </c>
      <c r="E5786" s="4">
        <v>-32860</v>
      </c>
      <c r="F5786" s="3" t="s">
        <v>3662</v>
      </c>
      <c r="G5786" s="3" t="s">
        <v>1540</v>
      </c>
      <c r="H5786" s="2" t="s">
        <v>74</v>
      </c>
      <c r="I5786" s="2" t="s">
        <v>14761</v>
      </c>
      <c r="J5786" s="3" t="str">
        <f>HYPERLINK("https://www.boe.es/gazeta/dias/1810/01/11/pdfs/GMD-1810-11.pdf#page=2","Abrir facsímil")</f>
        <v>Abrir facsímil</v>
      </c>
      <c r="K5786" s="3" t="s">
        <v>76</v>
      </c>
    </row>
    <row r="5787" spans="1:11" ht="42" customHeight="1">
      <c r="A5787" s="2" t="s">
        <v>14760</v>
      </c>
      <c r="B5787" s="2" t="s">
        <v>14760</v>
      </c>
      <c r="C5787" s="2" t="s">
        <v>88</v>
      </c>
      <c r="D5787" s="2" t="s">
        <v>27</v>
      </c>
      <c r="E5787" s="4">
        <v>-32842</v>
      </c>
      <c r="F5787" s="3" t="s">
        <v>1291</v>
      </c>
      <c r="G5787" s="3" t="s">
        <v>1292</v>
      </c>
      <c r="H5787" s="2" t="s">
        <v>74</v>
      </c>
      <c r="I5787" s="2" t="s">
        <v>14762</v>
      </c>
      <c r="J5787" s="3" t="str">
        <f>HYPERLINK("https://www.boe.es/gazeta/dias/1810/01/29/pdfs/GMD-1810-29.pdf#page=3","Abrir facsímil")</f>
        <v>Abrir facsímil</v>
      </c>
      <c r="K5787" s="3" t="s">
        <v>76</v>
      </c>
    </row>
    <row r="5788" spans="1:11" ht="42" customHeight="1">
      <c r="A5788" s="2" t="s">
        <v>14760</v>
      </c>
      <c r="B5788" s="2" t="s">
        <v>14760</v>
      </c>
      <c r="C5788" s="2" t="s">
        <v>88</v>
      </c>
      <c r="D5788" s="2" t="s">
        <v>27</v>
      </c>
      <c r="E5788" s="4">
        <v>-32820</v>
      </c>
      <c r="F5788" s="3" t="s">
        <v>226</v>
      </c>
      <c r="G5788" s="3" t="s">
        <v>227</v>
      </c>
      <c r="H5788" s="2" t="s">
        <v>74</v>
      </c>
      <c r="I5788" s="2" t="s">
        <v>14763</v>
      </c>
      <c r="J5788" s="3" t="str">
        <f>HYPERLINK("https://www.boe.es/gazeta/dias/1810/02/20/pdfs/GMD-1810-51.pdf#page=4","Abrir facsímil")</f>
        <v>Abrir facsímil</v>
      </c>
      <c r="K5788" s="3" t="s">
        <v>76</v>
      </c>
    </row>
    <row r="5789" spans="1:11" ht="42" customHeight="1">
      <c r="A5789" s="2" t="s">
        <v>14764</v>
      </c>
      <c r="B5789" s="2" t="s">
        <v>14765</v>
      </c>
      <c r="C5789" s="2" t="s">
        <v>195</v>
      </c>
      <c r="D5789" s="2" t="s">
        <v>27</v>
      </c>
      <c r="E5789" s="4">
        <v>-32784</v>
      </c>
      <c r="F5789" s="3" t="s">
        <v>429</v>
      </c>
      <c r="G5789" s="3" t="s">
        <v>131</v>
      </c>
      <c r="H5789" s="2" t="s">
        <v>74</v>
      </c>
      <c r="I5789" s="2" t="s">
        <v>14766</v>
      </c>
      <c r="J5789" s="3" t="str">
        <f>HYPERLINK("https://www.boe.es/gazeta/dias/1810/03/28/pdfs/GMD-1810-87.pdf#page=3","Abrir facsímil")</f>
        <v>Abrir facsímil</v>
      </c>
      <c r="K5789" s="3" t="s">
        <v>76</v>
      </c>
    </row>
    <row r="5790" spans="1:11" ht="42" customHeight="1">
      <c r="A5790" s="2" t="s">
        <v>14767</v>
      </c>
      <c r="B5790" s="2" t="s">
        <v>14767</v>
      </c>
      <c r="C5790" s="2" t="s">
        <v>88</v>
      </c>
      <c r="D5790" s="2" t="s">
        <v>39</v>
      </c>
      <c r="E5790" s="4">
        <v>-32715</v>
      </c>
      <c r="F5790" s="3" t="s">
        <v>6792</v>
      </c>
      <c r="G5790" s="3" t="s">
        <v>119</v>
      </c>
      <c r="H5790" s="2" t="s">
        <v>74</v>
      </c>
      <c r="I5790" s="2" t="s">
        <v>14768</v>
      </c>
      <c r="J5790" s="3" t="str">
        <f>HYPERLINK("https://www.boe.es/gazeta/dias/1810/06/05/pdfs/GEI-D-1810-33.pdf#page=1","Abrir facsímil")</f>
        <v>Abrir facsímil</v>
      </c>
      <c r="K5790" s="3" t="s">
        <v>76</v>
      </c>
    </row>
    <row r="5791" spans="1:11" ht="42" customHeight="1">
      <c r="A5791" s="2" t="s">
        <v>14769</v>
      </c>
      <c r="B5791" s="2" t="s">
        <v>14770</v>
      </c>
      <c r="C5791" s="2" t="s">
        <v>88</v>
      </c>
      <c r="D5791" s="2" t="s">
        <v>27</v>
      </c>
      <c r="E5791" s="4">
        <v>-32564</v>
      </c>
      <c r="F5791" s="3" t="s">
        <v>108</v>
      </c>
      <c r="G5791" s="3" t="s">
        <v>109</v>
      </c>
      <c r="H5791" s="2" t="s">
        <v>74</v>
      </c>
      <c r="I5791" s="2" t="s">
        <v>14771</v>
      </c>
      <c r="J5791" s="3" t="str">
        <f>HYPERLINK("https://www.boe.es/gazeta/dias/1810/11/03/pdfs/GEI-1810-90.pdf#page=8","Abrir facsímil")</f>
        <v>Abrir facsímil</v>
      </c>
      <c r="K5791" s="3" t="s">
        <v>76</v>
      </c>
    </row>
    <row r="5792" spans="1:11" ht="42" customHeight="1">
      <c r="A5792" s="2" t="s">
        <v>14772</v>
      </c>
      <c r="B5792" s="2" t="s">
        <v>14772</v>
      </c>
      <c r="C5792" s="2" t="s">
        <v>88</v>
      </c>
      <c r="D5792" s="2" t="s">
        <v>27</v>
      </c>
      <c r="E5792" s="4">
        <v>-32573</v>
      </c>
      <c r="F5792" s="3" t="s">
        <v>3120</v>
      </c>
      <c r="G5792" s="3" t="s">
        <v>136</v>
      </c>
      <c r="H5792" s="2" t="s">
        <v>74</v>
      </c>
      <c r="I5792" s="2" t="s">
        <v>14773</v>
      </c>
      <c r="J5792" s="3" t="str">
        <f>HYPERLINK("https://www.boe.es/gazeta/dias/1810/10/25/pdfs/GEI-1810-86.pdf#page=1","Abrir facsímil")</f>
        <v>Abrir facsímil</v>
      </c>
      <c r="K5792" s="3" t="s">
        <v>76</v>
      </c>
    </row>
    <row r="5793" spans="1:11" ht="42" customHeight="1">
      <c r="A5793" s="2" t="s">
        <v>14772</v>
      </c>
      <c r="B5793" s="2" t="s">
        <v>14772</v>
      </c>
      <c r="C5793" s="2" t="s">
        <v>88</v>
      </c>
      <c r="D5793" s="2" t="s">
        <v>27</v>
      </c>
      <c r="E5793" s="4">
        <v>-32566</v>
      </c>
      <c r="F5793" s="3" t="s">
        <v>649</v>
      </c>
      <c r="G5793" s="3" t="s">
        <v>180</v>
      </c>
      <c r="H5793" s="2" t="s">
        <v>74</v>
      </c>
      <c r="I5793" s="2" t="s">
        <v>14774</v>
      </c>
      <c r="J5793" s="3" t="str">
        <f>HYPERLINK("https://www.boe.es/gazeta/dias/1810/11/01/pdfs/GEI-1810-89.pdf#page=3","Abrir facsímil")</f>
        <v>Abrir facsímil</v>
      </c>
      <c r="K5793" s="3" t="s">
        <v>76</v>
      </c>
    </row>
    <row r="5794" spans="1:11" ht="42" customHeight="1">
      <c r="A5794" s="2" t="s">
        <v>14775</v>
      </c>
      <c r="B5794" s="2" t="s">
        <v>14776</v>
      </c>
      <c r="C5794" s="2" t="s">
        <v>317</v>
      </c>
      <c r="D5794" s="2" t="s">
        <v>39</v>
      </c>
      <c r="E5794" s="4">
        <v>-32702</v>
      </c>
      <c r="F5794" s="3" t="s">
        <v>179</v>
      </c>
      <c r="G5794" s="3" t="s">
        <v>213</v>
      </c>
      <c r="H5794" s="2" t="s">
        <v>74</v>
      </c>
      <c r="I5794" s="2" t="s">
        <v>14777</v>
      </c>
      <c r="J5794" s="3" t="str">
        <f>HYPERLINK("https://www.boe.es/gazeta/dias/1810/06/18/pdfs/GMD-C-1810-169.pdf#page=4","Abrir facsímil")</f>
        <v>Abrir facsímil</v>
      </c>
      <c r="K5794" s="3" t="s">
        <v>76</v>
      </c>
    </row>
    <row r="5795" spans="1:11" ht="42" customHeight="1">
      <c r="A5795" s="2" t="s">
        <v>14778</v>
      </c>
      <c r="B5795" s="2" t="s">
        <v>14778</v>
      </c>
      <c r="C5795" s="2" t="s">
        <v>88</v>
      </c>
      <c r="D5795" s="2" t="s">
        <v>27</v>
      </c>
      <c r="E5795" s="4">
        <v>-32765</v>
      </c>
      <c r="F5795" s="3" t="s">
        <v>1842</v>
      </c>
      <c r="G5795" s="3" t="s">
        <v>1843</v>
      </c>
      <c r="H5795" s="2" t="s">
        <v>74</v>
      </c>
      <c r="I5795" s="2" t="s">
        <v>14779</v>
      </c>
      <c r="J5795" s="3" t="str">
        <f>HYPERLINK("https://www.boe.es/gazeta/dias/1810/04/16/pdfs/GMD-1810-106.pdf#page=1","Abrir facsímil")</f>
        <v>Abrir facsímil</v>
      </c>
      <c r="K5795" s="3" t="s">
        <v>76</v>
      </c>
    </row>
    <row r="5796" spans="1:11" ht="42" customHeight="1">
      <c r="A5796" s="2" t="s">
        <v>14780</v>
      </c>
      <c r="B5796" s="2" t="s">
        <v>14780</v>
      </c>
      <c r="C5796" s="2" t="s">
        <v>225</v>
      </c>
      <c r="D5796" s="2" t="s">
        <v>27</v>
      </c>
      <c r="E5796" s="4">
        <v>-32661</v>
      </c>
      <c r="F5796" s="3" t="s">
        <v>7882</v>
      </c>
      <c r="G5796" s="3" t="s">
        <v>7883</v>
      </c>
      <c r="H5796" s="2" t="s">
        <v>74</v>
      </c>
      <c r="I5796" s="2" t="s">
        <v>14781</v>
      </c>
      <c r="J5796" s="3" t="str">
        <f>HYPERLINK("https://www.boe.es/gazeta/dias/1810/07/29/pdfs/GMD-1810-210.pdf#page=1","Abrir facsímil")</f>
        <v>Abrir facsímil</v>
      </c>
      <c r="K5796" s="3" t="s">
        <v>76</v>
      </c>
    </row>
    <row r="5797" spans="1:11" ht="42" customHeight="1">
      <c r="A5797" s="2" t="s">
        <v>14782</v>
      </c>
      <c r="B5797" s="2" t="s">
        <v>14783</v>
      </c>
      <c r="C5797" s="2" t="s">
        <v>88</v>
      </c>
      <c r="D5797" s="2" t="s">
        <v>27</v>
      </c>
      <c r="E5797" s="4">
        <v>-32764</v>
      </c>
      <c r="F5797" s="3" t="s">
        <v>640</v>
      </c>
      <c r="G5797" s="3" t="s">
        <v>641</v>
      </c>
      <c r="H5797" s="2" t="s">
        <v>74</v>
      </c>
      <c r="I5797" s="2" t="s">
        <v>14784</v>
      </c>
      <c r="J5797" s="3" t="str">
        <f>HYPERLINK("https://www.boe.es/gazeta/dias/1810/04/17/pdfs/GEI-1810-15.pdf#page=8","Abrir facsímil")</f>
        <v>Abrir facsímil</v>
      </c>
      <c r="K5797" s="3" t="s">
        <v>76</v>
      </c>
    </row>
    <row r="5798" spans="1:11" ht="42" customHeight="1">
      <c r="A5798" s="2" t="s">
        <v>14785</v>
      </c>
      <c r="B5798" s="2" t="s">
        <v>14786</v>
      </c>
      <c r="C5798" s="2" t="s">
        <v>26</v>
      </c>
      <c r="D5798" s="2" t="s">
        <v>39</v>
      </c>
      <c r="E5798" s="4">
        <v>-32749</v>
      </c>
      <c r="F5798" s="3" t="s">
        <v>803</v>
      </c>
      <c r="G5798" s="3" t="s">
        <v>213</v>
      </c>
      <c r="H5798" s="2" t="s">
        <v>74</v>
      </c>
      <c r="I5798" s="2" t="s">
        <v>14787</v>
      </c>
      <c r="J5798" s="3" t="str">
        <f>HYPERLINK("https://www.boe.es/gazeta/dias/1810/05/02/pdfs/GMD-C-1810-122.pdf#page=1","Abrir facsímil")</f>
        <v>Abrir facsímil</v>
      </c>
      <c r="K5798" s="3" t="s">
        <v>76</v>
      </c>
    </row>
    <row r="5799" spans="1:11" ht="42" customHeight="1">
      <c r="A5799" s="2" t="s">
        <v>14788</v>
      </c>
      <c r="B5799" s="2" t="s">
        <v>14789</v>
      </c>
      <c r="C5799" s="2" t="s">
        <v>26</v>
      </c>
      <c r="D5799" s="2" t="s">
        <v>27</v>
      </c>
      <c r="E5799" s="4">
        <v>-32545</v>
      </c>
      <c r="F5799" s="3" t="s">
        <v>165</v>
      </c>
      <c r="G5799" s="3" t="s">
        <v>166</v>
      </c>
      <c r="H5799" s="2" t="s">
        <v>74</v>
      </c>
      <c r="I5799" s="2" t="s">
        <v>14790</v>
      </c>
      <c r="J5799" s="3" t="str">
        <f>HYPERLINK("https://www.boe.es/gazeta/dias/1810/11/22/pdfs/GEI-1810-98.pdf#page=8","Abrir facsímil")</f>
        <v>Abrir facsímil</v>
      </c>
      <c r="K5799" s="3" t="s">
        <v>76</v>
      </c>
    </row>
    <row r="5800" spans="1:11" ht="42" customHeight="1">
      <c r="A5800" s="2" t="s">
        <v>14791</v>
      </c>
      <c r="B5800" s="2" t="s">
        <v>14792</v>
      </c>
      <c r="C5800" s="2" t="s">
        <v>88</v>
      </c>
      <c r="D5800" s="2" t="s">
        <v>18</v>
      </c>
      <c r="E5800" s="4">
        <v>-32550</v>
      </c>
      <c r="F5800" s="3" t="s">
        <v>1472</v>
      </c>
      <c r="G5800" s="3" t="s">
        <v>1473</v>
      </c>
      <c r="H5800" s="2" t="s">
        <v>74</v>
      </c>
      <c r="I5800" s="2" t="s">
        <v>14793</v>
      </c>
      <c r="J5800" s="3" t="str">
        <f>HYPERLINK("https://www.boe.es/gazeta/dias/1810/11/17/pdfs/GEI-1810-96.pdf#page=8","Abrir facsímil")</f>
        <v>Abrir facsímil</v>
      </c>
      <c r="K5800" s="3" t="s">
        <v>76</v>
      </c>
    </row>
    <row r="5801" spans="1:11" ht="42" customHeight="1">
      <c r="A5801" s="2" t="s">
        <v>14794</v>
      </c>
      <c r="B5801" s="2" t="s">
        <v>14794</v>
      </c>
      <c r="C5801" s="2" t="s">
        <v>88</v>
      </c>
      <c r="D5801" s="2" t="s">
        <v>117</v>
      </c>
      <c r="E5801" s="4">
        <v>-32769</v>
      </c>
      <c r="F5801" s="3" t="s">
        <v>1543</v>
      </c>
      <c r="G5801" s="3" t="s">
        <v>29</v>
      </c>
      <c r="H5801" s="2" t="s">
        <v>74</v>
      </c>
      <c r="I5801" s="2" t="s">
        <v>14795</v>
      </c>
      <c r="J5801" s="3" t="str">
        <f>HYPERLINK("https://www.boe.es/gazeta/dias/1810/04/12/pdfs/GMD-1810-102.pdf#page=2","Abrir facsímil")</f>
        <v>Abrir facsímil</v>
      </c>
      <c r="K5801" s="3" t="s">
        <v>76</v>
      </c>
    </row>
    <row r="5802" spans="1:11" ht="42" customHeight="1">
      <c r="A5802" s="2" t="s">
        <v>14796</v>
      </c>
      <c r="B5802" s="2" t="s">
        <v>14796</v>
      </c>
      <c r="C5802" s="2" t="s">
        <v>88</v>
      </c>
      <c r="D5802" s="2" t="s">
        <v>27</v>
      </c>
      <c r="E5802" s="4">
        <v>-32663</v>
      </c>
      <c r="F5802" s="3" t="s">
        <v>1615</v>
      </c>
      <c r="G5802" s="3" t="s">
        <v>29</v>
      </c>
      <c r="H5802" s="2" t="s">
        <v>74</v>
      </c>
      <c r="I5802" s="2" t="s">
        <v>14797</v>
      </c>
      <c r="J5802" s="3" t="str">
        <f>HYPERLINK("https://www.boe.es/gazeta/dias/1810/07/27/pdfs/GMD-1810-208.pdf#page=2","Abrir facsímil")</f>
        <v>Abrir facsímil</v>
      </c>
      <c r="K5802" s="3" t="s">
        <v>76</v>
      </c>
    </row>
    <row r="5803" spans="1:11" ht="42" customHeight="1">
      <c r="A5803" s="2" t="s">
        <v>14794</v>
      </c>
      <c r="B5803" s="2" t="s">
        <v>14794</v>
      </c>
      <c r="C5803" s="2" t="s">
        <v>88</v>
      </c>
      <c r="D5803" s="2" t="s">
        <v>117</v>
      </c>
      <c r="E5803" s="4">
        <v>-32528</v>
      </c>
      <c r="F5803" s="3" t="s">
        <v>3058</v>
      </c>
      <c r="G5803" s="3" t="s">
        <v>2334</v>
      </c>
      <c r="H5803" s="2" t="s">
        <v>74</v>
      </c>
      <c r="I5803" s="2" t="s">
        <v>14798</v>
      </c>
      <c r="J5803" s="3" t="str">
        <f>HYPERLINK("https://www.boe.es/gazeta/dias/1810/12/09/pdfs/GMD-1810-343.pdf#page=1","Abrir facsímil")</f>
        <v>Abrir facsímil</v>
      </c>
      <c r="K5803" s="3" t="s">
        <v>76</v>
      </c>
    </row>
    <row r="5804" spans="1:11" ht="42" customHeight="1">
      <c r="A5804" s="2" t="s">
        <v>14799</v>
      </c>
      <c r="B5804" s="2" t="s">
        <v>14800</v>
      </c>
      <c r="C5804" s="2" t="s">
        <v>88</v>
      </c>
      <c r="D5804" s="2" t="s">
        <v>117</v>
      </c>
      <c r="E5804" s="4">
        <v>-32740</v>
      </c>
      <c r="F5804" s="3" t="s">
        <v>1207</v>
      </c>
      <c r="G5804" s="3" t="s">
        <v>373</v>
      </c>
      <c r="H5804" s="2" t="s">
        <v>74</v>
      </c>
      <c r="I5804" s="2" t="s">
        <v>14801</v>
      </c>
      <c r="J5804" s="3" t="str">
        <f>HYPERLINK("https://www.boe.es/gazeta/dias/1810/05/11/pdfs/GMD-1810-131.pdf#page=3","Abrir facsímil")</f>
        <v>Abrir facsímil</v>
      </c>
      <c r="K5804" s="3" t="s">
        <v>76</v>
      </c>
    </row>
    <row r="5805" spans="1:11" ht="42" customHeight="1">
      <c r="A5805" s="2" t="s">
        <v>14802</v>
      </c>
      <c r="B5805" s="2" t="s">
        <v>14802</v>
      </c>
      <c r="C5805" s="2" t="s">
        <v>88</v>
      </c>
      <c r="D5805" s="2" t="s">
        <v>27</v>
      </c>
      <c r="E5805" s="4">
        <v>-32803</v>
      </c>
      <c r="F5805" s="3" t="s">
        <v>4052</v>
      </c>
      <c r="G5805" s="3" t="s">
        <v>213</v>
      </c>
      <c r="H5805" s="2" t="s">
        <v>74</v>
      </c>
      <c r="I5805" s="2" t="s">
        <v>14803</v>
      </c>
      <c r="J5805" s="3" t="str">
        <f>HYPERLINK("https://www.boe.es/gazeta/dias/1810/03/09/pdfs/GMD-1810-68.pdf#page=2","Abrir facsímil")</f>
        <v>Abrir facsímil</v>
      </c>
      <c r="K5805" s="3" t="s">
        <v>76</v>
      </c>
    </row>
    <row r="5806" spans="1:11" ht="42" customHeight="1">
      <c r="A5806" s="2" t="s">
        <v>14802</v>
      </c>
      <c r="B5806" s="2" t="s">
        <v>14802</v>
      </c>
      <c r="C5806" s="2" t="s">
        <v>88</v>
      </c>
      <c r="D5806" s="2" t="s">
        <v>220</v>
      </c>
      <c r="E5806" s="4">
        <v>-32752</v>
      </c>
      <c r="F5806" s="3" t="s">
        <v>601</v>
      </c>
      <c r="G5806" s="3" t="s">
        <v>915</v>
      </c>
      <c r="H5806" s="2" t="s">
        <v>74</v>
      </c>
      <c r="I5806" s="2" t="s">
        <v>14804</v>
      </c>
      <c r="J5806" s="3" t="str">
        <f>HYPERLINK("https://www.boe.es/gazeta/dias/1810/04/29/pdfs/GMD-1810-119.pdf#page=1","Abrir facsímil")</f>
        <v>Abrir facsímil</v>
      </c>
      <c r="K5806" s="3" t="s">
        <v>76</v>
      </c>
    </row>
    <row r="5807" spans="1:11" ht="42" customHeight="1">
      <c r="A5807" s="2" t="s">
        <v>14802</v>
      </c>
      <c r="B5807" s="2" t="s">
        <v>14802</v>
      </c>
      <c r="C5807" s="2" t="s">
        <v>88</v>
      </c>
      <c r="D5807" s="2" t="s">
        <v>27</v>
      </c>
      <c r="E5807" s="4">
        <v>-32641</v>
      </c>
      <c r="F5807" s="3" t="s">
        <v>10757</v>
      </c>
      <c r="G5807" s="3" t="s">
        <v>213</v>
      </c>
      <c r="H5807" s="2" t="s">
        <v>74</v>
      </c>
      <c r="I5807" s="2" t="s">
        <v>14805</v>
      </c>
      <c r="J5807" s="3" t="str">
        <f>HYPERLINK("https://www.boe.es/gazeta/dias/1810/08/18/pdfs/GMD-1810-230.pdf#page=2","Abrir facsímil")</f>
        <v>Abrir facsímil</v>
      </c>
      <c r="K5807" s="3" t="s">
        <v>76</v>
      </c>
    </row>
    <row r="5808" spans="1:11" ht="42" customHeight="1">
      <c r="A5808" s="2" t="s">
        <v>14806</v>
      </c>
      <c r="B5808" s="2" t="s">
        <v>14807</v>
      </c>
      <c r="C5808" s="2" t="s">
        <v>17</v>
      </c>
      <c r="D5808" s="2" t="s">
        <v>39</v>
      </c>
      <c r="E5808" s="4">
        <v>-32661</v>
      </c>
      <c r="F5808" s="3" t="s">
        <v>157</v>
      </c>
      <c r="G5808" s="3" t="s">
        <v>592</v>
      </c>
      <c r="H5808" s="2" t="s">
        <v>74</v>
      </c>
      <c r="I5808" s="2" t="s">
        <v>14808</v>
      </c>
      <c r="J5808" s="3" t="str">
        <f>HYPERLINK("https://www.boe.es/gazeta/dias/1810/07/29/pdfs/GMD-C-1810-210.pdf#page=2","Abrir facsímil")</f>
        <v>Abrir facsímil</v>
      </c>
      <c r="K5808" s="3" t="s">
        <v>76</v>
      </c>
    </row>
    <row r="5809" spans="1:11" ht="42" customHeight="1">
      <c r="A5809" s="2" t="s">
        <v>14809</v>
      </c>
      <c r="B5809" s="2" t="s">
        <v>14810</v>
      </c>
      <c r="C5809" s="2" t="s">
        <v>88</v>
      </c>
      <c r="D5809" s="2" t="s">
        <v>117</v>
      </c>
      <c r="E5809" s="4">
        <v>-32704</v>
      </c>
      <c r="F5809" s="3" t="s">
        <v>94</v>
      </c>
      <c r="G5809" s="3" t="s">
        <v>20</v>
      </c>
      <c r="H5809" s="2" t="s">
        <v>74</v>
      </c>
      <c r="I5809" s="2" t="s">
        <v>14811</v>
      </c>
      <c r="J5809" s="3" t="str">
        <f>HYPERLINK("https://www.boe.es/gazeta/dias/1810/06/16/pdfs/GMD-1810-167.pdf#page=4","Abrir facsímil")</f>
        <v>Abrir facsímil</v>
      </c>
      <c r="K5809" s="3" t="s">
        <v>76</v>
      </c>
    </row>
    <row r="5810" spans="1:11" ht="42" customHeight="1">
      <c r="A5810" s="2" t="s">
        <v>14812</v>
      </c>
      <c r="B5810" s="2" t="s">
        <v>14813</v>
      </c>
      <c r="C5810" s="2" t="s">
        <v>88</v>
      </c>
      <c r="D5810" s="2" t="s">
        <v>27</v>
      </c>
      <c r="E5810" s="4">
        <v>-32698</v>
      </c>
      <c r="F5810" s="3" t="s">
        <v>2705</v>
      </c>
      <c r="G5810" s="3" t="s">
        <v>4518</v>
      </c>
      <c r="H5810" s="2" t="s">
        <v>74</v>
      </c>
      <c r="I5810" s="2" t="s">
        <v>14814</v>
      </c>
      <c r="J5810" s="3" t="str">
        <f>HYPERLINK("https://www.boe.es/gazeta/dias/1810/06/22/pdfs/GEI-1810-38.pdf#page=6","Abrir facsímil")</f>
        <v>Abrir facsímil</v>
      </c>
      <c r="K5810" s="3" t="s">
        <v>76</v>
      </c>
    </row>
    <row r="5811" spans="1:11" ht="42" customHeight="1">
      <c r="A5811" s="2" t="s">
        <v>14815</v>
      </c>
      <c r="B5811" s="2" t="s">
        <v>14815</v>
      </c>
      <c r="C5811" s="2" t="s">
        <v>88</v>
      </c>
      <c r="D5811" s="2" t="s">
        <v>27</v>
      </c>
      <c r="E5811" s="4">
        <v>-32561</v>
      </c>
      <c r="F5811" s="3" t="s">
        <v>273</v>
      </c>
      <c r="G5811" s="3" t="s">
        <v>1985</v>
      </c>
      <c r="H5811" s="2" t="s">
        <v>74</v>
      </c>
      <c r="I5811" s="2" t="s">
        <v>14816</v>
      </c>
      <c r="J5811" s="3" t="str">
        <f>HYPERLINK("https://www.boe.es/gazeta/dias/1810/11/06/pdfs/GEI-1810-91.pdf#page=2","Abrir facsímil")</f>
        <v>Abrir facsímil</v>
      </c>
      <c r="K5811" s="3" t="s">
        <v>76</v>
      </c>
    </row>
    <row r="5812" spans="1:11" ht="42" customHeight="1">
      <c r="A5812" s="2" t="s">
        <v>14817</v>
      </c>
      <c r="B5812" s="2" t="s">
        <v>14818</v>
      </c>
      <c r="C5812" s="2" t="s">
        <v>225</v>
      </c>
      <c r="D5812" s="2" t="s">
        <v>27</v>
      </c>
      <c r="E5812" s="4">
        <v>-32757</v>
      </c>
      <c r="F5812" s="3" t="s">
        <v>1136</v>
      </c>
      <c r="G5812" s="3" t="s">
        <v>1901</v>
      </c>
      <c r="H5812" s="2" t="s">
        <v>74</v>
      </c>
      <c r="I5812" s="2" t="s">
        <v>14819</v>
      </c>
      <c r="J5812" s="3" t="str">
        <f>HYPERLINK("https://www.boe.es/gazeta/dias/1810/04/24/pdfs/GEI-1810-17.pdf#page=8","Abrir facsímil")</f>
        <v>Abrir facsímil</v>
      </c>
      <c r="K5812" s="3" t="s">
        <v>76</v>
      </c>
    </row>
    <row r="5813" spans="1:11" ht="42" customHeight="1">
      <c r="A5813" s="2" t="s">
        <v>14820</v>
      </c>
      <c r="B5813" s="2" t="s">
        <v>14821</v>
      </c>
      <c r="C5813" s="2" t="s">
        <v>88</v>
      </c>
      <c r="D5813" s="2" t="s">
        <v>27</v>
      </c>
      <c r="E5813" s="4">
        <v>-32508</v>
      </c>
      <c r="F5813" s="3" t="s">
        <v>864</v>
      </c>
      <c r="G5813" s="3" t="s">
        <v>20</v>
      </c>
      <c r="H5813" s="2" t="s">
        <v>74</v>
      </c>
      <c r="I5813" s="2" t="s">
        <v>14822</v>
      </c>
      <c r="J5813" s="3" t="str">
        <f>HYPERLINK("https://www.boe.es/gazeta/dias/1810/12/29/pdfs/GEI-1810-114.pdf#page=4","Abrir facsímil")</f>
        <v>Abrir facsímil</v>
      </c>
      <c r="K5813" s="3" t="s">
        <v>76</v>
      </c>
    </row>
    <row r="5814" spans="1:11" ht="42" customHeight="1">
      <c r="A5814" s="2" t="s">
        <v>14823</v>
      </c>
      <c r="B5814" s="2" t="s">
        <v>14824</v>
      </c>
      <c r="C5814" s="2" t="s">
        <v>225</v>
      </c>
      <c r="D5814" s="2" t="s">
        <v>27</v>
      </c>
      <c r="E5814" s="4">
        <v>-32757</v>
      </c>
      <c r="F5814" s="3" t="s">
        <v>1136</v>
      </c>
      <c r="G5814" s="3" t="s">
        <v>1901</v>
      </c>
      <c r="H5814" s="2" t="s">
        <v>74</v>
      </c>
      <c r="I5814" s="2" t="s">
        <v>14825</v>
      </c>
      <c r="J5814" s="3" t="str">
        <f>HYPERLINK("https://www.boe.es/gazeta/dias/1810/04/24/pdfs/GEI-1810-17.pdf#page=8","Abrir facsímil")</f>
        <v>Abrir facsímil</v>
      </c>
      <c r="K5814" s="3" t="s">
        <v>76</v>
      </c>
    </row>
    <row r="5815" spans="1:11" ht="42" customHeight="1">
      <c r="A5815" s="2" t="s">
        <v>14826</v>
      </c>
      <c r="B5815" s="2" t="s">
        <v>14827</v>
      </c>
      <c r="C5815" s="2" t="s">
        <v>33</v>
      </c>
      <c r="D5815" s="2" t="s">
        <v>27</v>
      </c>
      <c r="E5815" s="4">
        <v>-32569</v>
      </c>
      <c r="F5815" s="3" t="s">
        <v>421</v>
      </c>
      <c r="G5815" s="3" t="s">
        <v>20</v>
      </c>
      <c r="H5815" s="2" t="s">
        <v>74</v>
      </c>
      <c r="I5815" s="2" t="s">
        <v>14828</v>
      </c>
      <c r="J5815" s="3" t="str">
        <f>HYPERLINK("https://www.boe.es/gazeta/dias/1810/10/29/pdfs/GMD-1810-302.pdf#page=4","Abrir facsímil")</f>
        <v>Abrir facsímil</v>
      </c>
      <c r="K5815" s="3" t="s">
        <v>76</v>
      </c>
    </row>
    <row r="5816" spans="1:11" ht="42" customHeight="1">
      <c r="A5816" s="2" t="s">
        <v>14829</v>
      </c>
      <c r="B5816" s="2" t="s">
        <v>14830</v>
      </c>
      <c r="C5816" s="2" t="s">
        <v>26</v>
      </c>
      <c r="D5816" s="2" t="s">
        <v>27</v>
      </c>
      <c r="E5816" s="4">
        <v>-32543</v>
      </c>
      <c r="F5816" s="3" t="s">
        <v>69</v>
      </c>
      <c r="G5816" s="3" t="s">
        <v>84</v>
      </c>
      <c r="H5816" s="2" t="s">
        <v>74</v>
      </c>
      <c r="I5816" s="2" t="s">
        <v>14831</v>
      </c>
      <c r="J5816" s="3" t="str">
        <f>HYPERLINK("https://www.boe.es/gazeta/dias/1810/11/24/pdfs/GEI-1810-99.pdf#page=7","Abrir facsímil")</f>
        <v>Abrir facsímil</v>
      </c>
      <c r="K5816" s="3" t="s">
        <v>76</v>
      </c>
    </row>
    <row r="5817" spans="1:11" ht="42" customHeight="1">
      <c r="A5817" s="2" t="s">
        <v>14832</v>
      </c>
      <c r="B5817" s="2" t="s">
        <v>14833</v>
      </c>
      <c r="C5817" s="2" t="s">
        <v>26</v>
      </c>
      <c r="D5817" s="2" t="s">
        <v>27</v>
      </c>
      <c r="E5817" s="4">
        <v>-32684</v>
      </c>
      <c r="F5817" s="3" t="s">
        <v>1373</v>
      </c>
      <c r="G5817" s="3" t="s">
        <v>1374</v>
      </c>
      <c r="H5817" s="2" t="s">
        <v>74</v>
      </c>
      <c r="I5817" s="2" t="s">
        <v>14834</v>
      </c>
      <c r="J5817" s="3" t="str">
        <f>HYPERLINK("https://www.boe.es/gazeta/dias/1810/07/06/pdfs/GEI-1810-42.pdf#page=8","Abrir facsímil")</f>
        <v>Abrir facsímil</v>
      </c>
      <c r="K5817" s="3" t="s">
        <v>76</v>
      </c>
    </row>
    <row r="5818" spans="1:11" ht="42" customHeight="1">
      <c r="A5818" s="2" t="s">
        <v>14835</v>
      </c>
      <c r="B5818" s="2" t="s">
        <v>14835</v>
      </c>
      <c r="C5818" s="2" t="s">
        <v>88</v>
      </c>
      <c r="D5818" s="2" t="s">
        <v>27</v>
      </c>
      <c r="E5818" s="4">
        <v>-32512</v>
      </c>
      <c r="F5818" s="3" t="s">
        <v>2731</v>
      </c>
      <c r="G5818" s="3" t="s">
        <v>140</v>
      </c>
      <c r="H5818" s="2" t="s">
        <v>74</v>
      </c>
      <c r="I5818" s="2" t="s">
        <v>14836</v>
      </c>
      <c r="J5818" s="3" t="str">
        <f>HYPERLINK("https://www.boe.es/gazeta/dias/1810/12/25/pdfs/GMD-1810-359.pdf#page=2","Abrir facsímil")</f>
        <v>Abrir facsímil</v>
      </c>
      <c r="K5818" s="3" t="s">
        <v>76</v>
      </c>
    </row>
    <row r="5819" spans="1:11" ht="42" customHeight="1">
      <c r="A5819" s="2" t="s">
        <v>14837</v>
      </c>
      <c r="B5819" s="2" t="s">
        <v>14837</v>
      </c>
      <c r="C5819" s="2" t="s">
        <v>88</v>
      </c>
      <c r="D5819" s="2" t="s">
        <v>117</v>
      </c>
      <c r="E5819" s="4">
        <v>-32577</v>
      </c>
      <c r="F5819" s="3" t="s">
        <v>2576</v>
      </c>
      <c r="G5819" s="3" t="s">
        <v>20</v>
      </c>
      <c r="H5819" s="2" t="s">
        <v>74</v>
      </c>
      <c r="I5819" s="2" t="s">
        <v>14838</v>
      </c>
      <c r="J5819" s="3" t="str">
        <f>HYPERLINK("https://www.boe.es/gazeta/dias/1810/10/21/pdfs/GMD-1810-294.pdf#page=4","Abrir facsímil")</f>
        <v>Abrir facsímil</v>
      </c>
      <c r="K5819" s="3" t="s">
        <v>76</v>
      </c>
    </row>
    <row r="5820" spans="1:11" ht="42" customHeight="1">
      <c r="A5820" s="2" t="s">
        <v>14839</v>
      </c>
      <c r="B5820" s="2" t="s">
        <v>14840</v>
      </c>
      <c r="C5820" s="2" t="s">
        <v>88</v>
      </c>
      <c r="D5820" s="2" t="s">
        <v>117</v>
      </c>
      <c r="E5820" s="4">
        <v>-32571</v>
      </c>
      <c r="F5820" s="3" t="s">
        <v>737</v>
      </c>
      <c r="G5820" s="3" t="s">
        <v>70</v>
      </c>
      <c r="H5820" s="2" t="s">
        <v>21</v>
      </c>
      <c r="I5820" s="2" t="s">
        <v>14841</v>
      </c>
      <c r="J5820" s="3" t="str">
        <f>HYPERLINK("https://www.boe.es/gazeta/dias/1810/10/27/pdfs/GEI-1810-87.pdf#page=8","Abrir facsímil")</f>
        <v>Abrir facsímil</v>
      </c>
      <c r="K5820" s="3" t="s">
        <v>23</v>
      </c>
    </row>
    <row r="5821" spans="1:11" ht="42" customHeight="1">
      <c r="A5821" s="2" t="s">
        <v>14842</v>
      </c>
      <c r="B5821" s="2" t="s">
        <v>14843</v>
      </c>
      <c r="C5821" s="2" t="s">
        <v>88</v>
      </c>
      <c r="D5821" s="2" t="s">
        <v>117</v>
      </c>
      <c r="E5821" s="4">
        <v>-32784</v>
      </c>
      <c r="F5821" s="3" t="s">
        <v>429</v>
      </c>
      <c r="G5821" s="3" t="s">
        <v>1821</v>
      </c>
      <c r="H5821" s="2" t="s">
        <v>74</v>
      </c>
      <c r="I5821" s="2" t="s">
        <v>14844</v>
      </c>
      <c r="J5821" s="3" t="str">
        <f>HYPERLINK("https://www.boe.es/gazeta/dias/1810/03/28/pdfs/GMD-1810-87.pdf#page=4","Abrir facsímil")</f>
        <v>Abrir facsímil</v>
      </c>
      <c r="K5821" s="3" t="s">
        <v>76</v>
      </c>
    </row>
    <row r="5822" spans="1:11" ht="42" customHeight="1">
      <c r="A5822" s="2" t="s">
        <v>14845</v>
      </c>
      <c r="B5822" s="2" t="s">
        <v>14846</v>
      </c>
      <c r="C5822" s="2" t="s">
        <v>17</v>
      </c>
      <c r="D5822" s="2" t="s">
        <v>27</v>
      </c>
      <c r="E5822" s="4">
        <v>-32707</v>
      </c>
      <c r="F5822" s="3" t="s">
        <v>1753</v>
      </c>
      <c r="G5822" s="3" t="s">
        <v>227</v>
      </c>
      <c r="H5822" s="2" t="s">
        <v>74</v>
      </c>
      <c r="I5822" s="2" t="s">
        <v>14847</v>
      </c>
      <c r="J5822" s="3" t="str">
        <f>HYPERLINK("https://www.boe.es/gazeta/dias/1810/06/13/pdfs/GMD-1810-164.pdf#page=4","Abrir facsímil")</f>
        <v>Abrir facsímil</v>
      </c>
      <c r="K5822" s="3" t="s">
        <v>76</v>
      </c>
    </row>
    <row r="5823" spans="1:11" ht="42" customHeight="1">
      <c r="A5823" s="2" t="s">
        <v>14848</v>
      </c>
      <c r="B5823" s="2" t="s">
        <v>14849</v>
      </c>
      <c r="C5823" s="2" t="s">
        <v>26</v>
      </c>
      <c r="D5823" s="2" t="s">
        <v>27</v>
      </c>
      <c r="E5823" s="4">
        <v>-32740</v>
      </c>
      <c r="F5823" s="3" t="s">
        <v>1207</v>
      </c>
      <c r="G5823" s="3" t="s">
        <v>29</v>
      </c>
      <c r="H5823" s="2" t="s">
        <v>74</v>
      </c>
      <c r="I5823" s="2" t="s">
        <v>14850</v>
      </c>
      <c r="J5823" s="3" t="str">
        <f>HYPERLINK("https://www.boe.es/gazeta/dias/1810/05/11/pdfs/GMD-1810-131.pdf#page=2","Abrir facsímil")</f>
        <v>Abrir facsímil</v>
      </c>
      <c r="K5823" s="3" t="s">
        <v>76</v>
      </c>
    </row>
    <row r="5824" spans="1:11" ht="42" customHeight="1">
      <c r="A5824" s="2" t="s">
        <v>14851</v>
      </c>
      <c r="B5824" s="2" t="s">
        <v>14852</v>
      </c>
      <c r="C5824" s="2" t="s">
        <v>26</v>
      </c>
      <c r="D5824" s="2" t="s">
        <v>27</v>
      </c>
      <c r="E5824" s="4">
        <v>-32761</v>
      </c>
      <c r="F5824" s="3" t="s">
        <v>811</v>
      </c>
      <c r="G5824" s="3" t="s">
        <v>119</v>
      </c>
      <c r="H5824" s="2" t="s">
        <v>74</v>
      </c>
      <c r="I5824" s="2" t="s">
        <v>14853</v>
      </c>
      <c r="J5824" s="3" t="str">
        <f>HYPERLINK("https://www.boe.es/gazeta/dias/1810/04/20/pdfs/GEI-1810-16.pdf#page=7","Abrir facsímil")</f>
        <v>Abrir facsímil</v>
      </c>
      <c r="K5824" s="3" t="s">
        <v>76</v>
      </c>
    </row>
    <row r="5825" spans="1:11" ht="42" customHeight="1">
      <c r="A5825" s="2" t="s">
        <v>14854</v>
      </c>
      <c r="B5825" s="2" t="s">
        <v>14855</v>
      </c>
      <c r="C5825" s="2" t="s">
        <v>88</v>
      </c>
      <c r="D5825" s="2" t="s">
        <v>117</v>
      </c>
      <c r="E5825" s="4">
        <v>-32774</v>
      </c>
      <c r="F5825" s="3" t="s">
        <v>10556</v>
      </c>
      <c r="G5825" s="3" t="s">
        <v>20</v>
      </c>
      <c r="H5825" s="2" t="s">
        <v>74</v>
      </c>
      <c r="I5825" s="2" t="s">
        <v>14856</v>
      </c>
      <c r="J5825" s="3" t="str">
        <f>HYPERLINK("https://www.boe.es/gazeta/dias/1810/04/07/pdfs/GMD-1810-97.pdf#page=4","Abrir facsímil")</f>
        <v>Abrir facsímil</v>
      </c>
      <c r="K5825" s="3" t="s">
        <v>76</v>
      </c>
    </row>
    <row r="5826" spans="1:11" ht="42" customHeight="1">
      <c r="A5826" s="2" t="s">
        <v>14854</v>
      </c>
      <c r="B5826" s="2" t="s">
        <v>14855</v>
      </c>
      <c r="C5826" s="2" t="s">
        <v>33</v>
      </c>
      <c r="D5826" s="2" t="s">
        <v>27</v>
      </c>
      <c r="E5826" s="4">
        <v>-32711</v>
      </c>
      <c r="F5826" s="3" t="s">
        <v>1888</v>
      </c>
      <c r="G5826" s="3" t="s">
        <v>29</v>
      </c>
      <c r="H5826" s="2" t="s">
        <v>74</v>
      </c>
      <c r="I5826" s="2" t="s">
        <v>14857</v>
      </c>
      <c r="J5826" s="3" t="str">
        <f>HYPERLINK("https://www.boe.es/gazeta/dias/1810/06/09/pdfs/GMD-1810-160.pdf#page=4","Abrir facsímil")</f>
        <v>Abrir facsímil</v>
      </c>
      <c r="K5826" s="3" t="s">
        <v>76</v>
      </c>
    </row>
    <row r="5827" spans="1:11" ht="42" customHeight="1">
      <c r="A5827" s="2" t="s">
        <v>14854</v>
      </c>
      <c r="B5827" s="2" t="s">
        <v>14855</v>
      </c>
      <c r="C5827" s="2" t="s">
        <v>88</v>
      </c>
      <c r="D5827" s="2" t="s">
        <v>27</v>
      </c>
      <c r="E5827" s="4">
        <v>-32531</v>
      </c>
      <c r="F5827" s="3" t="s">
        <v>2023</v>
      </c>
      <c r="G5827" s="3" t="s">
        <v>29</v>
      </c>
      <c r="H5827" s="2" t="s">
        <v>74</v>
      </c>
      <c r="I5827" s="2" t="s">
        <v>14858</v>
      </c>
      <c r="J5827" s="3" t="str">
        <f>HYPERLINK("https://www.boe.es/gazeta/dias/1810/12/06/pdfs/GMD-1810-340.pdf#page=4","Abrir facsímil")</f>
        <v>Abrir facsímil</v>
      </c>
      <c r="K5827" s="3" t="s">
        <v>76</v>
      </c>
    </row>
    <row r="5828" spans="1:11" ht="42" customHeight="1">
      <c r="A5828" s="2" t="s">
        <v>14859</v>
      </c>
      <c r="B5828" s="2" t="s">
        <v>14860</v>
      </c>
      <c r="C5828" s="2" t="s">
        <v>26</v>
      </c>
      <c r="D5828" s="2" t="s">
        <v>27</v>
      </c>
      <c r="E5828" s="4">
        <v>-32647</v>
      </c>
      <c r="F5828" s="3" t="s">
        <v>118</v>
      </c>
      <c r="G5828" s="3" t="s">
        <v>140</v>
      </c>
      <c r="H5828" s="2" t="s">
        <v>74</v>
      </c>
      <c r="I5828" s="2" t="s">
        <v>14861</v>
      </c>
      <c r="J5828" s="3" t="str">
        <f>HYPERLINK("https://www.boe.es/gazeta/dias/1810/08/12/pdfs/GMD-1810-224.pdf#page=2","Abrir facsímil")</f>
        <v>Abrir facsímil</v>
      </c>
      <c r="K5828" s="3" t="s">
        <v>76</v>
      </c>
    </row>
    <row r="5829" spans="1:11" ht="42" customHeight="1">
      <c r="A5829" s="2" t="s">
        <v>14862</v>
      </c>
      <c r="B5829" s="2" t="s">
        <v>14862</v>
      </c>
      <c r="C5829" s="2" t="s">
        <v>88</v>
      </c>
      <c r="D5829" s="2" t="s">
        <v>27</v>
      </c>
      <c r="E5829" s="4">
        <v>-32803</v>
      </c>
      <c r="F5829" s="3" t="s">
        <v>4052</v>
      </c>
      <c r="G5829" s="3" t="s">
        <v>458</v>
      </c>
      <c r="H5829" s="2" t="s">
        <v>74</v>
      </c>
      <c r="I5829" s="2" t="s">
        <v>14863</v>
      </c>
      <c r="J5829" s="3" t="str">
        <f>HYPERLINK("https://www.boe.es/gazeta/dias/1810/03/09/pdfs/GMD-1810-68.pdf#page=1","Abrir facsímil")</f>
        <v>Abrir facsímil</v>
      </c>
      <c r="K5829" s="3" t="s">
        <v>76</v>
      </c>
    </row>
    <row r="5830" spans="1:11" ht="42" customHeight="1">
      <c r="A5830" s="2" t="s">
        <v>14864</v>
      </c>
      <c r="B5830" s="2" t="s">
        <v>14864</v>
      </c>
      <c r="C5830" s="2" t="s">
        <v>88</v>
      </c>
      <c r="D5830" s="2" t="s">
        <v>117</v>
      </c>
      <c r="E5830" s="4">
        <v>-32621</v>
      </c>
      <c r="F5830" s="3" t="s">
        <v>1897</v>
      </c>
      <c r="G5830" s="3" t="s">
        <v>4676</v>
      </c>
      <c r="H5830" s="2" t="s">
        <v>74</v>
      </c>
      <c r="I5830" s="2" t="s">
        <v>14865</v>
      </c>
      <c r="J5830" s="3" t="str">
        <f>HYPERLINK("https://www.boe.es/gazeta/dias/1810/09/07/pdfs/GMD-1810-250.pdf#page=3","Abrir facsímil")</f>
        <v>Abrir facsímil</v>
      </c>
      <c r="K5830" s="3" t="s">
        <v>76</v>
      </c>
    </row>
    <row r="5831" spans="1:11" ht="42" customHeight="1">
      <c r="A5831" s="2" t="s">
        <v>14866</v>
      </c>
      <c r="B5831" s="2" t="s">
        <v>14866</v>
      </c>
      <c r="C5831" s="2" t="s">
        <v>33</v>
      </c>
      <c r="D5831" s="2" t="s">
        <v>27</v>
      </c>
      <c r="E5831" s="4">
        <v>-32710</v>
      </c>
      <c r="F5831" s="3" t="s">
        <v>126</v>
      </c>
      <c r="G5831" s="3" t="s">
        <v>184</v>
      </c>
      <c r="H5831" s="2" t="s">
        <v>74</v>
      </c>
      <c r="I5831" s="2" t="s">
        <v>14867</v>
      </c>
      <c r="J5831" s="3" t="str">
        <f>HYPERLINK("https://www.boe.es/gazeta/dias/1810/06/10/pdfs/GMD-1810-161.pdf#page=3","Abrir facsímil")</f>
        <v>Abrir facsímil</v>
      </c>
      <c r="K5831" s="3" t="s">
        <v>76</v>
      </c>
    </row>
    <row r="5832" spans="1:11" ht="42" customHeight="1">
      <c r="A5832" s="2" t="s">
        <v>14868</v>
      </c>
      <c r="B5832" s="2" t="s">
        <v>14868</v>
      </c>
      <c r="C5832" s="2" t="s">
        <v>88</v>
      </c>
      <c r="D5832" s="2" t="s">
        <v>117</v>
      </c>
      <c r="E5832" s="4">
        <v>-32593</v>
      </c>
      <c r="F5832" s="3" t="s">
        <v>12153</v>
      </c>
      <c r="G5832" s="3" t="s">
        <v>2577</v>
      </c>
      <c r="H5832" s="2" t="s">
        <v>74</v>
      </c>
      <c r="I5832" s="2" t="s">
        <v>14869</v>
      </c>
      <c r="J5832" s="3" t="str">
        <f>HYPERLINK("https://www.boe.es/gazeta/dias/1810/10/05/pdfs/GMD-1810-278.pdf#page=1","Abrir facsímil")</f>
        <v>Abrir facsímil</v>
      </c>
      <c r="K5832" s="3" t="s">
        <v>76</v>
      </c>
    </row>
    <row r="5833" spans="1:11" ht="42" customHeight="1">
      <c r="A5833" s="2" t="s">
        <v>14868</v>
      </c>
      <c r="B5833" s="2" t="s">
        <v>14868</v>
      </c>
      <c r="C5833" s="2" t="s">
        <v>26</v>
      </c>
      <c r="D5833" s="2" t="s">
        <v>27</v>
      </c>
      <c r="E5833" s="4">
        <v>-32535</v>
      </c>
      <c r="F5833" s="3" t="s">
        <v>3440</v>
      </c>
      <c r="G5833" s="3" t="s">
        <v>8507</v>
      </c>
      <c r="H5833" s="2" t="s">
        <v>74</v>
      </c>
      <c r="I5833" s="2" t="s">
        <v>14870</v>
      </c>
      <c r="J5833" s="3" t="str">
        <f>HYPERLINK("https://www.boe.es/gazeta/dias/1810/12/02/pdfs/GMD-1810-336.pdf#page=1","Abrir facsímil")</f>
        <v>Abrir facsímil</v>
      </c>
      <c r="K5833" s="3" t="s">
        <v>76</v>
      </c>
    </row>
    <row r="5834" spans="1:11" ht="42" customHeight="1">
      <c r="A5834" s="2" t="s">
        <v>14871</v>
      </c>
      <c r="B5834" s="2" t="s">
        <v>14872</v>
      </c>
      <c r="C5834" s="2" t="s">
        <v>88</v>
      </c>
      <c r="D5834" s="2" t="s">
        <v>27</v>
      </c>
      <c r="E5834" s="4">
        <v>-32557</v>
      </c>
      <c r="F5834" s="3" t="s">
        <v>837</v>
      </c>
      <c r="G5834" s="3" t="s">
        <v>2073</v>
      </c>
      <c r="H5834" s="2" t="s">
        <v>74</v>
      </c>
      <c r="I5834" s="2" t="s">
        <v>14873</v>
      </c>
      <c r="J5834" s="3" t="str">
        <f>HYPERLINK("https://www.boe.es/gazeta/dias/1810/11/10/pdfs/GEI-1810-93.pdf#page=7","Abrir facsímil")</f>
        <v>Abrir facsímil</v>
      </c>
      <c r="K5834" s="3" t="s">
        <v>76</v>
      </c>
    </row>
    <row r="5835" spans="1:11" ht="42" customHeight="1">
      <c r="A5835" s="2" t="s">
        <v>14874</v>
      </c>
      <c r="B5835" s="2" t="s">
        <v>14874</v>
      </c>
      <c r="C5835" s="2" t="s">
        <v>88</v>
      </c>
      <c r="D5835" s="2" t="s">
        <v>117</v>
      </c>
      <c r="E5835" s="4">
        <v>-32776</v>
      </c>
      <c r="F5835" s="3" t="s">
        <v>752</v>
      </c>
      <c r="G5835" s="3" t="s">
        <v>732</v>
      </c>
      <c r="H5835" s="2" t="s">
        <v>74</v>
      </c>
      <c r="I5835" s="2" t="s">
        <v>14875</v>
      </c>
      <c r="J5835" s="3" t="str">
        <f>HYPERLINK("https://www.boe.es/gazeta/dias/1810/04/05/pdfs/GMD-1810-95.pdf#page=1","Abrir facsímil")</f>
        <v>Abrir facsímil</v>
      </c>
      <c r="K5835" s="3" t="s">
        <v>76</v>
      </c>
    </row>
    <row r="5836" spans="1:11" ht="42" customHeight="1">
      <c r="A5836" s="2" t="s">
        <v>14876</v>
      </c>
      <c r="B5836" s="2" t="s">
        <v>14876</v>
      </c>
      <c r="C5836" s="2" t="s">
        <v>26</v>
      </c>
      <c r="D5836" s="2" t="s">
        <v>27</v>
      </c>
      <c r="E5836" s="4">
        <v>-32809</v>
      </c>
      <c r="F5836" s="3" t="s">
        <v>1873</v>
      </c>
      <c r="G5836" s="3" t="s">
        <v>29</v>
      </c>
      <c r="H5836" s="2" t="s">
        <v>74</v>
      </c>
      <c r="I5836" s="2" t="s">
        <v>14877</v>
      </c>
      <c r="J5836" s="3" t="str">
        <f>HYPERLINK("https://www.boe.es/gazeta/dias/1810/03/03/pdfs/GMD-1810-62.pdf#page=2","Abrir facsímil")</f>
        <v>Abrir facsímil</v>
      </c>
      <c r="K5836" s="3" t="s">
        <v>76</v>
      </c>
    </row>
    <row r="5837" spans="1:11" ht="42" customHeight="1">
      <c r="A5837" s="2" t="s">
        <v>14878</v>
      </c>
      <c r="B5837" s="2" t="s">
        <v>14879</v>
      </c>
      <c r="C5837" s="2" t="s">
        <v>26</v>
      </c>
      <c r="D5837" s="2" t="s">
        <v>27</v>
      </c>
      <c r="E5837" s="4">
        <v>-32569</v>
      </c>
      <c r="F5837" s="3" t="s">
        <v>421</v>
      </c>
      <c r="G5837" s="3" t="s">
        <v>20</v>
      </c>
      <c r="H5837" s="2" t="s">
        <v>74</v>
      </c>
      <c r="I5837" s="2" t="s">
        <v>14880</v>
      </c>
      <c r="J5837" s="3" t="str">
        <f>HYPERLINK("https://www.boe.es/gazeta/dias/1810/10/29/pdfs/GMD-1810-302.pdf#page=4","Abrir facsímil")</f>
        <v>Abrir facsímil</v>
      </c>
      <c r="K5837" s="3" t="s">
        <v>76</v>
      </c>
    </row>
    <row r="5838" spans="1:11" ht="42" customHeight="1">
      <c r="A5838" s="2" t="s">
        <v>14881</v>
      </c>
      <c r="B5838" s="2" t="s">
        <v>14882</v>
      </c>
      <c r="C5838" s="2" t="s">
        <v>33</v>
      </c>
      <c r="D5838" s="2" t="s">
        <v>27</v>
      </c>
      <c r="E5838" s="4">
        <v>-32595</v>
      </c>
      <c r="F5838" s="3" t="s">
        <v>700</v>
      </c>
      <c r="G5838" s="3" t="s">
        <v>701</v>
      </c>
      <c r="H5838" s="2" t="s">
        <v>74</v>
      </c>
      <c r="I5838" s="2" t="s">
        <v>14883</v>
      </c>
      <c r="J5838" s="3" t="str">
        <f>HYPERLINK("https://www.boe.es/gazeta/dias/1810/10/03/pdfs/GMD-1810-276.pdf#page=3","Abrir facsímil")</f>
        <v>Abrir facsímil</v>
      </c>
      <c r="K5838" s="3" t="s">
        <v>76</v>
      </c>
    </row>
    <row r="5839" spans="1:11" ht="42" customHeight="1">
      <c r="A5839" s="2" t="s">
        <v>14884</v>
      </c>
      <c r="B5839" s="2" t="s">
        <v>14885</v>
      </c>
      <c r="C5839" s="2" t="s">
        <v>26</v>
      </c>
      <c r="D5839" s="2" t="s">
        <v>27</v>
      </c>
      <c r="E5839" s="4">
        <v>-32782</v>
      </c>
      <c r="F5839" s="3" t="s">
        <v>79</v>
      </c>
      <c r="G5839" s="3" t="s">
        <v>80</v>
      </c>
      <c r="H5839" s="2" t="s">
        <v>74</v>
      </c>
      <c r="I5839" s="2" t="s">
        <v>14886</v>
      </c>
      <c r="J5839" s="3" t="str">
        <f>HYPERLINK("https://www.boe.es/gazeta/dias/1810/03/30/pdfs/GEI-1810-9.pdf#page=7","Abrir facsímil")</f>
        <v>Abrir facsímil</v>
      </c>
      <c r="K5839" s="3" t="s">
        <v>76</v>
      </c>
    </row>
    <row r="5840" spans="1:11" ht="42" customHeight="1">
      <c r="A5840" s="2" t="s">
        <v>14887</v>
      </c>
      <c r="B5840" s="2" t="s">
        <v>14888</v>
      </c>
      <c r="C5840" s="2" t="s">
        <v>195</v>
      </c>
      <c r="D5840" s="2" t="s">
        <v>27</v>
      </c>
      <c r="E5840" s="4">
        <v>-32837</v>
      </c>
      <c r="F5840" s="3" t="s">
        <v>196</v>
      </c>
      <c r="G5840" s="3" t="s">
        <v>140</v>
      </c>
      <c r="H5840" s="2" t="s">
        <v>74</v>
      </c>
      <c r="I5840" s="2" t="s">
        <v>14889</v>
      </c>
      <c r="J5840" s="3" t="str">
        <f>HYPERLINK("https://www.boe.es/gazeta/dias/1810/02/03/pdfs/GMD-1810-34.pdf#page=4","Abrir facsímil")</f>
        <v>Abrir facsímil</v>
      </c>
      <c r="K5840" s="3" t="s">
        <v>76</v>
      </c>
    </row>
    <row r="5841" spans="1:11" ht="42" customHeight="1">
      <c r="A5841" s="2" t="s">
        <v>14890</v>
      </c>
      <c r="B5841" s="2" t="s">
        <v>14891</v>
      </c>
      <c r="C5841" s="2" t="s">
        <v>26</v>
      </c>
      <c r="D5841" s="2" t="s">
        <v>27</v>
      </c>
      <c r="E5841" s="4">
        <v>-32692</v>
      </c>
      <c r="F5841" s="3" t="s">
        <v>3698</v>
      </c>
      <c r="G5841" s="3" t="s">
        <v>140</v>
      </c>
      <c r="H5841" s="2" t="s">
        <v>74</v>
      </c>
      <c r="I5841" s="2" t="s">
        <v>14892</v>
      </c>
      <c r="J5841" s="3" t="str">
        <f>HYPERLINK("https://www.boe.es/gazeta/dias/1810/06/28/pdfs/GMD-1810-179.pdf#page=4","Abrir facsímil")</f>
        <v>Abrir facsímil</v>
      </c>
      <c r="K5841" s="3" t="s">
        <v>76</v>
      </c>
    </row>
    <row r="5842" spans="1:11" ht="42" customHeight="1">
      <c r="A5842" s="2" t="s">
        <v>14893</v>
      </c>
      <c r="B5842" s="2" t="s">
        <v>14894</v>
      </c>
      <c r="C5842" s="2" t="s">
        <v>26</v>
      </c>
      <c r="D5842" s="2" t="s">
        <v>27</v>
      </c>
      <c r="E5842" s="4">
        <v>-32647</v>
      </c>
      <c r="F5842" s="3" t="s">
        <v>118</v>
      </c>
      <c r="G5842" s="3" t="s">
        <v>119</v>
      </c>
      <c r="H5842" s="2" t="s">
        <v>74</v>
      </c>
      <c r="I5842" s="2" t="s">
        <v>14895</v>
      </c>
      <c r="J5842" s="3" t="str">
        <f>HYPERLINK("https://www.boe.es/gazeta/dias/1810/08/12/pdfs/GMD-1810-224.pdf#page=3","Abrir facsímil")</f>
        <v>Abrir facsímil</v>
      </c>
      <c r="K5842" s="3" t="s">
        <v>76</v>
      </c>
    </row>
    <row r="5843" spans="1:11" ht="42" customHeight="1">
      <c r="A5843" s="2" t="s">
        <v>14893</v>
      </c>
      <c r="B5843" s="2" t="s">
        <v>14894</v>
      </c>
      <c r="C5843" s="2" t="s">
        <v>33</v>
      </c>
      <c r="D5843" s="2" t="s">
        <v>27</v>
      </c>
      <c r="E5843" s="4">
        <v>-32537</v>
      </c>
      <c r="F5843" s="3" t="s">
        <v>1091</v>
      </c>
      <c r="G5843" s="3" t="s">
        <v>20</v>
      </c>
      <c r="H5843" s="2" t="s">
        <v>74</v>
      </c>
      <c r="I5843" s="2" t="s">
        <v>14896</v>
      </c>
      <c r="J5843" s="3" t="str">
        <f>HYPERLINK("https://www.boe.es/gazeta/dias/1810/11/30/pdfs/GMD-1810-334.pdf#page=4","Abrir facsímil")</f>
        <v>Abrir facsímil</v>
      </c>
      <c r="K5843" s="3" t="s">
        <v>76</v>
      </c>
    </row>
    <row r="5844" spans="1:11" ht="42" customHeight="1">
      <c r="A5844" s="2" t="s">
        <v>14897</v>
      </c>
      <c r="B5844" s="2" t="s">
        <v>14898</v>
      </c>
      <c r="C5844" s="2" t="s">
        <v>26</v>
      </c>
      <c r="D5844" s="2" t="s">
        <v>27</v>
      </c>
      <c r="E5844" s="4">
        <v>-32591</v>
      </c>
      <c r="F5844" s="3" t="s">
        <v>377</v>
      </c>
      <c r="G5844" s="3" t="s">
        <v>136</v>
      </c>
      <c r="H5844" s="2" t="s">
        <v>74</v>
      </c>
      <c r="I5844" s="2" t="s">
        <v>14899</v>
      </c>
      <c r="J5844" s="3" t="str">
        <f>HYPERLINK("https://www.boe.es/gazeta/dias/1810/10/07/pdfs/GMD-1810-280.pdf#page=3","Abrir facsímil")</f>
        <v>Abrir facsímil</v>
      </c>
      <c r="K5844" s="3" t="s">
        <v>76</v>
      </c>
    </row>
    <row r="5845" spans="1:11" ht="42" customHeight="1">
      <c r="A5845" s="2" t="s">
        <v>14900</v>
      </c>
      <c r="B5845" s="2" t="s">
        <v>14900</v>
      </c>
      <c r="C5845" s="2" t="s">
        <v>88</v>
      </c>
      <c r="D5845" s="2" t="s">
        <v>27</v>
      </c>
      <c r="E5845" s="4">
        <v>-32769</v>
      </c>
      <c r="F5845" s="3" t="s">
        <v>1543</v>
      </c>
      <c r="G5845" s="3" t="s">
        <v>29</v>
      </c>
      <c r="H5845" s="2" t="s">
        <v>74</v>
      </c>
      <c r="I5845" s="2" t="s">
        <v>14901</v>
      </c>
      <c r="J5845" s="3" t="str">
        <f>HYPERLINK("https://www.boe.es/gazeta/dias/1810/04/12/pdfs/GMD-1810-102.pdf#page=2","Abrir facsímil")</f>
        <v>Abrir facsímil</v>
      </c>
      <c r="K5845" s="3" t="s">
        <v>76</v>
      </c>
    </row>
    <row r="5846" spans="1:11" ht="42" customHeight="1">
      <c r="A5846" s="2" t="s">
        <v>14900</v>
      </c>
      <c r="B5846" s="2" t="s">
        <v>14900</v>
      </c>
      <c r="C5846" s="2" t="s">
        <v>88</v>
      </c>
      <c r="D5846" s="2" t="s">
        <v>117</v>
      </c>
      <c r="E5846" s="4">
        <v>-32635</v>
      </c>
      <c r="F5846" s="3" t="s">
        <v>8979</v>
      </c>
      <c r="G5846" s="3" t="s">
        <v>119</v>
      </c>
      <c r="H5846" s="2" t="s">
        <v>74</v>
      </c>
      <c r="I5846" s="2" t="s">
        <v>14902</v>
      </c>
      <c r="J5846" s="3" t="str">
        <f>HYPERLINK("https://www.boe.es/gazeta/dias/1810/08/24/pdfs/GMD-1810-236.pdf#page=3","Abrir facsímil")</f>
        <v>Abrir facsímil</v>
      </c>
      <c r="K5846" s="3" t="s">
        <v>76</v>
      </c>
    </row>
    <row r="5847" spans="1:11" ht="42" customHeight="1">
      <c r="A5847" s="2" t="s">
        <v>14900</v>
      </c>
      <c r="B5847" s="2" t="s">
        <v>14900</v>
      </c>
      <c r="C5847" s="2" t="s">
        <v>88</v>
      </c>
      <c r="D5847" s="2" t="s">
        <v>117</v>
      </c>
      <c r="E5847" s="4">
        <v>-32592</v>
      </c>
      <c r="F5847" s="3" t="s">
        <v>771</v>
      </c>
      <c r="G5847" s="3" t="s">
        <v>35</v>
      </c>
      <c r="H5847" s="2" t="s">
        <v>74</v>
      </c>
      <c r="I5847" s="2" t="s">
        <v>14903</v>
      </c>
      <c r="J5847" s="3" t="str">
        <f>HYPERLINK("https://www.boe.es/gazeta/dias/1810/10/06/pdfs/GEI-1810-78.pdf#page=2","Abrir facsímil")</f>
        <v>Abrir facsímil</v>
      </c>
      <c r="K5847" s="3" t="s">
        <v>76</v>
      </c>
    </row>
    <row r="5848" spans="1:11" ht="42" customHeight="1">
      <c r="A5848" s="2" t="s">
        <v>14904</v>
      </c>
      <c r="B5848" s="2" t="s">
        <v>14904</v>
      </c>
      <c r="C5848" s="2" t="s">
        <v>88</v>
      </c>
      <c r="D5848" s="2" t="s">
        <v>220</v>
      </c>
      <c r="E5848" s="4">
        <v>-32803</v>
      </c>
      <c r="F5848" s="3" t="s">
        <v>4052</v>
      </c>
      <c r="G5848" s="3" t="s">
        <v>213</v>
      </c>
      <c r="H5848" s="2" t="s">
        <v>74</v>
      </c>
      <c r="I5848" s="2" t="s">
        <v>14905</v>
      </c>
      <c r="J5848" s="3" t="str">
        <f>HYPERLINK("https://www.boe.es/gazeta/dias/1810/03/09/pdfs/GMD-1810-68.pdf#page=2","Abrir facsímil")</f>
        <v>Abrir facsímil</v>
      </c>
      <c r="K5848" s="3" t="s">
        <v>76</v>
      </c>
    </row>
    <row r="5849" spans="1:11" ht="42" customHeight="1">
      <c r="A5849" s="2" t="s">
        <v>14906</v>
      </c>
      <c r="B5849" s="2" t="s">
        <v>14906</v>
      </c>
      <c r="C5849" s="2" t="s">
        <v>88</v>
      </c>
      <c r="D5849" s="2" t="s">
        <v>27</v>
      </c>
      <c r="E5849" s="4">
        <v>-32552</v>
      </c>
      <c r="F5849" s="3" t="s">
        <v>234</v>
      </c>
      <c r="G5849" s="3" t="s">
        <v>235</v>
      </c>
      <c r="H5849" s="2" t="s">
        <v>74</v>
      </c>
      <c r="I5849" s="2" t="s">
        <v>14907</v>
      </c>
      <c r="J5849" s="3" t="str">
        <f>HYPERLINK("https://www.boe.es/gazeta/dias/1810/11/15/pdfs/GMD-1810-319.pdf#page=1","Abrir facsímil")</f>
        <v>Abrir facsímil</v>
      </c>
      <c r="K5849" s="3" t="s">
        <v>76</v>
      </c>
    </row>
    <row r="5850" spans="1:11" ht="42" customHeight="1">
      <c r="A5850" s="2" t="s">
        <v>14908</v>
      </c>
      <c r="B5850" s="2" t="s">
        <v>14909</v>
      </c>
      <c r="C5850" s="2" t="s">
        <v>26</v>
      </c>
      <c r="D5850" s="2" t="s">
        <v>27</v>
      </c>
      <c r="E5850" s="4">
        <v>-32673</v>
      </c>
      <c r="F5850" s="3" t="s">
        <v>2174</v>
      </c>
      <c r="G5850" s="3" t="s">
        <v>5512</v>
      </c>
      <c r="H5850" s="2" t="s">
        <v>74</v>
      </c>
      <c r="I5850" s="2" t="s">
        <v>14910</v>
      </c>
      <c r="J5850" s="3" t="str">
        <f>HYPERLINK("https://www.boe.es/gazeta/dias/1810/07/17/pdfs/GEI-1810-45.pdf#page=12","Abrir facsímil")</f>
        <v>Abrir facsímil</v>
      </c>
      <c r="K5850" s="3" t="s">
        <v>76</v>
      </c>
    </row>
    <row r="5851" spans="1:11" ht="42" customHeight="1">
      <c r="A5851" s="2" t="s">
        <v>14911</v>
      </c>
      <c r="B5851" s="2" t="s">
        <v>14912</v>
      </c>
      <c r="C5851" s="2" t="s">
        <v>26</v>
      </c>
      <c r="D5851" s="2" t="s">
        <v>27</v>
      </c>
      <c r="E5851" s="4">
        <v>-32764</v>
      </c>
      <c r="F5851" s="3" t="s">
        <v>640</v>
      </c>
      <c r="G5851" s="3" t="s">
        <v>641</v>
      </c>
      <c r="H5851" s="2" t="s">
        <v>74</v>
      </c>
      <c r="I5851" s="2" t="s">
        <v>14913</v>
      </c>
      <c r="J5851" s="3" t="str">
        <f>HYPERLINK("https://www.boe.es/gazeta/dias/1810/04/17/pdfs/GEI-1810-15.pdf#page=8","Abrir facsímil")</f>
        <v>Abrir facsímil</v>
      </c>
      <c r="K5851" s="3" t="s">
        <v>76</v>
      </c>
    </row>
    <row r="5852" spans="1:11" ht="42" customHeight="1">
      <c r="A5852" s="2" t="s">
        <v>14914</v>
      </c>
      <c r="B5852" s="2" t="s">
        <v>14915</v>
      </c>
      <c r="C5852" s="2" t="s">
        <v>88</v>
      </c>
      <c r="D5852" s="2" t="s">
        <v>27</v>
      </c>
      <c r="E5852" s="4">
        <v>-32853</v>
      </c>
      <c r="F5852" s="3" t="s">
        <v>12771</v>
      </c>
      <c r="G5852" s="3" t="s">
        <v>1894</v>
      </c>
      <c r="H5852" s="2" t="s">
        <v>74</v>
      </c>
      <c r="I5852" s="2" t="s">
        <v>14916</v>
      </c>
      <c r="J5852" s="3" t="str">
        <f>HYPERLINK("https://www.boe.es/gazeta/dias/1810/01/18/pdfs/GMD-1810-18.pdf#page=4","Abrir facsímil")</f>
        <v>Abrir facsímil</v>
      </c>
      <c r="K5852" s="3" t="s">
        <v>76</v>
      </c>
    </row>
    <row r="5853" spans="1:11" ht="42" customHeight="1">
      <c r="A5853" s="2" t="s">
        <v>14917</v>
      </c>
      <c r="B5853" s="2" t="s">
        <v>14918</v>
      </c>
      <c r="C5853" s="2" t="s">
        <v>88</v>
      </c>
      <c r="D5853" s="2" t="s">
        <v>27</v>
      </c>
      <c r="E5853" s="4">
        <v>-32566</v>
      </c>
      <c r="F5853" s="3" t="s">
        <v>649</v>
      </c>
      <c r="G5853" s="3" t="s">
        <v>650</v>
      </c>
      <c r="H5853" s="2" t="s">
        <v>74</v>
      </c>
      <c r="I5853" s="2" t="s">
        <v>14919</v>
      </c>
      <c r="J5853" s="3" t="str">
        <f>HYPERLINK("https://www.boe.es/gazeta/dias/1810/11/01/pdfs/GEI-1810-89.pdf#page=6","Abrir facsímil")</f>
        <v>Abrir facsímil</v>
      </c>
      <c r="K5853" s="3" t="s">
        <v>76</v>
      </c>
    </row>
    <row r="5854" spans="1:11" ht="42" customHeight="1">
      <c r="A5854" s="2" t="s">
        <v>14917</v>
      </c>
      <c r="B5854" s="2" t="s">
        <v>14918</v>
      </c>
      <c r="C5854" s="2" t="s">
        <v>225</v>
      </c>
      <c r="D5854" s="2" t="s">
        <v>27</v>
      </c>
      <c r="E5854" s="4">
        <v>-32519</v>
      </c>
      <c r="F5854" s="3" t="s">
        <v>2299</v>
      </c>
      <c r="G5854" s="3" t="s">
        <v>14920</v>
      </c>
      <c r="H5854" s="2" t="s">
        <v>74</v>
      </c>
      <c r="I5854" s="2" t="s">
        <v>14921</v>
      </c>
      <c r="J5854" s="3" t="str">
        <f>HYPERLINK("https://www.boe.es/gazeta/dias/1810/12/18/pdfs/GEI-1810-109.pdf#page=3","Abrir facsímil")</f>
        <v>Abrir facsímil</v>
      </c>
      <c r="K5854" s="3" t="s">
        <v>76</v>
      </c>
    </row>
    <row r="5855" spans="1:11" ht="42" customHeight="1">
      <c r="A5855" s="2" t="s">
        <v>14922</v>
      </c>
      <c r="B5855" s="2" t="s">
        <v>14923</v>
      </c>
      <c r="C5855" s="2" t="s">
        <v>111</v>
      </c>
      <c r="D5855" s="2" t="s">
        <v>27</v>
      </c>
      <c r="E5855" s="4">
        <v>-32603</v>
      </c>
      <c r="F5855" s="3" t="s">
        <v>2163</v>
      </c>
      <c r="G5855" s="3" t="s">
        <v>14924</v>
      </c>
      <c r="H5855" s="2" t="s">
        <v>74</v>
      </c>
      <c r="I5855" s="2" t="s">
        <v>14925</v>
      </c>
      <c r="J5855" s="3" t="str">
        <f>HYPERLINK("https://www.boe.es/gazeta/dias/1810/09/25/pdfs/GEI-1810-72.pdf#page=6","Abrir facsímil")</f>
        <v>Abrir facsímil</v>
      </c>
      <c r="K5855" s="3" t="s">
        <v>76</v>
      </c>
    </row>
    <row r="5856" spans="1:11" ht="42" customHeight="1">
      <c r="A5856" s="2" t="s">
        <v>14926</v>
      </c>
      <c r="B5856" s="2" t="s">
        <v>14927</v>
      </c>
      <c r="C5856" s="2" t="s">
        <v>26</v>
      </c>
      <c r="D5856" s="2" t="s">
        <v>27</v>
      </c>
      <c r="E5856" s="4">
        <v>-32862</v>
      </c>
      <c r="F5856" s="3" t="s">
        <v>694</v>
      </c>
      <c r="G5856" s="3" t="s">
        <v>469</v>
      </c>
      <c r="H5856" s="2" t="s">
        <v>74</v>
      </c>
      <c r="I5856" s="2" t="s">
        <v>14928</v>
      </c>
      <c r="J5856" s="3" t="str">
        <f>HYPERLINK("https://www.boe.es/gazeta/dias/1810/01/09/pdfs/GGB-1810-4.pdf#page=6","Abrir facsímil")</f>
        <v>Abrir facsímil</v>
      </c>
      <c r="K5856" s="3" t="s">
        <v>76</v>
      </c>
    </row>
    <row r="5857" spans="1:11" ht="42" customHeight="1">
      <c r="A5857" s="2" t="s">
        <v>14929</v>
      </c>
      <c r="B5857" s="2" t="s">
        <v>14929</v>
      </c>
      <c r="C5857" s="2" t="s">
        <v>33</v>
      </c>
      <c r="D5857" s="2" t="s">
        <v>18</v>
      </c>
      <c r="E5857" s="4">
        <v>-32613</v>
      </c>
      <c r="F5857" s="3" t="s">
        <v>12145</v>
      </c>
      <c r="G5857" s="3" t="s">
        <v>668</v>
      </c>
      <c r="H5857" s="2" t="s">
        <v>74</v>
      </c>
      <c r="I5857" s="2" t="s">
        <v>14930</v>
      </c>
      <c r="J5857" s="3" t="str">
        <f>HYPERLINK("https://www.boe.es/gazeta/dias/1810/09/15/pdfs/GMD-1810-258.pdf#page=4","Abrir facsímil")</f>
        <v>Abrir facsímil</v>
      </c>
      <c r="K5857" s="3" t="s">
        <v>76</v>
      </c>
    </row>
    <row r="5858" spans="1:11" ht="42" customHeight="1">
      <c r="A5858" s="2" t="s">
        <v>14931</v>
      </c>
      <c r="B5858" s="2" t="s">
        <v>14932</v>
      </c>
      <c r="C5858" s="2" t="s">
        <v>88</v>
      </c>
      <c r="D5858" s="2" t="s">
        <v>27</v>
      </c>
      <c r="E5858" s="4">
        <v>-32700</v>
      </c>
      <c r="F5858" s="3" t="s">
        <v>89</v>
      </c>
      <c r="G5858" s="3" t="s">
        <v>29</v>
      </c>
      <c r="H5858" s="2" t="s">
        <v>74</v>
      </c>
      <c r="I5858" s="2" t="s">
        <v>14933</v>
      </c>
      <c r="J5858" s="3" t="str">
        <f>HYPERLINK("https://www.boe.es/gazeta/dias/1810/06/20/pdfs/GMD-1810-171.pdf#page=3","Abrir facsímil")</f>
        <v>Abrir facsímil</v>
      </c>
      <c r="K5858" s="3" t="s">
        <v>76</v>
      </c>
    </row>
    <row r="5859" spans="1:11" ht="42" customHeight="1">
      <c r="A5859" s="2" t="s">
        <v>14934</v>
      </c>
      <c r="B5859" s="2" t="s">
        <v>14935</v>
      </c>
      <c r="C5859" s="2" t="s">
        <v>26</v>
      </c>
      <c r="D5859" s="2" t="s">
        <v>39</v>
      </c>
      <c r="E5859" s="4">
        <v>-32698</v>
      </c>
      <c r="F5859" s="3" t="s">
        <v>2657</v>
      </c>
      <c r="G5859" s="3" t="s">
        <v>14155</v>
      </c>
      <c r="H5859" s="2" t="s">
        <v>74</v>
      </c>
      <c r="I5859" s="2" t="s">
        <v>14936</v>
      </c>
      <c r="J5859" s="3" t="str">
        <f>HYPERLINK("https://www.boe.es/gazeta/dias/1810/06/22/pdfs/GEI-D-1810-38.pdf#page=3","Abrir facsímil")</f>
        <v>Abrir facsímil</v>
      </c>
      <c r="K5859" s="3" t="s">
        <v>76</v>
      </c>
    </row>
    <row r="5860" spans="1:11" ht="42" customHeight="1">
      <c r="A5860" s="2" t="s">
        <v>14937</v>
      </c>
      <c r="B5860" s="2" t="s">
        <v>14938</v>
      </c>
      <c r="C5860" s="2" t="s">
        <v>26</v>
      </c>
      <c r="D5860" s="2" t="s">
        <v>27</v>
      </c>
      <c r="E5860" s="4">
        <v>-32569</v>
      </c>
      <c r="F5860" s="3" t="s">
        <v>421</v>
      </c>
      <c r="G5860" s="3" t="s">
        <v>20</v>
      </c>
      <c r="H5860" s="2" t="s">
        <v>74</v>
      </c>
      <c r="I5860" s="2" t="s">
        <v>14939</v>
      </c>
      <c r="J5860" s="3" t="str">
        <f>HYPERLINK("https://www.boe.es/gazeta/dias/1810/10/29/pdfs/GMD-1810-302.pdf#page=4","Abrir facsímil")</f>
        <v>Abrir facsímil</v>
      </c>
      <c r="K5860" s="3" t="s">
        <v>76</v>
      </c>
    </row>
    <row r="5861" spans="1:11" ht="42" customHeight="1">
      <c r="A5861" s="2" t="s">
        <v>14940</v>
      </c>
      <c r="B5861" s="2" t="s">
        <v>14941</v>
      </c>
      <c r="C5861" s="2" t="s">
        <v>930</v>
      </c>
      <c r="D5861" s="2" t="s">
        <v>27</v>
      </c>
      <c r="E5861" s="4">
        <v>-32508</v>
      </c>
      <c r="F5861" s="3" t="s">
        <v>864</v>
      </c>
      <c r="G5861" s="3" t="s">
        <v>691</v>
      </c>
      <c r="H5861" s="2" t="s">
        <v>74</v>
      </c>
      <c r="I5861" s="2" t="s">
        <v>14942</v>
      </c>
      <c r="J5861" s="3" t="str">
        <f>HYPERLINK("https://www.boe.es/gazeta/dias/1810/12/29/pdfs/GEI-1810-114.pdf#page=8","Abrir facsímil")</f>
        <v>Abrir facsímil</v>
      </c>
      <c r="K5861" s="3" t="s">
        <v>76</v>
      </c>
    </row>
    <row r="5862" spans="1:11" ht="42" customHeight="1">
      <c r="A5862" s="2" t="s">
        <v>14943</v>
      </c>
      <c r="B5862" s="2" t="s">
        <v>14944</v>
      </c>
      <c r="C5862" s="2" t="s">
        <v>930</v>
      </c>
      <c r="D5862" s="2" t="s">
        <v>18</v>
      </c>
      <c r="E5862" s="4">
        <v>-32508</v>
      </c>
      <c r="F5862" s="3" t="s">
        <v>864</v>
      </c>
      <c r="G5862" s="3" t="s">
        <v>691</v>
      </c>
      <c r="H5862" s="2" t="s">
        <v>74</v>
      </c>
      <c r="I5862" s="2" t="s">
        <v>14945</v>
      </c>
      <c r="J5862" s="3" t="str">
        <f>HYPERLINK("https://www.boe.es/gazeta/dias/1810/12/29/pdfs/GEI-1810-114.pdf#page=8","Abrir facsímil")</f>
        <v>Abrir facsímil</v>
      </c>
      <c r="K5862" s="3" t="s">
        <v>76</v>
      </c>
    </row>
    <row r="5863" spans="1:11" ht="42" customHeight="1">
      <c r="A5863" s="2" t="s">
        <v>14946</v>
      </c>
      <c r="B5863" s="2" t="s">
        <v>14946</v>
      </c>
      <c r="C5863" s="2" t="s">
        <v>88</v>
      </c>
      <c r="D5863" s="2" t="s">
        <v>27</v>
      </c>
      <c r="E5863" s="4">
        <v>-32671</v>
      </c>
      <c r="F5863" s="3" t="s">
        <v>3682</v>
      </c>
      <c r="G5863" s="3" t="s">
        <v>2864</v>
      </c>
      <c r="H5863" s="2" t="s">
        <v>74</v>
      </c>
      <c r="I5863" s="2" t="s">
        <v>14947</v>
      </c>
      <c r="J5863" s="3" t="str">
        <f>HYPERLINK("https://www.boe.es/gazeta/dias/1810/07/19/pdfs/GMD-1810-200.pdf#page=3","Abrir facsímil")</f>
        <v>Abrir facsímil</v>
      </c>
      <c r="K5863" s="3" t="s">
        <v>76</v>
      </c>
    </row>
    <row r="5864" spans="1:11" ht="42" customHeight="1">
      <c r="A5864" s="2" t="s">
        <v>14948</v>
      </c>
      <c r="B5864" s="2" t="s">
        <v>14949</v>
      </c>
      <c r="C5864" s="2" t="s">
        <v>225</v>
      </c>
      <c r="D5864" s="2" t="s">
        <v>27</v>
      </c>
      <c r="E5864" s="4">
        <v>-32531</v>
      </c>
      <c r="F5864" s="3" t="s">
        <v>2023</v>
      </c>
      <c r="G5864" s="3" t="s">
        <v>29</v>
      </c>
      <c r="H5864" s="2" t="s">
        <v>74</v>
      </c>
      <c r="I5864" s="2" t="s">
        <v>14950</v>
      </c>
      <c r="J5864" s="3" t="str">
        <f>HYPERLINK("https://www.boe.es/gazeta/dias/1810/12/06/pdfs/GMD-1810-340.pdf#page=4","Abrir facsímil")</f>
        <v>Abrir facsímil</v>
      </c>
      <c r="K5864" s="3" t="s">
        <v>76</v>
      </c>
    </row>
    <row r="5865" spans="1:11" ht="42" customHeight="1">
      <c r="A5865" s="2" t="s">
        <v>14951</v>
      </c>
      <c r="B5865" s="2" t="s">
        <v>14952</v>
      </c>
      <c r="C5865" s="2" t="s">
        <v>195</v>
      </c>
      <c r="D5865" s="2" t="s">
        <v>27</v>
      </c>
      <c r="E5865" s="4">
        <v>-32837</v>
      </c>
      <c r="F5865" s="3" t="s">
        <v>196</v>
      </c>
      <c r="G5865" s="3" t="s">
        <v>140</v>
      </c>
      <c r="H5865" s="2" t="s">
        <v>74</v>
      </c>
      <c r="I5865" s="2" t="s">
        <v>14953</v>
      </c>
      <c r="J5865" s="3" t="str">
        <f>HYPERLINK("https://www.boe.es/gazeta/dias/1810/02/03/pdfs/GMD-1810-34.pdf#page=4","Abrir facsímil")</f>
        <v>Abrir facsímil</v>
      </c>
      <c r="K5865" s="3" t="s">
        <v>76</v>
      </c>
    </row>
    <row r="5866" spans="1:11" ht="42" customHeight="1">
      <c r="A5866" s="2" t="s">
        <v>14954</v>
      </c>
      <c r="B5866" s="2" t="s">
        <v>14955</v>
      </c>
      <c r="C5866" s="2" t="s">
        <v>26</v>
      </c>
      <c r="D5866" s="2" t="s">
        <v>39</v>
      </c>
      <c r="E5866" s="4">
        <v>-32702</v>
      </c>
      <c r="F5866" s="3" t="s">
        <v>179</v>
      </c>
      <c r="G5866" s="3" t="s">
        <v>119</v>
      </c>
      <c r="H5866" s="2" t="s">
        <v>74</v>
      </c>
      <c r="I5866" s="2" t="s">
        <v>14956</v>
      </c>
      <c r="J5866" s="3" t="str">
        <f>HYPERLINK("https://www.boe.es/gazeta/dias/1810/06/18/pdfs/GMD-C-1810-169.pdf#page=1","Abrir facsímil")</f>
        <v>Abrir facsímil</v>
      </c>
      <c r="K5866" s="3" t="s">
        <v>76</v>
      </c>
    </row>
    <row r="5867" spans="1:11" ht="42" customHeight="1">
      <c r="A5867" s="2" t="s">
        <v>14957</v>
      </c>
      <c r="B5867" s="2" t="s">
        <v>14958</v>
      </c>
      <c r="C5867" s="2" t="s">
        <v>88</v>
      </c>
      <c r="D5867" s="2" t="s">
        <v>27</v>
      </c>
      <c r="E5867" s="4">
        <v>-32635</v>
      </c>
      <c r="F5867" s="3" t="s">
        <v>3132</v>
      </c>
      <c r="G5867" s="3" t="s">
        <v>7192</v>
      </c>
      <c r="H5867" s="2" t="s">
        <v>74</v>
      </c>
      <c r="I5867" s="2" t="s">
        <v>14959</v>
      </c>
      <c r="J5867" s="3" t="str">
        <f>HYPERLINK("https://www.boe.es/gazeta/dias/1810/08/24/pdfs/GEI-1810-59.pdf#page=1","Abrir facsímil")</f>
        <v>Abrir facsímil</v>
      </c>
      <c r="K5867" s="3" t="s">
        <v>76</v>
      </c>
    </row>
    <row r="5868" spans="1:11" ht="42" customHeight="1">
      <c r="A5868" s="2" t="s">
        <v>14960</v>
      </c>
      <c r="B5868" s="2" t="s">
        <v>14961</v>
      </c>
      <c r="C5868" s="2" t="s">
        <v>88</v>
      </c>
      <c r="D5868" s="2" t="s">
        <v>27</v>
      </c>
      <c r="E5868" s="4">
        <v>-32710</v>
      </c>
      <c r="F5868" s="3" t="s">
        <v>126</v>
      </c>
      <c r="G5868" s="3" t="s">
        <v>184</v>
      </c>
      <c r="H5868" s="2" t="s">
        <v>74</v>
      </c>
      <c r="I5868" s="2" t="s">
        <v>14962</v>
      </c>
      <c r="J5868" s="3" t="str">
        <f>HYPERLINK("https://www.boe.es/gazeta/dias/1810/06/10/pdfs/GMD-1810-161.pdf#page=3","Abrir facsímil")</f>
        <v>Abrir facsímil</v>
      </c>
      <c r="K5868" s="3" t="s">
        <v>76</v>
      </c>
    </row>
    <row r="5869" spans="1:11" ht="42" customHeight="1">
      <c r="A5869" s="2" t="s">
        <v>14963</v>
      </c>
      <c r="B5869" s="2" t="s">
        <v>14964</v>
      </c>
      <c r="C5869" s="2" t="s">
        <v>26</v>
      </c>
      <c r="D5869" s="2" t="s">
        <v>27</v>
      </c>
      <c r="E5869" s="4">
        <v>-32647</v>
      </c>
      <c r="F5869" s="3" t="s">
        <v>118</v>
      </c>
      <c r="G5869" s="3" t="s">
        <v>140</v>
      </c>
      <c r="H5869" s="2" t="s">
        <v>74</v>
      </c>
      <c r="I5869" s="2" t="s">
        <v>14965</v>
      </c>
      <c r="J5869" s="3" t="str">
        <f>HYPERLINK("https://www.boe.es/gazeta/dias/1810/08/12/pdfs/GMD-1810-224.pdf#page=2","Abrir facsímil")</f>
        <v>Abrir facsímil</v>
      </c>
      <c r="K5869" s="3" t="s">
        <v>76</v>
      </c>
    </row>
    <row r="5870" spans="1:11" ht="42" customHeight="1">
      <c r="A5870" s="2" t="s">
        <v>14966</v>
      </c>
      <c r="B5870" s="2" t="s">
        <v>14967</v>
      </c>
      <c r="C5870" s="2" t="s">
        <v>26</v>
      </c>
      <c r="D5870" s="2" t="s">
        <v>27</v>
      </c>
      <c r="E5870" s="4">
        <v>-32716</v>
      </c>
      <c r="F5870" s="3" t="s">
        <v>624</v>
      </c>
      <c r="G5870" s="3" t="s">
        <v>140</v>
      </c>
      <c r="H5870" s="2" t="s">
        <v>74</v>
      </c>
      <c r="I5870" s="2" t="s">
        <v>14968</v>
      </c>
      <c r="J5870" s="3" t="str">
        <f>HYPERLINK("https://www.boe.es/gazeta/dias/1810/06/04/pdfs/GMD-1810-155.pdf#page=4","Abrir facsímil")</f>
        <v>Abrir facsímil</v>
      </c>
      <c r="K5870" s="3" t="s">
        <v>76</v>
      </c>
    </row>
    <row r="5871" spans="1:11" ht="42" customHeight="1">
      <c r="A5871" s="2" t="s">
        <v>14969</v>
      </c>
      <c r="B5871" s="2" t="s">
        <v>14970</v>
      </c>
      <c r="C5871" s="2" t="s">
        <v>17</v>
      </c>
      <c r="D5871" s="2" t="s">
        <v>27</v>
      </c>
      <c r="E5871" s="4">
        <v>-32775</v>
      </c>
      <c r="F5871" s="3" t="s">
        <v>308</v>
      </c>
      <c r="G5871" s="3" t="s">
        <v>140</v>
      </c>
      <c r="H5871" s="2" t="s">
        <v>74</v>
      </c>
      <c r="I5871" s="2" t="s">
        <v>14971</v>
      </c>
      <c r="J5871" s="3" t="str">
        <f>HYPERLINK("https://www.boe.es/gazeta/dias/1810/04/06/pdfs/GMD-1810-96.pdf#page=3","Abrir facsímil")</f>
        <v>Abrir facsímil</v>
      </c>
      <c r="K5871" s="3" t="s">
        <v>76</v>
      </c>
    </row>
    <row r="5872" spans="1:11" ht="42" customHeight="1">
      <c r="A5872" s="2" t="s">
        <v>14972</v>
      </c>
      <c r="B5872" s="2" t="s">
        <v>14973</v>
      </c>
      <c r="C5872" s="2" t="s">
        <v>26</v>
      </c>
      <c r="D5872" s="2" t="s">
        <v>39</v>
      </c>
      <c r="E5872" s="4">
        <v>-32661</v>
      </c>
      <c r="F5872" s="3" t="s">
        <v>157</v>
      </c>
      <c r="G5872" s="3" t="s">
        <v>592</v>
      </c>
      <c r="H5872" s="2" t="s">
        <v>74</v>
      </c>
      <c r="I5872" s="2" t="s">
        <v>14974</v>
      </c>
      <c r="J5872" s="3" t="str">
        <f>HYPERLINK("https://www.boe.es/gazeta/dias/1810/07/29/pdfs/GMD-C-1810-210.pdf#page=2","Abrir facsímil")</f>
        <v>Abrir facsímil</v>
      </c>
      <c r="K5872" s="3" t="s">
        <v>76</v>
      </c>
    </row>
    <row r="5873" spans="1:11" ht="42" customHeight="1">
      <c r="A5873" s="2" t="s">
        <v>14975</v>
      </c>
      <c r="B5873" s="2" t="s">
        <v>14976</v>
      </c>
      <c r="C5873" s="2" t="s">
        <v>26</v>
      </c>
      <c r="D5873" s="2" t="s">
        <v>27</v>
      </c>
      <c r="E5873" s="4">
        <v>-32550</v>
      </c>
      <c r="F5873" s="3" t="s">
        <v>1472</v>
      </c>
      <c r="G5873" s="3" t="s">
        <v>1473</v>
      </c>
      <c r="H5873" s="2" t="s">
        <v>74</v>
      </c>
      <c r="I5873" s="2" t="s">
        <v>14977</v>
      </c>
      <c r="J5873" s="3" t="str">
        <f>HYPERLINK("https://www.boe.es/gazeta/dias/1810/11/17/pdfs/GEI-1810-96.pdf#page=8","Abrir facsímil")</f>
        <v>Abrir facsímil</v>
      </c>
      <c r="K5873" s="3" t="s">
        <v>76</v>
      </c>
    </row>
    <row r="5874" spans="1:11" ht="42" customHeight="1">
      <c r="A5874" s="2" t="s">
        <v>14978</v>
      </c>
      <c r="B5874" s="2" t="s">
        <v>14978</v>
      </c>
      <c r="C5874" s="2" t="s">
        <v>88</v>
      </c>
      <c r="D5874" s="2" t="s">
        <v>27</v>
      </c>
      <c r="E5874" s="4">
        <v>-32728</v>
      </c>
      <c r="F5874" s="3" t="s">
        <v>269</v>
      </c>
      <c r="G5874" s="3" t="s">
        <v>227</v>
      </c>
      <c r="H5874" s="2" t="s">
        <v>74</v>
      </c>
      <c r="I5874" s="2" t="s">
        <v>14979</v>
      </c>
      <c r="J5874" s="3" t="str">
        <f>HYPERLINK("https://www.boe.es/gazeta/dias/1810/05/23/pdfs/GMD-1810-143.pdf#page=2","Abrir facsímil")</f>
        <v>Abrir facsímil</v>
      </c>
      <c r="K5874" s="3" t="s">
        <v>76</v>
      </c>
    </row>
    <row r="5875" spans="1:11" ht="42" customHeight="1">
      <c r="A5875" s="2" t="s">
        <v>14978</v>
      </c>
      <c r="B5875" s="2" t="s">
        <v>14978</v>
      </c>
      <c r="C5875" s="2" t="s">
        <v>88</v>
      </c>
      <c r="D5875" s="2" t="s">
        <v>117</v>
      </c>
      <c r="E5875" s="4">
        <v>-32512</v>
      </c>
      <c r="F5875" s="3" t="s">
        <v>1920</v>
      </c>
      <c r="G5875" s="3" t="s">
        <v>10575</v>
      </c>
      <c r="H5875" s="2" t="s">
        <v>74</v>
      </c>
      <c r="I5875" s="2" t="s">
        <v>14980</v>
      </c>
      <c r="J5875" s="3" t="str">
        <f>HYPERLINK("https://www.boe.es/gazeta/dias/1810/12/25/pdfs/GEI-1810-112.pdf#page=4","Abrir facsímil")</f>
        <v>Abrir facsímil</v>
      </c>
      <c r="K5875" s="3" t="s">
        <v>76</v>
      </c>
    </row>
    <row r="5876" spans="1:11" ht="42" customHeight="1">
      <c r="A5876" s="2" t="s">
        <v>14981</v>
      </c>
      <c r="B5876" s="2" t="s">
        <v>14982</v>
      </c>
      <c r="C5876" s="2" t="s">
        <v>111</v>
      </c>
      <c r="D5876" s="2" t="s">
        <v>27</v>
      </c>
      <c r="E5876" s="4">
        <v>-32638</v>
      </c>
      <c r="F5876" s="3" t="s">
        <v>489</v>
      </c>
      <c r="G5876" s="3" t="s">
        <v>227</v>
      </c>
      <c r="H5876" s="2" t="s">
        <v>74</v>
      </c>
      <c r="I5876" s="2" t="s">
        <v>14983</v>
      </c>
      <c r="J5876" s="3" t="str">
        <f>HYPERLINK("https://www.boe.es/gazeta/dias/1810/08/21/pdfs/GMD-1810-233.pdf#page=2","Abrir facsímil")</f>
        <v>Abrir facsímil</v>
      </c>
      <c r="K5876" s="3" t="s">
        <v>76</v>
      </c>
    </row>
    <row r="5877" spans="1:11" ht="42" customHeight="1">
      <c r="A5877" s="2" t="s">
        <v>14984</v>
      </c>
      <c r="B5877" s="2" t="s">
        <v>14985</v>
      </c>
      <c r="C5877" s="2" t="s">
        <v>26</v>
      </c>
      <c r="D5877" s="2" t="s">
        <v>27</v>
      </c>
      <c r="E5877" s="4">
        <v>-32795</v>
      </c>
      <c r="F5877" s="3" t="s">
        <v>690</v>
      </c>
      <c r="G5877" s="3" t="s">
        <v>691</v>
      </c>
      <c r="H5877" s="2" t="s">
        <v>74</v>
      </c>
      <c r="I5877" s="2" t="s">
        <v>14986</v>
      </c>
      <c r="J5877" s="3" t="str">
        <f>HYPERLINK("https://www.boe.es/gazeta/dias/1810/03/17/pdfs/GMD-1810-76.pdf#page=3","Abrir facsímil")</f>
        <v>Abrir facsímil</v>
      </c>
      <c r="K5877" s="3" t="s">
        <v>76</v>
      </c>
    </row>
    <row r="5878" spans="1:11" ht="42" customHeight="1">
      <c r="A5878" s="2" t="s">
        <v>14987</v>
      </c>
      <c r="B5878" s="2" t="s">
        <v>14988</v>
      </c>
      <c r="C5878" s="2" t="s">
        <v>17</v>
      </c>
      <c r="D5878" s="2" t="s">
        <v>27</v>
      </c>
      <c r="E5878" s="4">
        <v>-32775</v>
      </c>
      <c r="F5878" s="3" t="s">
        <v>308</v>
      </c>
      <c r="G5878" s="3" t="s">
        <v>140</v>
      </c>
      <c r="H5878" s="2" t="s">
        <v>74</v>
      </c>
      <c r="I5878" s="2" t="s">
        <v>14989</v>
      </c>
      <c r="J5878" s="3" t="str">
        <f>HYPERLINK("https://www.boe.es/gazeta/dias/1810/04/06/pdfs/GMD-1810-96.pdf#page=3","Abrir facsímil")</f>
        <v>Abrir facsímil</v>
      </c>
      <c r="K5878" s="3" t="s">
        <v>76</v>
      </c>
    </row>
    <row r="5879" spans="1:11" ht="42" customHeight="1">
      <c r="A5879" s="2" t="s">
        <v>14990</v>
      </c>
      <c r="B5879" s="2" t="s">
        <v>14991</v>
      </c>
      <c r="C5879" s="2" t="s">
        <v>225</v>
      </c>
      <c r="D5879" s="2" t="s">
        <v>27</v>
      </c>
      <c r="E5879" s="4">
        <v>-32784</v>
      </c>
      <c r="F5879" s="3" t="s">
        <v>429</v>
      </c>
      <c r="G5879" s="3" t="s">
        <v>131</v>
      </c>
      <c r="H5879" s="2" t="s">
        <v>74</v>
      </c>
      <c r="I5879" s="2" t="s">
        <v>14992</v>
      </c>
      <c r="J5879" s="3" t="str">
        <f>HYPERLINK("https://www.boe.es/gazeta/dias/1810/03/28/pdfs/GMD-1810-87.pdf#page=3","Abrir facsímil")</f>
        <v>Abrir facsímil</v>
      </c>
      <c r="K5879" s="3" t="s">
        <v>76</v>
      </c>
    </row>
    <row r="5880" spans="1:11" ht="42" customHeight="1">
      <c r="A5880" s="2" t="s">
        <v>14993</v>
      </c>
      <c r="B5880" s="2" t="s">
        <v>14994</v>
      </c>
      <c r="C5880" s="2" t="s">
        <v>111</v>
      </c>
      <c r="D5880" s="2" t="s">
        <v>18</v>
      </c>
      <c r="E5880" s="4">
        <v>-32764</v>
      </c>
      <c r="F5880" s="3" t="s">
        <v>640</v>
      </c>
      <c r="G5880" s="3" t="s">
        <v>641</v>
      </c>
      <c r="H5880" s="2" t="s">
        <v>74</v>
      </c>
      <c r="I5880" s="2" t="s">
        <v>14995</v>
      </c>
      <c r="J5880" s="3" t="str">
        <f>HYPERLINK("https://www.boe.es/gazeta/dias/1810/04/17/pdfs/GEI-1810-15.pdf#page=8","Abrir facsímil")</f>
        <v>Abrir facsímil</v>
      </c>
      <c r="K5880" s="3" t="s">
        <v>76</v>
      </c>
    </row>
    <row r="5881" spans="1:11" ht="42" customHeight="1">
      <c r="A5881" s="2" t="s">
        <v>14996</v>
      </c>
      <c r="B5881" s="2" t="s">
        <v>14997</v>
      </c>
      <c r="C5881" s="2" t="s">
        <v>26</v>
      </c>
      <c r="D5881" s="2" t="s">
        <v>27</v>
      </c>
      <c r="E5881" s="4">
        <v>-32710</v>
      </c>
      <c r="F5881" s="3" t="s">
        <v>126</v>
      </c>
      <c r="G5881" s="3" t="s">
        <v>184</v>
      </c>
      <c r="H5881" s="2" t="s">
        <v>74</v>
      </c>
      <c r="I5881" s="2" t="s">
        <v>14998</v>
      </c>
      <c r="J5881" s="3" t="str">
        <f>HYPERLINK("https://www.boe.es/gazeta/dias/1810/06/10/pdfs/GMD-1810-161.pdf#page=3","Abrir facsímil")</f>
        <v>Abrir facsímil</v>
      </c>
      <c r="K5881" s="3" t="s">
        <v>76</v>
      </c>
    </row>
    <row r="5882" spans="1:11" ht="42" customHeight="1">
      <c r="A5882" s="2" t="s">
        <v>14999</v>
      </c>
      <c r="B5882" s="2" t="s">
        <v>15000</v>
      </c>
      <c r="C5882" s="2" t="s">
        <v>26</v>
      </c>
      <c r="D5882" s="2" t="s">
        <v>39</v>
      </c>
      <c r="E5882" s="4">
        <v>-32701</v>
      </c>
      <c r="F5882" s="3" t="s">
        <v>40</v>
      </c>
      <c r="G5882" s="3" t="s">
        <v>333</v>
      </c>
      <c r="H5882" s="2" t="s">
        <v>74</v>
      </c>
      <c r="I5882" s="2" t="s">
        <v>15001</v>
      </c>
      <c r="J5882" s="3" t="str">
        <f>HYPERLINK("https://www.boe.es/gazeta/dias/1810/06/19/pdfs/GMD-C-1810-170.pdf#page=4","Abrir facsímil")</f>
        <v>Abrir facsímil</v>
      </c>
      <c r="K5882" s="3" t="s">
        <v>76</v>
      </c>
    </row>
    <row r="5883" spans="1:11" ht="42" customHeight="1">
      <c r="A5883" s="2" t="s">
        <v>15002</v>
      </c>
      <c r="B5883" s="2" t="s">
        <v>15003</v>
      </c>
      <c r="C5883" s="2" t="s">
        <v>26</v>
      </c>
      <c r="D5883" s="2" t="s">
        <v>27</v>
      </c>
      <c r="E5883" s="4">
        <v>-32764</v>
      </c>
      <c r="F5883" s="3" t="s">
        <v>640</v>
      </c>
      <c r="G5883" s="3" t="s">
        <v>641</v>
      </c>
      <c r="H5883" s="2" t="s">
        <v>74</v>
      </c>
      <c r="I5883" s="2" t="s">
        <v>15004</v>
      </c>
      <c r="J5883" s="3" t="str">
        <f>HYPERLINK("https://www.boe.es/gazeta/dias/1810/04/17/pdfs/GEI-1810-15.pdf#page=8","Abrir facsímil")</f>
        <v>Abrir facsímil</v>
      </c>
      <c r="K5883" s="3" t="s">
        <v>76</v>
      </c>
    </row>
    <row r="5884" spans="1:11" ht="42" customHeight="1">
      <c r="A5884" s="2" t="s">
        <v>15002</v>
      </c>
      <c r="B5884" s="2" t="s">
        <v>15003</v>
      </c>
      <c r="C5884" s="2" t="s">
        <v>88</v>
      </c>
      <c r="D5884" s="2" t="s">
        <v>27</v>
      </c>
      <c r="E5884" s="4">
        <v>-32603</v>
      </c>
      <c r="F5884" s="3" t="s">
        <v>2163</v>
      </c>
      <c r="G5884" s="3" t="s">
        <v>4601</v>
      </c>
      <c r="H5884" s="2" t="s">
        <v>74</v>
      </c>
      <c r="I5884" s="2" t="s">
        <v>15005</v>
      </c>
      <c r="J5884" s="3" t="str">
        <f>HYPERLINK("https://www.boe.es/gazeta/dias/1810/09/25/pdfs/GEI-1810-72.pdf#page=7","Abrir facsímil")</f>
        <v>Abrir facsímil</v>
      </c>
      <c r="K5884" s="3" t="s">
        <v>76</v>
      </c>
    </row>
    <row r="5885" spans="1:11" ht="42" customHeight="1">
      <c r="A5885" s="2" t="s">
        <v>15006</v>
      </c>
      <c r="B5885" s="2" t="s">
        <v>15007</v>
      </c>
      <c r="C5885" s="2" t="s">
        <v>88</v>
      </c>
      <c r="D5885" s="2" t="s">
        <v>27</v>
      </c>
      <c r="E5885" s="4">
        <v>-32763</v>
      </c>
      <c r="F5885" s="3" t="s">
        <v>1146</v>
      </c>
      <c r="G5885" s="3" t="s">
        <v>20</v>
      </c>
      <c r="H5885" s="2" t="s">
        <v>74</v>
      </c>
      <c r="I5885" s="2" t="s">
        <v>15008</v>
      </c>
      <c r="J5885" s="3" t="str">
        <f>HYPERLINK("https://www.boe.es/gazeta/dias/1810/04/18/pdfs/GMD-1810-108.pdf#page=4","Abrir facsímil")</f>
        <v>Abrir facsímil</v>
      </c>
      <c r="K5885" s="3" t="s">
        <v>76</v>
      </c>
    </row>
    <row r="5886" spans="1:11" ht="42" customHeight="1">
      <c r="A5886" s="2" t="s">
        <v>15009</v>
      </c>
      <c r="B5886" s="2" t="s">
        <v>15010</v>
      </c>
      <c r="C5886" s="2" t="s">
        <v>111</v>
      </c>
      <c r="D5886" s="2" t="s">
        <v>27</v>
      </c>
      <c r="E5886" s="4">
        <v>-32837</v>
      </c>
      <c r="F5886" s="3" t="s">
        <v>196</v>
      </c>
      <c r="G5886" s="3" t="s">
        <v>99</v>
      </c>
      <c r="H5886" s="2" t="s">
        <v>74</v>
      </c>
      <c r="I5886" s="2" t="s">
        <v>15011</v>
      </c>
      <c r="J5886" s="3" t="str">
        <f>HYPERLINK("https://www.boe.es/gazeta/dias/1810/02/03/pdfs/GMD-1810-34.pdf#page=3","Abrir facsímil")</f>
        <v>Abrir facsímil</v>
      </c>
      <c r="K5886" s="3" t="s">
        <v>76</v>
      </c>
    </row>
    <row r="5887" spans="1:11" ht="42" customHeight="1">
      <c r="A5887" s="2" t="s">
        <v>15012</v>
      </c>
      <c r="B5887" s="2" t="s">
        <v>15013</v>
      </c>
      <c r="C5887" s="2" t="s">
        <v>26</v>
      </c>
      <c r="D5887" s="2" t="s">
        <v>27</v>
      </c>
      <c r="E5887" s="4">
        <v>-32710</v>
      </c>
      <c r="F5887" s="3" t="s">
        <v>126</v>
      </c>
      <c r="G5887" s="3" t="s">
        <v>35</v>
      </c>
      <c r="H5887" s="2" t="s">
        <v>74</v>
      </c>
      <c r="I5887" s="2" t="s">
        <v>15014</v>
      </c>
      <c r="J5887" s="3" t="str">
        <f>HYPERLINK("https://www.boe.es/gazeta/dias/1810/06/10/pdfs/GMD-1810-161.pdf#page=2","Abrir facsímil")</f>
        <v>Abrir facsímil</v>
      </c>
      <c r="K5887" s="3" t="s">
        <v>76</v>
      </c>
    </row>
    <row r="5888" spans="1:11" ht="42" customHeight="1">
      <c r="A5888" s="2" t="s">
        <v>15015</v>
      </c>
      <c r="B5888" s="2" t="s">
        <v>15016</v>
      </c>
      <c r="C5888" s="2" t="s">
        <v>26</v>
      </c>
      <c r="D5888" s="2" t="s">
        <v>27</v>
      </c>
      <c r="E5888" s="4">
        <v>-32756</v>
      </c>
      <c r="F5888" s="3" t="s">
        <v>203</v>
      </c>
      <c r="G5888" s="3" t="s">
        <v>180</v>
      </c>
      <c r="H5888" s="2" t="s">
        <v>74</v>
      </c>
      <c r="I5888" s="2" t="s">
        <v>15017</v>
      </c>
      <c r="J5888" s="3" t="str">
        <f>HYPERLINK("https://www.boe.es/gazeta/dias/1810/04/25/pdfs/GMD-1810-115.pdf#page=4","Abrir facsímil")</f>
        <v>Abrir facsímil</v>
      </c>
      <c r="K5888" s="3" t="s">
        <v>76</v>
      </c>
    </row>
    <row r="5889" spans="1:11" ht="42" customHeight="1">
      <c r="A5889" s="2" t="s">
        <v>15018</v>
      </c>
      <c r="B5889" s="2" t="s">
        <v>15019</v>
      </c>
      <c r="C5889" s="2" t="s">
        <v>88</v>
      </c>
      <c r="D5889" s="2" t="s">
        <v>117</v>
      </c>
      <c r="E5889" s="4">
        <v>-32631</v>
      </c>
      <c r="F5889" s="3" t="s">
        <v>497</v>
      </c>
      <c r="G5889" s="3" t="s">
        <v>498</v>
      </c>
      <c r="H5889" s="2" t="s">
        <v>74</v>
      </c>
      <c r="I5889" s="2" t="s">
        <v>15020</v>
      </c>
      <c r="J5889" s="3" t="str">
        <f>HYPERLINK("https://www.boe.es/gazeta/dias/1810/08/28/pdfs/GMD-1810-240.pdf#page=2","Abrir facsímil")</f>
        <v>Abrir facsímil</v>
      </c>
      <c r="K5889" s="3" t="s">
        <v>76</v>
      </c>
    </row>
    <row r="5890" spans="1:11" ht="42" customHeight="1">
      <c r="A5890" s="2" t="s">
        <v>15021</v>
      </c>
      <c r="B5890" s="2" t="s">
        <v>15021</v>
      </c>
      <c r="C5890" s="2" t="s">
        <v>88</v>
      </c>
      <c r="D5890" s="2" t="s">
        <v>27</v>
      </c>
      <c r="E5890" s="4">
        <v>-32664</v>
      </c>
      <c r="F5890" s="3" t="s">
        <v>618</v>
      </c>
      <c r="G5890" s="3" t="s">
        <v>1985</v>
      </c>
      <c r="H5890" s="2" t="s">
        <v>74</v>
      </c>
      <c r="I5890" s="2" t="s">
        <v>15022</v>
      </c>
      <c r="J5890" s="3" t="str">
        <f>HYPERLINK("https://www.boe.es/gazeta/dias/1810/07/26/pdfs/GMD-1810-207.pdf#page=4","Abrir facsímil")</f>
        <v>Abrir facsímil</v>
      </c>
      <c r="K5890" s="3" t="s">
        <v>76</v>
      </c>
    </row>
    <row r="5891" spans="1:11" ht="42" customHeight="1">
      <c r="A5891" s="2" t="s">
        <v>15023</v>
      </c>
      <c r="B5891" s="2" t="s">
        <v>15023</v>
      </c>
      <c r="C5891" s="2" t="s">
        <v>225</v>
      </c>
      <c r="D5891" s="2" t="s">
        <v>27</v>
      </c>
      <c r="E5891" s="4">
        <v>-32652</v>
      </c>
      <c r="F5891" s="3" t="s">
        <v>731</v>
      </c>
      <c r="G5891" s="3" t="s">
        <v>732</v>
      </c>
      <c r="H5891" s="2" t="s">
        <v>74</v>
      </c>
      <c r="I5891" s="2" t="s">
        <v>15024</v>
      </c>
      <c r="J5891" s="3" t="str">
        <f>HYPERLINK("https://www.boe.es/gazeta/dias/1810/08/07/pdfs/GMD-1810-219.pdf#page=2","Abrir facsímil")</f>
        <v>Abrir facsímil</v>
      </c>
      <c r="K5891" s="3" t="s">
        <v>76</v>
      </c>
    </row>
    <row r="5892" spans="1:11" ht="42" customHeight="1">
      <c r="A5892" s="2" t="s">
        <v>15025</v>
      </c>
      <c r="B5892" s="2" t="s">
        <v>15025</v>
      </c>
      <c r="C5892" s="2" t="s">
        <v>195</v>
      </c>
      <c r="D5892" s="2" t="s">
        <v>27</v>
      </c>
      <c r="E5892" s="4">
        <v>-32652</v>
      </c>
      <c r="F5892" s="3" t="s">
        <v>731</v>
      </c>
      <c r="G5892" s="3" t="s">
        <v>732</v>
      </c>
      <c r="H5892" s="2" t="s">
        <v>74</v>
      </c>
      <c r="I5892" s="2" t="s">
        <v>15026</v>
      </c>
      <c r="J5892" s="3" t="str">
        <f>HYPERLINK("https://www.boe.es/gazeta/dias/1810/08/07/pdfs/GMD-1810-219.pdf#page=2","Abrir facsímil")</f>
        <v>Abrir facsímil</v>
      </c>
      <c r="K5892" s="3" t="s">
        <v>76</v>
      </c>
    </row>
    <row r="5893" spans="1:11" ht="42" customHeight="1">
      <c r="A5893" s="2" t="s">
        <v>15027</v>
      </c>
      <c r="B5893" s="2" t="s">
        <v>15027</v>
      </c>
      <c r="C5893" s="2" t="s">
        <v>33</v>
      </c>
      <c r="D5893" s="2" t="s">
        <v>27</v>
      </c>
      <c r="E5893" s="4">
        <v>-32685</v>
      </c>
      <c r="F5893" s="3" t="s">
        <v>1106</v>
      </c>
      <c r="G5893" s="3" t="s">
        <v>20</v>
      </c>
      <c r="H5893" s="2" t="s">
        <v>74</v>
      </c>
      <c r="I5893" s="2" t="s">
        <v>15028</v>
      </c>
      <c r="J5893" s="3" t="str">
        <f>HYPERLINK("https://www.boe.es/gazeta/dias/1810/07/05/pdfs/GMD-1810-186.pdf#page=4","Abrir facsímil")</f>
        <v>Abrir facsímil</v>
      </c>
      <c r="K5893" s="3" t="s">
        <v>76</v>
      </c>
    </row>
    <row r="5894" spans="1:11" ht="42" customHeight="1">
      <c r="A5894" s="2" t="s">
        <v>15029</v>
      </c>
      <c r="B5894" s="2" t="s">
        <v>15029</v>
      </c>
      <c r="C5894" s="2" t="s">
        <v>88</v>
      </c>
      <c r="D5894" s="2" t="s">
        <v>27</v>
      </c>
      <c r="E5894" s="4">
        <v>-32635</v>
      </c>
      <c r="F5894" s="3" t="s">
        <v>8979</v>
      </c>
      <c r="G5894" s="3" t="s">
        <v>90</v>
      </c>
      <c r="H5894" s="2" t="s">
        <v>74</v>
      </c>
      <c r="I5894" s="2" t="s">
        <v>15030</v>
      </c>
      <c r="J5894" s="3" t="str">
        <f>HYPERLINK("https://www.boe.es/gazeta/dias/1810/08/24/pdfs/GMD-1810-236.pdf#page=4","Abrir facsímil")</f>
        <v>Abrir facsímil</v>
      </c>
      <c r="K5894" s="3" t="s">
        <v>76</v>
      </c>
    </row>
    <row r="5895" spans="1:11" ht="42" customHeight="1">
      <c r="A5895" s="2" t="s">
        <v>15029</v>
      </c>
      <c r="B5895" s="2" t="s">
        <v>15029</v>
      </c>
      <c r="C5895" s="2" t="s">
        <v>88</v>
      </c>
      <c r="D5895" s="2" t="s">
        <v>39</v>
      </c>
      <c r="E5895" s="4">
        <v>-32631</v>
      </c>
      <c r="F5895" s="3" t="s">
        <v>2830</v>
      </c>
      <c r="G5895" s="3" t="s">
        <v>13457</v>
      </c>
      <c r="H5895" s="2" t="s">
        <v>74</v>
      </c>
      <c r="I5895" s="2" t="s">
        <v>15031</v>
      </c>
      <c r="J5895" s="3" t="str">
        <f>HYPERLINK("https://www.boe.es/gazeta/dias/1810/08/28/pdfs/GEI-D-1810-60.pdf#page=3","Abrir facsímil")</f>
        <v>Abrir facsímil</v>
      </c>
      <c r="K5895" s="3" t="s">
        <v>76</v>
      </c>
    </row>
    <row r="5896" spans="1:11" ht="42" customHeight="1">
      <c r="A5896" s="2" t="s">
        <v>15029</v>
      </c>
      <c r="B5896" s="2" t="s">
        <v>15029</v>
      </c>
      <c r="C5896" s="2" t="s">
        <v>88</v>
      </c>
      <c r="D5896" s="2" t="s">
        <v>117</v>
      </c>
      <c r="E5896" s="4">
        <v>-32608</v>
      </c>
      <c r="F5896" s="3" t="s">
        <v>150</v>
      </c>
      <c r="G5896" s="3" t="s">
        <v>151</v>
      </c>
      <c r="H5896" s="2" t="s">
        <v>74</v>
      </c>
      <c r="I5896" s="2" t="s">
        <v>15032</v>
      </c>
      <c r="J5896" s="3" t="str">
        <f>HYPERLINK("https://www.boe.es/gazeta/dias/1810/09/20/pdfs/GMD-1810-263.pdf#page=3","Abrir facsímil")</f>
        <v>Abrir facsímil</v>
      </c>
      <c r="K5896" s="3" t="s">
        <v>76</v>
      </c>
    </row>
    <row r="5897" spans="1:11" ht="42" customHeight="1">
      <c r="A5897" s="2" t="s">
        <v>15029</v>
      </c>
      <c r="B5897" s="2" t="s">
        <v>15029</v>
      </c>
      <c r="C5897" s="2" t="s">
        <v>88</v>
      </c>
      <c r="D5897" s="2" t="s">
        <v>27</v>
      </c>
      <c r="E5897" s="4">
        <v>-32564</v>
      </c>
      <c r="F5897" s="3" t="s">
        <v>108</v>
      </c>
      <c r="G5897" s="3" t="s">
        <v>191</v>
      </c>
      <c r="H5897" s="2" t="s">
        <v>74</v>
      </c>
      <c r="I5897" s="2" t="s">
        <v>15033</v>
      </c>
      <c r="J5897" s="3" t="str">
        <f>HYPERLINK("https://www.boe.es/gazeta/dias/1810/11/03/pdfs/GEI-1810-90.pdf#page=4","Abrir facsímil")</f>
        <v>Abrir facsímil</v>
      </c>
      <c r="K5897" s="3" t="s">
        <v>76</v>
      </c>
    </row>
    <row r="5898" spans="1:11" ht="42" customHeight="1">
      <c r="A5898" s="2" t="s">
        <v>15029</v>
      </c>
      <c r="B5898" s="2" t="s">
        <v>15029</v>
      </c>
      <c r="C5898" s="2" t="s">
        <v>88</v>
      </c>
      <c r="D5898" s="2" t="s">
        <v>117</v>
      </c>
      <c r="E5898" s="4">
        <v>-32517</v>
      </c>
      <c r="F5898" s="3" t="s">
        <v>566</v>
      </c>
      <c r="G5898" s="3" t="s">
        <v>567</v>
      </c>
      <c r="H5898" s="2" t="s">
        <v>74</v>
      </c>
      <c r="I5898" s="2" t="s">
        <v>15034</v>
      </c>
      <c r="J5898" s="3" t="str">
        <f>HYPERLINK("https://www.boe.es/gazeta/dias/1810/12/20/pdfs/GEI-1810-110.pdf#page=7","Abrir facsímil")</f>
        <v>Abrir facsímil</v>
      </c>
      <c r="K5898" s="3" t="s">
        <v>76</v>
      </c>
    </row>
    <row r="5899" spans="1:11" ht="42" customHeight="1">
      <c r="A5899" s="2" t="s">
        <v>15035</v>
      </c>
      <c r="B5899" s="2" t="s">
        <v>15036</v>
      </c>
      <c r="C5899" s="2" t="s">
        <v>26</v>
      </c>
      <c r="D5899" s="2" t="s">
        <v>27</v>
      </c>
      <c r="E5899" s="4">
        <v>-32867</v>
      </c>
      <c r="F5899" s="3" t="s">
        <v>712</v>
      </c>
      <c r="G5899" s="3" t="s">
        <v>291</v>
      </c>
      <c r="H5899" s="2" t="s">
        <v>74</v>
      </c>
      <c r="I5899" s="2" t="s">
        <v>15037</v>
      </c>
      <c r="J5899" s="3" t="str">
        <f>HYPERLINK("https://www.boe.es/gazeta/dias/1810/01/04/pdfs/GGB-1810-2.pdf#page=8","Abrir facsímil")</f>
        <v>Abrir facsímil</v>
      </c>
      <c r="K5899" s="3" t="s">
        <v>76</v>
      </c>
    </row>
    <row r="5900" spans="1:11" ht="42" customHeight="1">
      <c r="A5900" s="2" t="s">
        <v>15038</v>
      </c>
      <c r="B5900" s="2" t="s">
        <v>15039</v>
      </c>
      <c r="C5900" s="2" t="s">
        <v>26</v>
      </c>
      <c r="D5900" s="2" t="s">
        <v>27</v>
      </c>
      <c r="E5900" s="4">
        <v>-32730</v>
      </c>
      <c r="F5900" s="3" t="s">
        <v>50</v>
      </c>
      <c r="G5900" s="3" t="s">
        <v>20</v>
      </c>
      <c r="H5900" s="2" t="s">
        <v>74</v>
      </c>
      <c r="I5900" s="2" t="s">
        <v>15040</v>
      </c>
      <c r="J5900" s="3" t="str">
        <f>HYPERLINK("https://www.boe.es/gazeta/dias/1810/05/21/pdfs/GMD-1810-141.pdf#page=4","Abrir facsímil")</f>
        <v>Abrir facsímil</v>
      </c>
      <c r="K5900" s="3" t="s">
        <v>76</v>
      </c>
    </row>
    <row r="5901" spans="1:11" ht="42" customHeight="1">
      <c r="A5901" s="2" t="s">
        <v>15041</v>
      </c>
      <c r="B5901" s="2" t="s">
        <v>15042</v>
      </c>
      <c r="C5901" s="2" t="s">
        <v>88</v>
      </c>
      <c r="D5901" s="2" t="s">
        <v>117</v>
      </c>
      <c r="E5901" s="4">
        <v>-32673</v>
      </c>
      <c r="F5901" s="3" t="s">
        <v>2174</v>
      </c>
      <c r="G5901" s="3" t="s">
        <v>15043</v>
      </c>
      <c r="H5901" s="2" t="s">
        <v>74</v>
      </c>
      <c r="I5901" s="2" t="s">
        <v>15044</v>
      </c>
      <c r="J5901" s="3" t="str">
        <f>HYPERLINK("https://www.boe.es/gazeta/dias/1810/07/17/pdfs/GEI-1810-45.pdf#page=10","Abrir facsímil")</f>
        <v>Abrir facsímil</v>
      </c>
      <c r="K5901" s="3" t="s">
        <v>76</v>
      </c>
    </row>
    <row r="5902" spans="1:11" ht="42" customHeight="1">
      <c r="A5902" s="2" t="s">
        <v>15045</v>
      </c>
      <c r="B5902" s="2" t="s">
        <v>15046</v>
      </c>
      <c r="C5902" s="2" t="s">
        <v>111</v>
      </c>
      <c r="D5902" s="2" t="s">
        <v>27</v>
      </c>
      <c r="E5902" s="4">
        <v>-32528</v>
      </c>
      <c r="F5902" s="3" t="s">
        <v>3058</v>
      </c>
      <c r="G5902" s="3" t="s">
        <v>359</v>
      </c>
      <c r="H5902" s="2" t="s">
        <v>74</v>
      </c>
      <c r="I5902" s="2" t="s">
        <v>15047</v>
      </c>
      <c r="J5902" s="3" t="str">
        <f>HYPERLINK("https://www.boe.es/gazeta/dias/1810/12/09/pdfs/GMD-1810-343.pdf#page=3","Abrir facsímil")</f>
        <v>Abrir facsímil</v>
      </c>
      <c r="K5902" s="3" t="s">
        <v>76</v>
      </c>
    </row>
    <row r="5903" spans="1:11" ht="42" customHeight="1">
      <c r="A5903" s="2" t="s">
        <v>15048</v>
      </c>
      <c r="B5903" s="2" t="s">
        <v>15049</v>
      </c>
      <c r="C5903" s="2" t="s">
        <v>111</v>
      </c>
      <c r="D5903" s="2" t="s">
        <v>27</v>
      </c>
      <c r="E5903" s="4">
        <v>-32837</v>
      </c>
      <c r="F5903" s="3" t="s">
        <v>196</v>
      </c>
      <c r="G5903" s="3" t="s">
        <v>140</v>
      </c>
      <c r="H5903" s="2" t="s">
        <v>74</v>
      </c>
      <c r="I5903" s="2" t="s">
        <v>15050</v>
      </c>
      <c r="J5903" s="3" t="str">
        <f>HYPERLINK("https://www.boe.es/gazeta/dias/1810/02/03/pdfs/GMD-1810-34.pdf#page=4","Abrir facsímil")</f>
        <v>Abrir facsímil</v>
      </c>
      <c r="K5903" s="3" t="s">
        <v>76</v>
      </c>
    </row>
    <row r="5904" spans="1:11" ht="42" customHeight="1">
      <c r="A5904" s="2" t="s">
        <v>15051</v>
      </c>
      <c r="B5904" s="2" t="s">
        <v>15052</v>
      </c>
      <c r="C5904" s="2" t="s">
        <v>26</v>
      </c>
      <c r="D5904" s="2" t="s">
        <v>39</v>
      </c>
      <c r="E5904" s="4">
        <v>-32670</v>
      </c>
      <c r="F5904" s="3" t="s">
        <v>2457</v>
      </c>
      <c r="G5904" s="3" t="s">
        <v>473</v>
      </c>
      <c r="H5904" s="2" t="s">
        <v>74</v>
      </c>
      <c r="I5904" s="2" t="s">
        <v>15053</v>
      </c>
      <c r="J5904" s="3" t="str">
        <f>HYPERLINK("https://www.boe.es/gazeta/dias/1810/07/20/pdfs/GMD-C-1810-201.pdf#page=4","Abrir facsímil")</f>
        <v>Abrir facsímil</v>
      </c>
      <c r="K5904" s="3" t="s">
        <v>76</v>
      </c>
    </row>
    <row r="5905" spans="1:11" ht="42" customHeight="1">
      <c r="A5905" s="2" t="s">
        <v>15054</v>
      </c>
      <c r="B5905" s="2" t="s">
        <v>15054</v>
      </c>
      <c r="C5905" s="2" t="s">
        <v>26</v>
      </c>
      <c r="D5905" s="2" t="s">
        <v>27</v>
      </c>
      <c r="E5905" s="4">
        <v>-32840</v>
      </c>
      <c r="F5905" s="3" t="s">
        <v>15055</v>
      </c>
      <c r="G5905" s="3" t="s">
        <v>1590</v>
      </c>
      <c r="H5905" s="2" t="s">
        <v>74</v>
      </c>
      <c r="I5905" s="2" t="s">
        <v>15056</v>
      </c>
      <c r="J5905" s="3" t="str">
        <f>HYPERLINK("https://www.boe.es/gazeta/dias/1810/01/31/pdfs/GMD-1810-31.pdf#page=1","Abrir facsímil")</f>
        <v>Abrir facsímil</v>
      </c>
      <c r="K5905" s="3" t="s">
        <v>76</v>
      </c>
    </row>
    <row r="5906" spans="1:11" ht="42" customHeight="1">
      <c r="A5906" s="2" t="s">
        <v>15057</v>
      </c>
      <c r="B5906" s="2" t="s">
        <v>15058</v>
      </c>
      <c r="C5906" s="2" t="s">
        <v>225</v>
      </c>
      <c r="D5906" s="2" t="s">
        <v>117</v>
      </c>
      <c r="E5906" s="4">
        <v>-32642</v>
      </c>
      <c r="F5906" s="3" t="s">
        <v>2273</v>
      </c>
      <c r="G5906" s="3" t="s">
        <v>274</v>
      </c>
      <c r="H5906" s="2" t="s">
        <v>74</v>
      </c>
      <c r="I5906" s="2" t="s">
        <v>15059</v>
      </c>
      <c r="J5906" s="3" t="str">
        <f>HYPERLINK("https://www.boe.es/gazeta/dias/1810/08/17/pdfs/GEI-D-1810-57.pdf#page=8","Abrir facsímil")</f>
        <v>Abrir facsímil</v>
      </c>
      <c r="K5906" s="3" t="s">
        <v>76</v>
      </c>
    </row>
    <row r="5907" spans="1:11" ht="42" customHeight="1">
      <c r="A5907" s="2" t="s">
        <v>15060</v>
      </c>
      <c r="B5907" s="2" t="s">
        <v>15061</v>
      </c>
      <c r="C5907" s="2" t="s">
        <v>26</v>
      </c>
      <c r="D5907" s="2" t="s">
        <v>27</v>
      </c>
      <c r="E5907" s="4">
        <v>-32508</v>
      </c>
      <c r="F5907" s="3" t="s">
        <v>864</v>
      </c>
      <c r="G5907" s="3" t="s">
        <v>691</v>
      </c>
      <c r="H5907" s="2" t="s">
        <v>74</v>
      </c>
      <c r="I5907" s="2" t="s">
        <v>15062</v>
      </c>
      <c r="J5907" s="3" t="str">
        <f>HYPERLINK("https://www.boe.es/gazeta/dias/1810/12/29/pdfs/GEI-1810-114.pdf#page=8","Abrir facsímil")</f>
        <v>Abrir facsímil</v>
      </c>
      <c r="K5907" s="3" t="s">
        <v>76</v>
      </c>
    </row>
    <row r="5908" spans="1:11" ht="42" customHeight="1">
      <c r="A5908" s="2" t="s">
        <v>15063</v>
      </c>
      <c r="B5908" s="2" t="s">
        <v>15064</v>
      </c>
      <c r="C5908" s="2" t="s">
        <v>26</v>
      </c>
      <c r="D5908" s="2" t="s">
        <v>39</v>
      </c>
      <c r="E5908" s="4">
        <v>-32701</v>
      </c>
      <c r="F5908" s="3" t="s">
        <v>40</v>
      </c>
      <c r="G5908" s="3" t="s">
        <v>333</v>
      </c>
      <c r="H5908" s="2" t="s">
        <v>74</v>
      </c>
      <c r="I5908" s="2" t="s">
        <v>15065</v>
      </c>
      <c r="J5908" s="3" t="str">
        <f>HYPERLINK("https://www.boe.es/gazeta/dias/1810/06/19/pdfs/GMD-C-1810-170.pdf#page=4","Abrir facsímil")</f>
        <v>Abrir facsímil</v>
      </c>
      <c r="K5908" s="3" t="s">
        <v>76</v>
      </c>
    </row>
    <row r="5909" spans="1:11" ht="42" customHeight="1">
      <c r="A5909" s="2" t="s">
        <v>15066</v>
      </c>
      <c r="B5909" s="2" t="s">
        <v>15066</v>
      </c>
      <c r="C5909" s="2" t="s">
        <v>88</v>
      </c>
      <c r="D5909" s="2" t="s">
        <v>220</v>
      </c>
      <c r="E5909" s="4">
        <v>-32846</v>
      </c>
      <c r="F5909" s="3" t="s">
        <v>1153</v>
      </c>
      <c r="G5909" s="3" t="s">
        <v>29</v>
      </c>
      <c r="H5909" s="2" t="s">
        <v>74</v>
      </c>
      <c r="I5909" s="2" t="s">
        <v>15067</v>
      </c>
      <c r="J5909" s="3" t="str">
        <f>HYPERLINK("https://www.boe.es/gazeta/dias/1810/01/25/pdfs/GMD-1810-25.pdf#page=2","Abrir facsímil")</f>
        <v>Abrir facsímil</v>
      </c>
      <c r="K5909" s="3" t="s">
        <v>76</v>
      </c>
    </row>
    <row r="5910" spans="1:11" ht="42" customHeight="1">
      <c r="A5910" s="2" t="s">
        <v>15066</v>
      </c>
      <c r="B5910" s="2" t="s">
        <v>15066</v>
      </c>
      <c r="C5910" s="2" t="s">
        <v>88</v>
      </c>
      <c r="D5910" s="2" t="s">
        <v>117</v>
      </c>
      <c r="E5910" s="4">
        <v>-32794</v>
      </c>
      <c r="F5910" s="3" t="s">
        <v>10648</v>
      </c>
      <c r="G5910" s="3" t="s">
        <v>2577</v>
      </c>
      <c r="H5910" s="2" t="s">
        <v>74</v>
      </c>
      <c r="I5910" s="2" t="s">
        <v>15068</v>
      </c>
      <c r="J5910" s="3" t="str">
        <f>HYPERLINK("https://www.boe.es/gazeta/dias/1810/03/18/pdfs/GMD-1810-77.pdf#page=1","Abrir facsímil")</f>
        <v>Abrir facsímil</v>
      </c>
      <c r="K5910" s="3" t="s">
        <v>76</v>
      </c>
    </row>
    <row r="5911" spans="1:11" ht="42" customHeight="1">
      <c r="A5911" s="2" t="s">
        <v>15066</v>
      </c>
      <c r="B5911" s="2" t="s">
        <v>15066</v>
      </c>
      <c r="C5911" s="2" t="s">
        <v>88</v>
      </c>
      <c r="D5911" s="2" t="s">
        <v>117</v>
      </c>
      <c r="E5911" s="4">
        <v>-32673</v>
      </c>
      <c r="F5911" s="3" t="s">
        <v>2174</v>
      </c>
      <c r="G5911" s="3" t="s">
        <v>4802</v>
      </c>
      <c r="H5911" s="2" t="s">
        <v>74</v>
      </c>
      <c r="I5911" s="2" t="s">
        <v>15069</v>
      </c>
      <c r="J5911" s="3" t="str">
        <f>HYPERLINK("https://www.boe.es/gazeta/dias/1810/07/17/pdfs/GEI-1810-45.pdf#page=1","Abrir facsímil")</f>
        <v>Abrir facsímil</v>
      </c>
      <c r="K5911" s="3" t="s">
        <v>76</v>
      </c>
    </row>
    <row r="5912" spans="1:11" ht="42" customHeight="1">
      <c r="A5912" s="2" t="s">
        <v>15066</v>
      </c>
      <c r="B5912" s="2" t="s">
        <v>15066</v>
      </c>
      <c r="C5912" s="2" t="s">
        <v>88</v>
      </c>
      <c r="D5912" s="2" t="s">
        <v>117</v>
      </c>
      <c r="E5912" s="4">
        <v>-32540</v>
      </c>
      <c r="F5912" s="3" t="s">
        <v>255</v>
      </c>
      <c r="G5912" s="3" t="s">
        <v>35</v>
      </c>
      <c r="H5912" s="2" t="s">
        <v>74</v>
      </c>
      <c r="I5912" s="2" t="s">
        <v>15070</v>
      </c>
      <c r="J5912" s="3" t="str">
        <f>HYPERLINK("https://www.boe.es/gazeta/dias/1810/11/27/pdfs/GMD-1810-331.pdf#page=2","Abrir facsímil")</f>
        <v>Abrir facsímil</v>
      </c>
      <c r="K5912" s="3" t="s">
        <v>76</v>
      </c>
    </row>
    <row r="5913" spans="1:11" ht="42" customHeight="1">
      <c r="A5913" s="2" t="s">
        <v>15066</v>
      </c>
      <c r="B5913" s="2" t="s">
        <v>15066</v>
      </c>
      <c r="C5913" s="2" t="s">
        <v>88</v>
      </c>
      <c r="D5913" s="2" t="s">
        <v>27</v>
      </c>
      <c r="E5913" s="4">
        <v>-32540</v>
      </c>
      <c r="F5913" s="3" t="s">
        <v>255</v>
      </c>
      <c r="G5913" s="3" t="s">
        <v>15071</v>
      </c>
      <c r="H5913" s="2" t="s">
        <v>74</v>
      </c>
      <c r="I5913" s="2" t="s">
        <v>15072</v>
      </c>
      <c r="J5913" s="3" t="str">
        <f>HYPERLINK("https://www.boe.es/gazeta/dias/1810/11/27/pdfs/GMD-1810-331.pdf#page=3","Abrir facsímil")</f>
        <v>Abrir facsímil</v>
      </c>
      <c r="K5913" s="3" t="s">
        <v>76</v>
      </c>
    </row>
    <row r="5914" spans="1:11" ht="42" customHeight="1">
      <c r="A5914" s="2" t="s">
        <v>15066</v>
      </c>
      <c r="B5914" s="2" t="s">
        <v>15066</v>
      </c>
      <c r="C5914" s="2" t="s">
        <v>88</v>
      </c>
      <c r="D5914" s="2" t="s">
        <v>27</v>
      </c>
      <c r="E5914" s="4">
        <v>-32518</v>
      </c>
      <c r="F5914" s="3" t="s">
        <v>15073</v>
      </c>
      <c r="G5914" s="3" t="s">
        <v>613</v>
      </c>
      <c r="H5914" s="2" t="s">
        <v>74</v>
      </c>
      <c r="I5914" s="2" t="s">
        <v>15074</v>
      </c>
      <c r="J5914" s="3" t="str">
        <f>HYPERLINK("https://www.boe.es/gazeta/dias/1810/12/19/pdfs/GMD-1810-353.pdf#page=2","Abrir facsímil")</f>
        <v>Abrir facsímil</v>
      </c>
      <c r="K5914" s="3" t="s">
        <v>76</v>
      </c>
    </row>
    <row r="5915" spans="1:11" ht="42" customHeight="1">
      <c r="A5915" s="2" t="s">
        <v>15075</v>
      </c>
      <c r="B5915" s="2" t="s">
        <v>15075</v>
      </c>
      <c r="C5915" s="2" t="s">
        <v>88</v>
      </c>
      <c r="D5915" s="2" t="s">
        <v>117</v>
      </c>
      <c r="E5915" s="4">
        <v>-32540</v>
      </c>
      <c r="F5915" s="3" t="s">
        <v>255</v>
      </c>
      <c r="G5915" s="3" t="s">
        <v>15071</v>
      </c>
      <c r="H5915" s="2" t="s">
        <v>74</v>
      </c>
      <c r="I5915" s="2" t="s">
        <v>15076</v>
      </c>
      <c r="J5915" s="3" t="str">
        <f>HYPERLINK("https://www.boe.es/gazeta/dias/1810/11/27/pdfs/GMD-1810-331.pdf#page=3","Abrir facsímil")</f>
        <v>Abrir facsímil</v>
      </c>
      <c r="K5915" s="3" t="s">
        <v>76</v>
      </c>
    </row>
    <row r="5916" spans="1:11" ht="42" customHeight="1">
      <c r="A5916" s="2" t="s">
        <v>15077</v>
      </c>
      <c r="B5916" s="2" t="s">
        <v>15077</v>
      </c>
      <c r="C5916" s="2" t="s">
        <v>88</v>
      </c>
      <c r="D5916" s="2" t="s">
        <v>220</v>
      </c>
      <c r="E5916" s="4">
        <v>-32781</v>
      </c>
      <c r="F5916" s="3" t="s">
        <v>5673</v>
      </c>
      <c r="G5916" s="3" t="s">
        <v>1590</v>
      </c>
      <c r="H5916" s="2" t="s">
        <v>74</v>
      </c>
      <c r="I5916" s="2" t="s">
        <v>15078</v>
      </c>
      <c r="J5916" s="3" t="str">
        <f>HYPERLINK("https://www.boe.es/gazeta/dias/1810/03/31/pdfs/GMD-1810-90.pdf#page=1","Abrir facsímil")</f>
        <v>Abrir facsímil</v>
      </c>
      <c r="K5916" s="3" t="s">
        <v>76</v>
      </c>
    </row>
    <row r="5917" spans="1:11" ht="42" customHeight="1">
      <c r="A5917" s="2" t="s">
        <v>15079</v>
      </c>
      <c r="B5917" s="2" t="s">
        <v>15079</v>
      </c>
      <c r="C5917" s="2" t="s">
        <v>26</v>
      </c>
      <c r="D5917" s="2" t="s">
        <v>27</v>
      </c>
      <c r="E5917" s="4">
        <v>-32628</v>
      </c>
      <c r="F5917" s="3" t="s">
        <v>3118</v>
      </c>
      <c r="G5917" s="3" t="s">
        <v>695</v>
      </c>
      <c r="H5917" s="2" t="s">
        <v>74</v>
      </c>
      <c r="I5917" s="2" t="s">
        <v>15080</v>
      </c>
      <c r="J5917" s="3" t="str">
        <f>HYPERLINK("https://www.boe.es/gazeta/dias/1810/08/31/pdfs/GEI-1810-62.pdf#page=4","Abrir facsímil")</f>
        <v>Abrir facsímil</v>
      </c>
      <c r="K5917" s="3" t="s">
        <v>76</v>
      </c>
    </row>
    <row r="5918" spans="1:11" ht="42" customHeight="1">
      <c r="A5918" s="2" t="s">
        <v>15081</v>
      </c>
      <c r="B5918" s="2" t="s">
        <v>15082</v>
      </c>
      <c r="C5918" s="2" t="s">
        <v>26</v>
      </c>
      <c r="D5918" s="2" t="s">
        <v>58</v>
      </c>
      <c r="E5918" s="4">
        <v>-32651</v>
      </c>
      <c r="F5918" s="3" t="s">
        <v>59</v>
      </c>
      <c r="G5918" s="3" t="s">
        <v>60</v>
      </c>
      <c r="H5918" s="2" t="s">
        <v>74</v>
      </c>
      <c r="I5918" s="2" t="s">
        <v>15083</v>
      </c>
      <c r="J5918" s="3" t="str">
        <f>HYPERLINK("https://www.boe.es/gazeta/dias/1810/08/08/pdfs/GEI-1810-53E.pdf#page=3","Abrir facsímil")</f>
        <v>Abrir facsímil</v>
      </c>
      <c r="K5918" s="3" t="s">
        <v>76</v>
      </c>
    </row>
    <row r="5919" spans="1:11" ht="42" customHeight="1">
      <c r="A5919" s="2" t="s">
        <v>15084</v>
      </c>
      <c r="B5919" s="2" t="s">
        <v>15085</v>
      </c>
      <c r="C5919" s="2" t="s">
        <v>26</v>
      </c>
      <c r="D5919" s="2" t="s">
        <v>220</v>
      </c>
      <c r="E5919" s="4">
        <v>-32689</v>
      </c>
      <c r="F5919" s="3" t="s">
        <v>571</v>
      </c>
      <c r="G5919" s="3" t="s">
        <v>29</v>
      </c>
      <c r="H5919" s="2" t="s">
        <v>74</v>
      </c>
      <c r="I5919" s="2" t="s">
        <v>15086</v>
      </c>
      <c r="J5919" s="3" t="str">
        <f>HYPERLINK("https://www.boe.es/gazeta/dias/1810/07/01/pdfs/GMD-1810-182.pdf#page=3","Abrir facsímil")</f>
        <v>Abrir facsímil</v>
      </c>
      <c r="K5919" s="3" t="s">
        <v>76</v>
      </c>
    </row>
    <row r="5920" spans="1:11" ht="42" customHeight="1">
      <c r="A5920" s="2" t="s">
        <v>15087</v>
      </c>
      <c r="B5920" s="2" t="s">
        <v>15088</v>
      </c>
      <c r="C5920" s="2" t="s">
        <v>26</v>
      </c>
      <c r="D5920" s="2" t="s">
        <v>39</v>
      </c>
      <c r="E5920" s="4">
        <v>-32599</v>
      </c>
      <c r="F5920" s="3" t="s">
        <v>662</v>
      </c>
      <c r="G5920" s="3" t="s">
        <v>663</v>
      </c>
      <c r="H5920" s="2" t="s">
        <v>74</v>
      </c>
      <c r="I5920" s="2" t="s">
        <v>15089</v>
      </c>
      <c r="J5920" s="3" t="str">
        <f>HYPERLINK("https://www.boe.es/gazeta/dias/1810/09/29/pdfs/GMD-C-1810-272.pdf#page=11","Abrir facsímil")</f>
        <v>Abrir facsímil</v>
      </c>
      <c r="K5920" s="3" t="s">
        <v>76</v>
      </c>
    </row>
    <row r="5921" spans="1:11" ht="42" customHeight="1">
      <c r="A5921" s="2" t="s">
        <v>15090</v>
      </c>
      <c r="B5921" s="2" t="s">
        <v>15091</v>
      </c>
      <c r="C5921" s="2" t="s">
        <v>317</v>
      </c>
      <c r="D5921" s="2" t="s">
        <v>27</v>
      </c>
      <c r="E5921" s="4">
        <v>-32732</v>
      </c>
      <c r="F5921" s="3" t="s">
        <v>545</v>
      </c>
      <c r="G5921" s="3" t="s">
        <v>90</v>
      </c>
      <c r="H5921" s="2" t="s">
        <v>74</v>
      </c>
      <c r="I5921" s="2" t="s">
        <v>15092</v>
      </c>
      <c r="J5921" s="3" t="str">
        <f>HYPERLINK("https://www.boe.es/gazeta/dias/1810/05/19/pdfs/GMD-1810-139.pdf#page=4","Abrir facsímil")</f>
        <v>Abrir facsímil</v>
      </c>
      <c r="K5921" s="3" t="s">
        <v>76</v>
      </c>
    </row>
    <row r="5922" spans="1:11" ht="42" customHeight="1">
      <c r="A5922" s="2" t="s">
        <v>15093</v>
      </c>
      <c r="B5922" s="2" t="s">
        <v>15094</v>
      </c>
      <c r="C5922" s="2" t="s">
        <v>88</v>
      </c>
      <c r="D5922" s="2" t="s">
        <v>39</v>
      </c>
      <c r="E5922" s="4">
        <v>-32642</v>
      </c>
      <c r="F5922" s="3" t="s">
        <v>2273</v>
      </c>
      <c r="G5922" s="3" t="s">
        <v>274</v>
      </c>
      <c r="H5922" s="2" t="s">
        <v>74</v>
      </c>
      <c r="I5922" s="2" t="s">
        <v>15095</v>
      </c>
      <c r="J5922" s="3" t="str">
        <f>HYPERLINK("https://www.boe.es/gazeta/dias/1810/08/17/pdfs/GEI-D-1810-57.pdf#page=8","Abrir facsímil")</f>
        <v>Abrir facsímil</v>
      </c>
      <c r="K5922" s="3" t="s">
        <v>76</v>
      </c>
    </row>
    <row r="5923" spans="1:11" ht="42" customHeight="1">
      <c r="A5923" s="2" t="s">
        <v>15096</v>
      </c>
      <c r="B5923" s="2" t="s">
        <v>15097</v>
      </c>
      <c r="C5923" s="2" t="s">
        <v>26</v>
      </c>
      <c r="D5923" s="2" t="s">
        <v>27</v>
      </c>
      <c r="E5923" s="4">
        <v>-32608</v>
      </c>
      <c r="F5923" s="3" t="s">
        <v>781</v>
      </c>
      <c r="G5923" s="3" t="s">
        <v>782</v>
      </c>
      <c r="H5923" s="2" t="s">
        <v>74</v>
      </c>
      <c r="I5923" s="2" t="s">
        <v>15098</v>
      </c>
      <c r="J5923" s="3" t="str">
        <f>HYPERLINK("https://www.boe.es/gazeta/dias/1810/09/20/pdfs/GEI-1810-70.pdf#page=5","Abrir facsímil")</f>
        <v>Abrir facsímil</v>
      </c>
      <c r="K5923" s="3" t="s">
        <v>76</v>
      </c>
    </row>
    <row r="5924" spans="1:11" ht="42" customHeight="1">
      <c r="A5924" s="2" t="s">
        <v>15099</v>
      </c>
      <c r="B5924" s="2" t="s">
        <v>15100</v>
      </c>
      <c r="C5924" s="2" t="s">
        <v>17</v>
      </c>
      <c r="D5924" s="2" t="s">
        <v>27</v>
      </c>
      <c r="E5924" s="4">
        <v>-32820</v>
      </c>
      <c r="F5924" s="3" t="s">
        <v>226</v>
      </c>
      <c r="G5924" s="3" t="s">
        <v>227</v>
      </c>
      <c r="H5924" s="2" t="s">
        <v>74</v>
      </c>
      <c r="I5924" s="2" t="s">
        <v>15101</v>
      </c>
      <c r="J5924" s="3" t="str">
        <f>HYPERLINK("https://www.boe.es/gazeta/dias/1810/02/20/pdfs/GMD-1810-51.pdf#page=4","Abrir facsímil")</f>
        <v>Abrir facsímil</v>
      </c>
      <c r="K5924" s="3" t="s">
        <v>76</v>
      </c>
    </row>
    <row r="5925" spans="1:11" ht="42" customHeight="1">
      <c r="A5925" s="2" t="s">
        <v>15099</v>
      </c>
      <c r="B5925" s="2" t="s">
        <v>15100</v>
      </c>
      <c r="C5925" s="2" t="s">
        <v>33</v>
      </c>
      <c r="D5925" s="2" t="s">
        <v>18</v>
      </c>
      <c r="E5925" s="4">
        <v>-32520</v>
      </c>
      <c r="F5925" s="3" t="s">
        <v>2109</v>
      </c>
      <c r="G5925" s="3" t="s">
        <v>2110</v>
      </c>
      <c r="H5925" s="2" t="s">
        <v>74</v>
      </c>
      <c r="I5925" s="2" t="s">
        <v>15102</v>
      </c>
      <c r="J5925" s="3" t="str">
        <f>HYPERLINK("https://www.boe.es/gazeta/dias/1810/12/17/pdfs/GMD-1810-351.pdf#page=2","Abrir facsímil")</f>
        <v>Abrir facsímil</v>
      </c>
      <c r="K5925" s="3" t="s">
        <v>76</v>
      </c>
    </row>
    <row r="5926" spans="1:11" ht="42" customHeight="1">
      <c r="A5926" s="2" t="s">
        <v>15103</v>
      </c>
      <c r="B5926" s="2" t="s">
        <v>15104</v>
      </c>
      <c r="C5926" s="2" t="s">
        <v>33</v>
      </c>
      <c r="D5926" s="2" t="s">
        <v>27</v>
      </c>
      <c r="E5926" s="4">
        <v>-32757</v>
      </c>
      <c r="F5926" s="3" t="s">
        <v>1136</v>
      </c>
      <c r="G5926" s="3" t="s">
        <v>1901</v>
      </c>
      <c r="H5926" s="2" t="s">
        <v>74</v>
      </c>
      <c r="I5926" s="2" t="s">
        <v>15105</v>
      </c>
      <c r="J5926" s="3" t="str">
        <f>HYPERLINK("https://www.boe.es/gazeta/dias/1810/04/24/pdfs/GEI-1810-17.pdf#page=8","Abrir facsímil")</f>
        <v>Abrir facsímil</v>
      </c>
      <c r="K5926" s="3" t="s">
        <v>76</v>
      </c>
    </row>
    <row r="5927" spans="1:11" ht="42" customHeight="1">
      <c r="A5927" s="2" t="s">
        <v>15106</v>
      </c>
      <c r="B5927" s="2" t="s">
        <v>15107</v>
      </c>
      <c r="C5927" s="2" t="s">
        <v>111</v>
      </c>
      <c r="D5927" s="2" t="s">
        <v>27</v>
      </c>
      <c r="E5927" s="4">
        <v>-32734</v>
      </c>
      <c r="F5927" s="3" t="s">
        <v>19</v>
      </c>
      <c r="G5927" s="3" t="s">
        <v>20</v>
      </c>
      <c r="H5927" s="2" t="s">
        <v>74</v>
      </c>
      <c r="I5927" s="2" t="s">
        <v>15108</v>
      </c>
      <c r="J5927" s="3" t="str">
        <f>HYPERLINK("https://www.boe.es/gazeta/dias/1810/05/17/pdfs/GMD-1810-137.pdf#page=4","Abrir facsímil")</f>
        <v>Abrir facsímil</v>
      </c>
      <c r="K5927" s="3" t="s">
        <v>76</v>
      </c>
    </row>
    <row r="5928" spans="1:11" ht="42" customHeight="1">
      <c r="A5928" s="2" t="s">
        <v>15106</v>
      </c>
      <c r="B5928" s="2" t="s">
        <v>15107</v>
      </c>
      <c r="C5928" s="2" t="s">
        <v>33</v>
      </c>
      <c r="D5928" s="2" t="s">
        <v>27</v>
      </c>
      <c r="E5928" s="4">
        <v>-32733</v>
      </c>
      <c r="F5928" s="3" t="s">
        <v>955</v>
      </c>
      <c r="G5928" s="3" t="s">
        <v>5433</v>
      </c>
      <c r="H5928" s="2" t="s">
        <v>74</v>
      </c>
      <c r="I5928" s="2" t="s">
        <v>15109</v>
      </c>
      <c r="J5928" s="3" t="str">
        <f>HYPERLINK("https://www.boe.es/gazeta/dias/1810/05/18/pdfs/GEI-1810-27.pdf#page=3","Abrir facsímil")</f>
        <v>Abrir facsímil</v>
      </c>
      <c r="K5928" s="3" t="s">
        <v>76</v>
      </c>
    </row>
    <row r="5929" spans="1:11" ht="42" customHeight="1">
      <c r="A5929" s="2" t="s">
        <v>15110</v>
      </c>
      <c r="B5929" s="2" t="s">
        <v>15111</v>
      </c>
      <c r="C5929" s="2" t="s">
        <v>26</v>
      </c>
      <c r="D5929" s="2" t="s">
        <v>27</v>
      </c>
      <c r="E5929" s="4">
        <v>-32839</v>
      </c>
      <c r="F5929" s="3" t="s">
        <v>28</v>
      </c>
      <c r="G5929" s="3" t="s">
        <v>29</v>
      </c>
      <c r="H5929" s="2" t="s">
        <v>74</v>
      </c>
      <c r="I5929" s="2" t="s">
        <v>15112</v>
      </c>
      <c r="J5929" s="3" t="str">
        <f>HYPERLINK("https://www.boe.es/gazeta/dias/1810/02/01/pdfs/GMD-1810-32.pdf#page=3","Abrir facsímil")</f>
        <v>Abrir facsímil</v>
      </c>
      <c r="K5929" s="3" t="s">
        <v>76</v>
      </c>
    </row>
    <row r="5930" spans="1:11" ht="42" customHeight="1">
      <c r="A5930" s="2" t="s">
        <v>15113</v>
      </c>
      <c r="B5930" s="2" t="s">
        <v>15114</v>
      </c>
      <c r="C5930" s="2" t="s">
        <v>26</v>
      </c>
      <c r="D5930" s="2" t="s">
        <v>27</v>
      </c>
      <c r="E5930" s="4">
        <v>-32517</v>
      </c>
      <c r="F5930" s="3" t="s">
        <v>566</v>
      </c>
      <c r="G5930" s="3" t="s">
        <v>762</v>
      </c>
      <c r="H5930" s="2" t="s">
        <v>74</v>
      </c>
      <c r="I5930" s="2" t="s">
        <v>15115</v>
      </c>
      <c r="J5930" s="3" t="str">
        <f>HYPERLINK("https://www.boe.es/gazeta/dias/1810/12/20/pdfs/GEI-1810-110.pdf#page=8","Abrir facsímil")</f>
        <v>Abrir facsímil</v>
      </c>
      <c r="K5930" s="3" t="s">
        <v>76</v>
      </c>
    </row>
    <row r="5931" spans="1:11" ht="42" customHeight="1">
      <c r="A5931" s="2" t="s">
        <v>15116</v>
      </c>
      <c r="B5931" s="2" t="s">
        <v>15117</v>
      </c>
      <c r="C5931" s="2" t="s">
        <v>26</v>
      </c>
      <c r="D5931" s="2" t="s">
        <v>27</v>
      </c>
      <c r="E5931" s="4">
        <v>-32591</v>
      </c>
      <c r="F5931" s="3" t="s">
        <v>377</v>
      </c>
      <c r="G5931" s="3" t="s">
        <v>140</v>
      </c>
      <c r="H5931" s="2" t="s">
        <v>74</v>
      </c>
      <c r="I5931" s="2" t="s">
        <v>15118</v>
      </c>
      <c r="J5931" s="3" t="str">
        <f>HYPERLINK("https://www.boe.es/gazeta/dias/1810/10/07/pdfs/GMD-1810-280.pdf#page=4","Abrir facsímil")</f>
        <v>Abrir facsímil</v>
      </c>
      <c r="K5931" s="3" t="s">
        <v>76</v>
      </c>
    </row>
    <row r="5932" spans="1:11" ht="42" customHeight="1">
      <c r="A5932" s="2" t="s">
        <v>15119</v>
      </c>
      <c r="B5932" s="2" t="s">
        <v>15120</v>
      </c>
      <c r="C5932" s="2" t="s">
        <v>26</v>
      </c>
      <c r="D5932" s="2" t="s">
        <v>27</v>
      </c>
      <c r="E5932" s="4">
        <v>-32517</v>
      </c>
      <c r="F5932" s="3" t="s">
        <v>566</v>
      </c>
      <c r="G5932" s="3" t="s">
        <v>762</v>
      </c>
      <c r="H5932" s="2" t="s">
        <v>74</v>
      </c>
      <c r="I5932" s="2" t="s">
        <v>15121</v>
      </c>
      <c r="J5932" s="3" t="str">
        <f>HYPERLINK("https://www.boe.es/gazeta/dias/1810/12/20/pdfs/GEI-1810-110.pdf#page=8","Abrir facsímil")</f>
        <v>Abrir facsímil</v>
      </c>
      <c r="K5932" s="3" t="s">
        <v>76</v>
      </c>
    </row>
    <row r="5933" spans="1:11" ht="42" customHeight="1">
      <c r="A5933" s="2" t="s">
        <v>15122</v>
      </c>
      <c r="B5933" s="2" t="s">
        <v>15123</v>
      </c>
      <c r="C5933" s="2" t="s">
        <v>26</v>
      </c>
      <c r="D5933" s="2" t="s">
        <v>27</v>
      </c>
      <c r="E5933" s="4">
        <v>-32839</v>
      </c>
      <c r="F5933" s="3" t="s">
        <v>28</v>
      </c>
      <c r="G5933" s="3" t="s">
        <v>29</v>
      </c>
      <c r="H5933" s="2" t="s">
        <v>74</v>
      </c>
      <c r="I5933" s="2" t="s">
        <v>15124</v>
      </c>
      <c r="J5933" s="3" t="str">
        <f>HYPERLINK("https://www.boe.es/gazeta/dias/1810/02/01/pdfs/GMD-1810-32.pdf#page=3","Abrir facsímil")</f>
        <v>Abrir facsímil</v>
      </c>
      <c r="K5933" s="3" t="s">
        <v>76</v>
      </c>
    </row>
    <row r="5934" spans="1:11" ht="42" customHeight="1">
      <c r="A5934" s="2" t="s">
        <v>15122</v>
      </c>
      <c r="B5934" s="2" t="s">
        <v>15123</v>
      </c>
      <c r="C5934" s="2" t="s">
        <v>26</v>
      </c>
      <c r="D5934" s="2" t="s">
        <v>27</v>
      </c>
      <c r="E5934" s="4">
        <v>-32517</v>
      </c>
      <c r="F5934" s="3" t="s">
        <v>566</v>
      </c>
      <c r="G5934" s="3" t="s">
        <v>762</v>
      </c>
      <c r="H5934" s="2" t="s">
        <v>74</v>
      </c>
      <c r="I5934" s="2" t="s">
        <v>15125</v>
      </c>
      <c r="J5934" s="3" t="str">
        <f>HYPERLINK("https://www.boe.es/gazeta/dias/1810/12/20/pdfs/GEI-1810-110.pdf#page=8","Abrir facsímil")</f>
        <v>Abrir facsímil</v>
      </c>
      <c r="K5934" s="3" t="s">
        <v>76</v>
      </c>
    </row>
    <row r="5935" spans="1:11" ht="42" customHeight="1">
      <c r="A5935" s="2" t="s">
        <v>15126</v>
      </c>
      <c r="B5935" s="2" t="s">
        <v>15127</v>
      </c>
      <c r="C5935" s="2" t="s">
        <v>33</v>
      </c>
      <c r="D5935" s="2" t="s">
        <v>58</v>
      </c>
      <c r="E5935" s="4">
        <v>-32601</v>
      </c>
      <c r="F5935" s="3" t="s">
        <v>392</v>
      </c>
      <c r="G5935" s="3" t="s">
        <v>1430</v>
      </c>
      <c r="H5935" s="2" t="s">
        <v>74</v>
      </c>
      <c r="I5935" s="2" t="s">
        <v>15128</v>
      </c>
      <c r="J5935" s="3" t="str">
        <f>HYPERLINK("https://www.boe.es/gazeta/dias/1810/09/27/pdfs/GEI-1810-74E.pdf#page=3","Abrir facsímil")</f>
        <v>Abrir facsímil</v>
      </c>
      <c r="K5935" s="3" t="s">
        <v>76</v>
      </c>
    </row>
    <row r="5936" spans="1:11" ht="42" customHeight="1">
      <c r="A5936" s="2" t="s">
        <v>15129</v>
      </c>
      <c r="B5936" s="2" t="s">
        <v>15130</v>
      </c>
      <c r="C5936" s="2" t="s">
        <v>17</v>
      </c>
      <c r="D5936" s="2" t="s">
        <v>27</v>
      </c>
      <c r="E5936" s="4">
        <v>-32820</v>
      </c>
      <c r="F5936" s="3" t="s">
        <v>226</v>
      </c>
      <c r="G5936" s="3" t="s">
        <v>356</v>
      </c>
      <c r="H5936" s="2" t="s">
        <v>74</v>
      </c>
      <c r="I5936" s="2" t="s">
        <v>15131</v>
      </c>
      <c r="J5936" s="3" t="str">
        <f>HYPERLINK("https://www.boe.es/gazeta/dias/1810/02/20/pdfs/GMD-1810-51.pdf#page=3","Abrir facsímil")</f>
        <v>Abrir facsímil</v>
      </c>
      <c r="K5936" s="3" t="s">
        <v>76</v>
      </c>
    </row>
    <row r="5937" spans="1:11" ht="42" customHeight="1">
      <c r="A5937" s="2" t="s">
        <v>15132</v>
      </c>
      <c r="B5937" s="2" t="s">
        <v>15133</v>
      </c>
      <c r="C5937" s="2" t="s">
        <v>26</v>
      </c>
      <c r="D5937" s="2" t="s">
        <v>27</v>
      </c>
      <c r="E5937" s="4">
        <v>-32531</v>
      </c>
      <c r="F5937" s="3" t="s">
        <v>2023</v>
      </c>
      <c r="G5937" s="3" t="s">
        <v>29</v>
      </c>
      <c r="H5937" s="2" t="s">
        <v>74</v>
      </c>
      <c r="I5937" s="2" t="s">
        <v>15134</v>
      </c>
      <c r="J5937" s="3" t="str">
        <f>HYPERLINK("https://www.boe.es/gazeta/dias/1810/12/06/pdfs/GMD-1810-340.pdf#page=4","Abrir facsímil")</f>
        <v>Abrir facsímil</v>
      </c>
      <c r="K5937" s="3" t="s">
        <v>76</v>
      </c>
    </row>
    <row r="5938" spans="1:11" ht="42" customHeight="1">
      <c r="A5938" s="2" t="s">
        <v>15135</v>
      </c>
      <c r="B5938" s="2" t="s">
        <v>15135</v>
      </c>
      <c r="C5938" s="2" t="s">
        <v>88</v>
      </c>
      <c r="D5938" s="2" t="s">
        <v>27</v>
      </c>
      <c r="E5938" s="4">
        <v>-32755</v>
      </c>
      <c r="F5938" s="3" t="s">
        <v>1641</v>
      </c>
      <c r="G5938" s="3" t="s">
        <v>9132</v>
      </c>
      <c r="H5938" s="2" t="s">
        <v>74</v>
      </c>
      <c r="I5938" s="2" t="s">
        <v>15136</v>
      </c>
      <c r="J5938" s="3" t="str">
        <f>HYPERLINK("https://www.boe.es/gazeta/dias/1810/04/26/pdfs/GMD-1810-116.pdf#page=1","Abrir facsímil")</f>
        <v>Abrir facsímil</v>
      </c>
      <c r="K5938" s="3" t="s">
        <v>76</v>
      </c>
    </row>
    <row r="5939" spans="1:11" ht="42" customHeight="1">
      <c r="A5939" s="2" t="s">
        <v>15135</v>
      </c>
      <c r="B5939" s="2" t="s">
        <v>15135</v>
      </c>
      <c r="C5939" s="2" t="s">
        <v>88</v>
      </c>
      <c r="D5939" s="2" t="s">
        <v>27</v>
      </c>
      <c r="E5939" s="4">
        <v>-32534</v>
      </c>
      <c r="F5939" s="3" t="s">
        <v>2242</v>
      </c>
      <c r="G5939" s="3" t="s">
        <v>180</v>
      </c>
      <c r="H5939" s="2" t="s">
        <v>74</v>
      </c>
      <c r="I5939" s="2" t="s">
        <v>15137</v>
      </c>
      <c r="J5939" s="3" t="str">
        <f>HYPERLINK("https://www.boe.es/gazeta/dias/1810/12/03/pdfs/GMD-1810-337.pdf#page=3","Abrir facsímil")</f>
        <v>Abrir facsímil</v>
      </c>
      <c r="K5939" s="3" t="s">
        <v>76</v>
      </c>
    </row>
    <row r="5940" spans="1:11" ht="42" customHeight="1">
      <c r="A5940" s="2" t="s">
        <v>15138</v>
      </c>
      <c r="B5940" s="2" t="s">
        <v>15139</v>
      </c>
      <c r="C5940" s="2" t="s">
        <v>225</v>
      </c>
      <c r="D5940" s="2" t="s">
        <v>27</v>
      </c>
      <c r="E5940" s="4">
        <v>-32618</v>
      </c>
      <c r="F5940" s="3" t="s">
        <v>1501</v>
      </c>
      <c r="G5940" s="3" t="s">
        <v>20</v>
      </c>
      <c r="H5940" s="2" t="s">
        <v>74</v>
      </c>
      <c r="I5940" s="2" t="s">
        <v>15140</v>
      </c>
      <c r="J5940" s="3" t="str">
        <f>HYPERLINK("https://www.boe.es/gazeta/dias/1810/09/10/pdfs/GMD-1810-253.pdf#page=4","Abrir facsímil")</f>
        <v>Abrir facsímil</v>
      </c>
      <c r="K5940" s="3" t="s">
        <v>76</v>
      </c>
    </row>
    <row r="5941" spans="1:11" ht="42" customHeight="1">
      <c r="A5941" s="2" t="s">
        <v>15141</v>
      </c>
      <c r="B5941" s="2" t="s">
        <v>15142</v>
      </c>
      <c r="C5941" s="2" t="s">
        <v>26</v>
      </c>
      <c r="D5941" s="2" t="s">
        <v>39</v>
      </c>
      <c r="E5941" s="4">
        <v>-32701</v>
      </c>
      <c r="F5941" s="3" t="s">
        <v>40</v>
      </c>
      <c r="G5941" s="3" t="s">
        <v>315</v>
      </c>
      <c r="H5941" s="2" t="s">
        <v>74</v>
      </c>
      <c r="I5941" s="2" t="s">
        <v>15143</v>
      </c>
      <c r="J5941" s="3" t="str">
        <f>HYPERLINK("https://www.boe.es/gazeta/dias/1810/06/19/pdfs/GMD-C-1810-170.pdf#page=2","Abrir facsímil")</f>
        <v>Abrir facsímil</v>
      </c>
      <c r="K5941" s="3" t="s">
        <v>76</v>
      </c>
    </row>
    <row r="5942" spans="1:11" ht="42" customHeight="1">
      <c r="A5942" s="2" t="s">
        <v>15144</v>
      </c>
      <c r="B5942" s="2" t="s">
        <v>15145</v>
      </c>
      <c r="C5942" s="2" t="s">
        <v>26</v>
      </c>
      <c r="D5942" s="2" t="s">
        <v>27</v>
      </c>
      <c r="E5942" s="4">
        <v>-32644</v>
      </c>
      <c r="F5942" s="3" t="s">
        <v>457</v>
      </c>
      <c r="G5942" s="3" t="s">
        <v>213</v>
      </c>
      <c r="H5942" s="2" t="s">
        <v>74</v>
      </c>
      <c r="I5942" s="2" t="s">
        <v>15146</v>
      </c>
      <c r="J5942" s="3" t="str">
        <f>HYPERLINK("https://www.boe.es/gazeta/dias/1810/08/15/pdfs/GMD-1810-227.pdf#page=4","Abrir facsímil")</f>
        <v>Abrir facsímil</v>
      </c>
      <c r="K5942" s="3" t="s">
        <v>76</v>
      </c>
    </row>
    <row r="5943" spans="1:11" ht="42" customHeight="1">
      <c r="A5943" s="2" t="s">
        <v>15147</v>
      </c>
      <c r="B5943" s="2" t="s">
        <v>15147</v>
      </c>
      <c r="C5943" s="2" t="s">
        <v>26</v>
      </c>
      <c r="D5943" s="2" t="s">
        <v>27</v>
      </c>
      <c r="E5943" s="4">
        <v>-32661</v>
      </c>
      <c r="F5943" s="3" t="s">
        <v>7882</v>
      </c>
      <c r="G5943" s="3" t="s">
        <v>7883</v>
      </c>
      <c r="H5943" s="2" t="s">
        <v>74</v>
      </c>
      <c r="I5943" s="2" t="s">
        <v>15148</v>
      </c>
      <c r="J5943" s="3" t="str">
        <f>HYPERLINK("https://www.boe.es/gazeta/dias/1810/07/29/pdfs/GMD-1810-210.pdf#page=1","Abrir facsímil")</f>
        <v>Abrir facsímil</v>
      </c>
      <c r="K5943" s="3" t="s">
        <v>76</v>
      </c>
    </row>
    <row r="5944" spans="1:11" ht="42" customHeight="1">
      <c r="A5944" s="2" t="s">
        <v>15149</v>
      </c>
      <c r="B5944" s="2" t="s">
        <v>15150</v>
      </c>
      <c r="C5944" s="2" t="s">
        <v>88</v>
      </c>
      <c r="D5944" s="2" t="s">
        <v>117</v>
      </c>
      <c r="E5944" s="4">
        <v>-32858</v>
      </c>
      <c r="F5944" s="3" t="s">
        <v>3069</v>
      </c>
      <c r="G5944" s="3" t="s">
        <v>35</v>
      </c>
      <c r="H5944" s="2" t="s">
        <v>74</v>
      </c>
      <c r="I5944" s="2" t="s">
        <v>15151</v>
      </c>
      <c r="J5944" s="3" t="str">
        <f>HYPERLINK("https://www.boe.es/gazeta/dias/1810/01/13/pdfs/GMD-1810-13.pdf#page=2","Abrir facsímil")</f>
        <v>Abrir facsímil</v>
      </c>
      <c r="K5944" s="3" t="s">
        <v>76</v>
      </c>
    </row>
    <row r="5945" spans="1:11" ht="42" customHeight="1">
      <c r="A5945" s="2" t="s">
        <v>15152</v>
      </c>
      <c r="B5945" s="2" t="s">
        <v>15153</v>
      </c>
      <c r="C5945" s="2" t="s">
        <v>26</v>
      </c>
      <c r="D5945" s="2" t="s">
        <v>39</v>
      </c>
      <c r="E5945" s="4">
        <v>-32702</v>
      </c>
      <c r="F5945" s="3" t="s">
        <v>179</v>
      </c>
      <c r="G5945" s="3" t="s">
        <v>213</v>
      </c>
      <c r="H5945" s="2" t="s">
        <v>74</v>
      </c>
      <c r="I5945" s="2" t="s">
        <v>15154</v>
      </c>
      <c r="J5945" s="3" t="str">
        <f>HYPERLINK("https://www.boe.es/gazeta/dias/1810/06/18/pdfs/GMD-C-1810-169.pdf#page=4","Abrir facsímil")</f>
        <v>Abrir facsímil</v>
      </c>
      <c r="K5945" s="3" t="s">
        <v>76</v>
      </c>
    </row>
    <row r="5946" spans="1:11" ht="42" customHeight="1">
      <c r="A5946" s="2" t="s">
        <v>15155</v>
      </c>
      <c r="B5946" s="2" t="s">
        <v>15156</v>
      </c>
      <c r="C5946" s="2" t="s">
        <v>26</v>
      </c>
      <c r="D5946" s="2" t="s">
        <v>27</v>
      </c>
      <c r="E5946" s="4">
        <v>-32591</v>
      </c>
      <c r="F5946" s="3" t="s">
        <v>377</v>
      </c>
      <c r="G5946" s="3" t="s">
        <v>136</v>
      </c>
      <c r="H5946" s="2" t="s">
        <v>74</v>
      </c>
      <c r="I5946" s="2" t="s">
        <v>15157</v>
      </c>
      <c r="J5946" s="3" t="str">
        <f>HYPERLINK("https://www.boe.es/gazeta/dias/1810/10/07/pdfs/GMD-1810-280.pdf#page=3","Abrir facsímil")</f>
        <v>Abrir facsímil</v>
      </c>
      <c r="K5946" s="3" t="s">
        <v>76</v>
      </c>
    </row>
    <row r="5947" spans="1:11" ht="42" customHeight="1">
      <c r="A5947" s="2" t="s">
        <v>15158</v>
      </c>
      <c r="B5947" s="2" t="s">
        <v>15159</v>
      </c>
      <c r="C5947" s="2" t="s">
        <v>26</v>
      </c>
      <c r="D5947" s="2" t="s">
        <v>27</v>
      </c>
      <c r="E5947" s="4">
        <v>-32729</v>
      </c>
      <c r="F5947" s="3" t="s">
        <v>174</v>
      </c>
      <c r="G5947" s="3" t="s">
        <v>175</v>
      </c>
      <c r="H5947" s="2" t="s">
        <v>74</v>
      </c>
      <c r="I5947" s="2" t="s">
        <v>15160</v>
      </c>
      <c r="J5947" s="3" t="str">
        <f>HYPERLINK("https://www.boe.es/gazeta/dias/1810/05/22/pdfs/GEI-1810-28.pdf#page=10","Abrir facsímil")</f>
        <v>Abrir facsímil</v>
      </c>
      <c r="K5947" s="3" t="s">
        <v>76</v>
      </c>
    </row>
    <row r="5948" spans="1:11" ht="42" customHeight="1">
      <c r="A5948" s="2" t="s">
        <v>15161</v>
      </c>
      <c r="B5948" s="2" t="s">
        <v>15162</v>
      </c>
      <c r="C5948" s="2" t="s">
        <v>26</v>
      </c>
      <c r="D5948" s="2" t="s">
        <v>58</v>
      </c>
      <c r="E5948" s="4">
        <v>-32629</v>
      </c>
      <c r="F5948" s="3" t="s">
        <v>4320</v>
      </c>
      <c r="G5948" s="3" t="s">
        <v>104</v>
      </c>
      <c r="H5948" s="2" t="s">
        <v>74</v>
      </c>
      <c r="I5948" s="2" t="s">
        <v>15163</v>
      </c>
      <c r="J5948" s="3" t="str">
        <f>HYPERLINK("https://www.boe.es/gazeta/dias/1810/08/30/pdfs/GEI-1810-61E.pdf#page=3","Abrir facsímil")</f>
        <v>Abrir facsímil</v>
      </c>
      <c r="K5948" s="3" t="s">
        <v>76</v>
      </c>
    </row>
    <row r="5949" spans="1:11" ht="42" customHeight="1">
      <c r="A5949" s="2" t="s">
        <v>15164</v>
      </c>
      <c r="B5949" s="2" t="s">
        <v>15165</v>
      </c>
      <c r="C5949" s="2" t="s">
        <v>88</v>
      </c>
      <c r="D5949" s="2" t="s">
        <v>27</v>
      </c>
      <c r="E5949" s="4">
        <v>-32842</v>
      </c>
      <c r="F5949" s="3" t="s">
        <v>1291</v>
      </c>
      <c r="G5949" s="3" t="s">
        <v>35</v>
      </c>
      <c r="H5949" s="2" t="s">
        <v>74</v>
      </c>
      <c r="I5949" s="2" t="s">
        <v>15166</v>
      </c>
      <c r="J5949" s="3" t="str">
        <f>HYPERLINK("https://www.boe.es/gazeta/dias/1810/01/29/pdfs/GMD-1810-29.pdf#page=2","Abrir facsímil")</f>
        <v>Abrir facsímil</v>
      </c>
      <c r="K5949" s="3" t="s">
        <v>76</v>
      </c>
    </row>
    <row r="5950" spans="1:11" ht="42" customHeight="1">
      <c r="A5950" s="2" t="s">
        <v>15167</v>
      </c>
      <c r="B5950" s="2" t="s">
        <v>15168</v>
      </c>
      <c r="C5950" s="2" t="s">
        <v>26</v>
      </c>
      <c r="D5950" s="2" t="s">
        <v>27</v>
      </c>
      <c r="E5950" s="4">
        <v>-32591</v>
      </c>
      <c r="F5950" s="3" t="s">
        <v>377</v>
      </c>
      <c r="G5950" s="3" t="s">
        <v>886</v>
      </c>
      <c r="H5950" s="2" t="s">
        <v>74</v>
      </c>
      <c r="I5950" s="2" t="s">
        <v>15169</v>
      </c>
      <c r="J5950" s="3" t="str">
        <f>HYPERLINK("https://www.boe.es/gazeta/dias/1810/10/07/pdfs/GMD-1810-280.pdf#page=1","Abrir facsímil")</f>
        <v>Abrir facsímil</v>
      </c>
      <c r="K5950" s="3" t="s">
        <v>76</v>
      </c>
    </row>
    <row r="5951" spans="1:11" ht="42" customHeight="1">
      <c r="A5951" s="2" t="s">
        <v>15170</v>
      </c>
      <c r="B5951" s="2" t="s">
        <v>15170</v>
      </c>
      <c r="C5951" s="2" t="s">
        <v>88</v>
      </c>
      <c r="D5951" s="2" t="s">
        <v>27</v>
      </c>
      <c r="E5951" s="4">
        <v>-32747</v>
      </c>
      <c r="F5951" s="3" t="s">
        <v>2337</v>
      </c>
      <c r="G5951" s="3" t="s">
        <v>1722</v>
      </c>
      <c r="H5951" s="2" t="s">
        <v>74</v>
      </c>
      <c r="I5951" s="2" t="s">
        <v>15171</v>
      </c>
      <c r="J5951" s="3" t="str">
        <f>HYPERLINK("https://www.boe.es/gazeta/dias/1810/05/04/pdfs/GEI-1810-21.pdf#page=7","Abrir facsímil")</f>
        <v>Abrir facsímil</v>
      </c>
      <c r="K5951" s="3" t="s">
        <v>76</v>
      </c>
    </row>
    <row r="5952" spans="1:11" ht="42" customHeight="1">
      <c r="A5952" s="2" t="s">
        <v>15172</v>
      </c>
      <c r="B5952" s="2" t="s">
        <v>15173</v>
      </c>
      <c r="C5952" s="2" t="s">
        <v>26</v>
      </c>
      <c r="D5952" s="2" t="s">
        <v>18</v>
      </c>
      <c r="E5952" s="4">
        <v>-32783</v>
      </c>
      <c r="F5952" s="3" t="s">
        <v>896</v>
      </c>
      <c r="G5952" s="3" t="s">
        <v>20</v>
      </c>
      <c r="H5952" s="2" t="s">
        <v>74</v>
      </c>
      <c r="I5952" s="2" t="s">
        <v>15174</v>
      </c>
      <c r="J5952" s="3" t="str">
        <f>HYPERLINK("https://www.boe.es/gazeta/dias/1810/03/29/pdfs/GMD-1810-88.pdf#page=4","Abrir facsímil")</f>
        <v>Abrir facsímil</v>
      </c>
      <c r="K5952" s="3" t="s">
        <v>76</v>
      </c>
    </row>
    <row r="5953" spans="1:11" ht="42" customHeight="1">
      <c r="A5953" s="2" t="s">
        <v>15175</v>
      </c>
      <c r="B5953" s="2" t="s">
        <v>15176</v>
      </c>
      <c r="C5953" s="2" t="s">
        <v>111</v>
      </c>
      <c r="D5953" s="2" t="s">
        <v>27</v>
      </c>
      <c r="E5953" s="4">
        <v>-32851</v>
      </c>
      <c r="F5953" s="3" t="s">
        <v>4243</v>
      </c>
      <c r="G5953" s="3" t="s">
        <v>20</v>
      </c>
      <c r="H5953" s="2" t="s">
        <v>74</v>
      </c>
      <c r="I5953" s="2" t="s">
        <v>15177</v>
      </c>
      <c r="J5953" s="3" t="str">
        <f>HYPERLINK("https://www.boe.es/gazeta/dias/1810/01/20/pdfs/GMD-1810-20.pdf#page=4","Abrir facsímil")</f>
        <v>Abrir facsímil</v>
      </c>
      <c r="K5953" s="3" t="s">
        <v>76</v>
      </c>
    </row>
    <row r="5954" spans="1:11" ht="42" customHeight="1">
      <c r="A5954" s="2" t="s">
        <v>15175</v>
      </c>
      <c r="B5954" s="2" t="s">
        <v>15176</v>
      </c>
      <c r="C5954" s="2" t="s">
        <v>26</v>
      </c>
      <c r="D5954" s="2" t="s">
        <v>220</v>
      </c>
      <c r="E5954" s="4">
        <v>-32689</v>
      </c>
      <c r="F5954" s="3" t="s">
        <v>571</v>
      </c>
      <c r="G5954" s="3" t="s">
        <v>29</v>
      </c>
      <c r="H5954" s="2" t="s">
        <v>74</v>
      </c>
      <c r="I5954" s="2" t="s">
        <v>15178</v>
      </c>
      <c r="J5954" s="3" t="str">
        <f>HYPERLINK("https://www.boe.es/gazeta/dias/1810/07/01/pdfs/GMD-1810-182.pdf#page=3","Abrir facsímil")</f>
        <v>Abrir facsímil</v>
      </c>
      <c r="K5954" s="3" t="s">
        <v>76</v>
      </c>
    </row>
    <row r="5955" spans="1:11" ht="42" customHeight="1">
      <c r="A5955" s="2" t="s">
        <v>15175</v>
      </c>
      <c r="B5955" s="2" t="s">
        <v>15176</v>
      </c>
      <c r="C5955" s="2" t="s">
        <v>88</v>
      </c>
      <c r="D5955" s="2" t="s">
        <v>27</v>
      </c>
      <c r="E5955" s="4">
        <v>-32584</v>
      </c>
      <c r="F5955" s="3" t="s">
        <v>1560</v>
      </c>
      <c r="G5955" s="3" t="s">
        <v>971</v>
      </c>
      <c r="H5955" s="2" t="s">
        <v>74</v>
      </c>
      <c r="I5955" s="2" t="s">
        <v>15179</v>
      </c>
      <c r="J5955" s="3" t="str">
        <f>HYPERLINK("https://www.boe.es/gazeta/dias/1810/10/14/pdfs/GMD-1810-287.pdf#page=3","Abrir facsímil")</f>
        <v>Abrir facsímil</v>
      </c>
      <c r="K5955" s="3" t="s">
        <v>76</v>
      </c>
    </row>
    <row r="5956" spans="1:11" ht="42" customHeight="1">
      <c r="A5956" s="2" t="s">
        <v>15180</v>
      </c>
      <c r="B5956" s="2" t="s">
        <v>15181</v>
      </c>
      <c r="C5956" s="2" t="s">
        <v>26</v>
      </c>
      <c r="D5956" s="2" t="s">
        <v>27</v>
      </c>
      <c r="E5956" s="4">
        <v>-32544</v>
      </c>
      <c r="F5956" s="3" t="s">
        <v>1239</v>
      </c>
      <c r="G5956" s="3" t="s">
        <v>99</v>
      </c>
      <c r="H5956" s="2" t="s">
        <v>74</v>
      </c>
      <c r="I5956" s="2" t="s">
        <v>15182</v>
      </c>
      <c r="J5956" s="3" t="str">
        <f>HYPERLINK("https://www.boe.es/gazeta/dias/1810/11/23/pdfs/GMD-1810-327.pdf#page=3","Abrir facsímil")</f>
        <v>Abrir facsímil</v>
      </c>
      <c r="K5956" s="3" t="s">
        <v>76</v>
      </c>
    </row>
    <row r="5957" spans="1:11" ht="42" customHeight="1">
      <c r="A5957" s="2" t="s">
        <v>15183</v>
      </c>
      <c r="B5957" s="2" t="s">
        <v>15184</v>
      </c>
      <c r="C5957" s="2" t="s">
        <v>26</v>
      </c>
      <c r="D5957" s="2" t="s">
        <v>27</v>
      </c>
      <c r="E5957" s="4">
        <v>-32710</v>
      </c>
      <c r="F5957" s="3" t="s">
        <v>126</v>
      </c>
      <c r="G5957" s="3" t="s">
        <v>35</v>
      </c>
      <c r="H5957" s="2" t="s">
        <v>74</v>
      </c>
      <c r="I5957" s="2" t="s">
        <v>15185</v>
      </c>
      <c r="J5957" s="3" t="str">
        <f>HYPERLINK("https://www.boe.es/gazeta/dias/1810/06/10/pdfs/GMD-1810-161.pdf#page=2","Abrir facsímil")</f>
        <v>Abrir facsímil</v>
      </c>
      <c r="K5957" s="3" t="s">
        <v>76</v>
      </c>
    </row>
    <row r="5958" spans="1:11" ht="42" customHeight="1">
      <c r="A5958" s="2" t="s">
        <v>15183</v>
      </c>
      <c r="B5958" s="2" t="s">
        <v>15184</v>
      </c>
      <c r="C5958" s="2" t="s">
        <v>26</v>
      </c>
      <c r="D5958" s="2" t="s">
        <v>27</v>
      </c>
      <c r="E5958" s="4">
        <v>-32647</v>
      </c>
      <c r="F5958" s="3" t="s">
        <v>118</v>
      </c>
      <c r="G5958" s="3" t="s">
        <v>119</v>
      </c>
      <c r="H5958" s="2" t="s">
        <v>74</v>
      </c>
      <c r="I5958" s="2" t="s">
        <v>15186</v>
      </c>
      <c r="J5958" s="3" t="str">
        <f>HYPERLINK("https://www.boe.es/gazeta/dias/1810/08/12/pdfs/GMD-1810-224.pdf#page=3","Abrir facsímil")</f>
        <v>Abrir facsímil</v>
      </c>
      <c r="K5958" s="3" t="s">
        <v>76</v>
      </c>
    </row>
    <row r="5959" spans="1:11" ht="42" customHeight="1">
      <c r="A5959" s="2" t="s">
        <v>15187</v>
      </c>
      <c r="B5959" s="2" t="s">
        <v>15188</v>
      </c>
      <c r="C5959" s="2" t="s">
        <v>26</v>
      </c>
      <c r="D5959" s="2" t="s">
        <v>27</v>
      </c>
      <c r="E5959" s="4">
        <v>-32688</v>
      </c>
      <c r="F5959" s="3" t="s">
        <v>997</v>
      </c>
      <c r="G5959" s="3" t="s">
        <v>749</v>
      </c>
      <c r="H5959" s="2" t="s">
        <v>74</v>
      </c>
      <c r="I5959" s="2" t="s">
        <v>15189</v>
      </c>
      <c r="J5959" s="3" t="str">
        <f>HYPERLINK("https://www.boe.es/gazeta/dias/1810/07/02/pdfs/GMD-1810-183.pdf#page=4","Abrir facsímil")</f>
        <v>Abrir facsímil</v>
      </c>
      <c r="K5959" s="3" t="s">
        <v>76</v>
      </c>
    </row>
    <row r="5960" spans="1:11" ht="42" customHeight="1">
      <c r="A5960" s="2" t="s">
        <v>15190</v>
      </c>
      <c r="B5960" s="2" t="s">
        <v>15191</v>
      </c>
      <c r="C5960" s="2" t="s">
        <v>26</v>
      </c>
      <c r="D5960" s="2" t="s">
        <v>27</v>
      </c>
      <c r="E5960" s="4">
        <v>-32691</v>
      </c>
      <c r="F5960" s="3" t="s">
        <v>727</v>
      </c>
      <c r="G5960" s="3" t="s">
        <v>807</v>
      </c>
      <c r="H5960" s="2" t="s">
        <v>74</v>
      </c>
      <c r="I5960" s="2" t="s">
        <v>15192</v>
      </c>
      <c r="J5960" s="3" t="str">
        <f>HYPERLINK("https://www.boe.es/gazeta/dias/1810/06/29/pdfs/GMD-1810-180.pdf#page=3","Abrir facsímil")</f>
        <v>Abrir facsímil</v>
      </c>
      <c r="K5960" s="3" t="s">
        <v>76</v>
      </c>
    </row>
    <row r="5961" spans="1:11" ht="42" customHeight="1">
      <c r="A5961" s="2" t="s">
        <v>15190</v>
      </c>
      <c r="B5961" s="2" t="s">
        <v>15191</v>
      </c>
      <c r="C5961" s="2" t="s">
        <v>33</v>
      </c>
      <c r="D5961" s="2" t="s">
        <v>27</v>
      </c>
      <c r="E5961" s="4">
        <v>-32635</v>
      </c>
      <c r="F5961" s="3" t="s">
        <v>3132</v>
      </c>
      <c r="G5961" s="3" t="s">
        <v>131</v>
      </c>
      <c r="H5961" s="2" t="s">
        <v>74</v>
      </c>
      <c r="I5961" s="2" t="s">
        <v>15193</v>
      </c>
      <c r="J5961" s="3" t="str">
        <f>HYPERLINK("https://www.boe.es/gazeta/dias/1810/08/24/pdfs/GEI-1810-59.pdf#page=6","Abrir facsímil")</f>
        <v>Abrir facsímil</v>
      </c>
      <c r="K5961" s="3" t="s">
        <v>76</v>
      </c>
    </row>
    <row r="5962" spans="1:11" ht="42" customHeight="1">
      <c r="A5962" s="2" t="s">
        <v>15194</v>
      </c>
      <c r="B5962" s="2" t="s">
        <v>15195</v>
      </c>
      <c r="C5962" s="2" t="s">
        <v>317</v>
      </c>
      <c r="D5962" s="2" t="s">
        <v>27</v>
      </c>
      <c r="E5962" s="4">
        <v>-32568</v>
      </c>
      <c r="F5962" s="3" t="s">
        <v>1233</v>
      </c>
      <c r="G5962" s="3" t="s">
        <v>140</v>
      </c>
      <c r="H5962" s="2" t="s">
        <v>74</v>
      </c>
      <c r="I5962" s="2" t="s">
        <v>15196</v>
      </c>
      <c r="J5962" s="3" t="str">
        <f>HYPERLINK("https://www.boe.es/gazeta/dias/1810/10/30/pdfs/GMD-1810-303.pdf#page=4","Abrir facsímil")</f>
        <v>Abrir facsímil</v>
      </c>
      <c r="K5962" s="3" t="s">
        <v>76</v>
      </c>
    </row>
    <row r="5963" spans="1:11" ht="42" customHeight="1">
      <c r="A5963" s="2" t="s">
        <v>15197</v>
      </c>
      <c r="B5963" s="2" t="s">
        <v>15198</v>
      </c>
      <c r="C5963" s="2" t="s">
        <v>33</v>
      </c>
      <c r="D5963" s="2" t="s">
        <v>27</v>
      </c>
      <c r="E5963" s="4">
        <v>-32757</v>
      </c>
      <c r="F5963" s="3" t="s">
        <v>1136</v>
      </c>
      <c r="G5963" s="3" t="s">
        <v>1901</v>
      </c>
      <c r="H5963" s="2" t="s">
        <v>74</v>
      </c>
      <c r="I5963" s="2" t="s">
        <v>15199</v>
      </c>
      <c r="J5963" s="3" t="str">
        <f>HYPERLINK("https://www.boe.es/gazeta/dias/1810/04/24/pdfs/GEI-1810-17.pdf#page=8","Abrir facsímil")</f>
        <v>Abrir facsímil</v>
      </c>
      <c r="K5963" s="3" t="s">
        <v>76</v>
      </c>
    </row>
    <row r="5964" spans="1:11" ht="42" customHeight="1">
      <c r="A5964" s="2" t="s">
        <v>15200</v>
      </c>
      <c r="B5964" s="2" t="s">
        <v>15201</v>
      </c>
      <c r="C5964" s="2" t="s">
        <v>88</v>
      </c>
      <c r="D5964" s="2" t="s">
        <v>27</v>
      </c>
      <c r="E5964" s="4">
        <v>-32564</v>
      </c>
      <c r="F5964" s="3" t="s">
        <v>108</v>
      </c>
      <c r="G5964" s="3" t="s">
        <v>109</v>
      </c>
      <c r="H5964" s="2" t="s">
        <v>74</v>
      </c>
      <c r="I5964" s="2" t="s">
        <v>15202</v>
      </c>
      <c r="J5964" s="3" t="str">
        <f>HYPERLINK("https://www.boe.es/gazeta/dias/1810/11/03/pdfs/GEI-1810-90.pdf#page=8","Abrir facsímil")</f>
        <v>Abrir facsímil</v>
      </c>
      <c r="K5964" s="3" t="s">
        <v>76</v>
      </c>
    </row>
    <row r="5965" spans="1:11" ht="42" customHeight="1">
      <c r="A5965" s="2" t="s">
        <v>15203</v>
      </c>
      <c r="B5965" s="2" t="s">
        <v>15204</v>
      </c>
      <c r="C5965" s="2" t="s">
        <v>26</v>
      </c>
      <c r="D5965" s="2" t="s">
        <v>27</v>
      </c>
      <c r="E5965" s="4">
        <v>-32515</v>
      </c>
      <c r="F5965" s="3" t="s">
        <v>351</v>
      </c>
      <c r="G5965" s="3" t="s">
        <v>352</v>
      </c>
      <c r="H5965" s="2" t="s">
        <v>74</v>
      </c>
      <c r="I5965" s="2" t="s">
        <v>15205</v>
      </c>
      <c r="J5965" s="3" t="str">
        <f>HYPERLINK("https://www.boe.es/gazeta/dias/1810/12/22/pdfs/GEI-1810-111.pdf#page=8","Abrir facsímil")</f>
        <v>Abrir facsímil</v>
      </c>
      <c r="K5965" s="3" t="s">
        <v>76</v>
      </c>
    </row>
    <row r="5966" spans="1:11" ht="42" customHeight="1">
      <c r="A5966" s="2" t="s">
        <v>15206</v>
      </c>
      <c r="B5966" s="2" t="s">
        <v>15207</v>
      </c>
      <c r="C5966" s="2" t="s">
        <v>26</v>
      </c>
      <c r="D5966" s="2" t="s">
        <v>220</v>
      </c>
      <c r="E5966" s="4">
        <v>-32762</v>
      </c>
      <c r="F5966" s="3" t="s">
        <v>231</v>
      </c>
      <c r="G5966" s="3" t="s">
        <v>29</v>
      </c>
      <c r="H5966" s="2" t="s">
        <v>74</v>
      </c>
      <c r="I5966" s="2" t="s">
        <v>15208</v>
      </c>
      <c r="J5966" s="3" t="str">
        <f>HYPERLINK("https://www.boe.es/gazeta/dias/1810/04/19/pdfs/GMD-1810-109.pdf#page=2","Abrir facsímil")</f>
        <v>Abrir facsímil</v>
      </c>
      <c r="K5966" s="3" t="s">
        <v>76</v>
      </c>
    </row>
    <row r="5967" spans="1:11" ht="42" customHeight="1">
      <c r="A5967" s="2" t="s">
        <v>15209</v>
      </c>
      <c r="B5967" s="2" t="s">
        <v>15210</v>
      </c>
      <c r="C5967" s="2" t="s">
        <v>225</v>
      </c>
      <c r="D5967" s="2" t="s">
        <v>27</v>
      </c>
      <c r="E5967" s="4">
        <v>-32744</v>
      </c>
      <c r="F5967" s="3" t="s">
        <v>1570</v>
      </c>
      <c r="G5967" s="3" t="s">
        <v>136</v>
      </c>
      <c r="H5967" s="2" t="s">
        <v>74</v>
      </c>
      <c r="I5967" s="2" t="s">
        <v>15211</v>
      </c>
      <c r="J5967" s="3" t="str">
        <f>HYPERLINK("https://www.boe.es/gazeta/dias/1810/05/07/pdfs/GMD-1810-127.pdf#page=4","Abrir facsímil")</f>
        <v>Abrir facsímil</v>
      </c>
      <c r="K5967" s="3" t="s">
        <v>76</v>
      </c>
    </row>
    <row r="5968" spans="1:11" ht="42" customHeight="1">
      <c r="A5968" s="2" t="s">
        <v>15212</v>
      </c>
      <c r="B5968" s="2" t="s">
        <v>15213</v>
      </c>
      <c r="C5968" s="2" t="s">
        <v>26</v>
      </c>
      <c r="D5968" s="2" t="s">
        <v>27</v>
      </c>
      <c r="E5968" s="4">
        <v>-32563</v>
      </c>
      <c r="F5968" s="3" t="s">
        <v>535</v>
      </c>
      <c r="G5968" s="3" t="s">
        <v>3597</v>
      </c>
      <c r="H5968" s="2" t="s">
        <v>74</v>
      </c>
      <c r="I5968" s="2" t="s">
        <v>15214</v>
      </c>
      <c r="J5968" s="3" t="str">
        <f>HYPERLINK("https://www.boe.es/gazeta/dias/1810/11/04/pdfs/GMD-1810-308.pdf#page=23","Abrir facsímil")</f>
        <v>Abrir facsímil</v>
      </c>
      <c r="K5968" s="3" t="s">
        <v>76</v>
      </c>
    </row>
    <row r="5969" spans="1:11" ht="42" customHeight="1">
      <c r="A5969" s="2" t="s">
        <v>15215</v>
      </c>
      <c r="B5969" s="2" t="s">
        <v>15216</v>
      </c>
      <c r="C5969" s="2" t="s">
        <v>26</v>
      </c>
      <c r="D5969" s="2" t="s">
        <v>27</v>
      </c>
      <c r="E5969" s="4">
        <v>-32608</v>
      </c>
      <c r="F5969" s="3" t="s">
        <v>781</v>
      </c>
      <c r="G5969" s="3" t="s">
        <v>782</v>
      </c>
      <c r="H5969" s="2" t="s">
        <v>74</v>
      </c>
      <c r="I5969" s="2" t="s">
        <v>15217</v>
      </c>
      <c r="J5969" s="3" t="str">
        <f>HYPERLINK("https://www.boe.es/gazeta/dias/1810/09/20/pdfs/GEI-1810-70.pdf#page=5","Abrir facsímil")</f>
        <v>Abrir facsímil</v>
      </c>
      <c r="K5969" s="3" t="s">
        <v>76</v>
      </c>
    </row>
    <row r="5970" spans="1:11" ht="42" customHeight="1">
      <c r="A5970" s="2" t="s">
        <v>15218</v>
      </c>
      <c r="B5970" s="2" t="s">
        <v>15219</v>
      </c>
      <c r="C5970" s="2" t="s">
        <v>26</v>
      </c>
      <c r="D5970" s="2" t="s">
        <v>39</v>
      </c>
      <c r="E5970" s="4">
        <v>-32661</v>
      </c>
      <c r="F5970" s="3" t="s">
        <v>157</v>
      </c>
      <c r="G5970" s="3" t="s">
        <v>592</v>
      </c>
      <c r="H5970" s="2" t="s">
        <v>74</v>
      </c>
      <c r="I5970" s="2" t="s">
        <v>15220</v>
      </c>
      <c r="J5970" s="3" t="str">
        <f>HYPERLINK("https://www.boe.es/gazeta/dias/1810/07/29/pdfs/GMD-C-1810-210.pdf#page=2","Abrir facsímil")</f>
        <v>Abrir facsímil</v>
      </c>
      <c r="K5970" s="3" t="s">
        <v>76</v>
      </c>
    </row>
    <row r="5971" spans="1:11" ht="42" customHeight="1">
      <c r="A5971" s="2" t="s">
        <v>15221</v>
      </c>
      <c r="B5971" s="2" t="s">
        <v>15222</v>
      </c>
      <c r="C5971" s="2" t="s">
        <v>88</v>
      </c>
      <c r="D5971" s="2" t="s">
        <v>117</v>
      </c>
      <c r="E5971" s="4">
        <v>-32635</v>
      </c>
      <c r="F5971" s="3" t="s">
        <v>3132</v>
      </c>
      <c r="G5971" s="3" t="s">
        <v>13638</v>
      </c>
      <c r="H5971" s="2" t="s">
        <v>74</v>
      </c>
      <c r="I5971" s="2" t="s">
        <v>15223</v>
      </c>
      <c r="J5971" s="3" t="str">
        <f>HYPERLINK("https://www.boe.es/gazeta/dias/1810/08/24/pdfs/GEI-1810-59.pdf#page=7","Abrir facsímil")</f>
        <v>Abrir facsímil</v>
      </c>
      <c r="K5971" s="3" t="s">
        <v>76</v>
      </c>
    </row>
    <row r="5972" spans="1:11" ht="42" customHeight="1">
      <c r="A5972" s="2" t="s">
        <v>15224</v>
      </c>
      <c r="B5972" s="2" t="s">
        <v>15225</v>
      </c>
      <c r="C5972" s="2" t="s">
        <v>33</v>
      </c>
      <c r="D5972" s="2" t="s">
        <v>27</v>
      </c>
      <c r="E5972" s="4">
        <v>-32869</v>
      </c>
      <c r="F5972" s="3" t="s">
        <v>5318</v>
      </c>
      <c r="G5972" s="3" t="s">
        <v>227</v>
      </c>
      <c r="H5972" s="2" t="s">
        <v>74</v>
      </c>
      <c r="I5972" s="2" t="s">
        <v>15226</v>
      </c>
      <c r="J5972" s="3" t="str">
        <f>HYPERLINK("https://www.boe.es/gazeta/dias/1810/01/02/pdfs/GGB-1810-1.pdf#page=6","Abrir facsímil")</f>
        <v>Abrir facsímil</v>
      </c>
      <c r="K5972" s="3" t="s">
        <v>76</v>
      </c>
    </row>
    <row r="5973" spans="1:11" ht="42" customHeight="1">
      <c r="A5973" s="2" t="s">
        <v>15227</v>
      </c>
      <c r="B5973" s="2" t="s">
        <v>15228</v>
      </c>
      <c r="C5973" s="2" t="s">
        <v>26</v>
      </c>
      <c r="D5973" s="2" t="s">
        <v>39</v>
      </c>
      <c r="E5973" s="4">
        <v>-32701</v>
      </c>
      <c r="F5973" s="3" t="s">
        <v>40</v>
      </c>
      <c r="G5973" s="3" t="s">
        <v>333</v>
      </c>
      <c r="H5973" s="2" t="s">
        <v>74</v>
      </c>
      <c r="I5973" s="2" t="s">
        <v>15229</v>
      </c>
      <c r="J5973" s="3" t="str">
        <f>HYPERLINK("https://www.boe.es/gazeta/dias/1810/06/19/pdfs/GMD-C-1810-170.pdf#page=4","Abrir facsímil")</f>
        <v>Abrir facsímil</v>
      </c>
      <c r="K5973" s="3" t="s">
        <v>76</v>
      </c>
    </row>
    <row r="5974" spans="1:11" ht="42" customHeight="1">
      <c r="A5974" s="2" t="s">
        <v>15230</v>
      </c>
      <c r="B5974" s="2" t="s">
        <v>15231</v>
      </c>
      <c r="C5974" s="2" t="s">
        <v>26</v>
      </c>
      <c r="D5974" s="2" t="s">
        <v>18</v>
      </c>
      <c r="E5974" s="4">
        <v>-32583</v>
      </c>
      <c r="F5974" s="3" t="s">
        <v>45</v>
      </c>
      <c r="G5974" s="3" t="s">
        <v>608</v>
      </c>
      <c r="H5974" s="2" t="s">
        <v>74</v>
      </c>
      <c r="I5974" s="2" t="s">
        <v>15232</v>
      </c>
      <c r="J5974" s="3" t="str">
        <f>HYPERLINK("https://www.boe.es/gazeta/dias/1810/10/15/pdfs/GMD-1810-288.pdf#page=2","Abrir facsímil")</f>
        <v>Abrir facsímil</v>
      </c>
      <c r="K5974" s="3" t="s">
        <v>76</v>
      </c>
    </row>
    <row r="5975" spans="1:11" ht="42" customHeight="1">
      <c r="A5975" s="2" t="s">
        <v>15233</v>
      </c>
      <c r="B5975" s="2" t="s">
        <v>15234</v>
      </c>
      <c r="C5975" s="2" t="s">
        <v>88</v>
      </c>
      <c r="D5975" s="2" t="s">
        <v>18</v>
      </c>
      <c r="E5975" s="4">
        <v>-32562</v>
      </c>
      <c r="F5975" s="3" t="s">
        <v>1186</v>
      </c>
      <c r="G5975" s="3" t="s">
        <v>29</v>
      </c>
      <c r="H5975" s="2" t="s">
        <v>74</v>
      </c>
      <c r="I5975" s="2" t="s">
        <v>15235</v>
      </c>
      <c r="J5975" s="3" t="str">
        <f>HYPERLINK("https://www.boe.es/gazeta/dias/1810/11/05/pdfs/GMD-1810-309.pdf#page=2","Abrir facsímil")</f>
        <v>Abrir facsímil</v>
      </c>
      <c r="K5975" s="3" t="s">
        <v>76</v>
      </c>
    </row>
    <row r="5976" spans="1:11" ht="42" customHeight="1">
      <c r="A5976" s="2" t="s">
        <v>15236</v>
      </c>
      <c r="B5976" s="2" t="s">
        <v>15237</v>
      </c>
      <c r="C5976" s="2" t="s">
        <v>26</v>
      </c>
      <c r="D5976" s="2" t="s">
        <v>27</v>
      </c>
      <c r="E5976" s="4">
        <v>-32515</v>
      </c>
      <c r="F5976" s="3" t="s">
        <v>351</v>
      </c>
      <c r="G5976" s="3" t="s">
        <v>352</v>
      </c>
      <c r="H5976" s="2" t="s">
        <v>74</v>
      </c>
      <c r="I5976" s="2" t="s">
        <v>15238</v>
      </c>
      <c r="J5976" s="3" t="str">
        <f>HYPERLINK("https://www.boe.es/gazeta/dias/1810/12/22/pdfs/GEI-1810-111.pdf#page=8","Abrir facsímil")</f>
        <v>Abrir facsímil</v>
      </c>
      <c r="K5976" s="3" t="s">
        <v>76</v>
      </c>
    </row>
    <row r="5977" spans="1:11" ht="42" customHeight="1">
      <c r="A5977" s="2" t="s">
        <v>15239</v>
      </c>
      <c r="B5977" s="2" t="s">
        <v>15240</v>
      </c>
      <c r="C5977" s="2" t="s">
        <v>33</v>
      </c>
      <c r="D5977" s="2" t="s">
        <v>27</v>
      </c>
      <c r="E5977" s="4">
        <v>-32820</v>
      </c>
      <c r="F5977" s="3" t="s">
        <v>226</v>
      </c>
      <c r="G5977" s="3" t="s">
        <v>356</v>
      </c>
      <c r="H5977" s="2" t="s">
        <v>74</v>
      </c>
      <c r="I5977" s="2" t="s">
        <v>15241</v>
      </c>
      <c r="J5977" s="3" t="str">
        <f>HYPERLINK("https://www.boe.es/gazeta/dias/1810/02/20/pdfs/GMD-1810-51.pdf#page=3","Abrir facsímil")</f>
        <v>Abrir facsímil</v>
      </c>
      <c r="K5977" s="3" t="s">
        <v>76</v>
      </c>
    </row>
    <row r="5978" spans="1:11" ht="42" customHeight="1">
      <c r="A5978" s="2" t="s">
        <v>15242</v>
      </c>
      <c r="B5978" s="2" t="s">
        <v>15243</v>
      </c>
      <c r="C5978" s="2" t="s">
        <v>26</v>
      </c>
      <c r="D5978" s="2" t="s">
        <v>27</v>
      </c>
      <c r="E5978" s="4">
        <v>-32710</v>
      </c>
      <c r="F5978" s="3" t="s">
        <v>126</v>
      </c>
      <c r="G5978" s="3" t="s">
        <v>35</v>
      </c>
      <c r="H5978" s="2" t="s">
        <v>74</v>
      </c>
      <c r="I5978" s="2" t="s">
        <v>15244</v>
      </c>
      <c r="J5978" s="3" t="str">
        <f>HYPERLINK("https://www.boe.es/gazeta/dias/1810/06/10/pdfs/GMD-1810-161.pdf#page=2","Abrir facsímil")</f>
        <v>Abrir facsímil</v>
      </c>
      <c r="K5978" s="3" t="s">
        <v>76</v>
      </c>
    </row>
    <row r="5979" spans="1:11" ht="42" customHeight="1">
      <c r="A5979" s="2" t="s">
        <v>15245</v>
      </c>
      <c r="B5979" s="2" t="s">
        <v>15246</v>
      </c>
      <c r="C5979" s="2" t="s">
        <v>26</v>
      </c>
      <c r="D5979" s="2" t="s">
        <v>39</v>
      </c>
      <c r="E5979" s="4">
        <v>-32701</v>
      </c>
      <c r="F5979" s="3" t="s">
        <v>40</v>
      </c>
      <c r="G5979" s="3" t="s">
        <v>170</v>
      </c>
      <c r="H5979" s="2" t="s">
        <v>74</v>
      </c>
      <c r="I5979" s="2" t="s">
        <v>15247</v>
      </c>
      <c r="J5979" s="3" t="str">
        <f>HYPERLINK("https://www.boe.es/gazeta/dias/1810/06/19/pdfs/GMD-C-1810-170.pdf#page=1","Abrir facsímil")</f>
        <v>Abrir facsímil</v>
      </c>
      <c r="K5979" s="3" t="s">
        <v>76</v>
      </c>
    </row>
    <row r="5980" spans="1:11" ht="42" customHeight="1">
      <c r="A5980" s="2" t="s">
        <v>15245</v>
      </c>
      <c r="B5980" s="2" t="s">
        <v>15246</v>
      </c>
      <c r="C5980" s="2" t="s">
        <v>26</v>
      </c>
      <c r="D5980" s="2" t="s">
        <v>39</v>
      </c>
      <c r="E5980" s="4">
        <v>-32701</v>
      </c>
      <c r="F5980" s="3" t="s">
        <v>40</v>
      </c>
      <c r="G5980" s="3" t="s">
        <v>315</v>
      </c>
      <c r="H5980" s="2" t="s">
        <v>74</v>
      </c>
      <c r="I5980" s="2" t="s">
        <v>15248</v>
      </c>
      <c r="J5980" s="3" t="str">
        <f>HYPERLINK("https://www.boe.es/gazeta/dias/1810/06/19/pdfs/GMD-C-1810-170.pdf#page=2","Abrir facsímil")</f>
        <v>Abrir facsímil</v>
      </c>
      <c r="K5980" s="3" t="s">
        <v>76</v>
      </c>
    </row>
    <row r="5981" spans="1:11" ht="42" customHeight="1">
      <c r="A5981" s="2" t="s">
        <v>15245</v>
      </c>
      <c r="B5981" s="2" t="s">
        <v>15246</v>
      </c>
      <c r="C5981" s="2" t="s">
        <v>26</v>
      </c>
      <c r="D5981" s="2" t="s">
        <v>39</v>
      </c>
      <c r="E5981" s="4">
        <v>-32661</v>
      </c>
      <c r="F5981" s="3" t="s">
        <v>157</v>
      </c>
      <c r="G5981" s="3" t="s">
        <v>158</v>
      </c>
      <c r="H5981" s="2" t="s">
        <v>74</v>
      </c>
      <c r="I5981" s="2" t="s">
        <v>15249</v>
      </c>
      <c r="J5981" s="3" t="str">
        <f>HYPERLINK("https://www.boe.es/gazeta/dias/1810/07/29/pdfs/GMD-C-1810-210.pdf#page=1","Abrir facsímil")</f>
        <v>Abrir facsímil</v>
      </c>
      <c r="K5981" s="3" t="s">
        <v>76</v>
      </c>
    </row>
    <row r="5982" spans="1:11" ht="42" customHeight="1">
      <c r="A5982" s="2" t="s">
        <v>15245</v>
      </c>
      <c r="B5982" s="2" t="s">
        <v>15246</v>
      </c>
      <c r="C5982" s="2" t="s">
        <v>26</v>
      </c>
      <c r="D5982" s="2" t="s">
        <v>27</v>
      </c>
      <c r="E5982" s="4">
        <v>-32647</v>
      </c>
      <c r="F5982" s="3" t="s">
        <v>118</v>
      </c>
      <c r="G5982" s="3" t="s">
        <v>20</v>
      </c>
      <c r="H5982" s="2" t="s">
        <v>74</v>
      </c>
      <c r="I5982" s="2" t="s">
        <v>15250</v>
      </c>
      <c r="J5982" s="3" t="str">
        <f>HYPERLINK("https://www.boe.es/gazeta/dias/1810/08/12/pdfs/GMD-1810-224.pdf#page=4","Abrir facsímil")</f>
        <v>Abrir facsímil</v>
      </c>
      <c r="K5982" s="3" t="s">
        <v>76</v>
      </c>
    </row>
    <row r="5983" spans="1:11" ht="42" customHeight="1">
      <c r="A5983" s="2" t="s">
        <v>15251</v>
      </c>
      <c r="B5983" s="2" t="s">
        <v>15252</v>
      </c>
      <c r="C5983" s="2" t="s">
        <v>88</v>
      </c>
      <c r="D5983" s="2" t="s">
        <v>27</v>
      </c>
      <c r="E5983" s="4">
        <v>-32603</v>
      </c>
      <c r="F5983" s="3" t="s">
        <v>2163</v>
      </c>
      <c r="G5983" s="3" t="s">
        <v>4601</v>
      </c>
      <c r="H5983" s="2" t="s">
        <v>21</v>
      </c>
      <c r="I5983" s="2" t="s">
        <v>15253</v>
      </c>
      <c r="J5983" s="3" t="str">
        <f>HYPERLINK("https://www.boe.es/gazeta/dias/1810/09/25/pdfs/GEI-1810-72.pdf#page=7","Abrir facsímil")</f>
        <v>Abrir facsímil</v>
      </c>
      <c r="K5983" s="3" t="s">
        <v>23</v>
      </c>
    </row>
    <row r="5984" spans="1:11" ht="42" customHeight="1">
      <c r="A5984" s="2" t="s">
        <v>15254</v>
      </c>
      <c r="B5984" s="2" t="s">
        <v>15255</v>
      </c>
      <c r="C5984" s="2" t="s">
        <v>26</v>
      </c>
      <c r="D5984" s="2" t="s">
        <v>27</v>
      </c>
      <c r="E5984" s="4">
        <v>-32751</v>
      </c>
      <c r="F5984" s="3" t="s">
        <v>1205</v>
      </c>
      <c r="G5984" s="3" t="s">
        <v>119</v>
      </c>
      <c r="H5984" s="2" t="s">
        <v>74</v>
      </c>
      <c r="I5984" s="2" t="s">
        <v>15256</v>
      </c>
      <c r="J5984" s="3" t="str">
        <f>HYPERLINK("https://www.boe.es/gazeta/dias/1810/04/30/pdfs/GMD-1810-120.pdf#page=2","Abrir facsímil")</f>
        <v>Abrir facsímil</v>
      </c>
      <c r="K5984" s="3" t="s">
        <v>76</v>
      </c>
    </row>
    <row r="5985" spans="1:11" ht="42" customHeight="1">
      <c r="A5985" s="2" t="s">
        <v>15257</v>
      </c>
      <c r="B5985" s="2" t="s">
        <v>15258</v>
      </c>
      <c r="C5985" s="2" t="s">
        <v>26</v>
      </c>
      <c r="D5985" s="2" t="s">
        <v>27</v>
      </c>
      <c r="E5985" s="4">
        <v>-32720</v>
      </c>
      <c r="F5985" s="3" t="s">
        <v>3377</v>
      </c>
      <c r="G5985" s="3" t="s">
        <v>3378</v>
      </c>
      <c r="H5985" s="2" t="s">
        <v>74</v>
      </c>
      <c r="I5985" s="2" t="s">
        <v>15259</v>
      </c>
      <c r="J5985" s="3" t="str">
        <f>HYPERLINK("https://www.boe.es/gazeta/dias/1810/05/31/pdfs/GMD-1810-151.pdf#page=4","Abrir facsímil")</f>
        <v>Abrir facsímil</v>
      </c>
      <c r="K5985" s="3" t="s">
        <v>76</v>
      </c>
    </row>
    <row r="5986" spans="1:11" ht="42" customHeight="1">
      <c r="A5986" s="2" t="s">
        <v>15260</v>
      </c>
      <c r="B5986" s="2" t="s">
        <v>15260</v>
      </c>
      <c r="C5986" s="2" t="s">
        <v>88</v>
      </c>
      <c r="D5986" s="2" t="s">
        <v>117</v>
      </c>
      <c r="E5986" s="4">
        <v>-32599</v>
      </c>
      <c r="F5986" s="3" t="s">
        <v>6642</v>
      </c>
      <c r="G5986" s="3" t="s">
        <v>41</v>
      </c>
      <c r="H5986" s="2" t="s">
        <v>74</v>
      </c>
      <c r="I5986" s="2" t="s">
        <v>15261</v>
      </c>
      <c r="J5986" s="3" t="str">
        <f>HYPERLINK("https://www.boe.es/gazeta/dias/1810/09/29/pdfs/GEI-1810-75.pdf#page=2","Abrir facsímil")</f>
        <v>Abrir facsímil</v>
      </c>
      <c r="K5986" s="3" t="s">
        <v>76</v>
      </c>
    </row>
    <row r="5987" spans="1:11" ht="42" customHeight="1">
      <c r="A5987" s="2" t="s">
        <v>15262</v>
      </c>
      <c r="B5987" s="2" t="s">
        <v>15263</v>
      </c>
      <c r="C5987" s="2" t="s">
        <v>88</v>
      </c>
      <c r="D5987" s="2" t="s">
        <v>117</v>
      </c>
      <c r="E5987" s="4">
        <v>-32666</v>
      </c>
      <c r="F5987" s="3" t="s">
        <v>346</v>
      </c>
      <c r="G5987" s="3" t="s">
        <v>8843</v>
      </c>
      <c r="H5987" s="2" t="s">
        <v>74</v>
      </c>
      <c r="I5987" s="2" t="s">
        <v>15264</v>
      </c>
      <c r="J5987" s="3" t="str">
        <f>HYPERLINK("https://www.boe.es/gazeta/dias/1810/07/24/pdfs/GEI-1810-47.pdf#page=3","Abrir facsímil")</f>
        <v>Abrir facsímil</v>
      </c>
      <c r="K5987" s="3" t="s">
        <v>76</v>
      </c>
    </row>
    <row r="5988" spans="1:11" ht="42" customHeight="1">
      <c r="A5988" s="2" t="s">
        <v>15265</v>
      </c>
      <c r="B5988" s="2" t="s">
        <v>15266</v>
      </c>
      <c r="C5988" s="2" t="s">
        <v>88</v>
      </c>
      <c r="D5988" s="2" t="s">
        <v>117</v>
      </c>
      <c r="E5988" s="4">
        <v>-32740</v>
      </c>
      <c r="F5988" s="3" t="s">
        <v>1207</v>
      </c>
      <c r="G5988" s="3" t="s">
        <v>20</v>
      </c>
      <c r="H5988" s="2" t="s">
        <v>74</v>
      </c>
      <c r="I5988" s="2" t="s">
        <v>15267</v>
      </c>
      <c r="J5988" s="3" t="str">
        <f>HYPERLINK("https://www.boe.es/gazeta/dias/1810/05/11/pdfs/GMD-1810-131.pdf#page=4","Abrir facsímil")</f>
        <v>Abrir facsímil</v>
      </c>
      <c r="K5988" s="3" t="s">
        <v>76</v>
      </c>
    </row>
    <row r="5989" spans="1:11" ht="42" customHeight="1">
      <c r="A5989" s="2" t="s">
        <v>15268</v>
      </c>
      <c r="B5989" s="2" t="s">
        <v>15269</v>
      </c>
      <c r="C5989" s="2" t="s">
        <v>26</v>
      </c>
      <c r="D5989" s="2" t="s">
        <v>27</v>
      </c>
      <c r="E5989" s="4">
        <v>-32526</v>
      </c>
      <c r="F5989" s="3" t="s">
        <v>530</v>
      </c>
      <c r="G5989" s="3" t="s">
        <v>531</v>
      </c>
      <c r="H5989" s="2" t="s">
        <v>74</v>
      </c>
      <c r="I5989" s="2" t="s">
        <v>15270</v>
      </c>
      <c r="J5989" s="3" t="str">
        <f>HYPERLINK("https://www.boe.es/gazeta/dias/1810/12/11/pdfs/GEI-1810-106.pdf#page=2","Abrir facsímil")</f>
        <v>Abrir facsímil</v>
      </c>
      <c r="K5989" s="3" t="s">
        <v>76</v>
      </c>
    </row>
    <row r="5990" spans="1:11" ht="42" customHeight="1">
      <c r="A5990" s="2" t="s">
        <v>15271</v>
      </c>
      <c r="B5990" s="2" t="s">
        <v>15272</v>
      </c>
      <c r="C5990" s="2" t="s">
        <v>26</v>
      </c>
      <c r="D5990" s="2" t="s">
        <v>27</v>
      </c>
      <c r="E5990" s="4">
        <v>-32677</v>
      </c>
      <c r="F5990" s="3" t="s">
        <v>1940</v>
      </c>
      <c r="G5990" s="3" t="s">
        <v>119</v>
      </c>
      <c r="H5990" s="2" t="s">
        <v>74</v>
      </c>
      <c r="I5990" s="2" t="s">
        <v>15273</v>
      </c>
      <c r="J5990" s="3" t="str">
        <f>HYPERLINK("https://www.boe.es/gazeta/dias/1810/07/13/pdfs/GEI-1810-44.pdf#page=5","Abrir facsímil")</f>
        <v>Abrir facsímil</v>
      </c>
      <c r="K5990" s="3" t="s">
        <v>76</v>
      </c>
    </row>
    <row r="5991" spans="1:11" ht="42" customHeight="1">
      <c r="A5991" s="2" t="s">
        <v>15271</v>
      </c>
      <c r="B5991" s="2" t="s">
        <v>15272</v>
      </c>
      <c r="C5991" s="2" t="s">
        <v>88</v>
      </c>
      <c r="D5991" s="2" t="s">
        <v>27</v>
      </c>
      <c r="E5991" s="4">
        <v>-32663</v>
      </c>
      <c r="F5991" s="3" t="s">
        <v>1945</v>
      </c>
      <c r="G5991" s="3" t="s">
        <v>15274</v>
      </c>
      <c r="H5991" s="2" t="s">
        <v>74</v>
      </c>
      <c r="I5991" s="2" t="s">
        <v>15275</v>
      </c>
      <c r="J5991" s="3" t="str">
        <f>HYPERLINK("https://www.boe.es/gazeta/dias/1810/07/27/pdfs/GEI-1810-48.pdf#page=6","Abrir facsímil")</f>
        <v>Abrir facsímil</v>
      </c>
      <c r="K5991" s="3" t="s">
        <v>76</v>
      </c>
    </row>
    <row r="5992" spans="1:11" ht="42" customHeight="1">
      <c r="A5992" s="2" t="s">
        <v>15276</v>
      </c>
      <c r="B5992" s="2" t="s">
        <v>15276</v>
      </c>
      <c r="C5992" s="2" t="s">
        <v>88</v>
      </c>
      <c r="D5992" s="2" t="s">
        <v>27</v>
      </c>
      <c r="E5992" s="4">
        <v>-32713</v>
      </c>
      <c r="F5992" s="3" t="s">
        <v>959</v>
      </c>
      <c r="G5992" s="3" t="s">
        <v>632</v>
      </c>
      <c r="H5992" s="2" t="s">
        <v>74</v>
      </c>
      <c r="I5992" s="2" t="s">
        <v>15277</v>
      </c>
      <c r="J5992" s="3" t="str">
        <f>HYPERLINK("https://www.boe.es/gazeta/dias/1810/06/07/pdfs/GMD-1810-158.pdf#page=3","Abrir facsímil")</f>
        <v>Abrir facsímil</v>
      </c>
      <c r="K5992" s="3" t="s">
        <v>76</v>
      </c>
    </row>
    <row r="5993" spans="1:11" ht="42" customHeight="1">
      <c r="A5993" s="2" t="s">
        <v>15276</v>
      </c>
      <c r="B5993" s="2" t="s">
        <v>15276</v>
      </c>
      <c r="C5993" s="2" t="s">
        <v>88</v>
      </c>
      <c r="D5993" s="2" t="s">
        <v>27</v>
      </c>
      <c r="E5993" s="4">
        <v>-32553</v>
      </c>
      <c r="F5993" s="3" t="s">
        <v>2276</v>
      </c>
      <c r="G5993" s="3" t="s">
        <v>140</v>
      </c>
      <c r="H5993" s="2" t="s">
        <v>74</v>
      </c>
      <c r="I5993" s="2" t="s">
        <v>15278</v>
      </c>
      <c r="J5993" s="3" t="str">
        <f>HYPERLINK("https://www.boe.es/gazeta/dias/1810/11/14/pdfs/GMD-1810-318.pdf#page=2","Abrir facsímil")</f>
        <v>Abrir facsímil</v>
      </c>
      <c r="K5993" s="3" t="s">
        <v>76</v>
      </c>
    </row>
    <row r="5994" spans="1:11" ht="42" customHeight="1">
      <c r="A5994" s="2" t="s">
        <v>15279</v>
      </c>
      <c r="B5994" s="2" t="s">
        <v>15280</v>
      </c>
      <c r="C5994" s="2" t="s">
        <v>26</v>
      </c>
      <c r="D5994" s="2" t="s">
        <v>27</v>
      </c>
      <c r="E5994" s="4">
        <v>-32595</v>
      </c>
      <c r="F5994" s="3" t="s">
        <v>700</v>
      </c>
      <c r="G5994" s="3" t="s">
        <v>701</v>
      </c>
      <c r="H5994" s="2" t="s">
        <v>74</v>
      </c>
      <c r="I5994" s="2" t="s">
        <v>15281</v>
      </c>
      <c r="J5994" s="3" t="str">
        <f>HYPERLINK("https://www.boe.es/gazeta/dias/1810/10/03/pdfs/GMD-1810-276.pdf#page=3","Abrir facsímil")</f>
        <v>Abrir facsímil</v>
      </c>
      <c r="K5994" s="3" t="s">
        <v>76</v>
      </c>
    </row>
    <row r="5995" spans="1:11" ht="42" customHeight="1">
      <c r="A5995" s="2" t="s">
        <v>15282</v>
      </c>
      <c r="B5995" s="2" t="s">
        <v>15283</v>
      </c>
      <c r="C5995" s="2" t="s">
        <v>33</v>
      </c>
      <c r="D5995" s="2" t="s">
        <v>27</v>
      </c>
      <c r="E5995" s="4">
        <v>-32761</v>
      </c>
      <c r="F5995" s="3" t="s">
        <v>811</v>
      </c>
      <c r="G5995" s="3" t="s">
        <v>140</v>
      </c>
      <c r="H5995" s="2" t="s">
        <v>74</v>
      </c>
      <c r="I5995" s="2" t="s">
        <v>15284</v>
      </c>
      <c r="J5995" s="3" t="str">
        <f>HYPERLINK("https://www.boe.es/gazeta/dias/1810/04/20/pdfs/GEI-1810-16.pdf#page=8","Abrir facsímil")</f>
        <v>Abrir facsímil</v>
      </c>
      <c r="K5995" s="3" t="s">
        <v>76</v>
      </c>
    </row>
    <row r="5996" spans="1:11" ht="42" customHeight="1">
      <c r="A5996" s="2" t="s">
        <v>15285</v>
      </c>
      <c r="B5996" s="2" t="s">
        <v>15286</v>
      </c>
      <c r="C5996" s="2" t="s">
        <v>88</v>
      </c>
      <c r="D5996" s="2" t="s">
        <v>27</v>
      </c>
      <c r="E5996" s="4">
        <v>-32789</v>
      </c>
      <c r="F5996" s="3" t="s">
        <v>1468</v>
      </c>
      <c r="G5996" s="3" t="s">
        <v>140</v>
      </c>
      <c r="H5996" s="2" t="s">
        <v>74</v>
      </c>
      <c r="I5996" s="2" t="s">
        <v>15287</v>
      </c>
      <c r="J5996" s="3" t="str">
        <f>HYPERLINK("https://www.boe.es/gazeta/dias/1810/03/23/pdfs/GEI-1810-5.pdf#page=8","Abrir facsímil")</f>
        <v>Abrir facsímil</v>
      </c>
      <c r="K5996" s="3" t="s">
        <v>76</v>
      </c>
    </row>
    <row r="5997" spans="1:11" ht="42" customHeight="1">
      <c r="A5997" s="2" t="s">
        <v>15288</v>
      </c>
      <c r="B5997" s="2" t="s">
        <v>15289</v>
      </c>
      <c r="C5997" s="2" t="s">
        <v>26</v>
      </c>
      <c r="D5997" s="2" t="s">
        <v>27</v>
      </c>
      <c r="E5997" s="4">
        <v>-32647</v>
      </c>
      <c r="F5997" s="3" t="s">
        <v>118</v>
      </c>
      <c r="G5997" s="3" t="s">
        <v>140</v>
      </c>
      <c r="H5997" s="2" t="s">
        <v>74</v>
      </c>
      <c r="I5997" s="2" t="s">
        <v>15290</v>
      </c>
      <c r="J5997" s="3" t="str">
        <f>HYPERLINK("https://www.boe.es/gazeta/dias/1810/08/12/pdfs/GMD-1810-224.pdf#page=2","Abrir facsímil")</f>
        <v>Abrir facsímil</v>
      </c>
      <c r="K5997" s="3" t="s">
        <v>76</v>
      </c>
    </row>
    <row r="5998" spans="1:11" ht="42" customHeight="1">
      <c r="A5998" s="2" t="s">
        <v>15291</v>
      </c>
      <c r="B5998" s="2" t="s">
        <v>15292</v>
      </c>
      <c r="C5998" s="2" t="s">
        <v>26</v>
      </c>
      <c r="D5998" s="2" t="s">
        <v>58</v>
      </c>
      <c r="E5998" s="4">
        <v>-32601</v>
      </c>
      <c r="F5998" s="3" t="s">
        <v>392</v>
      </c>
      <c r="G5998" s="3" t="s">
        <v>35</v>
      </c>
      <c r="H5998" s="2" t="s">
        <v>74</v>
      </c>
      <c r="I5998" s="2" t="s">
        <v>15293</v>
      </c>
      <c r="J5998" s="3" t="str">
        <f>HYPERLINK("https://www.boe.es/gazeta/dias/1810/09/27/pdfs/GEI-1810-74E.pdf#page=2","Abrir facsímil")</f>
        <v>Abrir facsímil</v>
      </c>
      <c r="K5998" s="3" t="s">
        <v>76</v>
      </c>
    </row>
    <row r="5999" spans="1:11" ht="42" customHeight="1">
      <c r="A5999" s="2" t="s">
        <v>15294</v>
      </c>
      <c r="B5999" s="2" t="s">
        <v>15294</v>
      </c>
      <c r="C5999" s="2" t="s">
        <v>111</v>
      </c>
      <c r="D5999" s="2" t="s">
        <v>27</v>
      </c>
      <c r="E5999" s="4">
        <v>-32733</v>
      </c>
      <c r="F5999" s="3" t="s">
        <v>955</v>
      </c>
      <c r="G5999" s="3" t="s">
        <v>3220</v>
      </c>
      <c r="H5999" s="2" t="s">
        <v>74</v>
      </c>
      <c r="I5999" s="2" t="s">
        <v>15295</v>
      </c>
      <c r="J5999" s="3" t="str">
        <f>HYPERLINK("https://www.boe.es/gazeta/dias/1810/05/18/pdfs/GEI-1810-27.pdf#page=6","Abrir facsímil")</f>
        <v>Abrir facsímil</v>
      </c>
      <c r="K5999" s="3" t="s">
        <v>76</v>
      </c>
    </row>
    <row r="6000" spans="1:11" ht="42" customHeight="1">
      <c r="A6000" s="2" t="s">
        <v>15294</v>
      </c>
      <c r="B6000" s="2" t="s">
        <v>15294</v>
      </c>
      <c r="C6000" s="2" t="s">
        <v>88</v>
      </c>
      <c r="D6000" s="2" t="s">
        <v>117</v>
      </c>
      <c r="E6000" s="4">
        <v>-32701</v>
      </c>
      <c r="F6000" s="3" t="s">
        <v>671</v>
      </c>
      <c r="G6000" s="3" t="s">
        <v>1938</v>
      </c>
      <c r="H6000" s="2" t="s">
        <v>74</v>
      </c>
      <c r="I6000" s="2" t="s">
        <v>15296</v>
      </c>
      <c r="J6000" s="3" t="str">
        <f>HYPERLINK("https://www.boe.es/gazeta/dias/1810/06/19/pdfs/GEI-1810-37.pdf#page=7","Abrir facsímil")</f>
        <v>Abrir facsímil</v>
      </c>
      <c r="K6000" s="3" t="s">
        <v>76</v>
      </c>
    </row>
    <row r="6001" spans="1:11" ht="42" customHeight="1">
      <c r="A6001" s="2" t="s">
        <v>15294</v>
      </c>
      <c r="B6001" s="2" t="s">
        <v>15294</v>
      </c>
      <c r="C6001" s="2" t="s">
        <v>26</v>
      </c>
      <c r="D6001" s="2" t="s">
        <v>27</v>
      </c>
      <c r="E6001" s="4">
        <v>-32698</v>
      </c>
      <c r="F6001" s="3" t="s">
        <v>2705</v>
      </c>
      <c r="G6001" s="3" t="s">
        <v>180</v>
      </c>
      <c r="H6001" s="2" t="s">
        <v>74</v>
      </c>
      <c r="I6001" s="2" t="s">
        <v>15297</v>
      </c>
      <c r="J6001" s="3" t="str">
        <f>HYPERLINK("https://www.boe.es/gazeta/dias/1810/06/22/pdfs/GEI-1810-38.pdf#page=7","Abrir facsímil")</f>
        <v>Abrir facsímil</v>
      </c>
      <c r="K6001" s="3" t="s">
        <v>76</v>
      </c>
    </row>
    <row r="6002" spans="1:11" ht="42" customHeight="1">
      <c r="A6002" s="2" t="s">
        <v>15294</v>
      </c>
      <c r="B6002" s="2" t="s">
        <v>15294</v>
      </c>
      <c r="C6002" s="2" t="s">
        <v>26</v>
      </c>
      <c r="D6002" s="2" t="s">
        <v>18</v>
      </c>
      <c r="E6002" s="4">
        <v>-32631</v>
      </c>
      <c r="F6002" s="3" t="s">
        <v>130</v>
      </c>
      <c r="G6002" s="3" t="s">
        <v>131</v>
      </c>
      <c r="H6002" s="2" t="s">
        <v>74</v>
      </c>
      <c r="I6002" s="2" t="s">
        <v>15298</v>
      </c>
      <c r="J6002" s="3" t="str">
        <f>HYPERLINK("https://www.boe.es/gazeta/dias/1810/08/28/pdfs/GEI-1810-60.pdf#page=4","Abrir facsímil")</f>
        <v>Abrir facsímil</v>
      </c>
      <c r="K6002" s="3" t="s">
        <v>76</v>
      </c>
    </row>
    <row r="6003" spans="1:11" ht="42" customHeight="1">
      <c r="A6003" s="2" t="s">
        <v>15294</v>
      </c>
      <c r="B6003" s="2" t="s">
        <v>15294</v>
      </c>
      <c r="C6003" s="2" t="s">
        <v>88</v>
      </c>
      <c r="D6003" s="2" t="s">
        <v>18</v>
      </c>
      <c r="E6003" s="4">
        <v>-32603</v>
      </c>
      <c r="F6003" s="3" t="s">
        <v>2163</v>
      </c>
      <c r="G6003" s="3" t="s">
        <v>90</v>
      </c>
      <c r="H6003" s="2" t="s">
        <v>74</v>
      </c>
      <c r="I6003" s="2" t="s">
        <v>15299</v>
      </c>
      <c r="J6003" s="3" t="str">
        <f>HYPERLINK("https://www.boe.es/gazeta/dias/1810/09/25/pdfs/GEI-1810-72.pdf#page=2","Abrir facsímil")</f>
        <v>Abrir facsímil</v>
      </c>
      <c r="K6003" s="3" t="s">
        <v>76</v>
      </c>
    </row>
    <row r="6004" spans="1:11" ht="42" customHeight="1">
      <c r="A6004" s="2" t="s">
        <v>15294</v>
      </c>
      <c r="B6004" s="2" t="s">
        <v>15294</v>
      </c>
      <c r="C6004" s="2" t="s">
        <v>88</v>
      </c>
      <c r="D6004" s="2" t="s">
        <v>117</v>
      </c>
      <c r="E6004" s="4">
        <v>-32575</v>
      </c>
      <c r="F6004" s="3" t="s">
        <v>135</v>
      </c>
      <c r="G6004" s="3" t="s">
        <v>90</v>
      </c>
      <c r="H6004" s="2" t="s">
        <v>74</v>
      </c>
      <c r="I6004" s="2" t="s">
        <v>15300</v>
      </c>
      <c r="J6004" s="3" t="str">
        <f>HYPERLINK("https://www.boe.es/gazeta/dias/1810/10/23/pdfs/GEI-1810-85.pdf#page=9","Abrir facsímil")</f>
        <v>Abrir facsímil</v>
      </c>
      <c r="K6004" s="3" t="s">
        <v>76</v>
      </c>
    </row>
    <row r="6005" spans="1:11" ht="42" customHeight="1">
      <c r="A6005" s="2" t="s">
        <v>15294</v>
      </c>
      <c r="B6005" s="2" t="s">
        <v>15294</v>
      </c>
      <c r="C6005" s="2" t="s">
        <v>88</v>
      </c>
      <c r="D6005" s="2" t="s">
        <v>27</v>
      </c>
      <c r="E6005" s="4">
        <v>-32573</v>
      </c>
      <c r="F6005" s="3" t="s">
        <v>3120</v>
      </c>
      <c r="G6005" s="3" t="s">
        <v>1656</v>
      </c>
      <c r="H6005" s="2" t="s">
        <v>74</v>
      </c>
      <c r="I6005" s="2" t="s">
        <v>15301</v>
      </c>
      <c r="J6005" s="3" t="str">
        <f>HYPERLINK("https://www.boe.es/gazeta/dias/1810/10/25/pdfs/GEI-1810-86.pdf#page=3","Abrir facsímil")</f>
        <v>Abrir facsímil</v>
      </c>
      <c r="K6005" s="3" t="s">
        <v>76</v>
      </c>
    </row>
    <row r="6006" spans="1:11" ht="42" customHeight="1">
      <c r="A6006" s="2" t="s">
        <v>15294</v>
      </c>
      <c r="B6006" s="2" t="s">
        <v>15294</v>
      </c>
      <c r="C6006" s="2" t="s">
        <v>88</v>
      </c>
      <c r="D6006" s="2" t="s">
        <v>117</v>
      </c>
      <c r="E6006" s="4">
        <v>-32554</v>
      </c>
      <c r="F6006" s="3" t="s">
        <v>5190</v>
      </c>
      <c r="G6006" s="3" t="s">
        <v>10239</v>
      </c>
      <c r="H6006" s="2" t="s">
        <v>74</v>
      </c>
      <c r="I6006" s="2" t="s">
        <v>15302</v>
      </c>
      <c r="J6006" s="3" t="str">
        <f>HYPERLINK("https://www.boe.es/gazeta/dias/1810/11/13/pdfs/GEI-1810-94.pdf#page=6","Abrir facsímil")</f>
        <v>Abrir facsímil</v>
      </c>
      <c r="K6006" s="3" t="s">
        <v>76</v>
      </c>
    </row>
    <row r="6007" spans="1:11" ht="42" customHeight="1">
      <c r="A6007" s="2" t="s">
        <v>15294</v>
      </c>
      <c r="B6007" s="2" t="s">
        <v>15294</v>
      </c>
      <c r="C6007" s="2" t="s">
        <v>88</v>
      </c>
      <c r="D6007" s="2" t="s">
        <v>27</v>
      </c>
      <c r="E6007" s="4">
        <v>-32538</v>
      </c>
      <c r="F6007" s="3" t="s">
        <v>1949</v>
      </c>
      <c r="G6007" s="3" t="s">
        <v>2895</v>
      </c>
      <c r="H6007" s="2" t="s">
        <v>74</v>
      </c>
      <c r="I6007" s="2" t="s">
        <v>15303</v>
      </c>
      <c r="J6007" s="3" t="str">
        <f>HYPERLINK("https://www.boe.es/gazeta/dias/1810/11/29/pdfs/GEI-1810-101.pdf#page=4","Abrir facsímil")</f>
        <v>Abrir facsímil</v>
      </c>
      <c r="K6007" s="3" t="s">
        <v>76</v>
      </c>
    </row>
    <row r="6008" spans="1:11" ht="42" customHeight="1">
      <c r="A6008" s="2" t="s">
        <v>15294</v>
      </c>
      <c r="B6008" s="2" t="s">
        <v>15294</v>
      </c>
      <c r="C6008" s="2" t="s">
        <v>88</v>
      </c>
      <c r="D6008" s="2" t="s">
        <v>117</v>
      </c>
      <c r="E6008" s="4">
        <v>-32508</v>
      </c>
      <c r="F6008" s="3" t="s">
        <v>864</v>
      </c>
      <c r="G6008" s="3" t="s">
        <v>5628</v>
      </c>
      <c r="H6008" s="2" t="s">
        <v>74</v>
      </c>
      <c r="I6008" s="2" t="s">
        <v>15304</v>
      </c>
      <c r="J6008" s="3" t="str">
        <f>HYPERLINK("https://www.boe.es/gazeta/dias/1810/12/29/pdfs/GEI-1810-114.pdf#page=6","Abrir facsímil")</f>
        <v>Abrir facsímil</v>
      </c>
      <c r="K6008" s="3" t="s">
        <v>76</v>
      </c>
    </row>
    <row r="6009" spans="1:11" ht="42" customHeight="1">
      <c r="A6009" s="2" t="s">
        <v>15294</v>
      </c>
      <c r="B6009" s="2" t="s">
        <v>15294</v>
      </c>
      <c r="C6009" s="2" t="s">
        <v>26</v>
      </c>
      <c r="D6009" s="2" t="s">
        <v>18</v>
      </c>
      <c r="E6009" s="4">
        <v>-32506</v>
      </c>
      <c r="F6009" s="3" t="s">
        <v>7076</v>
      </c>
      <c r="G6009" s="3" t="s">
        <v>227</v>
      </c>
      <c r="H6009" s="2" t="s">
        <v>74</v>
      </c>
      <c r="I6009" s="2" t="s">
        <v>15305</v>
      </c>
      <c r="J6009" s="3" t="str">
        <f>HYPERLINK("https://www.boe.es/gazeta/dias/1810/12/31/pdfs/GMD-1810-365.pdf#page=2","Abrir facsímil")</f>
        <v>Abrir facsímil</v>
      </c>
      <c r="K6009" s="3" t="s">
        <v>76</v>
      </c>
    </row>
    <row r="6010" spans="1:11" ht="42" customHeight="1">
      <c r="A6010" s="2" t="s">
        <v>15306</v>
      </c>
      <c r="B6010" s="2" t="s">
        <v>15307</v>
      </c>
      <c r="C6010" s="2" t="s">
        <v>317</v>
      </c>
      <c r="D6010" s="2" t="s">
        <v>27</v>
      </c>
      <c r="E6010" s="4">
        <v>-32568</v>
      </c>
      <c r="F6010" s="3" t="s">
        <v>1233</v>
      </c>
      <c r="G6010" s="3" t="s">
        <v>140</v>
      </c>
      <c r="H6010" s="2" t="s">
        <v>74</v>
      </c>
      <c r="I6010" s="2" t="s">
        <v>15308</v>
      </c>
      <c r="J6010" s="3" t="str">
        <f>HYPERLINK("https://www.boe.es/gazeta/dias/1810/10/30/pdfs/GMD-1810-303.pdf#page=4","Abrir facsímil")</f>
        <v>Abrir facsímil</v>
      </c>
      <c r="K6010" s="3" t="s">
        <v>76</v>
      </c>
    </row>
    <row r="6011" spans="1:11" ht="42" customHeight="1">
      <c r="A6011" s="2" t="s">
        <v>15309</v>
      </c>
      <c r="B6011" s="2" t="s">
        <v>15309</v>
      </c>
      <c r="C6011" s="2" t="s">
        <v>88</v>
      </c>
      <c r="D6011" s="2" t="s">
        <v>220</v>
      </c>
      <c r="E6011" s="4">
        <v>-32795</v>
      </c>
      <c r="F6011" s="3" t="s">
        <v>690</v>
      </c>
      <c r="G6011" s="3" t="s">
        <v>113</v>
      </c>
      <c r="H6011" s="2" t="s">
        <v>74</v>
      </c>
      <c r="I6011" s="2" t="s">
        <v>15310</v>
      </c>
      <c r="J6011" s="3" t="str">
        <f>HYPERLINK("https://www.boe.es/gazeta/dias/1810/03/17/pdfs/GMD-1810-76.pdf#page=2","Abrir facsímil")</f>
        <v>Abrir facsímil</v>
      </c>
      <c r="K6011" s="3" t="s">
        <v>76</v>
      </c>
    </row>
    <row r="6012" spans="1:11" ht="42" customHeight="1">
      <c r="A6012" s="2" t="s">
        <v>15311</v>
      </c>
      <c r="B6012" s="2" t="s">
        <v>15312</v>
      </c>
      <c r="C6012" s="2" t="s">
        <v>88</v>
      </c>
      <c r="D6012" s="2" t="s">
        <v>27</v>
      </c>
      <c r="E6012" s="4">
        <v>-32763</v>
      </c>
      <c r="F6012" s="3" t="s">
        <v>1146</v>
      </c>
      <c r="G6012" s="3" t="s">
        <v>140</v>
      </c>
      <c r="H6012" s="2" t="s">
        <v>74</v>
      </c>
      <c r="I6012" s="2" t="s">
        <v>15313</v>
      </c>
      <c r="J6012" s="3" t="str">
        <f>HYPERLINK("https://www.boe.es/gazeta/dias/1810/04/18/pdfs/GMD-1810-108.pdf#page=3","Abrir facsímil")</f>
        <v>Abrir facsímil</v>
      </c>
      <c r="K6012" s="3" t="s">
        <v>76</v>
      </c>
    </row>
    <row r="6013" spans="1:11" ht="42" customHeight="1">
      <c r="A6013" s="2" t="s">
        <v>15314</v>
      </c>
      <c r="B6013" s="2" t="s">
        <v>15314</v>
      </c>
      <c r="C6013" s="2" t="s">
        <v>33</v>
      </c>
      <c r="D6013" s="2" t="s">
        <v>27</v>
      </c>
      <c r="E6013" s="4">
        <v>-32841</v>
      </c>
      <c r="F6013" s="3" t="s">
        <v>4274</v>
      </c>
      <c r="G6013" s="3" t="s">
        <v>6380</v>
      </c>
      <c r="H6013" s="2" t="s">
        <v>74</v>
      </c>
      <c r="I6013" s="2" t="s">
        <v>15315</v>
      </c>
      <c r="J6013" s="3" t="str">
        <f>HYPERLINK("https://www.boe.es/gazeta/dias/1810/01/30/pdfs/GMD-1810-30.pdf#page=1","Abrir facsímil")</f>
        <v>Abrir facsímil</v>
      </c>
      <c r="K6013" s="3" t="s">
        <v>76</v>
      </c>
    </row>
    <row r="6014" spans="1:11" ht="42" customHeight="1">
      <c r="A6014" s="2" t="s">
        <v>15314</v>
      </c>
      <c r="B6014" s="2" t="s">
        <v>15314</v>
      </c>
      <c r="C6014" s="2" t="s">
        <v>17</v>
      </c>
      <c r="D6014" s="2" t="s">
        <v>27</v>
      </c>
      <c r="E6014" s="4">
        <v>-32801</v>
      </c>
      <c r="F6014" s="3" t="s">
        <v>11837</v>
      </c>
      <c r="G6014" s="3" t="s">
        <v>29</v>
      </c>
      <c r="H6014" s="2" t="s">
        <v>74</v>
      </c>
      <c r="I6014" s="2" t="s">
        <v>15316</v>
      </c>
      <c r="J6014" s="3" t="str">
        <f>HYPERLINK("https://www.boe.es/gazeta/dias/1810/03/11/pdfs/GMD-1810-70.pdf#page=4","Abrir facsímil")</f>
        <v>Abrir facsímil</v>
      </c>
      <c r="K6014" s="3" t="s">
        <v>76</v>
      </c>
    </row>
    <row r="6015" spans="1:11" ht="42" customHeight="1">
      <c r="A6015" s="2" t="s">
        <v>15317</v>
      </c>
      <c r="B6015" s="2" t="s">
        <v>15317</v>
      </c>
      <c r="C6015" s="2" t="s">
        <v>88</v>
      </c>
      <c r="D6015" s="2" t="s">
        <v>27</v>
      </c>
      <c r="E6015" s="4">
        <v>-32590</v>
      </c>
      <c r="F6015" s="3" t="s">
        <v>4283</v>
      </c>
      <c r="G6015" s="3" t="s">
        <v>6623</v>
      </c>
      <c r="H6015" s="2" t="s">
        <v>74</v>
      </c>
      <c r="I6015" s="2" t="s">
        <v>15318</v>
      </c>
      <c r="J6015" s="3" t="str">
        <f>HYPERLINK("https://www.boe.es/gazeta/dias/1810/10/08/pdfs/GMD-1810-281.pdf#page=3","Abrir facsímil")</f>
        <v>Abrir facsímil</v>
      </c>
      <c r="K6015" s="3" t="s">
        <v>76</v>
      </c>
    </row>
    <row r="6016" spans="1:11" ht="42" customHeight="1">
      <c r="A6016" s="2" t="s">
        <v>15319</v>
      </c>
      <c r="B6016" s="2" t="s">
        <v>15319</v>
      </c>
      <c r="C6016" s="2" t="s">
        <v>26</v>
      </c>
      <c r="D6016" s="2" t="s">
        <v>18</v>
      </c>
      <c r="E6016" s="4">
        <v>-32506</v>
      </c>
      <c r="F6016" s="3" t="s">
        <v>7076</v>
      </c>
      <c r="G6016" s="3" t="s">
        <v>668</v>
      </c>
      <c r="H6016" s="2" t="s">
        <v>74</v>
      </c>
      <c r="I6016" s="2" t="s">
        <v>15320</v>
      </c>
      <c r="J6016" s="3" t="str">
        <f>HYPERLINK("https://www.boe.es/gazeta/dias/1810/12/31/pdfs/GMD-1810-365.pdf#page=3","Abrir facsímil")</f>
        <v>Abrir facsímil</v>
      </c>
      <c r="K6016" s="3" t="s">
        <v>76</v>
      </c>
    </row>
    <row r="6017" spans="1:11" ht="42" customHeight="1">
      <c r="A6017" s="2" t="s">
        <v>15321</v>
      </c>
      <c r="B6017" s="2" t="s">
        <v>15321</v>
      </c>
      <c r="C6017" s="2" t="s">
        <v>88</v>
      </c>
      <c r="D6017" s="2" t="s">
        <v>27</v>
      </c>
      <c r="E6017" s="4">
        <v>-32783</v>
      </c>
      <c r="F6017" s="3" t="s">
        <v>896</v>
      </c>
      <c r="G6017" s="3" t="s">
        <v>1667</v>
      </c>
      <c r="H6017" s="2" t="s">
        <v>74</v>
      </c>
      <c r="I6017" s="2" t="s">
        <v>15322</v>
      </c>
      <c r="J6017" s="3" t="str">
        <f>HYPERLINK("https://www.boe.es/gazeta/dias/1810/03/29/pdfs/GMD-1810-88.pdf#page=2","Abrir facsímil")</f>
        <v>Abrir facsímil</v>
      </c>
      <c r="K6017" s="3" t="s">
        <v>76</v>
      </c>
    </row>
    <row r="6018" spans="1:11" ht="42" customHeight="1">
      <c r="A6018" s="2" t="s">
        <v>15323</v>
      </c>
      <c r="B6018" s="2" t="s">
        <v>15323</v>
      </c>
      <c r="C6018" s="2" t="s">
        <v>26</v>
      </c>
      <c r="D6018" s="2" t="s">
        <v>27</v>
      </c>
      <c r="E6018" s="4">
        <v>-32533</v>
      </c>
      <c r="F6018" s="3" t="s">
        <v>1357</v>
      </c>
      <c r="G6018" s="3" t="s">
        <v>1667</v>
      </c>
      <c r="H6018" s="2" t="s">
        <v>74</v>
      </c>
      <c r="I6018" s="2" t="s">
        <v>15324</v>
      </c>
      <c r="J6018" s="3" t="str">
        <f>HYPERLINK("https://www.boe.es/gazeta/dias/1810/12/04/pdfs/GEI-1810-103.pdf#page=6","Abrir facsímil")</f>
        <v>Abrir facsímil</v>
      </c>
      <c r="K6018" s="3" t="s">
        <v>76</v>
      </c>
    </row>
    <row r="6019" spans="1:11" ht="42" customHeight="1">
      <c r="A6019" s="2" t="s">
        <v>15325</v>
      </c>
      <c r="B6019" s="2" t="s">
        <v>15325</v>
      </c>
      <c r="C6019" s="2" t="s">
        <v>88</v>
      </c>
      <c r="D6019" s="2" t="s">
        <v>117</v>
      </c>
      <c r="E6019" s="4">
        <v>-32788</v>
      </c>
      <c r="F6019" s="3" t="s">
        <v>1254</v>
      </c>
      <c r="G6019" s="3" t="s">
        <v>3864</v>
      </c>
      <c r="H6019" s="2" t="s">
        <v>74</v>
      </c>
      <c r="I6019" s="2" t="s">
        <v>15326</v>
      </c>
      <c r="J6019" s="3" t="str">
        <f>HYPERLINK("https://www.boe.es/gazeta/dias/1810/03/24/pdfs/GMD-1810-83.pdf#page=1","Abrir facsímil")</f>
        <v>Abrir facsímil</v>
      </c>
      <c r="K6019" s="3" t="s">
        <v>76</v>
      </c>
    </row>
    <row r="6020" spans="1:11" ht="42" customHeight="1">
      <c r="A6020" s="2" t="s">
        <v>15325</v>
      </c>
      <c r="B6020" s="2" t="s">
        <v>15325</v>
      </c>
      <c r="C6020" s="2" t="s">
        <v>88</v>
      </c>
      <c r="D6020" s="2" t="s">
        <v>117</v>
      </c>
      <c r="E6020" s="4">
        <v>-32695</v>
      </c>
      <c r="F6020" s="3" t="s">
        <v>1646</v>
      </c>
      <c r="G6020" s="3" t="s">
        <v>701</v>
      </c>
      <c r="H6020" s="2" t="s">
        <v>74</v>
      </c>
      <c r="I6020" s="2" t="s">
        <v>15327</v>
      </c>
      <c r="J6020" s="3" t="str">
        <f>HYPERLINK("https://www.boe.es/gazeta/dias/1810/06/25/pdfs/GMD-1810-176.pdf#page=2","Abrir facsímil")</f>
        <v>Abrir facsímil</v>
      </c>
      <c r="K6020" s="3" t="s">
        <v>76</v>
      </c>
    </row>
    <row r="6021" spans="1:11" ht="42" customHeight="1">
      <c r="A6021" s="2" t="s">
        <v>15328</v>
      </c>
      <c r="B6021" s="2" t="s">
        <v>15329</v>
      </c>
      <c r="C6021" s="2" t="s">
        <v>26</v>
      </c>
      <c r="D6021" s="2" t="s">
        <v>27</v>
      </c>
      <c r="E6021" s="4">
        <v>-32647</v>
      </c>
      <c r="F6021" s="3" t="s">
        <v>118</v>
      </c>
      <c r="G6021" s="3" t="s">
        <v>119</v>
      </c>
      <c r="H6021" s="2" t="s">
        <v>74</v>
      </c>
      <c r="I6021" s="2" t="s">
        <v>15330</v>
      </c>
      <c r="J6021" s="3" t="str">
        <f>HYPERLINK("https://www.boe.es/gazeta/dias/1810/08/12/pdfs/GMD-1810-224.pdf#page=3","Abrir facsímil")</f>
        <v>Abrir facsímil</v>
      </c>
      <c r="K6021" s="3" t="s">
        <v>76</v>
      </c>
    </row>
    <row r="6022" spans="1:11" ht="42" customHeight="1">
      <c r="A6022" s="2" t="s">
        <v>15331</v>
      </c>
      <c r="B6022" s="2" t="s">
        <v>15332</v>
      </c>
      <c r="C6022" s="2" t="s">
        <v>26</v>
      </c>
      <c r="D6022" s="2" t="s">
        <v>18</v>
      </c>
      <c r="E6022" s="4">
        <v>-32827</v>
      </c>
      <c r="F6022" s="3" t="s">
        <v>290</v>
      </c>
      <c r="G6022" s="3" t="s">
        <v>291</v>
      </c>
      <c r="H6022" s="2" t="s">
        <v>74</v>
      </c>
      <c r="I6022" s="2" t="s">
        <v>15333</v>
      </c>
      <c r="J6022" s="3" t="str">
        <f>HYPERLINK("https://www.boe.es/gazeta/dias/1810/02/13/pdfs/GMD-1810-44.pdf#page=4","Abrir facsímil")</f>
        <v>Abrir facsímil</v>
      </c>
      <c r="K6022" s="3" t="s">
        <v>76</v>
      </c>
    </row>
    <row r="6023" spans="1:11" ht="42" customHeight="1">
      <c r="A6023" s="2" t="s">
        <v>15334</v>
      </c>
      <c r="B6023" s="2" t="s">
        <v>15335</v>
      </c>
      <c r="C6023" s="2" t="s">
        <v>88</v>
      </c>
      <c r="D6023" s="2" t="s">
        <v>117</v>
      </c>
      <c r="E6023" s="4">
        <v>-32728</v>
      </c>
      <c r="F6023" s="3" t="s">
        <v>269</v>
      </c>
      <c r="G6023" s="3" t="s">
        <v>119</v>
      </c>
      <c r="H6023" s="2" t="s">
        <v>74</v>
      </c>
      <c r="I6023" s="2" t="s">
        <v>15336</v>
      </c>
      <c r="J6023" s="3" t="str">
        <f>HYPERLINK("https://www.boe.es/gazeta/dias/1810/05/23/pdfs/GMD-1810-143.pdf#page=3","Abrir facsímil")</f>
        <v>Abrir facsímil</v>
      </c>
      <c r="K6023" s="3" t="s">
        <v>76</v>
      </c>
    </row>
    <row r="6024" spans="1:11" ht="42" customHeight="1">
      <c r="A6024" s="2" t="s">
        <v>15337</v>
      </c>
      <c r="B6024" s="2" t="s">
        <v>15338</v>
      </c>
      <c r="C6024" s="2" t="s">
        <v>26</v>
      </c>
      <c r="D6024" s="2" t="s">
        <v>27</v>
      </c>
      <c r="E6024" s="4">
        <v>-32642</v>
      </c>
      <c r="F6024" s="3" t="s">
        <v>657</v>
      </c>
      <c r="G6024" s="3" t="s">
        <v>29</v>
      </c>
      <c r="H6024" s="2" t="s">
        <v>74</v>
      </c>
      <c r="I6024" s="2" t="s">
        <v>15339</v>
      </c>
      <c r="J6024" s="3" t="str">
        <f>HYPERLINK("https://www.boe.es/gazeta/dias/1810/08/17/pdfs/GEI-1810-57.pdf#page=4","Abrir facsímil")</f>
        <v>Abrir facsímil</v>
      </c>
      <c r="K6024" s="3" t="s">
        <v>76</v>
      </c>
    </row>
    <row r="6025" spans="1:11" ht="42" customHeight="1">
      <c r="A6025" s="2" t="s">
        <v>15340</v>
      </c>
      <c r="B6025" s="2" t="s">
        <v>15341</v>
      </c>
      <c r="C6025" s="2" t="s">
        <v>88</v>
      </c>
      <c r="D6025" s="2" t="s">
        <v>27</v>
      </c>
      <c r="E6025" s="4">
        <v>-32575</v>
      </c>
      <c r="F6025" s="3" t="s">
        <v>135</v>
      </c>
      <c r="G6025" s="3" t="s">
        <v>3467</v>
      </c>
      <c r="H6025" s="2" t="s">
        <v>74</v>
      </c>
      <c r="I6025" s="2" t="s">
        <v>15342</v>
      </c>
      <c r="J6025" s="3" t="str">
        <f>HYPERLINK("https://www.boe.es/gazeta/dias/1810/10/23/pdfs/GEI-1810-85.pdf#page=2","Abrir facsímil")</f>
        <v>Abrir facsímil</v>
      </c>
      <c r="K6025" s="3" t="s">
        <v>76</v>
      </c>
    </row>
    <row r="6026" spans="1:11" ht="42" customHeight="1">
      <c r="A6026" s="2" t="s">
        <v>15343</v>
      </c>
      <c r="B6026" s="2" t="s">
        <v>15344</v>
      </c>
      <c r="C6026" s="2" t="s">
        <v>26</v>
      </c>
      <c r="D6026" s="2" t="s">
        <v>39</v>
      </c>
      <c r="E6026" s="4">
        <v>-32701</v>
      </c>
      <c r="F6026" s="3" t="s">
        <v>40</v>
      </c>
      <c r="G6026" s="3" t="s">
        <v>170</v>
      </c>
      <c r="H6026" s="2" t="s">
        <v>74</v>
      </c>
      <c r="I6026" s="2" t="s">
        <v>15345</v>
      </c>
      <c r="J6026" s="3" t="str">
        <f>HYPERLINK("https://www.boe.es/gazeta/dias/1810/06/19/pdfs/GMD-C-1810-170.pdf#page=1","Abrir facsímil")</f>
        <v>Abrir facsímil</v>
      </c>
      <c r="K6026" s="3" t="s">
        <v>76</v>
      </c>
    </row>
    <row r="6027" spans="1:11" ht="42" customHeight="1">
      <c r="A6027" s="2" t="s">
        <v>15346</v>
      </c>
      <c r="B6027" s="2" t="s">
        <v>15347</v>
      </c>
      <c r="C6027" s="2" t="s">
        <v>26</v>
      </c>
      <c r="D6027" s="2" t="s">
        <v>39</v>
      </c>
      <c r="E6027" s="4">
        <v>-32702</v>
      </c>
      <c r="F6027" s="3" t="s">
        <v>179</v>
      </c>
      <c r="G6027" s="3" t="s">
        <v>180</v>
      </c>
      <c r="H6027" s="2" t="s">
        <v>74</v>
      </c>
      <c r="I6027" s="2" t="s">
        <v>15348</v>
      </c>
      <c r="J6027" s="3" t="str">
        <f>HYPERLINK("https://www.boe.es/gazeta/dias/1810/06/18/pdfs/GMD-C-1810-169.pdf#page=2","Abrir facsímil")</f>
        <v>Abrir facsímil</v>
      </c>
      <c r="K6027" s="3" t="s">
        <v>76</v>
      </c>
    </row>
    <row r="6028" spans="1:11" ht="42" customHeight="1">
      <c r="A6028" s="2" t="s">
        <v>15349</v>
      </c>
      <c r="B6028" s="2" t="s">
        <v>15350</v>
      </c>
      <c r="C6028" s="2" t="s">
        <v>88</v>
      </c>
      <c r="D6028" s="2" t="s">
        <v>27</v>
      </c>
      <c r="E6028" s="4">
        <v>-32754</v>
      </c>
      <c r="F6028" s="3" t="s">
        <v>1057</v>
      </c>
      <c r="G6028" s="3" t="s">
        <v>1058</v>
      </c>
      <c r="H6028" s="2" t="s">
        <v>74</v>
      </c>
      <c r="I6028" s="2" t="s">
        <v>15351</v>
      </c>
      <c r="J6028" s="3" t="str">
        <f>HYPERLINK("https://www.boe.es/gazeta/dias/1810/04/27/pdfs/GEI-1810-18.pdf#page=12","Abrir facsímil")</f>
        <v>Abrir facsímil</v>
      </c>
      <c r="K6028" s="3" t="s">
        <v>76</v>
      </c>
    </row>
    <row r="6029" spans="1:11" ht="42" customHeight="1">
      <c r="A6029" s="2" t="s">
        <v>15352</v>
      </c>
      <c r="B6029" s="2" t="s">
        <v>15353</v>
      </c>
      <c r="C6029" s="2" t="s">
        <v>26</v>
      </c>
      <c r="D6029" s="2" t="s">
        <v>39</v>
      </c>
      <c r="E6029" s="4">
        <v>-32667</v>
      </c>
      <c r="F6029" s="3" t="s">
        <v>924</v>
      </c>
      <c r="G6029" s="3" t="s">
        <v>2281</v>
      </c>
      <c r="H6029" s="2" t="s">
        <v>74</v>
      </c>
      <c r="I6029" s="2" t="s">
        <v>15354</v>
      </c>
      <c r="J6029" s="3" t="str">
        <f>HYPERLINK("https://www.boe.es/gazeta/dias/1810/07/23/pdfs/GMD-C-1810-204.pdf#page=3","Abrir facsímil")</f>
        <v>Abrir facsímil</v>
      </c>
      <c r="K6029" s="3" t="s">
        <v>76</v>
      </c>
    </row>
    <row r="6030" spans="1:11" ht="42" customHeight="1">
      <c r="A6030" s="2" t="s">
        <v>15355</v>
      </c>
      <c r="B6030" s="2" t="s">
        <v>15356</v>
      </c>
      <c r="C6030" s="2" t="s">
        <v>26</v>
      </c>
      <c r="D6030" s="2" t="s">
        <v>39</v>
      </c>
      <c r="E6030" s="4">
        <v>-32701</v>
      </c>
      <c r="F6030" s="3" t="s">
        <v>40</v>
      </c>
      <c r="G6030" s="3" t="s">
        <v>170</v>
      </c>
      <c r="H6030" s="2" t="s">
        <v>74</v>
      </c>
      <c r="I6030" s="2" t="s">
        <v>15357</v>
      </c>
      <c r="J6030" s="3" t="str">
        <f>HYPERLINK("https://www.boe.es/gazeta/dias/1810/06/19/pdfs/GMD-C-1810-170.pdf#page=1","Abrir facsímil")</f>
        <v>Abrir facsímil</v>
      </c>
      <c r="K6030" s="3" t="s">
        <v>76</v>
      </c>
    </row>
    <row r="6031" spans="1:11" ht="42" customHeight="1">
      <c r="A6031" s="2" t="s">
        <v>15358</v>
      </c>
      <c r="B6031" s="2" t="s">
        <v>15358</v>
      </c>
      <c r="C6031" s="2" t="s">
        <v>88</v>
      </c>
      <c r="D6031" s="2" t="s">
        <v>27</v>
      </c>
      <c r="E6031" s="4">
        <v>-32600</v>
      </c>
      <c r="F6031" s="3" t="s">
        <v>1679</v>
      </c>
      <c r="G6031" s="3" t="s">
        <v>465</v>
      </c>
      <c r="H6031" s="2" t="s">
        <v>74</v>
      </c>
      <c r="I6031" s="2" t="s">
        <v>15359</v>
      </c>
      <c r="J6031" s="3" t="str">
        <f>HYPERLINK("https://www.boe.es/gazeta/dias/1810/09/28/pdfs/GMD-1810-271.pdf#page=2","Abrir facsímil")</f>
        <v>Abrir facsímil</v>
      </c>
      <c r="K6031" s="3" t="s">
        <v>76</v>
      </c>
    </row>
    <row r="6032" spans="1:11" ht="42" customHeight="1">
      <c r="A6032" s="2" t="s">
        <v>15360</v>
      </c>
      <c r="B6032" s="2" t="s">
        <v>15360</v>
      </c>
      <c r="C6032" s="2" t="s">
        <v>88</v>
      </c>
      <c r="D6032" s="2" t="s">
        <v>18</v>
      </c>
      <c r="E6032" s="4">
        <v>-32863</v>
      </c>
      <c r="F6032" s="3" t="s">
        <v>2391</v>
      </c>
      <c r="G6032" s="3" t="s">
        <v>35</v>
      </c>
      <c r="H6032" s="2" t="s">
        <v>74</v>
      </c>
      <c r="I6032" s="2" t="s">
        <v>15361</v>
      </c>
      <c r="J6032" s="3" t="str">
        <f>HYPERLINK("https://www.boe.es/gazeta/dias/1810/01/08/pdfs/GMD-1810-8.pdf#page=2","Abrir facsímil")</f>
        <v>Abrir facsímil</v>
      </c>
      <c r="K6032" s="3" t="s">
        <v>76</v>
      </c>
    </row>
    <row r="6033" spans="1:11" ht="42" customHeight="1">
      <c r="A6033" s="2" t="s">
        <v>15362</v>
      </c>
      <c r="B6033" s="2" t="s">
        <v>15363</v>
      </c>
      <c r="C6033" s="2" t="s">
        <v>26</v>
      </c>
      <c r="D6033" s="2" t="s">
        <v>39</v>
      </c>
      <c r="E6033" s="4">
        <v>-32701</v>
      </c>
      <c r="F6033" s="3" t="s">
        <v>40</v>
      </c>
      <c r="G6033" s="3" t="s">
        <v>41</v>
      </c>
      <c r="H6033" s="2" t="s">
        <v>74</v>
      </c>
      <c r="I6033" s="2" t="s">
        <v>15364</v>
      </c>
      <c r="J6033" s="3" t="str">
        <f>HYPERLINK("https://www.boe.es/gazeta/dias/1810/06/19/pdfs/GMD-C-1810-170.pdf#page=3","Abrir facsímil")</f>
        <v>Abrir facsímil</v>
      </c>
      <c r="K6033" s="3" t="s">
        <v>76</v>
      </c>
    </row>
    <row r="6034" spans="1:11" ht="42" customHeight="1">
      <c r="A6034" s="2" t="s">
        <v>15365</v>
      </c>
      <c r="B6034" s="2" t="s">
        <v>15365</v>
      </c>
      <c r="C6034" s="2" t="s">
        <v>88</v>
      </c>
      <c r="D6034" s="2" t="s">
        <v>27</v>
      </c>
      <c r="E6034" s="4">
        <v>-32803</v>
      </c>
      <c r="F6034" s="3" t="s">
        <v>4052</v>
      </c>
      <c r="G6034" s="3" t="s">
        <v>458</v>
      </c>
      <c r="H6034" s="2" t="s">
        <v>74</v>
      </c>
      <c r="I6034" s="2" t="s">
        <v>15366</v>
      </c>
      <c r="J6034" s="3" t="str">
        <f>HYPERLINK("https://www.boe.es/gazeta/dias/1810/03/09/pdfs/GMD-1810-68.pdf#page=1","Abrir facsímil")</f>
        <v>Abrir facsímil</v>
      </c>
      <c r="K6034" s="3" t="s">
        <v>76</v>
      </c>
    </row>
    <row r="6035" spans="1:11" ht="42" customHeight="1">
      <c r="A6035" s="2" t="s">
        <v>15367</v>
      </c>
      <c r="B6035" s="2" t="s">
        <v>15368</v>
      </c>
      <c r="C6035" s="2" t="s">
        <v>88</v>
      </c>
      <c r="D6035" s="2" t="s">
        <v>27</v>
      </c>
      <c r="E6035" s="4">
        <v>-32691</v>
      </c>
      <c r="F6035" s="3" t="s">
        <v>3021</v>
      </c>
      <c r="G6035" s="3" t="s">
        <v>15369</v>
      </c>
      <c r="H6035" s="2" t="s">
        <v>74</v>
      </c>
      <c r="I6035" s="2" t="s">
        <v>15370</v>
      </c>
      <c r="J6035" s="3" t="str">
        <f>HYPERLINK("https://www.boe.es/gazeta/dias/1810/06/29/pdfs/GEI-1810-40.pdf#page=5","Abrir facsímil")</f>
        <v>Abrir facsímil</v>
      </c>
      <c r="K6035" s="3" t="s">
        <v>76</v>
      </c>
    </row>
    <row r="6036" spans="1:11" ht="42" customHeight="1">
      <c r="A6036" s="2" t="s">
        <v>15371</v>
      </c>
      <c r="B6036" s="2" t="s">
        <v>15371</v>
      </c>
      <c r="C6036" s="2" t="s">
        <v>17</v>
      </c>
      <c r="D6036" s="2" t="s">
        <v>27</v>
      </c>
      <c r="E6036" s="4">
        <v>-32803</v>
      </c>
      <c r="F6036" s="3" t="s">
        <v>4052</v>
      </c>
      <c r="G6036" s="3" t="s">
        <v>458</v>
      </c>
      <c r="H6036" s="2" t="s">
        <v>74</v>
      </c>
      <c r="I6036" s="2" t="s">
        <v>15372</v>
      </c>
      <c r="J6036" s="3" t="str">
        <f>HYPERLINK("https://www.boe.es/gazeta/dias/1810/03/09/pdfs/GMD-1810-68.pdf#page=1","Abrir facsímil")</f>
        <v>Abrir facsímil</v>
      </c>
      <c r="K6036" s="3" t="s">
        <v>76</v>
      </c>
    </row>
    <row r="6037" spans="1:11" ht="42" customHeight="1">
      <c r="A6037" s="2" t="s">
        <v>15373</v>
      </c>
      <c r="B6037" s="2" t="s">
        <v>15374</v>
      </c>
      <c r="C6037" s="2" t="s">
        <v>225</v>
      </c>
      <c r="D6037" s="2" t="s">
        <v>27</v>
      </c>
      <c r="E6037" s="4">
        <v>-32729</v>
      </c>
      <c r="F6037" s="3" t="s">
        <v>174</v>
      </c>
      <c r="G6037" s="3" t="s">
        <v>70</v>
      </c>
      <c r="H6037" s="2" t="s">
        <v>74</v>
      </c>
      <c r="I6037" s="2" t="s">
        <v>15375</v>
      </c>
      <c r="J6037" s="3" t="str">
        <f>HYPERLINK("https://www.boe.es/gazeta/dias/1810/05/22/pdfs/GEI-1810-28.pdf#page=7","Abrir facsímil")</f>
        <v>Abrir facsímil</v>
      </c>
      <c r="K6037" s="3" t="s">
        <v>76</v>
      </c>
    </row>
    <row r="6038" spans="1:11" ht="42" customHeight="1">
      <c r="A6038" s="2" t="s">
        <v>15376</v>
      </c>
      <c r="B6038" s="2" t="s">
        <v>15377</v>
      </c>
      <c r="C6038" s="2" t="s">
        <v>88</v>
      </c>
      <c r="D6038" s="2" t="s">
        <v>27</v>
      </c>
      <c r="E6038" s="4">
        <v>-32756</v>
      </c>
      <c r="F6038" s="3" t="s">
        <v>203</v>
      </c>
      <c r="G6038" s="3" t="s">
        <v>180</v>
      </c>
      <c r="H6038" s="2" t="s">
        <v>74</v>
      </c>
      <c r="I6038" s="2" t="s">
        <v>15378</v>
      </c>
      <c r="J6038" s="3" t="str">
        <f>HYPERLINK("https://www.boe.es/gazeta/dias/1810/04/25/pdfs/GMD-1810-115.pdf#page=4","Abrir facsímil")</f>
        <v>Abrir facsímil</v>
      </c>
      <c r="K6038" s="3" t="s">
        <v>76</v>
      </c>
    </row>
    <row r="6039" spans="1:11" ht="42" customHeight="1">
      <c r="A6039" s="2" t="s">
        <v>15379</v>
      </c>
      <c r="B6039" s="2" t="s">
        <v>15380</v>
      </c>
      <c r="C6039" s="2" t="s">
        <v>26</v>
      </c>
      <c r="D6039" s="2" t="s">
        <v>39</v>
      </c>
      <c r="E6039" s="4">
        <v>-32687</v>
      </c>
      <c r="F6039" s="3" t="s">
        <v>304</v>
      </c>
      <c r="G6039" s="3" t="s">
        <v>213</v>
      </c>
      <c r="H6039" s="2" t="s">
        <v>74</v>
      </c>
      <c r="I6039" s="2" t="s">
        <v>15381</v>
      </c>
      <c r="J6039" s="3" t="str">
        <f>HYPERLINK("https://www.boe.es/gazeta/dias/1810/07/03/pdfs/GMD-C-1810-184.pdf#page=1","Abrir facsímil")</f>
        <v>Abrir facsímil</v>
      </c>
      <c r="K6039" s="3" t="s">
        <v>76</v>
      </c>
    </row>
    <row r="6040" spans="1:11" ht="42" customHeight="1">
      <c r="A6040" s="2" t="s">
        <v>15382</v>
      </c>
      <c r="B6040" s="2" t="s">
        <v>15383</v>
      </c>
      <c r="C6040" s="2" t="s">
        <v>26</v>
      </c>
      <c r="D6040" s="2" t="s">
        <v>27</v>
      </c>
      <c r="E6040" s="4">
        <v>-32756</v>
      </c>
      <c r="F6040" s="3" t="s">
        <v>203</v>
      </c>
      <c r="G6040" s="3" t="s">
        <v>180</v>
      </c>
      <c r="H6040" s="2" t="s">
        <v>74</v>
      </c>
      <c r="I6040" s="2" t="s">
        <v>15384</v>
      </c>
      <c r="J6040" s="3" t="str">
        <f>HYPERLINK("https://www.boe.es/gazeta/dias/1810/04/25/pdfs/GMD-1810-115.pdf#page=4","Abrir facsímil")</f>
        <v>Abrir facsímil</v>
      </c>
      <c r="K6040" s="3" t="s">
        <v>76</v>
      </c>
    </row>
    <row r="6041" spans="1:11" ht="42" customHeight="1">
      <c r="A6041" s="2" t="s">
        <v>15385</v>
      </c>
      <c r="B6041" s="2" t="s">
        <v>15386</v>
      </c>
      <c r="C6041" s="2" t="s">
        <v>26</v>
      </c>
      <c r="D6041" s="2" t="s">
        <v>39</v>
      </c>
      <c r="E6041" s="4">
        <v>-32599</v>
      </c>
      <c r="F6041" s="3" t="s">
        <v>662</v>
      </c>
      <c r="G6041" s="3" t="s">
        <v>3097</v>
      </c>
      <c r="H6041" s="2" t="s">
        <v>74</v>
      </c>
      <c r="I6041" s="2" t="s">
        <v>15387</v>
      </c>
      <c r="J6041" s="3" t="str">
        <f>HYPERLINK("https://www.boe.es/gazeta/dias/1810/09/29/pdfs/GMD-C-1810-272.pdf#page=7","Abrir facsímil")</f>
        <v>Abrir facsímil</v>
      </c>
      <c r="K6041" s="3" t="s">
        <v>76</v>
      </c>
    </row>
    <row r="6042" spans="1:11" ht="42" customHeight="1">
      <c r="A6042" s="2" t="s">
        <v>15388</v>
      </c>
      <c r="B6042" s="2" t="s">
        <v>15389</v>
      </c>
      <c r="C6042" s="2" t="s">
        <v>26</v>
      </c>
      <c r="D6042" s="2" t="s">
        <v>39</v>
      </c>
      <c r="E6042" s="4">
        <v>-32661</v>
      </c>
      <c r="F6042" s="3" t="s">
        <v>157</v>
      </c>
      <c r="G6042" s="3" t="s">
        <v>158</v>
      </c>
      <c r="H6042" s="2" t="s">
        <v>74</v>
      </c>
      <c r="I6042" s="2" t="s">
        <v>15390</v>
      </c>
      <c r="J6042" s="3" t="str">
        <f>HYPERLINK("https://www.boe.es/gazeta/dias/1810/07/29/pdfs/GMD-C-1810-210.pdf#page=1","Abrir facsímil")</f>
        <v>Abrir facsímil</v>
      </c>
      <c r="K6042" s="3" t="s">
        <v>76</v>
      </c>
    </row>
    <row r="6043" spans="1:11" ht="42" customHeight="1">
      <c r="A6043" s="2" t="s">
        <v>15391</v>
      </c>
      <c r="B6043" s="2" t="s">
        <v>15392</v>
      </c>
      <c r="C6043" s="2" t="s">
        <v>88</v>
      </c>
      <c r="D6043" s="2" t="s">
        <v>27</v>
      </c>
      <c r="E6043" s="4">
        <v>-32656</v>
      </c>
      <c r="F6043" s="3" t="s">
        <v>1909</v>
      </c>
      <c r="G6043" s="3" t="s">
        <v>227</v>
      </c>
      <c r="H6043" s="2" t="s">
        <v>74</v>
      </c>
      <c r="I6043" s="2" t="s">
        <v>15393</v>
      </c>
      <c r="J6043" s="3" t="str">
        <f>HYPERLINK("https://www.boe.es/gazeta/dias/1810/08/03/pdfs/GEI-1810-50.pdf#page=8","Abrir facsímil")</f>
        <v>Abrir facsímil</v>
      </c>
      <c r="K6043" s="3" t="s">
        <v>76</v>
      </c>
    </row>
    <row r="6044" spans="1:11" ht="42" customHeight="1">
      <c r="A6044" s="2" t="s">
        <v>15394</v>
      </c>
      <c r="B6044" s="2" t="s">
        <v>15395</v>
      </c>
      <c r="C6044" s="2" t="s">
        <v>88</v>
      </c>
      <c r="D6044" s="2" t="s">
        <v>27</v>
      </c>
      <c r="E6044" s="4">
        <v>-32543</v>
      </c>
      <c r="F6044" s="3" t="s">
        <v>69</v>
      </c>
      <c r="G6044" s="3" t="s">
        <v>15396</v>
      </c>
      <c r="H6044" s="2" t="s">
        <v>74</v>
      </c>
      <c r="I6044" s="2" t="s">
        <v>15397</v>
      </c>
      <c r="J6044" s="3" t="str">
        <f>HYPERLINK("https://www.boe.es/gazeta/dias/1810/11/24/pdfs/GEI-1810-99.pdf#page=6","Abrir facsímil")</f>
        <v>Abrir facsímil</v>
      </c>
      <c r="K6044" s="3" t="s">
        <v>76</v>
      </c>
    </row>
    <row r="6045" spans="1:11" ht="42" customHeight="1">
      <c r="A6045" s="2" t="s">
        <v>15398</v>
      </c>
      <c r="B6045" s="2" t="s">
        <v>15399</v>
      </c>
      <c r="C6045" s="2" t="s">
        <v>26</v>
      </c>
      <c r="D6045" s="2" t="s">
        <v>39</v>
      </c>
      <c r="E6045" s="4">
        <v>-32687</v>
      </c>
      <c r="F6045" s="3" t="s">
        <v>304</v>
      </c>
      <c r="G6045" s="3" t="s">
        <v>140</v>
      </c>
      <c r="H6045" s="2" t="s">
        <v>74</v>
      </c>
      <c r="I6045" s="2" t="s">
        <v>15400</v>
      </c>
      <c r="J6045" s="3" t="str">
        <f>HYPERLINK("https://www.boe.es/gazeta/dias/1810/07/03/pdfs/GMD-C-1810-184.pdf#page=2","Abrir facsímil")</f>
        <v>Abrir facsímil</v>
      </c>
      <c r="K6045" s="3" t="s">
        <v>76</v>
      </c>
    </row>
    <row r="6046" spans="1:11" ht="42" customHeight="1">
      <c r="A6046" s="2" t="s">
        <v>15401</v>
      </c>
      <c r="B6046" s="2" t="s">
        <v>15402</v>
      </c>
      <c r="C6046" s="2" t="s">
        <v>26</v>
      </c>
      <c r="D6046" s="2" t="s">
        <v>27</v>
      </c>
      <c r="E6046" s="4">
        <v>-32692</v>
      </c>
      <c r="F6046" s="3" t="s">
        <v>3698</v>
      </c>
      <c r="G6046" s="3" t="s">
        <v>140</v>
      </c>
      <c r="H6046" s="2" t="s">
        <v>74</v>
      </c>
      <c r="I6046" s="2" t="s">
        <v>15403</v>
      </c>
      <c r="J6046" s="3" t="str">
        <f>HYPERLINK("https://www.boe.es/gazeta/dias/1810/06/28/pdfs/GMD-1810-179.pdf#page=4","Abrir facsímil")</f>
        <v>Abrir facsímil</v>
      </c>
      <c r="K6046" s="3" t="s">
        <v>76</v>
      </c>
    </row>
    <row r="6047" spans="1:11" ht="42" customHeight="1">
      <c r="A6047" s="2" t="s">
        <v>15401</v>
      </c>
      <c r="B6047" s="2" t="s">
        <v>15402</v>
      </c>
      <c r="C6047" s="2" t="s">
        <v>317</v>
      </c>
      <c r="D6047" s="2" t="s">
        <v>39</v>
      </c>
      <c r="E6047" s="4">
        <v>-32670</v>
      </c>
      <c r="F6047" s="3" t="s">
        <v>2457</v>
      </c>
      <c r="G6047" s="3" t="s">
        <v>1464</v>
      </c>
      <c r="H6047" s="2" t="s">
        <v>74</v>
      </c>
      <c r="I6047" s="2" t="s">
        <v>15404</v>
      </c>
      <c r="J6047" s="3" t="str">
        <f>HYPERLINK("https://www.boe.es/gazeta/dias/1810/07/20/pdfs/GMD-C-1810-201.pdf#page=3","Abrir facsímil")</f>
        <v>Abrir facsímil</v>
      </c>
      <c r="K6047" s="3" t="s">
        <v>76</v>
      </c>
    </row>
    <row r="6048" spans="1:11" ht="42" customHeight="1">
      <c r="A6048" s="2" t="s">
        <v>15405</v>
      </c>
      <c r="B6048" s="2" t="s">
        <v>15406</v>
      </c>
      <c r="C6048" s="2" t="s">
        <v>88</v>
      </c>
      <c r="D6048" s="2" t="s">
        <v>27</v>
      </c>
      <c r="E6048" s="4">
        <v>-32771</v>
      </c>
      <c r="F6048" s="3" t="s">
        <v>543</v>
      </c>
      <c r="G6048" s="3" t="s">
        <v>65</v>
      </c>
      <c r="H6048" s="2" t="s">
        <v>74</v>
      </c>
      <c r="I6048" s="2" t="s">
        <v>15407</v>
      </c>
      <c r="J6048" s="3" t="str">
        <f>HYPERLINK("https://www.boe.es/gazeta/dias/1810/04/10/pdfs/GEI-1810-13.pdf#page=7","Abrir facsímil")</f>
        <v>Abrir facsímil</v>
      </c>
      <c r="K6048" s="3" t="s">
        <v>76</v>
      </c>
    </row>
    <row r="6049" spans="1:11" ht="42" customHeight="1">
      <c r="A6049" s="2" t="s">
        <v>15408</v>
      </c>
      <c r="B6049" s="2" t="s">
        <v>15409</v>
      </c>
      <c r="C6049" s="2" t="s">
        <v>26</v>
      </c>
      <c r="D6049" s="2" t="s">
        <v>27</v>
      </c>
      <c r="E6049" s="4">
        <v>-32526</v>
      </c>
      <c r="F6049" s="3" t="s">
        <v>530</v>
      </c>
      <c r="G6049" s="3" t="s">
        <v>531</v>
      </c>
      <c r="H6049" s="2" t="s">
        <v>74</v>
      </c>
      <c r="I6049" s="2" t="s">
        <v>15410</v>
      </c>
      <c r="J6049" s="3" t="str">
        <f>HYPERLINK("https://www.boe.es/gazeta/dias/1810/12/11/pdfs/GEI-1810-106.pdf#page=2","Abrir facsímil")</f>
        <v>Abrir facsímil</v>
      </c>
      <c r="K6049" s="3" t="s">
        <v>76</v>
      </c>
    </row>
    <row r="6050" spans="1:11" ht="42" customHeight="1">
      <c r="A6050" s="2" t="s">
        <v>15411</v>
      </c>
      <c r="B6050" s="2" t="s">
        <v>15412</v>
      </c>
      <c r="C6050" s="2" t="s">
        <v>225</v>
      </c>
      <c r="D6050" s="2" t="s">
        <v>117</v>
      </c>
      <c r="E6050" s="4">
        <v>-32761</v>
      </c>
      <c r="F6050" s="3" t="s">
        <v>811</v>
      </c>
      <c r="G6050" s="3" t="s">
        <v>140</v>
      </c>
      <c r="H6050" s="2" t="s">
        <v>74</v>
      </c>
      <c r="I6050" s="2" t="s">
        <v>15413</v>
      </c>
      <c r="J6050" s="3" t="str">
        <f>HYPERLINK("https://www.boe.es/gazeta/dias/1810/04/20/pdfs/GEI-1810-16.pdf#page=8","Abrir facsímil")</f>
        <v>Abrir facsímil</v>
      </c>
      <c r="K6050" s="3" t="s">
        <v>76</v>
      </c>
    </row>
    <row r="6051" spans="1:11" ht="42" customHeight="1">
      <c r="A6051" s="2" t="s">
        <v>15414</v>
      </c>
      <c r="B6051" s="2" t="s">
        <v>15415</v>
      </c>
      <c r="C6051" s="2" t="s">
        <v>17</v>
      </c>
      <c r="D6051" s="2" t="s">
        <v>18</v>
      </c>
      <c r="E6051" s="4">
        <v>-32795</v>
      </c>
      <c r="F6051" s="3" t="s">
        <v>690</v>
      </c>
      <c r="G6051" s="3" t="s">
        <v>213</v>
      </c>
      <c r="H6051" s="2" t="s">
        <v>74</v>
      </c>
      <c r="I6051" s="2" t="s">
        <v>15416</v>
      </c>
      <c r="J6051" s="3" t="str">
        <f>HYPERLINK("https://www.boe.es/gazeta/dias/1810/03/17/pdfs/GMD-1810-76.pdf#page=4","Abrir facsímil")</f>
        <v>Abrir facsímil</v>
      </c>
      <c r="K6051" s="3" t="s">
        <v>76</v>
      </c>
    </row>
    <row r="6052" spans="1:11" ht="42" customHeight="1">
      <c r="A6052" s="2" t="s">
        <v>15417</v>
      </c>
      <c r="B6052" s="2" t="s">
        <v>15418</v>
      </c>
      <c r="C6052" s="2" t="s">
        <v>88</v>
      </c>
      <c r="D6052" s="2" t="s">
        <v>117</v>
      </c>
      <c r="E6052" s="4">
        <v>-32784</v>
      </c>
      <c r="F6052" s="3" t="s">
        <v>429</v>
      </c>
      <c r="G6052" s="3" t="s">
        <v>131</v>
      </c>
      <c r="H6052" s="2" t="s">
        <v>74</v>
      </c>
      <c r="I6052" s="2" t="s">
        <v>15419</v>
      </c>
      <c r="J6052" s="3" t="str">
        <f>HYPERLINK("https://www.boe.es/gazeta/dias/1810/03/28/pdfs/GMD-1810-87.pdf#page=3","Abrir facsímil")</f>
        <v>Abrir facsímil</v>
      </c>
      <c r="K6052" s="3" t="s">
        <v>76</v>
      </c>
    </row>
    <row r="6053" spans="1:11" ht="42" customHeight="1">
      <c r="A6053" s="2" t="s">
        <v>15420</v>
      </c>
      <c r="B6053" s="2" t="s">
        <v>15421</v>
      </c>
      <c r="C6053" s="2" t="s">
        <v>26</v>
      </c>
      <c r="D6053" s="2" t="s">
        <v>27</v>
      </c>
      <c r="E6053" s="4">
        <v>-32618</v>
      </c>
      <c r="F6053" s="3" t="s">
        <v>1501</v>
      </c>
      <c r="G6053" s="3" t="s">
        <v>20</v>
      </c>
      <c r="H6053" s="2" t="s">
        <v>74</v>
      </c>
      <c r="I6053" s="2" t="s">
        <v>15422</v>
      </c>
      <c r="J6053" s="3" t="str">
        <f>HYPERLINK("https://www.boe.es/gazeta/dias/1810/09/10/pdfs/GMD-1810-253.pdf#page=4","Abrir facsímil")</f>
        <v>Abrir facsímil</v>
      </c>
      <c r="K6053" s="3" t="s">
        <v>76</v>
      </c>
    </row>
    <row r="6054" spans="1:11" ht="42" customHeight="1">
      <c r="A6054" s="2" t="s">
        <v>15420</v>
      </c>
      <c r="B6054" s="2" t="s">
        <v>15421</v>
      </c>
      <c r="C6054" s="2" t="s">
        <v>88</v>
      </c>
      <c r="D6054" s="2" t="s">
        <v>220</v>
      </c>
      <c r="E6054" s="4">
        <v>-32584</v>
      </c>
      <c r="F6054" s="3" t="s">
        <v>1560</v>
      </c>
      <c r="G6054" s="3" t="s">
        <v>971</v>
      </c>
      <c r="H6054" s="2" t="s">
        <v>74</v>
      </c>
      <c r="I6054" s="2" t="s">
        <v>15423</v>
      </c>
      <c r="J6054" s="3" t="str">
        <f>HYPERLINK("https://www.boe.es/gazeta/dias/1810/10/14/pdfs/GMD-1810-287.pdf#page=3","Abrir facsímil")</f>
        <v>Abrir facsímil</v>
      </c>
      <c r="K6054" s="3" t="s">
        <v>76</v>
      </c>
    </row>
    <row r="6055" spans="1:11" ht="42" customHeight="1">
      <c r="A6055" s="2" t="s">
        <v>15424</v>
      </c>
      <c r="B6055" s="2" t="s">
        <v>15425</v>
      </c>
      <c r="C6055" s="2" t="s">
        <v>26</v>
      </c>
      <c r="D6055" s="2" t="s">
        <v>39</v>
      </c>
      <c r="E6055" s="4">
        <v>-32599</v>
      </c>
      <c r="F6055" s="3" t="s">
        <v>662</v>
      </c>
      <c r="G6055" s="3" t="s">
        <v>3097</v>
      </c>
      <c r="H6055" s="2" t="s">
        <v>74</v>
      </c>
      <c r="I6055" s="2" t="s">
        <v>15426</v>
      </c>
      <c r="J6055" s="3" t="str">
        <f>HYPERLINK("https://www.boe.es/gazeta/dias/1810/09/29/pdfs/GMD-C-1810-272.pdf#page=7","Abrir facsímil")</f>
        <v>Abrir facsímil</v>
      </c>
      <c r="K6055" s="3" t="s">
        <v>76</v>
      </c>
    </row>
    <row r="6056" spans="1:11" ht="42" customHeight="1">
      <c r="A6056" s="2" t="s">
        <v>15427</v>
      </c>
      <c r="B6056" s="2" t="s">
        <v>15428</v>
      </c>
      <c r="C6056" s="2" t="s">
        <v>26</v>
      </c>
      <c r="D6056" s="2" t="s">
        <v>39</v>
      </c>
      <c r="E6056" s="4">
        <v>-32650</v>
      </c>
      <c r="F6056" s="3" t="s">
        <v>765</v>
      </c>
      <c r="G6056" s="3" t="s">
        <v>766</v>
      </c>
      <c r="H6056" s="2" t="s">
        <v>74</v>
      </c>
      <c r="I6056" s="2" t="s">
        <v>15429</v>
      </c>
      <c r="J6056" s="3" t="str">
        <f>HYPERLINK("https://www.boe.es/gazeta/dias/1810/08/09/pdfs/GMD-C-1810-221.pdf#page=3","Abrir facsímil")</f>
        <v>Abrir facsímil</v>
      </c>
      <c r="K6056" s="3" t="s">
        <v>76</v>
      </c>
    </row>
    <row r="6057" spans="1:11" ht="42" customHeight="1">
      <c r="A6057" s="2" t="s">
        <v>15430</v>
      </c>
      <c r="B6057" s="2" t="s">
        <v>15430</v>
      </c>
      <c r="C6057" s="2" t="s">
        <v>88</v>
      </c>
      <c r="D6057" s="2" t="s">
        <v>27</v>
      </c>
      <c r="E6057" s="4">
        <v>-32515</v>
      </c>
      <c r="F6057" s="3" t="s">
        <v>351</v>
      </c>
      <c r="G6057" s="3" t="s">
        <v>15431</v>
      </c>
      <c r="H6057" s="2" t="s">
        <v>74</v>
      </c>
      <c r="I6057" s="2" t="s">
        <v>15432</v>
      </c>
      <c r="J6057" s="3" t="str">
        <f>HYPERLINK("https://www.boe.es/gazeta/dias/1810/12/22/pdfs/GEI-1810-111.pdf#page=4","Abrir facsímil")</f>
        <v>Abrir facsímil</v>
      </c>
      <c r="K6057" s="3" t="s">
        <v>76</v>
      </c>
    </row>
    <row r="6058" spans="1:11" ht="42" customHeight="1">
      <c r="A6058" s="2" t="s">
        <v>15433</v>
      </c>
      <c r="B6058" s="2" t="s">
        <v>15434</v>
      </c>
      <c r="C6058" s="2" t="s">
        <v>26</v>
      </c>
      <c r="D6058" s="2" t="s">
        <v>27</v>
      </c>
      <c r="E6058" s="4">
        <v>-32862</v>
      </c>
      <c r="F6058" s="3" t="s">
        <v>694</v>
      </c>
      <c r="G6058" s="3" t="s">
        <v>469</v>
      </c>
      <c r="H6058" s="2" t="s">
        <v>74</v>
      </c>
      <c r="I6058" s="2" t="s">
        <v>15435</v>
      </c>
      <c r="J6058" s="3" t="str">
        <f>HYPERLINK("https://www.boe.es/gazeta/dias/1810/01/09/pdfs/GGB-1810-4.pdf#page=6","Abrir facsímil")</f>
        <v>Abrir facsímil</v>
      </c>
      <c r="K6058" s="3" t="s">
        <v>76</v>
      </c>
    </row>
    <row r="6059" spans="1:11" ht="42" customHeight="1">
      <c r="A6059" s="2" t="s">
        <v>15436</v>
      </c>
      <c r="B6059" s="2" t="s">
        <v>15437</v>
      </c>
      <c r="C6059" s="2" t="s">
        <v>26</v>
      </c>
      <c r="D6059" s="2" t="s">
        <v>27</v>
      </c>
      <c r="E6059" s="4">
        <v>-32526</v>
      </c>
      <c r="F6059" s="3" t="s">
        <v>530</v>
      </c>
      <c r="G6059" s="3" t="s">
        <v>531</v>
      </c>
      <c r="H6059" s="2" t="s">
        <v>74</v>
      </c>
      <c r="I6059" s="2" t="s">
        <v>15438</v>
      </c>
      <c r="J6059" s="3" t="str">
        <f>HYPERLINK("https://www.boe.es/gazeta/dias/1810/12/11/pdfs/GEI-1810-106.pdf#page=2","Abrir facsímil")</f>
        <v>Abrir facsímil</v>
      </c>
      <c r="K6059" s="3" t="s">
        <v>76</v>
      </c>
    </row>
    <row r="6060" spans="1:11" ht="42" customHeight="1">
      <c r="A6060" s="2" t="s">
        <v>15439</v>
      </c>
      <c r="B6060" s="2" t="s">
        <v>15440</v>
      </c>
      <c r="C6060" s="2" t="s">
        <v>88</v>
      </c>
      <c r="D6060" s="2" t="s">
        <v>117</v>
      </c>
      <c r="E6060" s="4">
        <v>-32519</v>
      </c>
      <c r="F6060" s="3" t="s">
        <v>2299</v>
      </c>
      <c r="G6060" s="3" t="s">
        <v>2300</v>
      </c>
      <c r="H6060" s="2" t="s">
        <v>74</v>
      </c>
      <c r="I6060" s="2" t="s">
        <v>15441</v>
      </c>
      <c r="J6060" s="3" t="str">
        <f>HYPERLINK("https://www.boe.es/gazeta/dias/1810/12/18/pdfs/GEI-1810-109.pdf#page=8","Abrir facsímil")</f>
        <v>Abrir facsímil</v>
      </c>
      <c r="K6060" s="3" t="s">
        <v>76</v>
      </c>
    </row>
    <row r="6061" spans="1:11" ht="42" customHeight="1">
      <c r="A6061" s="2" t="s">
        <v>15442</v>
      </c>
      <c r="B6061" s="2" t="s">
        <v>15443</v>
      </c>
      <c r="C6061" s="2" t="s">
        <v>26</v>
      </c>
      <c r="D6061" s="2" t="s">
        <v>27</v>
      </c>
      <c r="E6061" s="4">
        <v>-32526</v>
      </c>
      <c r="F6061" s="3" t="s">
        <v>530</v>
      </c>
      <c r="G6061" s="3" t="s">
        <v>531</v>
      </c>
      <c r="H6061" s="2" t="s">
        <v>74</v>
      </c>
      <c r="I6061" s="2" t="s">
        <v>15444</v>
      </c>
      <c r="J6061" s="3" t="str">
        <f>HYPERLINK("https://www.boe.es/gazeta/dias/1810/12/11/pdfs/GEI-1810-106.pdf#page=2","Abrir facsímil")</f>
        <v>Abrir facsímil</v>
      </c>
      <c r="K6061" s="3" t="s">
        <v>76</v>
      </c>
    </row>
    <row r="6062" spans="1:11" ht="42" customHeight="1">
      <c r="A6062" s="2" t="s">
        <v>15445</v>
      </c>
      <c r="B6062" s="2" t="s">
        <v>15446</v>
      </c>
      <c r="C6062" s="2" t="s">
        <v>26</v>
      </c>
      <c r="D6062" s="2" t="s">
        <v>27</v>
      </c>
      <c r="E6062" s="4">
        <v>-32508</v>
      </c>
      <c r="F6062" s="3" t="s">
        <v>864</v>
      </c>
      <c r="G6062" s="3" t="s">
        <v>691</v>
      </c>
      <c r="H6062" s="2" t="s">
        <v>74</v>
      </c>
      <c r="I6062" s="2" t="s">
        <v>15447</v>
      </c>
      <c r="J6062" s="3" t="str">
        <f>HYPERLINK("https://www.boe.es/gazeta/dias/1810/12/29/pdfs/GEI-1810-114.pdf#page=8","Abrir facsímil")</f>
        <v>Abrir facsímil</v>
      </c>
      <c r="K6062" s="3" t="s">
        <v>76</v>
      </c>
    </row>
    <row r="6063" spans="1:11" ht="42" customHeight="1">
      <c r="A6063" s="2" t="s">
        <v>15448</v>
      </c>
      <c r="B6063" s="2" t="s">
        <v>15448</v>
      </c>
      <c r="C6063" s="2" t="s">
        <v>88</v>
      </c>
      <c r="D6063" s="2" t="s">
        <v>27</v>
      </c>
      <c r="E6063" s="4">
        <v>-32768</v>
      </c>
      <c r="F6063" s="3" t="s">
        <v>1930</v>
      </c>
      <c r="G6063" s="3" t="s">
        <v>15449</v>
      </c>
      <c r="H6063" s="2" t="s">
        <v>74</v>
      </c>
      <c r="I6063" s="2" t="s">
        <v>15450</v>
      </c>
      <c r="J6063" s="3" t="str">
        <f>HYPERLINK("https://www.boe.es/gazeta/dias/1810/04/13/pdfs/GEI-1810-14.pdf#page=8","Abrir facsímil")</f>
        <v>Abrir facsímil</v>
      </c>
      <c r="K6063" s="3" t="s">
        <v>76</v>
      </c>
    </row>
    <row r="6064" spans="1:11" ht="42" customHeight="1">
      <c r="A6064" s="2" t="s">
        <v>15451</v>
      </c>
      <c r="B6064" s="2" t="s">
        <v>15452</v>
      </c>
      <c r="C6064" s="2" t="s">
        <v>26</v>
      </c>
      <c r="D6064" s="2" t="s">
        <v>39</v>
      </c>
      <c r="E6064" s="4">
        <v>-32684</v>
      </c>
      <c r="F6064" s="3" t="s">
        <v>372</v>
      </c>
      <c r="G6064" s="3" t="s">
        <v>373</v>
      </c>
      <c r="H6064" s="2" t="s">
        <v>21</v>
      </c>
      <c r="I6064" s="2" t="s">
        <v>15453</v>
      </c>
      <c r="J6064" s="3" t="str">
        <f>HYPERLINK("https://www.boe.es/gazeta/dias/1810/07/06/pdfs/GEI-D-1810-42.pdf#page=8","Abrir facsímil")</f>
        <v>Abrir facsímil</v>
      </c>
      <c r="K6064" s="3" t="s">
        <v>23</v>
      </c>
    </row>
    <row r="6065" spans="1:11" ht="42" customHeight="1">
      <c r="A6065" s="2" t="s">
        <v>15454</v>
      </c>
      <c r="B6065" s="2" t="s">
        <v>15454</v>
      </c>
      <c r="C6065" s="2" t="s">
        <v>88</v>
      </c>
      <c r="D6065" s="2" t="s">
        <v>117</v>
      </c>
      <c r="E6065" s="4">
        <v>-32678</v>
      </c>
      <c r="F6065" s="3" t="s">
        <v>3679</v>
      </c>
      <c r="G6065" s="3" t="s">
        <v>29</v>
      </c>
      <c r="H6065" s="2" t="s">
        <v>74</v>
      </c>
      <c r="I6065" s="2" t="s">
        <v>15455</v>
      </c>
      <c r="J6065" s="3" t="str">
        <f>HYPERLINK("https://www.boe.es/gazeta/dias/1810/07/12/pdfs/GMD-1810-193.pdf#page=2","Abrir facsímil")</f>
        <v>Abrir facsímil</v>
      </c>
      <c r="K6065" s="3" t="s">
        <v>76</v>
      </c>
    </row>
    <row r="6066" spans="1:11" ht="42" customHeight="1">
      <c r="A6066" s="2" t="s">
        <v>15456</v>
      </c>
      <c r="B6066" s="2" t="s">
        <v>15457</v>
      </c>
      <c r="C6066" s="2" t="s">
        <v>26</v>
      </c>
      <c r="D6066" s="2" t="s">
        <v>18</v>
      </c>
      <c r="E6066" s="4">
        <v>-32724</v>
      </c>
      <c r="F6066" s="3" t="s">
        <v>1027</v>
      </c>
      <c r="G6066" s="3" t="s">
        <v>119</v>
      </c>
      <c r="H6066" s="2" t="s">
        <v>74</v>
      </c>
      <c r="I6066" s="2" t="s">
        <v>15458</v>
      </c>
      <c r="J6066" s="3" t="str">
        <f>HYPERLINK("https://www.boe.es/gazeta/dias/1810/05/27/pdfs/GMD-1810-147.pdf#page=1","Abrir facsímil")</f>
        <v>Abrir facsímil</v>
      </c>
      <c r="K6066" s="3" t="s">
        <v>76</v>
      </c>
    </row>
    <row r="6067" spans="1:11" ht="42" customHeight="1">
      <c r="A6067" s="2" t="s">
        <v>15459</v>
      </c>
      <c r="B6067" s="2" t="s">
        <v>15460</v>
      </c>
      <c r="C6067" s="2" t="s">
        <v>111</v>
      </c>
      <c r="D6067" s="2" t="s">
        <v>27</v>
      </c>
      <c r="E6067" s="4">
        <v>-32724</v>
      </c>
      <c r="F6067" s="3" t="s">
        <v>1027</v>
      </c>
      <c r="G6067" s="3" t="s">
        <v>213</v>
      </c>
      <c r="H6067" s="2" t="s">
        <v>74</v>
      </c>
      <c r="I6067" s="2" t="s">
        <v>15461</v>
      </c>
      <c r="J6067" s="3" t="str">
        <f>HYPERLINK("https://www.boe.es/gazeta/dias/1810/05/27/pdfs/GMD-1810-147.pdf#page=4","Abrir facsímil")</f>
        <v>Abrir facsímil</v>
      </c>
      <c r="K6067" s="3" t="s">
        <v>76</v>
      </c>
    </row>
    <row r="6068" spans="1:11" ht="42" customHeight="1">
      <c r="A6068" s="2" t="s">
        <v>15462</v>
      </c>
      <c r="B6068" s="2" t="s">
        <v>15462</v>
      </c>
      <c r="C6068" s="2" t="s">
        <v>88</v>
      </c>
      <c r="D6068" s="2" t="s">
        <v>117</v>
      </c>
      <c r="E6068" s="4">
        <v>-32771</v>
      </c>
      <c r="F6068" s="3" t="s">
        <v>543</v>
      </c>
      <c r="G6068" s="3" t="s">
        <v>1488</v>
      </c>
      <c r="H6068" s="2" t="s">
        <v>74</v>
      </c>
      <c r="I6068" s="2" t="s">
        <v>15463</v>
      </c>
      <c r="J6068" s="3" t="str">
        <f>HYPERLINK("https://www.boe.es/gazeta/dias/1810/04/10/pdfs/GEI-1810-13.pdf#page=6","Abrir facsímil")</f>
        <v>Abrir facsímil</v>
      </c>
      <c r="K6068" s="3" t="s">
        <v>76</v>
      </c>
    </row>
    <row r="6069" spans="1:11" ht="42" customHeight="1">
      <c r="A6069" s="2" t="s">
        <v>15464</v>
      </c>
      <c r="B6069" s="2" t="s">
        <v>15465</v>
      </c>
      <c r="C6069" s="2" t="s">
        <v>26</v>
      </c>
      <c r="D6069" s="2" t="s">
        <v>27</v>
      </c>
      <c r="E6069" s="4">
        <v>-32568</v>
      </c>
      <c r="F6069" s="3" t="s">
        <v>683</v>
      </c>
      <c r="G6069" s="3" t="s">
        <v>5333</v>
      </c>
      <c r="H6069" s="2" t="s">
        <v>74</v>
      </c>
      <c r="I6069" s="2" t="s">
        <v>15466</v>
      </c>
      <c r="J6069" s="3" t="str">
        <f>HYPERLINK("https://www.boe.es/gazeta/dias/1810/10/30/pdfs/GEI-1810-88.pdf#page=7","Abrir facsímil")</f>
        <v>Abrir facsímil</v>
      </c>
      <c r="K6069" s="3" t="s">
        <v>76</v>
      </c>
    </row>
    <row r="6070" spans="1:11" ht="42" customHeight="1">
      <c r="A6070" s="2" t="s">
        <v>15467</v>
      </c>
      <c r="B6070" s="2" t="s">
        <v>15468</v>
      </c>
      <c r="C6070" s="2" t="s">
        <v>88</v>
      </c>
      <c r="D6070" s="2" t="s">
        <v>27</v>
      </c>
      <c r="E6070" s="4">
        <v>-32774</v>
      </c>
      <c r="F6070" s="3" t="s">
        <v>10556</v>
      </c>
      <c r="G6070" s="3" t="s">
        <v>99</v>
      </c>
      <c r="H6070" s="2" t="s">
        <v>21</v>
      </c>
      <c r="I6070" s="2" t="s">
        <v>15469</v>
      </c>
      <c r="J6070" s="3" t="str">
        <f>HYPERLINK("https://www.boe.es/gazeta/dias/1810/04/07/pdfs/GMD-1810-97.pdf#page=3","Abrir facsímil")</f>
        <v>Abrir facsímil</v>
      </c>
      <c r="K6070" s="3" t="s">
        <v>23</v>
      </c>
    </row>
    <row r="6071" spans="1:11" ht="42" customHeight="1">
      <c r="A6071" s="2" t="s">
        <v>15470</v>
      </c>
      <c r="B6071" s="2" t="s">
        <v>15471</v>
      </c>
      <c r="C6071" s="2" t="s">
        <v>111</v>
      </c>
      <c r="D6071" s="2" t="s">
        <v>27</v>
      </c>
      <c r="E6071" s="4">
        <v>-32776</v>
      </c>
      <c r="F6071" s="3" t="s">
        <v>752</v>
      </c>
      <c r="G6071" s="3" t="s">
        <v>140</v>
      </c>
      <c r="H6071" s="2" t="s">
        <v>74</v>
      </c>
      <c r="I6071" s="2" t="s">
        <v>15472</v>
      </c>
      <c r="J6071" s="3" t="str">
        <f>HYPERLINK("https://www.boe.es/gazeta/dias/1810/04/05/pdfs/GMD-1810-95.pdf#page=4","Abrir facsímil")</f>
        <v>Abrir facsímil</v>
      </c>
      <c r="K6071" s="3" t="s">
        <v>76</v>
      </c>
    </row>
    <row r="6072" spans="1:11" ht="42" customHeight="1">
      <c r="A6072" s="2" t="s">
        <v>15473</v>
      </c>
      <c r="B6072" s="2" t="s">
        <v>15474</v>
      </c>
      <c r="C6072" s="2" t="s">
        <v>317</v>
      </c>
      <c r="D6072" s="2" t="s">
        <v>220</v>
      </c>
      <c r="E6072" s="4">
        <v>-32754</v>
      </c>
      <c r="F6072" s="3" t="s">
        <v>34</v>
      </c>
      <c r="G6072" s="3" t="s">
        <v>35</v>
      </c>
      <c r="H6072" s="2" t="s">
        <v>74</v>
      </c>
      <c r="I6072" s="2" t="s">
        <v>15475</v>
      </c>
      <c r="J6072" s="3" t="str">
        <f>HYPERLINK("https://www.boe.es/gazeta/dias/1810/04/27/pdfs/GMD-1810-117.pdf#page=2","Abrir facsímil")</f>
        <v>Abrir facsímil</v>
      </c>
      <c r="K6072" s="3" t="s">
        <v>76</v>
      </c>
    </row>
    <row r="6073" spans="1:11" ht="42" customHeight="1">
      <c r="A6073" s="2" t="s">
        <v>15476</v>
      </c>
      <c r="B6073" s="2" t="s">
        <v>15477</v>
      </c>
      <c r="C6073" s="2" t="s">
        <v>33</v>
      </c>
      <c r="D6073" s="2" t="s">
        <v>220</v>
      </c>
      <c r="E6073" s="4">
        <v>-32755</v>
      </c>
      <c r="F6073" s="3" t="s">
        <v>1641</v>
      </c>
      <c r="G6073" s="3" t="s">
        <v>99</v>
      </c>
      <c r="H6073" s="2" t="s">
        <v>74</v>
      </c>
      <c r="I6073" s="2" t="s">
        <v>15478</v>
      </c>
      <c r="J6073" s="3" t="str">
        <f>HYPERLINK("https://www.boe.es/gazeta/dias/1810/04/26/pdfs/GMD-1810-116.pdf#page=3","Abrir facsímil")</f>
        <v>Abrir facsímil</v>
      </c>
      <c r="K6073" s="3" t="s">
        <v>76</v>
      </c>
    </row>
    <row r="6074" spans="1:11" ht="42" customHeight="1">
      <c r="A6074" s="2" t="s">
        <v>15479</v>
      </c>
      <c r="B6074" s="2" t="s">
        <v>15480</v>
      </c>
      <c r="C6074" s="2" t="s">
        <v>26</v>
      </c>
      <c r="D6074" s="2" t="s">
        <v>27</v>
      </c>
      <c r="E6074" s="4">
        <v>-32832</v>
      </c>
      <c r="F6074" s="3" t="s">
        <v>5089</v>
      </c>
      <c r="G6074" s="3" t="s">
        <v>140</v>
      </c>
      <c r="H6074" s="2" t="s">
        <v>74</v>
      </c>
      <c r="I6074" s="2" t="s">
        <v>15481</v>
      </c>
      <c r="J6074" s="3" t="str">
        <f>HYPERLINK("https://www.boe.es/gazeta/dias/1810/02/08/pdfs/GMD-1810-39.pdf#page=3","Abrir facsímil")</f>
        <v>Abrir facsímil</v>
      </c>
      <c r="K6074" s="3" t="s">
        <v>76</v>
      </c>
    </row>
    <row r="6075" spans="1:11" ht="42" customHeight="1">
      <c r="A6075" s="2" t="s">
        <v>15479</v>
      </c>
      <c r="B6075" s="2" t="s">
        <v>15480</v>
      </c>
      <c r="C6075" s="2" t="s">
        <v>26</v>
      </c>
      <c r="D6075" s="2" t="s">
        <v>27</v>
      </c>
      <c r="E6075" s="4">
        <v>-32783</v>
      </c>
      <c r="F6075" s="3" t="s">
        <v>896</v>
      </c>
      <c r="G6075" s="3" t="s">
        <v>99</v>
      </c>
      <c r="H6075" s="2" t="s">
        <v>74</v>
      </c>
      <c r="I6075" s="2" t="s">
        <v>15482</v>
      </c>
      <c r="J6075" s="3" t="str">
        <f>HYPERLINK("https://www.boe.es/gazeta/dias/1810/03/29/pdfs/GMD-1810-88.pdf#page=3","Abrir facsímil")</f>
        <v>Abrir facsímil</v>
      </c>
      <c r="K6075" s="3" t="s">
        <v>76</v>
      </c>
    </row>
    <row r="6076" spans="1:11" ht="42" customHeight="1">
      <c r="A6076" s="2" t="s">
        <v>15483</v>
      </c>
      <c r="B6076" s="2" t="s">
        <v>15484</v>
      </c>
      <c r="C6076" s="2" t="s">
        <v>33</v>
      </c>
      <c r="D6076" s="2" t="s">
        <v>220</v>
      </c>
      <c r="E6076" s="4">
        <v>-32755</v>
      </c>
      <c r="F6076" s="3" t="s">
        <v>1641</v>
      </c>
      <c r="G6076" s="3" t="s">
        <v>99</v>
      </c>
      <c r="H6076" s="2" t="s">
        <v>74</v>
      </c>
      <c r="I6076" s="2" t="s">
        <v>15485</v>
      </c>
      <c r="J6076" s="3" t="str">
        <f>HYPERLINK("https://www.boe.es/gazeta/dias/1810/04/26/pdfs/GMD-1810-116.pdf#page=3","Abrir facsímil")</f>
        <v>Abrir facsímil</v>
      </c>
      <c r="K6076" s="3" t="s">
        <v>76</v>
      </c>
    </row>
    <row r="6077" spans="1:11" ht="42" customHeight="1">
      <c r="A6077" s="2" t="s">
        <v>15486</v>
      </c>
      <c r="B6077" s="2" t="s">
        <v>15487</v>
      </c>
      <c r="C6077" s="2" t="s">
        <v>111</v>
      </c>
      <c r="D6077" s="2" t="s">
        <v>27</v>
      </c>
      <c r="E6077" s="4">
        <v>-32804</v>
      </c>
      <c r="F6077" s="3" t="s">
        <v>583</v>
      </c>
      <c r="G6077" s="3" t="s">
        <v>99</v>
      </c>
      <c r="H6077" s="2" t="s">
        <v>74</v>
      </c>
      <c r="I6077" s="2" t="s">
        <v>15488</v>
      </c>
      <c r="J6077" s="3" t="str">
        <f>HYPERLINK("https://www.boe.es/gazeta/dias/1810/03/08/pdfs/GMD-1810-67.pdf#page=3","Abrir facsímil")</f>
        <v>Abrir facsímil</v>
      </c>
      <c r="K6077" s="3" t="s">
        <v>76</v>
      </c>
    </row>
    <row r="6078" spans="1:11" ht="42" customHeight="1">
      <c r="A6078" s="2" t="s">
        <v>15489</v>
      </c>
      <c r="B6078" s="2" t="s">
        <v>15489</v>
      </c>
      <c r="C6078" s="2" t="s">
        <v>26</v>
      </c>
      <c r="D6078" s="2" t="s">
        <v>27</v>
      </c>
      <c r="E6078" s="4">
        <v>-32568</v>
      </c>
      <c r="F6078" s="3" t="s">
        <v>683</v>
      </c>
      <c r="G6078" s="3" t="s">
        <v>10563</v>
      </c>
      <c r="H6078" s="2" t="s">
        <v>74</v>
      </c>
      <c r="I6078" s="2" t="s">
        <v>15490</v>
      </c>
      <c r="J6078" s="3" t="str">
        <f>HYPERLINK("https://www.boe.es/gazeta/dias/1810/10/30/pdfs/GEI-1810-88.pdf#page=10","Abrir facsímil")</f>
        <v>Abrir facsímil</v>
      </c>
      <c r="K6078" s="3" t="s">
        <v>76</v>
      </c>
    </row>
    <row r="6079" spans="1:11" ht="42" customHeight="1">
      <c r="A6079" s="2" t="s">
        <v>15491</v>
      </c>
      <c r="B6079" s="2" t="s">
        <v>15492</v>
      </c>
      <c r="C6079" s="2" t="s">
        <v>88</v>
      </c>
      <c r="D6079" s="2" t="s">
        <v>220</v>
      </c>
      <c r="E6079" s="4">
        <v>-32599</v>
      </c>
      <c r="F6079" s="3" t="s">
        <v>1586</v>
      </c>
      <c r="G6079" s="3" t="s">
        <v>15493</v>
      </c>
      <c r="H6079" s="2" t="s">
        <v>74</v>
      </c>
      <c r="I6079" s="2" t="s">
        <v>15494</v>
      </c>
      <c r="J6079" s="3" t="str">
        <f>HYPERLINK("https://www.boe.es/gazeta/dias/1810/09/29/pdfs/GMD-1810-272.pdf#page=1","Abrir facsímil")</f>
        <v>Abrir facsímil</v>
      </c>
      <c r="K6079" s="3" t="s">
        <v>76</v>
      </c>
    </row>
    <row r="6080" spans="1:11" ht="42" customHeight="1">
      <c r="A6080" s="2" t="s">
        <v>15495</v>
      </c>
      <c r="B6080" s="2" t="s">
        <v>15496</v>
      </c>
      <c r="C6080" s="2" t="s">
        <v>26</v>
      </c>
      <c r="D6080" s="2" t="s">
        <v>220</v>
      </c>
      <c r="E6080" s="4">
        <v>-32839</v>
      </c>
      <c r="F6080" s="3" t="s">
        <v>28</v>
      </c>
      <c r="G6080" s="3" t="s">
        <v>29</v>
      </c>
      <c r="H6080" s="2" t="s">
        <v>74</v>
      </c>
      <c r="I6080" s="2" t="s">
        <v>15497</v>
      </c>
      <c r="J6080" s="3" t="str">
        <f>HYPERLINK("https://www.boe.es/gazeta/dias/1810/02/01/pdfs/GMD-1810-32.pdf#page=3","Abrir facsímil")</f>
        <v>Abrir facsímil</v>
      </c>
      <c r="K6080" s="3" t="s">
        <v>76</v>
      </c>
    </row>
    <row r="6081" spans="1:11" ht="42" customHeight="1">
      <c r="A6081" s="2" t="s">
        <v>15498</v>
      </c>
      <c r="B6081" s="2" t="s">
        <v>15498</v>
      </c>
      <c r="C6081" s="2" t="s">
        <v>33</v>
      </c>
      <c r="D6081" s="2" t="s">
        <v>27</v>
      </c>
      <c r="E6081" s="4">
        <v>-32736</v>
      </c>
      <c r="F6081" s="3" t="s">
        <v>400</v>
      </c>
      <c r="G6081" s="3" t="s">
        <v>592</v>
      </c>
      <c r="H6081" s="2" t="s">
        <v>74</v>
      </c>
      <c r="I6081" s="2" t="s">
        <v>15499</v>
      </c>
      <c r="J6081" s="3" t="str">
        <f>HYPERLINK("https://www.boe.es/gazeta/dias/1810/05/15/pdfs/GMD-1810-135.pdf#page=1","Abrir facsímil")</f>
        <v>Abrir facsímil</v>
      </c>
      <c r="K6081" s="3" t="s">
        <v>76</v>
      </c>
    </row>
    <row r="6082" spans="1:11" ht="42" customHeight="1">
      <c r="A6082" s="2" t="s">
        <v>15500</v>
      </c>
      <c r="B6082" s="2" t="s">
        <v>15500</v>
      </c>
      <c r="C6082" s="2" t="s">
        <v>33</v>
      </c>
      <c r="D6082" s="2" t="s">
        <v>27</v>
      </c>
      <c r="E6082" s="4">
        <v>-32833</v>
      </c>
      <c r="F6082" s="3" t="s">
        <v>1836</v>
      </c>
      <c r="G6082" s="3" t="s">
        <v>35</v>
      </c>
      <c r="H6082" s="2" t="s">
        <v>74</v>
      </c>
      <c r="I6082" s="2" t="s">
        <v>15501</v>
      </c>
      <c r="J6082" s="3" t="str">
        <f>HYPERLINK("https://www.boe.es/gazeta/dias/1810/02/07/pdfs/GMD-1810-38.pdf#page=2","Abrir facsímil")</f>
        <v>Abrir facsímil</v>
      </c>
      <c r="K6082" s="3" t="s">
        <v>76</v>
      </c>
    </row>
    <row r="6083" spans="1:11" ht="42" customHeight="1">
      <c r="A6083" s="2" t="s">
        <v>15502</v>
      </c>
      <c r="B6083" s="2" t="s">
        <v>15503</v>
      </c>
      <c r="C6083" s="2" t="s">
        <v>33</v>
      </c>
      <c r="D6083" s="2" t="s">
        <v>27</v>
      </c>
      <c r="E6083" s="4">
        <v>-32549</v>
      </c>
      <c r="F6083" s="3" t="s">
        <v>1237</v>
      </c>
      <c r="G6083" s="3" t="s">
        <v>493</v>
      </c>
      <c r="H6083" s="2" t="s">
        <v>74</v>
      </c>
      <c r="I6083" s="2" t="s">
        <v>15504</v>
      </c>
      <c r="J6083" s="3" t="str">
        <f>HYPERLINK("https://www.boe.es/gazeta/dias/1810/11/18/pdfs/GMD-1810-322.pdf#page=2","Abrir facsímil")</f>
        <v>Abrir facsímil</v>
      </c>
      <c r="K6083" s="3" t="s">
        <v>76</v>
      </c>
    </row>
    <row r="6084" spans="1:11" ht="42" customHeight="1">
      <c r="A6084" s="2" t="s">
        <v>15505</v>
      </c>
      <c r="B6084" s="2" t="s">
        <v>15506</v>
      </c>
      <c r="C6084" s="2" t="s">
        <v>26</v>
      </c>
      <c r="D6084" s="2" t="s">
        <v>18</v>
      </c>
      <c r="E6084" s="4">
        <v>-32749</v>
      </c>
      <c r="F6084" s="3" t="s">
        <v>2451</v>
      </c>
      <c r="G6084" s="3" t="s">
        <v>15507</v>
      </c>
      <c r="H6084" s="2" t="s">
        <v>21</v>
      </c>
      <c r="I6084" s="2" t="s">
        <v>15508</v>
      </c>
      <c r="J6084" s="3" t="str">
        <f>HYPERLINK("https://www.boe.es/gazeta/dias/1810/05/02/pdfs/GEI-1810-20E.pdf#page=6","Abrir facsímil")</f>
        <v>Abrir facsímil</v>
      </c>
      <c r="K6084" s="3" t="s">
        <v>23</v>
      </c>
    </row>
    <row r="6085" spans="1:11" ht="42" customHeight="1">
      <c r="A6085" s="2" t="s">
        <v>15509</v>
      </c>
      <c r="B6085" s="2" t="s">
        <v>15509</v>
      </c>
      <c r="C6085" s="2" t="s">
        <v>17</v>
      </c>
      <c r="D6085" s="2" t="s">
        <v>27</v>
      </c>
      <c r="E6085" s="4">
        <v>-32860</v>
      </c>
      <c r="F6085" s="3" t="s">
        <v>504</v>
      </c>
      <c r="G6085" s="3" t="s">
        <v>1691</v>
      </c>
      <c r="H6085" s="2" t="s">
        <v>74</v>
      </c>
      <c r="I6085" s="2" t="s">
        <v>15510</v>
      </c>
      <c r="J6085" s="3" t="str">
        <f>HYPERLINK("https://www.boe.es/gazeta/dias/1810/01/11/pdfs/GGB-1810-5.pdf#page=3","Abrir facsímil")</f>
        <v>Abrir facsímil</v>
      </c>
      <c r="K6085" s="3" t="s">
        <v>76</v>
      </c>
    </row>
    <row r="6086" spans="1:11" ht="42" customHeight="1">
      <c r="A6086" s="2" t="s">
        <v>15509</v>
      </c>
      <c r="B6086" s="2" t="s">
        <v>15509</v>
      </c>
      <c r="C6086" s="2" t="s">
        <v>33</v>
      </c>
      <c r="D6086" s="2" t="s">
        <v>27</v>
      </c>
      <c r="E6086" s="4">
        <v>-32754</v>
      </c>
      <c r="F6086" s="3" t="s">
        <v>34</v>
      </c>
      <c r="G6086" s="3" t="s">
        <v>29</v>
      </c>
      <c r="H6086" s="2" t="s">
        <v>74</v>
      </c>
      <c r="I6086" s="2" t="s">
        <v>15511</v>
      </c>
      <c r="J6086" s="3" t="str">
        <f>HYPERLINK("https://www.boe.es/gazeta/dias/1810/04/27/pdfs/GMD-1810-117.pdf#page=3","Abrir facsímil")</f>
        <v>Abrir facsímil</v>
      </c>
      <c r="K6086" s="3" t="s">
        <v>76</v>
      </c>
    </row>
    <row r="6087" spans="1:11" ht="42" customHeight="1">
      <c r="A6087" s="2" t="s">
        <v>15509</v>
      </c>
      <c r="B6087" s="2" t="s">
        <v>15509</v>
      </c>
      <c r="C6087" s="2" t="s">
        <v>88</v>
      </c>
      <c r="D6087" s="2" t="s">
        <v>117</v>
      </c>
      <c r="E6087" s="4">
        <v>-32751</v>
      </c>
      <c r="F6087" s="3" t="s">
        <v>1205</v>
      </c>
      <c r="G6087" s="3" t="s">
        <v>119</v>
      </c>
      <c r="H6087" s="2" t="s">
        <v>74</v>
      </c>
      <c r="I6087" s="2" t="s">
        <v>15512</v>
      </c>
      <c r="J6087" s="3" t="str">
        <f>HYPERLINK("https://www.boe.es/gazeta/dias/1810/04/30/pdfs/GMD-1810-120.pdf#page=2","Abrir facsímil")</f>
        <v>Abrir facsímil</v>
      </c>
      <c r="K6087" s="3" t="s">
        <v>76</v>
      </c>
    </row>
    <row r="6088" spans="1:11" ht="42" customHeight="1">
      <c r="A6088" s="2" t="s">
        <v>15509</v>
      </c>
      <c r="B6088" s="2" t="s">
        <v>15509</v>
      </c>
      <c r="C6088" s="2" t="s">
        <v>33</v>
      </c>
      <c r="D6088" s="2" t="s">
        <v>39</v>
      </c>
      <c r="E6088" s="4">
        <v>-32624</v>
      </c>
      <c r="F6088" s="3" t="s">
        <v>6736</v>
      </c>
      <c r="G6088" s="3" t="s">
        <v>15513</v>
      </c>
      <c r="H6088" s="2" t="s">
        <v>74</v>
      </c>
      <c r="I6088" s="2" t="s">
        <v>15514</v>
      </c>
      <c r="J6088" s="3" t="str">
        <f>HYPERLINK("https://www.boe.es/gazeta/dias/1810/09/04/pdfs/GEI-D-1810-64.pdf#page=5","Abrir facsímil")</f>
        <v>Abrir facsímil</v>
      </c>
      <c r="K6088" s="3" t="s">
        <v>76</v>
      </c>
    </row>
    <row r="6089" spans="1:11" ht="42" customHeight="1">
      <c r="A6089" s="2" t="s">
        <v>15515</v>
      </c>
      <c r="B6089" s="2" t="s">
        <v>15516</v>
      </c>
      <c r="C6089" s="2" t="s">
        <v>26</v>
      </c>
      <c r="D6089" s="2" t="s">
        <v>27</v>
      </c>
      <c r="E6089" s="4">
        <v>-32784</v>
      </c>
      <c r="F6089" s="3" t="s">
        <v>429</v>
      </c>
      <c r="G6089" s="3" t="s">
        <v>632</v>
      </c>
      <c r="H6089" s="2" t="s">
        <v>74</v>
      </c>
      <c r="I6089" s="2" t="s">
        <v>15517</v>
      </c>
      <c r="J6089" s="3" t="str">
        <f>HYPERLINK("https://www.boe.es/gazeta/dias/1810/03/28/pdfs/GMD-1810-87.pdf#page=2","Abrir facsímil")</f>
        <v>Abrir facsímil</v>
      </c>
      <c r="K6089" s="3" t="s">
        <v>76</v>
      </c>
    </row>
    <row r="6090" spans="1:11" ht="42" customHeight="1">
      <c r="A6090" s="2" t="s">
        <v>15518</v>
      </c>
      <c r="B6090" s="2" t="s">
        <v>15518</v>
      </c>
      <c r="C6090" s="2" t="s">
        <v>17</v>
      </c>
      <c r="D6090" s="2" t="s">
        <v>27</v>
      </c>
      <c r="E6090" s="4">
        <v>-32768</v>
      </c>
      <c r="F6090" s="3" t="s">
        <v>4236</v>
      </c>
      <c r="G6090" s="3" t="s">
        <v>140</v>
      </c>
      <c r="H6090" s="2" t="s">
        <v>74</v>
      </c>
      <c r="I6090" s="2" t="s">
        <v>15519</v>
      </c>
      <c r="J6090" s="3" t="str">
        <f>HYPERLINK("https://www.boe.es/gazeta/dias/1810/04/13/pdfs/GMD-1810-103.pdf#page=2","Abrir facsímil")</f>
        <v>Abrir facsímil</v>
      </c>
      <c r="K6090" s="3" t="s">
        <v>76</v>
      </c>
    </row>
    <row r="6091" spans="1:11" ht="42" customHeight="1">
      <c r="A6091" s="2" t="s">
        <v>15520</v>
      </c>
      <c r="B6091" s="2" t="s">
        <v>15520</v>
      </c>
      <c r="C6091" s="2" t="s">
        <v>33</v>
      </c>
      <c r="D6091" s="2" t="s">
        <v>27</v>
      </c>
      <c r="E6091" s="4">
        <v>-32852</v>
      </c>
      <c r="F6091" s="3" t="s">
        <v>1625</v>
      </c>
      <c r="G6091" s="3" t="s">
        <v>749</v>
      </c>
      <c r="H6091" s="2" t="s">
        <v>74</v>
      </c>
      <c r="I6091" s="2" t="s">
        <v>15521</v>
      </c>
      <c r="J6091" s="3" t="str">
        <f>HYPERLINK("https://www.boe.es/gazeta/dias/1810/01/19/pdfs/GMD-1810-19.pdf#page=1","Abrir facsímil")</f>
        <v>Abrir facsímil</v>
      </c>
      <c r="K6091" s="3" t="s">
        <v>76</v>
      </c>
    </row>
    <row r="6092" spans="1:11" ht="42" customHeight="1">
      <c r="A6092" s="2" t="s">
        <v>15522</v>
      </c>
      <c r="B6092" s="2" t="s">
        <v>15523</v>
      </c>
      <c r="C6092" s="2" t="s">
        <v>88</v>
      </c>
      <c r="D6092" s="2" t="s">
        <v>27</v>
      </c>
      <c r="E6092" s="4">
        <v>-32652</v>
      </c>
      <c r="F6092" s="3" t="s">
        <v>3295</v>
      </c>
      <c r="G6092" s="3" t="s">
        <v>7424</v>
      </c>
      <c r="H6092" s="2" t="s">
        <v>74</v>
      </c>
      <c r="I6092" s="2" t="s">
        <v>15524</v>
      </c>
      <c r="J6092" s="3" t="str">
        <f>HYPERLINK("https://www.boe.es/gazeta/dias/1810/08/07/pdfs/GEI-1810-52.pdf#page=8","Abrir facsímil")</f>
        <v>Abrir facsímil</v>
      </c>
      <c r="K6092" s="3" t="s">
        <v>76</v>
      </c>
    </row>
    <row r="6093" spans="1:11" ht="42" customHeight="1">
      <c r="A6093" s="2" t="s">
        <v>15525</v>
      </c>
      <c r="B6093" s="2" t="s">
        <v>15525</v>
      </c>
      <c r="C6093" s="2" t="s">
        <v>88</v>
      </c>
      <c r="D6093" s="2" t="s">
        <v>117</v>
      </c>
      <c r="E6093" s="4">
        <v>-32788</v>
      </c>
      <c r="F6093" s="3" t="s">
        <v>1254</v>
      </c>
      <c r="G6093" s="3" t="s">
        <v>3327</v>
      </c>
      <c r="H6093" s="2" t="s">
        <v>74</v>
      </c>
      <c r="I6093" s="2" t="s">
        <v>15526</v>
      </c>
      <c r="J6093" s="3" t="str">
        <f>HYPERLINK("https://www.boe.es/gazeta/dias/1810/03/24/pdfs/GMD-1810-83.pdf#page=3","Abrir facsímil")</f>
        <v>Abrir facsímil</v>
      </c>
      <c r="K6093" s="3" t="s">
        <v>76</v>
      </c>
    </row>
    <row r="6094" spans="1:11" ht="42" customHeight="1">
      <c r="A6094" s="2" t="s">
        <v>15527</v>
      </c>
      <c r="B6094" s="2" t="s">
        <v>15527</v>
      </c>
      <c r="C6094" s="2" t="s">
        <v>33</v>
      </c>
      <c r="D6094" s="2" t="s">
        <v>220</v>
      </c>
      <c r="E6094" s="4">
        <v>-32507</v>
      </c>
      <c r="F6094" s="3" t="s">
        <v>11205</v>
      </c>
      <c r="G6094" s="3" t="s">
        <v>151</v>
      </c>
      <c r="H6094" s="2" t="s">
        <v>74</v>
      </c>
      <c r="I6094" s="2" t="s">
        <v>15528</v>
      </c>
      <c r="J6094" s="3" t="str">
        <f>HYPERLINK("https://www.boe.es/gazeta/dias/1810/12/30/pdfs/GMD-1810-364.pdf#page=1","Abrir facsímil")</f>
        <v>Abrir facsímil</v>
      </c>
      <c r="K6094" s="3" t="s">
        <v>76</v>
      </c>
    </row>
    <row r="6095" spans="1:11" ht="42" customHeight="1">
      <c r="A6095" s="2" t="s">
        <v>15529</v>
      </c>
      <c r="B6095" s="2" t="s">
        <v>15529</v>
      </c>
      <c r="C6095" s="2" t="s">
        <v>33</v>
      </c>
      <c r="D6095" s="2" t="s">
        <v>220</v>
      </c>
      <c r="E6095" s="4">
        <v>-32785</v>
      </c>
      <c r="F6095" s="3" t="s">
        <v>5915</v>
      </c>
      <c r="G6095" s="3" t="s">
        <v>5669</v>
      </c>
      <c r="H6095" s="2" t="s">
        <v>74</v>
      </c>
      <c r="I6095" s="2" t="s">
        <v>15530</v>
      </c>
      <c r="J6095" s="3" t="str">
        <f>HYPERLINK("https://www.boe.es/gazeta/dias/1810/03/27/pdfs/GMD-1810-86.pdf#page=1","Abrir facsímil")</f>
        <v>Abrir facsímil</v>
      </c>
      <c r="K6095" s="3" t="s">
        <v>76</v>
      </c>
    </row>
    <row r="6096" spans="1:11" ht="42" customHeight="1">
      <c r="A6096" s="2" t="s">
        <v>15531</v>
      </c>
      <c r="B6096" s="2" t="s">
        <v>15532</v>
      </c>
      <c r="C6096" s="2" t="s">
        <v>26</v>
      </c>
      <c r="D6096" s="2" t="s">
        <v>27</v>
      </c>
      <c r="E6096" s="4">
        <v>-32785</v>
      </c>
      <c r="F6096" s="3" t="s">
        <v>5915</v>
      </c>
      <c r="G6096" s="3" t="s">
        <v>29</v>
      </c>
      <c r="H6096" s="2" t="s">
        <v>74</v>
      </c>
      <c r="I6096" s="2" t="s">
        <v>15533</v>
      </c>
      <c r="J6096" s="3" t="str">
        <f>HYPERLINK("https://www.boe.es/gazeta/dias/1810/03/27/pdfs/GMD-1810-86.pdf#page=3","Abrir facsímil")</f>
        <v>Abrir facsímil</v>
      </c>
      <c r="K6096" s="3" t="s">
        <v>76</v>
      </c>
    </row>
    <row r="6097" spans="1:11" ht="42" customHeight="1">
      <c r="A6097" s="2" t="s">
        <v>15534</v>
      </c>
      <c r="B6097" s="2" t="s">
        <v>15534</v>
      </c>
      <c r="C6097" s="2" t="s">
        <v>111</v>
      </c>
      <c r="D6097" s="2" t="s">
        <v>27</v>
      </c>
      <c r="E6097" s="4">
        <v>-32867</v>
      </c>
      <c r="F6097" s="3" t="s">
        <v>3857</v>
      </c>
      <c r="G6097" s="3" t="s">
        <v>592</v>
      </c>
      <c r="H6097" s="2" t="s">
        <v>74</v>
      </c>
      <c r="I6097" s="2" t="s">
        <v>15535</v>
      </c>
      <c r="J6097" s="3" t="str">
        <f>HYPERLINK("https://www.boe.es/gazeta/dias/1810/01/04/pdfs/GMD-1810-4.pdf#page=1","Abrir facsímil")</f>
        <v>Abrir facsímil</v>
      </c>
      <c r="K6097" s="3" t="s">
        <v>76</v>
      </c>
    </row>
    <row r="6098" spans="1:11" ht="42" customHeight="1">
      <c r="A6098" s="2" t="s">
        <v>15534</v>
      </c>
      <c r="B6098" s="2" t="s">
        <v>15534</v>
      </c>
      <c r="C6098" s="2" t="s">
        <v>33</v>
      </c>
      <c r="D6098" s="2" t="s">
        <v>27</v>
      </c>
      <c r="E6098" s="4">
        <v>-32860</v>
      </c>
      <c r="F6098" s="3" t="s">
        <v>504</v>
      </c>
      <c r="G6098" s="3" t="s">
        <v>613</v>
      </c>
      <c r="H6098" s="2" t="s">
        <v>74</v>
      </c>
      <c r="I6098" s="2" t="s">
        <v>15536</v>
      </c>
      <c r="J6098" s="3" t="str">
        <f>HYPERLINK("https://www.boe.es/gazeta/dias/1810/01/11/pdfs/GGB-1810-5.pdf#page=1","Abrir facsímil")</f>
        <v>Abrir facsímil</v>
      </c>
      <c r="K6098" s="3" t="s">
        <v>76</v>
      </c>
    </row>
    <row r="6099" spans="1:11" ht="42" customHeight="1">
      <c r="A6099" s="2" t="s">
        <v>15534</v>
      </c>
      <c r="B6099" s="2" t="s">
        <v>15534</v>
      </c>
      <c r="C6099" s="2" t="s">
        <v>33</v>
      </c>
      <c r="D6099" s="2" t="s">
        <v>27</v>
      </c>
      <c r="E6099" s="4">
        <v>-32858</v>
      </c>
      <c r="F6099" s="3" t="s">
        <v>4182</v>
      </c>
      <c r="G6099" s="3" t="s">
        <v>915</v>
      </c>
      <c r="H6099" s="2" t="s">
        <v>74</v>
      </c>
      <c r="I6099" s="2" t="s">
        <v>15537</v>
      </c>
      <c r="J6099" s="3" t="str">
        <f>HYPERLINK("https://www.boe.es/gazeta/dias/1810/01/13/pdfs/GGB-1810-6.pdf#page=5","Abrir facsímil")</f>
        <v>Abrir facsímil</v>
      </c>
      <c r="K6099" s="3" t="s">
        <v>76</v>
      </c>
    </row>
    <row r="6100" spans="1:11" ht="42" customHeight="1">
      <c r="A6100" s="2" t="s">
        <v>15534</v>
      </c>
      <c r="B6100" s="2" t="s">
        <v>15534</v>
      </c>
      <c r="C6100" s="2" t="s">
        <v>88</v>
      </c>
      <c r="D6100" s="2" t="s">
        <v>117</v>
      </c>
      <c r="E6100" s="4">
        <v>-32851</v>
      </c>
      <c r="F6100" s="3" t="s">
        <v>4243</v>
      </c>
      <c r="G6100" s="3" t="s">
        <v>99</v>
      </c>
      <c r="H6100" s="2" t="s">
        <v>74</v>
      </c>
      <c r="I6100" s="2" t="s">
        <v>15538</v>
      </c>
      <c r="J6100" s="3" t="str">
        <f>HYPERLINK("https://www.boe.es/gazeta/dias/1810/01/20/pdfs/GMD-1810-20.pdf#page=3","Abrir facsímil")</f>
        <v>Abrir facsímil</v>
      </c>
      <c r="K6100" s="3" t="s">
        <v>76</v>
      </c>
    </row>
    <row r="6101" spans="1:11" ht="42" customHeight="1">
      <c r="A6101" s="2" t="s">
        <v>15534</v>
      </c>
      <c r="B6101" s="2" t="s">
        <v>15534</v>
      </c>
      <c r="C6101" s="2" t="s">
        <v>88</v>
      </c>
      <c r="D6101" s="2" t="s">
        <v>27</v>
      </c>
      <c r="E6101" s="4">
        <v>-32842</v>
      </c>
      <c r="F6101" s="3" t="s">
        <v>1291</v>
      </c>
      <c r="G6101" s="3" t="s">
        <v>180</v>
      </c>
      <c r="H6101" s="2" t="s">
        <v>74</v>
      </c>
      <c r="I6101" s="2" t="s">
        <v>15539</v>
      </c>
      <c r="J6101" s="3" t="str">
        <f>HYPERLINK("https://www.boe.es/gazeta/dias/1810/01/29/pdfs/GMD-1810-29.pdf#page=1","Abrir facsímil")</f>
        <v>Abrir facsímil</v>
      </c>
      <c r="K6101" s="3" t="s">
        <v>76</v>
      </c>
    </row>
    <row r="6102" spans="1:11" ht="42" customHeight="1">
      <c r="A6102" s="2" t="s">
        <v>15534</v>
      </c>
      <c r="B6102" s="2" t="s">
        <v>15534</v>
      </c>
      <c r="C6102" s="2" t="s">
        <v>88</v>
      </c>
      <c r="D6102" s="2" t="s">
        <v>117</v>
      </c>
      <c r="E6102" s="4">
        <v>-32819</v>
      </c>
      <c r="F6102" s="3" t="s">
        <v>5942</v>
      </c>
      <c r="G6102" s="3" t="s">
        <v>70</v>
      </c>
      <c r="H6102" s="2" t="s">
        <v>74</v>
      </c>
      <c r="I6102" s="2" t="s">
        <v>15540</v>
      </c>
      <c r="J6102" s="3" t="str">
        <f>HYPERLINK("https://www.boe.es/gazeta/dias/1810/02/21/pdfs/GMD-1810-52.pdf#page=1","Abrir facsímil")</f>
        <v>Abrir facsímil</v>
      </c>
      <c r="K6102" s="3" t="s">
        <v>76</v>
      </c>
    </row>
    <row r="6103" spans="1:11" ht="42" customHeight="1">
      <c r="A6103" s="2" t="s">
        <v>15534</v>
      </c>
      <c r="B6103" s="2" t="s">
        <v>15534</v>
      </c>
      <c r="C6103" s="2" t="s">
        <v>33</v>
      </c>
      <c r="D6103" s="2" t="s">
        <v>18</v>
      </c>
      <c r="E6103" s="4">
        <v>-32805</v>
      </c>
      <c r="F6103" s="3" t="s">
        <v>2068</v>
      </c>
      <c r="G6103" s="3" t="s">
        <v>213</v>
      </c>
      <c r="H6103" s="2" t="s">
        <v>74</v>
      </c>
      <c r="I6103" s="2" t="s">
        <v>15541</v>
      </c>
      <c r="J6103" s="3" t="str">
        <f>HYPERLINK("https://www.boe.es/gazeta/dias/1810/03/07/pdfs/GMD-1810-66.pdf#page=2","Abrir facsímil")</f>
        <v>Abrir facsímil</v>
      </c>
      <c r="K6103" s="3" t="s">
        <v>76</v>
      </c>
    </row>
    <row r="6104" spans="1:11" ht="42" customHeight="1">
      <c r="A6104" s="2" t="s">
        <v>15534</v>
      </c>
      <c r="B6104" s="2" t="s">
        <v>15534</v>
      </c>
      <c r="C6104" s="2" t="s">
        <v>88</v>
      </c>
      <c r="D6104" s="2" t="s">
        <v>27</v>
      </c>
      <c r="E6104" s="4">
        <v>-32788</v>
      </c>
      <c r="F6104" s="3" t="s">
        <v>1254</v>
      </c>
      <c r="G6104" s="3" t="s">
        <v>3864</v>
      </c>
      <c r="H6104" s="2" t="s">
        <v>74</v>
      </c>
      <c r="I6104" s="2" t="s">
        <v>15542</v>
      </c>
      <c r="J6104" s="3" t="str">
        <f>HYPERLINK("https://www.boe.es/gazeta/dias/1810/03/24/pdfs/GMD-1810-83.pdf#page=1","Abrir facsímil")</f>
        <v>Abrir facsímil</v>
      </c>
      <c r="K6104" s="3" t="s">
        <v>76</v>
      </c>
    </row>
    <row r="6105" spans="1:11" ht="42" customHeight="1">
      <c r="A6105" s="2" t="s">
        <v>15534</v>
      </c>
      <c r="B6105" s="2" t="s">
        <v>15534</v>
      </c>
      <c r="C6105" s="2" t="s">
        <v>88</v>
      </c>
      <c r="D6105" s="2" t="s">
        <v>27</v>
      </c>
      <c r="E6105" s="4">
        <v>-32781</v>
      </c>
      <c r="F6105" s="3" t="s">
        <v>5673</v>
      </c>
      <c r="G6105" s="3" t="s">
        <v>1590</v>
      </c>
      <c r="H6105" s="2" t="s">
        <v>74</v>
      </c>
      <c r="I6105" s="2" t="s">
        <v>15543</v>
      </c>
      <c r="J6105" s="3" t="str">
        <f>HYPERLINK("https://www.boe.es/gazeta/dias/1810/03/31/pdfs/GMD-1810-90.pdf#page=1","Abrir facsímil")</f>
        <v>Abrir facsímil</v>
      </c>
      <c r="K6105" s="3" t="s">
        <v>76</v>
      </c>
    </row>
    <row r="6106" spans="1:11" ht="42" customHeight="1">
      <c r="A6106" s="2" t="s">
        <v>15534</v>
      </c>
      <c r="B6106" s="2" t="s">
        <v>15534</v>
      </c>
      <c r="C6106" s="2" t="s">
        <v>33</v>
      </c>
      <c r="D6106" s="2" t="s">
        <v>27</v>
      </c>
      <c r="E6106" s="4">
        <v>-32779</v>
      </c>
      <c r="F6106" s="3" t="s">
        <v>5274</v>
      </c>
      <c r="G6106" s="3" t="s">
        <v>151</v>
      </c>
      <c r="H6106" s="2" t="s">
        <v>74</v>
      </c>
      <c r="I6106" s="2" t="s">
        <v>15544</v>
      </c>
      <c r="J6106" s="3" t="str">
        <f>HYPERLINK("https://www.boe.es/gazeta/dias/1810/04/02/pdfs/GMD-1810-92.pdf#page=3","Abrir facsímil")</f>
        <v>Abrir facsímil</v>
      </c>
      <c r="K6106" s="3" t="s">
        <v>76</v>
      </c>
    </row>
    <row r="6107" spans="1:11" ht="42" customHeight="1">
      <c r="A6107" s="2" t="s">
        <v>15534</v>
      </c>
      <c r="B6107" s="2" t="s">
        <v>15534</v>
      </c>
      <c r="C6107" s="2" t="s">
        <v>33</v>
      </c>
      <c r="D6107" s="2" t="s">
        <v>27</v>
      </c>
      <c r="E6107" s="4">
        <v>-32774</v>
      </c>
      <c r="F6107" s="3" t="s">
        <v>10556</v>
      </c>
      <c r="G6107" s="3" t="s">
        <v>732</v>
      </c>
      <c r="H6107" s="2" t="s">
        <v>74</v>
      </c>
      <c r="I6107" s="2" t="s">
        <v>15545</v>
      </c>
      <c r="J6107" s="3" t="str">
        <f>HYPERLINK("https://www.boe.es/gazeta/dias/1810/04/07/pdfs/GMD-1810-97.pdf#page=1","Abrir facsímil")</f>
        <v>Abrir facsímil</v>
      </c>
      <c r="K6107" s="3" t="s">
        <v>76</v>
      </c>
    </row>
    <row r="6108" spans="1:11" ht="42" customHeight="1">
      <c r="A6108" s="2" t="s">
        <v>15534</v>
      </c>
      <c r="B6108" s="2" t="s">
        <v>15534</v>
      </c>
      <c r="C6108" s="2" t="s">
        <v>88</v>
      </c>
      <c r="D6108" s="2" t="s">
        <v>27</v>
      </c>
      <c r="E6108" s="4">
        <v>-32771</v>
      </c>
      <c r="F6108" s="3" t="s">
        <v>8719</v>
      </c>
      <c r="G6108" s="3" t="s">
        <v>180</v>
      </c>
      <c r="H6108" s="2" t="s">
        <v>74</v>
      </c>
      <c r="I6108" s="2" t="s">
        <v>15546</v>
      </c>
      <c r="J6108" s="3" t="str">
        <f>HYPERLINK("https://www.boe.es/gazeta/dias/1810/04/10/pdfs/GMD-1810-100.pdf#page=1","Abrir facsímil")</f>
        <v>Abrir facsímil</v>
      </c>
      <c r="K6108" s="3" t="s">
        <v>76</v>
      </c>
    </row>
    <row r="6109" spans="1:11" ht="42" customHeight="1">
      <c r="A6109" s="2" t="s">
        <v>15534</v>
      </c>
      <c r="B6109" s="2" t="s">
        <v>15534</v>
      </c>
      <c r="C6109" s="2" t="s">
        <v>33</v>
      </c>
      <c r="D6109" s="2" t="s">
        <v>27</v>
      </c>
      <c r="E6109" s="4">
        <v>-32770</v>
      </c>
      <c r="F6109" s="3" t="s">
        <v>7130</v>
      </c>
      <c r="G6109" s="3" t="s">
        <v>7131</v>
      </c>
      <c r="H6109" s="2" t="s">
        <v>74</v>
      </c>
      <c r="I6109" s="2" t="s">
        <v>15547</v>
      </c>
      <c r="J6109" s="3" t="str">
        <f>HYPERLINK("https://www.boe.es/gazeta/dias/1810/04/11/pdfs/GMD-1810-101.pdf#page=2","Abrir facsímil")</f>
        <v>Abrir facsímil</v>
      </c>
      <c r="K6109" s="3" t="s">
        <v>76</v>
      </c>
    </row>
    <row r="6110" spans="1:11" ht="42" customHeight="1">
      <c r="A6110" s="2" t="s">
        <v>15534</v>
      </c>
      <c r="B6110" s="2" t="s">
        <v>15534</v>
      </c>
      <c r="C6110" s="2" t="s">
        <v>33</v>
      </c>
      <c r="D6110" s="2" t="s">
        <v>27</v>
      </c>
      <c r="E6110" s="4">
        <v>-32768</v>
      </c>
      <c r="F6110" s="3" t="s">
        <v>1930</v>
      </c>
      <c r="G6110" s="3" t="s">
        <v>70</v>
      </c>
      <c r="H6110" s="2" t="s">
        <v>74</v>
      </c>
      <c r="I6110" s="2" t="s">
        <v>15548</v>
      </c>
      <c r="J6110" s="3" t="str">
        <f>HYPERLINK("https://www.boe.es/gazeta/dias/1810/04/13/pdfs/GEI-1810-14.pdf#page=3","Abrir facsímil")</f>
        <v>Abrir facsímil</v>
      </c>
      <c r="K6110" s="3" t="s">
        <v>76</v>
      </c>
    </row>
    <row r="6111" spans="1:11" ht="42" customHeight="1">
      <c r="A6111" s="2" t="s">
        <v>15534</v>
      </c>
      <c r="B6111" s="2" t="s">
        <v>15534</v>
      </c>
      <c r="C6111" s="2" t="s">
        <v>88</v>
      </c>
      <c r="D6111" s="2" t="s">
        <v>220</v>
      </c>
      <c r="E6111" s="4">
        <v>-32767</v>
      </c>
      <c r="F6111" s="3" t="s">
        <v>1265</v>
      </c>
      <c r="G6111" s="3" t="s">
        <v>35</v>
      </c>
      <c r="H6111" s="2" t="s">
        <v>74</v>
      </c>
      <c r="I6111" s="2" t="s">
        <v>15549</v>
      </c>
      <c r="J6111" s="3" t="str">
        <f>HYPERLINK("https://www.boe.es/gazeta/dias/1810/04/14/pdfs/GMD-1810-104.pdf#page=2","Abrir facsímil")</f>
        <v>Abrir facsímil</v>
      </c>
      <c r="K6111" s="3" t="s">
        <v>76</v>
      </c>
    </row>
    <row r="6112" spans="1:11" ht="42" customHeight="1">
      <c r="A6112" s="2" t="s">
        <v>15534</v>
      </c>
      <c r="B6112" s="2" t="s">
        <v>15534</v>
      </c>
      <c r="C6112" s="2" t="s">
        <v>33</v>
      </c>
      <c r="D6112" s="2" t="s">
        <v>220</v>
      </c>
      <c r="E6112" s="4">
        <v>-32763</v>
      </c>
      <c r="F6112" s="3" t="s">
        <v>1146</v>
      </c>
      <c r="G6112" s="3" t="s">
        <v>140</v>
      </c>
      <c r="H6112" s="2" t="s">
        <v>74</v>
      </c>
      <c r="I6112" s="2" t="s">
        <v>15550</v>
      </c>
      <c r="J6112" s="3" t="str">
        <f>HYPERLINK("https://www.boe.es/gazeta/dias/1810/04/18/pdfs/GMD-1810-108.pdf#page=1","Abrir facsímil")</f>
        <v>Abrir facsímil</v>
      </c>
      <c r="K6112" s="3" t="s">
        <v>76</v>
      </c>
    </row>
    <row r="6113" spans="1:11" ht="42" customHeight="1">
      <c r="A6113" s="2" t="s">
        <v>15534</v>
      </c>
      <c r="B6113" s="2" t="s">
        <v>15534</v>
      </c>
      <c r="C6113" s="2" t="s">
        <v>88</v>
      </c>
      <c r="D6113" s="2" t="s">
        <v>27</v>
      </c>
      <c r="E6113" s="4">
        <v>-32762</v>
      </c>
      <c r="F6113" s="3" t="s">
        <v>231</v>
      </c>
      <c r="G6113" s="3" t="s">
        <v>29</v>
      </c>
      <c r="H6113" s="2" t="s">
        <v>74</v>
      </c>
      <c r="I6113" s="2" t="s">
        <v>15551</v>
      </c>
      <c r="J6113" s="3" t="str">
        <f>HYPERLINK("https://www.boe.es/gazeta/dias/1810/04/19/pdfs/GMD-1810-109.pdf#page=2","Abrir facsímil")</f>
        <v>Abrir facsímil</v>
      </c>
      <c r="K6113" s="3" t="s">
        <v>76</v>
      </c>
    </row>
    <row r="6114" spans="1:11" ht="42" customHeight="1">
      <c r="A6114" s="2" t="s">
        <v>15534</v>
      </c>
      <c r="B6114" s="2" t="s">
        <v>15534</v>
      </c>
      <c r="C6114" s="2" t="s">
        <v>33</v>
      </c>
      <c r="D6114" s="2" t="s">
        <v>27</v>
      </c>
      <c r="E6114" s="4">
        <v>-32761</v>
      </c>
      <c r="F6114" s="3" t="s">
        <v>2093</v>
      </c>
      <c r="G6114" s="3" t="s">
        <v>20</v>
      </c>
      <c r="H6114" s="2" t="s">
        <v>74</v>
      </c>
      <c r="I6114" s="2" t="s">
        <v>15552</v>
      </c>
      <c r="J6114" s="3" t="str">
        <f>HYPERLINK("https://www.boe.es/gazeta/dias/1810/04/20/pdfs/GMD-1810-110.pdf#page=4","Abrir facsímil")</f>
        <v>Abrir facsímil</v>
      </c>
      <c r="K6114" s="3" t="s">
        <v>76</v>
      </c>
    </row>
    <row r="6115" spans="1:11" ht="42" customHeight="1">
      <c r="A6115" s="2" t="s">
        <v>15534</v>
      </c>
      <c r="B6115" s="2" t="s">
        <v>15534</v>
      </c>
      <c r="C6115" s="2" t="s">
        <v>33</v>
      </c>
      <c r="D6115" s="2" t="s">
        <v>27</v>
      </c>
      <c r="E6115" s="4">
        <v>-32758</v>
      </c>
      <c r="F6115" s="3" t="s">
        <v>2822</v>
      </c>
      <c r="G6115" s="3" t="s">
        <v>90</v>
      </c>
      <c r="H6115" s="2" t="s">
        <v>74</v>
      </c>
      <c r="I6115" s="2" t="s">
        <v>15553</v>
      </c>
      <c r="J6115" s="3" t="str">
        <f>HYPERLINK("https://www.boe.es/gazeta/dias/1810/04/23/pdfs/GMD-1810-113.pdf#page=1","Abrir facsímil")</f>
        <v>Abrir facsímil</v>
      </c>
      <c r="K6115" s="3" t="s">
        <v>76</v>
      </c>
    </row>
    <row r="6116" spans="1:11" ht="42" customHeight="1">
      <c r="A6116" s="2" t="s">
        <v>15534</v>
      </c>
      <c r="B6116" s="2" t="s">
        <v>15534</v>
      </c>
      <c r="C6116" s="2" t="s">
        <v>33</v>
      </c>
      <c r="D6116" s="2" t="s">
        <v>27</v>
      </c>
      <c r="E6116" s="4">
        <v>-32757</v>
      </c>
      <c r="F6116" s="3" t="s">
        <v>1136</v>
      </c>
      <c r="G6116" s="3" t="s">
        <v>8762</v>
      </c>
      <c r="H6116" s="2" t="s">
        <v>74</v>
      </c>
      <c r="I6116" s="2" t="s">
        <v>15554</v>
      </c>
      <c r="J6116" s="3" t="str">
        <f>HYPERLINK("https://www.boe.es/gazeta/dias/1810/04/24/pdfs/GEI-1810-17.pdf#page=4","Abrir facsímil")</f>
        <v>Abrir facsímil</v>
      </c>
      <c r="K6116" s="3" t="s">
        <v>76</v>
      </c>
    </row>
    <row r="6117" spans="1:11" ht="42" customHeight="1">
      <c r="A6117" s="2" t="s">
        <v>15534</v>
      </c>
      <c r="B6117" s="2" t="s">
        <v>15534</v>
      </c>
      <c r="C6117" s="2" t="s">
        <v>33</v>
      </c>
      <c r="D6117" s="2" t="s">
        <v>220</v>
      </c>
      <c r="E6117" s="4">
        <v>-32756</v>
      </c>
      <c r="F6117" s="3" t="s">
        <v>203</v>
      </c>
      <c r="G6117" s="3" t="s">
        <v>60</v>
      </c>
      <c r="H6117" s="2" t="s">
        <v>74</v>
      </c>
      <c r="I6117" s="2" t="s">
        <v>15555</v>
      </c>
      <c r="J6117" s="3" t="str">
        <f>HYPERLINK("https://www.boe.es/gazeta/dias/1810/04/25/pdfs/GMD-1810-115.pdf#page=2","Abrir facsímil")</f>
        <v>Abrir facsímil</v>
      </c>
      <c r="K6117" s="3" t="s">
        <v>76</v>
      </c>
    </row>
    <row r="6118" spans="1:11" ht="42" customHeight="1">
      <c r="A6118" s="2" t="s">
        <v>15534</v>
      </c>
      <c r="B6118" s="2" t="s">
        <v>15534</v>
      </c>
      <c r="C6118" s="2" t="s">
        <v>88</v>
      </c>
      <c r="D6118" s="2" t="s">
        <v>27</v>
      </c>
      <c r="E6118" s="4">
        <v>-32754</v>
      </c>
      <c r="F6118" s="3" t="s">
        <v>34</v>
      </c>
      <c r="G6118" s="3" t="s">
        <v>13695</v>
      </c>
      <c r="H6118" s="2" t="s">
        <v>74</v>
      </c>
      <c r="I6118" s="2" t="s">
        <v>15556</v>
      </c>
      <c r="J6118" s="3" t="str">
        <f>HYPERLINK("https://www.boe.es/gazeta/dias/1810/04/27/pdfs/GMD-1810-117.pdf#page=1","Abrir facsímil")</f>
        <v>Abrir facsímil</v>
      </c>
      <c r="K6118" s="3" t="s">
        <v>76</v>
      </c>
    </row>
    <row r="6119" spans="1:11" ht="42" customHeight="1">
      <c r="A6119" s="2" t="s">
        <v>15534</v>
      </c>
      <c r="B6119" s="2" t="s">
        <v>15534</v>
      </c>
      <c r="C6119" s="2" t="s">
        <v>33</v>
      </c>
      <c r="D6119" s="2" t="s">
        <v>220</v>
      </c>
      <c r="E6119" s="4">
        <v>-32753</v>
      </c>
      <c r="F6119" s="3" t="s">
        <v>2789</v>
      </c>
      <c r="G6119" s="3" t="s">
        <v>140</v>
      </c>
      <c r="H6119" s="2" t="s">
        <v>74</v>
      </c>
      <c r="I6119" s="2" t="s">
        <v>15557</v>
      </c>
      <c r="J6119" s="3" t="str">
        <f>HYPERLINK("https://www.boe.es/gazeta/dias/1810/04/28/pdfs/GMD-1810-118.pdf#page=1","Abrir facsímil")</f>
        <v>Abrir facsímil</v>
      </c>
      <c r="K6119" s="3" t="s">
        <v>76</v>
      </c>
    </row>
    <row r="6120" spans="1:11" ht="42" customHeight="1">
      <c r="A6120" s="2" t="s">
        <v>15534</v>
      </c>
      <c r="B6120" s="2" t="s">
        <v>15534</v>
      </c>
      <c r="C6120" s="2" t="s">
        <v>225</v>
      </c>
      <c r="D6120" s="2" t="s">
        <v>220</v>
      </c>
      <c r="E6120" s="4">
        <v>-32752</v>
      </c>
      <c r="F6120" s="3" t="s">
        <v>601</v>
      </c>
      <c r="G6120" s="3" t="s">
        <v>35</v>
      </c>
      <c r="H6120" s="2" t="s">
        <v>74</v>
      </c>
      <c r="I6120" s="2" t="s">
        <v>15558</v>
      </c>
      <c r="J6120" s="3" t="str">
        <f>HYPERLINK("https://www.boe.es/gazeta/dias/1810/04/29/pdfs/GMD-1810-119.pdf#page=2","Abrir facsímil")</f>
        <v>Abrir facsímil</v>
      </c>
      <c r="K6120" s="3" t="s">
        <v>76</v>
      </c>
    </row>
    <row r="6121" spans="1:11" ht="42" customHeight="1">
      <c r="A6121" s="2" t="s">
        <v>15534</v>
      </c>
      <c r="B6121" s="2" t="s">
        <v>15534</v>
      </c>
      <c r="C6121" s="2" t="s">
        <v>33</v>
      </c>
      <c r="D6121" s="2" t="s">
        <v>27</v>
      </c>
      <c r="E6121" s="4">
        <v>-32750</v>
      </c>
      <c r="F6121" s="3" t="s">
        <v>6507</v>
      </c>
      <c r="G6121" s="3" t="s">
        <v>140</v>
      </c>
      <c r="H6121" s="2" t="s">
        <v>74</v>
      </c>
      <c r="I6121" s="2" t="s">
        <v>15559</v>
      </c>
      <c r="J6121" s="3" t="str">
        <f>HYPERLINK("https://www.boe.es/gazeta/dias/1810/05/01/pdfs/GMD-1810-121.pdf#page=2","Abrir facsímil")</f>
        <v>Abrir facsímil</v>
      </c>
      <c r="K6121" s="3" t="s">
        <v>76</v>
      </c>
    </row>
    <row r="6122" spans="1:11" ht="42" customHeight="1">
      <c r="A6122" s="2" t="s">
        <v>15534</v>
      </c>
      <c r="B6122" s="2" t="s">
        <v>15534</v>
      </c>
      <c r="C6122" s="2" t="s">
        <v>33</v>
      </c>
      <c r="D6122" s="2" t="s">
        <v>220</v>
      </c>
      <c r="E6122" s="4">
        <v>-32749</v>
      </c>
      <c r="F6122" s="3" t="s">
        <v>2812</v>
      </c>
      <c r="G6122" s="3" t="s">
        <v>119</v>
      </c>
      <c r="H6122" s="2" t="s">
        <v>74</v>
      </c>
      <c r="I6122" s="2" t="s">
        <v>15560</v>
      </c>
      <c r="J6122" s="3" t="str">
        <f>HYPERLINK("https://www.boe.es/gazeta/dias/1810/05/02/pdfs/GMD-1810-122.pdf#page=1","Abrir facsímil")</f>
        <v>Abrir facsímil</v>
      </c>
      <c r="K6122" s="3" t="s">
        <v>76</v>
      </c>
    </row>
    <row r="6123" spans="1:11" ht="42" customHeight="1">
      <c r="A6123" s="2" t="s">
        <v>15534</v>
      </c>
      <c r="B6123" s="2" t="s">
        <v>15534</v>
      </c>
      <c r="C6123" s="2" t="s">
        <v>88</v>
      </c>
      <c r="D6123" s="2" t="s">
        <v>27</v>
      </c>
      <c r="E6123" s="4">
        <v>-32749</v>
      </c>
      <c r="F6123" s="3" t="s">
        <v>2812</v>
      </c>
      <c r="G6123" s="3" t="s">
        <v>140</v>
      </c>
      <c r="H6123" s="2" t="s">
        <v>74</v>
      </c>
      <c r="I6123" s="2" t="s">
        <v>15561</v>
      </c>
      <c r="J6123" s="3" t="str">
        <f>HYPERLINK("https://www.boe.es/gazeta/dias/1810/05/02/pdfs/GMD-1810-122.pdf#page=2","Abrir facsímil")</f>
        <v>Abrir facsímil</v>
      </c>
      <c r="K6123" s="3" t="s">
        <v>76</v>
      </c>
    </row>
    <row r="6124" spans="1:11" ht="42" customHeight="1">
      <c r="A6124" s="2" t="s">
        <v>15534</v>
      </c>
      <c r="B6124" s="2" t="s">
        <v>15534</v>
      </c>
      <c r="C6124" s="2" t="s">
        <v>33</v>
      </c>
      <c r="D6124" s="2" t="s">
        <v>18</v>
      </c>
      <c r="E6124" s="4">
        <v>-32748</v>
      </c>
      <c r="F6124" s="3" t="s">
        <v>15562</v>
      </c>
      <c r="G6124" s="3" t="s">
        <v>119</v>
      </c>
      <c r="H6124" s="2" t="s">
        <v>74</v>
      </c>
      <c r="I6124" s="2" t="s">
        <v>15563</v>
      </c>
      <c r="J6124" s="3" t="str">
        <f>HYPERLINK("https://www.boe.es/gazeta/dias/1810/05/03/pdfs/GMD-1810-123.pdf#page=1","Abrir facsímil")</f>
        <v>Abrir facsímil</v>
      </c>
      <c r="K6124" s="3" t="s">
        <v>76</v>
      </c>
    </row>
    <row r="6125" spans="1:11" ht="42" customHeight="1">
      <c r="A6125" s="2" t="s">
        <v>15534</v>
      </c>
      <c r="B6125" s="2" t="s">
        <v>15534</v>
      </c>
      <c r="C6125" s="2" t="s">
        <v>88</v>
      </c>
      <c r="D6125" s="2" t="s">
        <v>117</v>
      </c>
      <c r="E6125" s="4">
        <v>-32743</v>
      </c>
      <c r="F6125" s="3" t="s">
        <v>5683</v>
      </c>
      <c r="G6125" s="3" t="s">
        <v>213</v>
      </c>
      <c r="H6125" s="2" t="s">
        <v>74</v>
      </c>
      <c r="I6125" s="2" t="s">
        <v>15564</v>
      </c>
      <c r="J6125" s="3" t="str">
        <f>HYPERLINK("https://www.boe.es/gazeta/dias/1810/05/08/pdfs/GMD-1810-128.pdf#page=1","Abrir facsímil")</f>
        <v>Abrir facsímil</v>
      </c>
      <c r="K6125" s="3" t="s">
        <v>76</v>
      </c>
    </row>
    <row r="6126" spans="1:11" ht="42" customHeight="1">
      <c r="A6126" s="2" t="s">
        <v>15534</v>
      </c>
      <c r="B6126" s="2" t="s">
        <v>15534</v>
      </c>
      <c r="C6126" s="2" t="s">
        <v>88</v>
      </c>
      <c r="D6126" s="2" t="s">
        <v>220</v>
      </c>
      <c r="E6126" s="4">
        <v>-32739</v>
      </c>
      <c r="F6126" s="3" t="s">
        <v>724</v>
      </c>
      <c r="G6126" s="3" t="s">
        <v>119</v>
      </c>
      <c r="H6126" s="2" t="s">
        <v>74</v>
      </c>
      <c r="I6126" s="2" t="s">
        <v>15565</v>
      </c>
      <c r="J6126" s="3" t="str">
        <f>HYPERLINK("https://www.boe.es/gazeta/dias/1810/05/12/pdfs/GMD-1810-132.pdf#page=1","Abrir facsímil")</f>
        <v>Abrir facsímil</v>
      </c>
      <c r="K6126" s="3" t="s">
        <v>76</v>
      </c>
    </row>
    <row r="6127" spans="1:11" ht="42" customHeight="1">
      <c r="A6127" s="2" t="s">
        <v>15534</v>
      </c>
      <c r="B6127" s="2" t="s">
        <v>15534</v>
      </c>
      <c r="C6127" s="2" t="s">
        <v>33</v>
      </c>
      <c r="D6127" s="2" t="s">
        <v>27</v>
      </c>
      <c r="E6127" s="4">
        <v>-32737</v>
      </c>
      <c r="F6127" s="3" t="s">
        <v>1847</v>
      </c>
      <c r="G6127" s="3" t="s">
        <v>227</v>
      </c>
      <c r="H6127" s="2" t="s">
        <v>74</v>
      </c>
      <c r="I6127" s="2" t="s">
        <v>15566</v>
      </c>
      <c r="J6127" s="3" t="str">
        <f>HYPERLINK("https://www.boe.es/gazeta/dias/1810/05/14/pdfs/GMD-1810-134.pdf#page=1","Abrir facsímil")</f>
        <v>Abrir facsímil</v>
      </c>
      <c r="K6127" s="3" t="s">
        <v>76</v>
      </c>
    </row>
    <row r="6128" spans="1:11" ht="42" customHeight="1">
      <c r="A6128" s="2" t="s">
        <v>15534</v>
      </c>
      <c r="B6128" s="2" t="s">
        <v>15534</v>
      </c>
      <c r="C6128" s="2" t="s">
        <v>225</v>
      </c>
      <c r="D6128" s="2" t="s">
        <v>27</v>
      </c>
      <c r="E6128" s="4">
        <v>-32737</v>
      </c>
      <c r="F6128" s="3" t="s">
        <v>1847</v>
      </c>
      <c r="G6128" s="3" t="s">
        <v>70</v>
      </c>
      <c r="H6128" s="2" t="s">
        <v>74</v>
      </c>
      <c r="I6128" s="2" t="s">
        <v>15567</v>
      </c>
      <c r="J6128" s="3" t="str">
        <f>HYPERLINK("https://www.boe.es/gazeta/dias/1810/05/14/pdfs/GMD-1810-134.pdf#page=2","Abrir facsímil")</f>
        <v>Abrir facsímil</v>
      </c>
      <c r="K6128" s="3" t="s">
        <v>76</v>
      </c>
    </row>
    <row r="6129" spans="1:11" ht="42" customHeight="1">
      <c r="A6129" s="2" t="s">
        <v>15534</v>
      </c>
      <c r="B6129" s="2" t="s">
        <v>15534</v>
      </c>
      <c r="C6129" s="2" t="s">
        <v>33</v>
      </c>
      <c r="D6129" s="2" t="s">
        <v>27</v>
      </c>
      <c r="E6129" s="4">
        <v>-32736</v>
      </c>
      <c r="F6129" s="3" t="s">
        <v>400</v>
      </c>
      <c r="G6129" s="3" t="s">
        <v>592</v>
      </c>
      <c r="H6129" s="2" t="s">
        <v>74</v>
      </c>
      <c r="I6129" s="2" t="s">
        <v>15568</v>
      </c>
      <c r="J6129" s="3" t="str">
        <f>HYPERLINK("https://www.boe.es/gazeta/dias/1810/05/15/pdfs/GMD-1810-135.pdf#page=1","Abrir facsímil")</f>
        <v>Abrir facsímil</v>
      </c>
      <c r="K6129" s="3" t="s">
        <v>76</v>
      </c>
    </row>
    <row r="6130" spans="1:11" ht="42" customHeight="1">
      <c r="A6130" s="2" t="s">
        <v>15534</v>
      </c>
      <c r="B6130" s="2" t="s">
        <v>15534</v>
      </c>
      <c r="C6130" s="2" t="s">
        <v>33</v>
      </c>
      <c r="D6130" s="2" t="s">
        <v>27</v>
      </c>
      <c r="E6130" s="4">
        <v>-32734</v>
      </c>
      <c r="F6130" s="3" t="s">
        <v>19</v>
      </c>
      <c r="G6130" s="3" t="s">
        <v>35</v>
      </c>
      <c r="H6130" s="2" t="s">
        <v>74</v>
      </c>
      <c r="I6130" s="2" t="s">
        <v>15569</v>
      </c>
      <c r="J6130" s="3" t="str">
        <f>HYPERLINK("https://www.boe.es/gazeta/dias/1810/05/17/pdfs/GMD-1810-137.pdf#page=2","Abrir facsímil")</f>
        <v>Abrir facsímil</v>
      </c>
      <c r="K6130" s="3" t="s">
        <v>76</v>
      </c>
    </row>
    <row r="6131" spans="1:11" ht="42" customHeight="1">
      <c r="A6131" s="2" t="s">
        <v>15534</v>
      </c>
      <c r="B6131" s="2" t="s">
        <v>15534</v>
      </c>
      <c r="C6131" s="2" t="s">
        <v>33</v>
      </c>
      <c r="D6131" s="2" t="s">
        <v>220</v>
      </c>
      <c r="E6131" s="4">
        <v>-32729</v>
      </c>
      <c r="F6131" s="3" t="s">
        <v>1025</v>
      </c>
      <c r="G6131" s="3" t="s">
        <v>90</v>
      </c>
      <c r="H6131" s="2" t="s">
        <v>74</v>
      </c>
      <c r="I6131" s="2" t="s">
        <v>15570</v>
      </c>
      <c r="J6131" s="3" t="str">
        <f>HYPERLINK("https://www.boe.es/gazeta/dias/1810/05/22/pdfs/GMD-1810-142.pdf#page=2","Abrir facsímil")</f>
        <v>Abrir facsímil</v>
      </c>
      <c r="K6131" s="3" t="s">
        <v>76</v>
      </c>
    </row>
    <row r="6132" spans="1:11" ht="42" customHeight="1">
      <c r="A6132" s="2" t="s">
        <v>15534</v>
      </c>
      <c r="B6132" s="2" t="s">
        <v>15534</v>
      </c>
      <c r="C6132" s="2" t="s">
        <v>225</v>
      </c>
      <c r="D6132" s="2" t="s">
        <v>27</v>
      </c>
      <c r="E6132" s="4">
        <v>-32728</v>
      </c>
      <c r="F6132" s="3" t="s">
        <v>269</v>
      </c>
      <c r="G6132" s="3" t="s">
        <v>2441</v>
      </c>
      <c r="H6132" s="2" t="s">
        <v>74</v>
      </c>
      <c r="I6132" s="2" t="s">
        <v>15571</v>
      </c>
      <c r="J6132" s="3" t="str">
        <f>HYPERLINK("https://www.boe.es/gazeta/dias/1810/05/23/pdfs/GMD-1810-143.pdf#page=1","Abrir facsímil")</f>
        <v>Abrir facsímil</v>
      </c>
      <c r="K6132" s="3" t="s">
        <v>76</v>
      </c>
    </row>
    <row r="6133" spans="1:11" ht="42" customHeight="1">
      <c r="A6133" s="2" t="s">
        <v>15534</v>
      </c>
      <c r="B6133" s="2" t="s">
        <v>15534</v>
      </c>
      <c r="C6133" s="2" t="s">
        <v>225</v>
      </c>
      <c r="D6133" s="2" t="s">
        <v>220</v>
      </c>
      <c r="E6133" s="4">
        <v>-32727</v>
      </c>
      <c r="F6133" s="3" t="s">
        <v>1611</v>
      </c>
      <c r="G6133" s="3" t="s">
        <v>1928</v>
      </c>
      <c r="H6133" s="2" t="s">
        <v>74</v>
      </c>
      <c r="I6133" s="2" t="s">
        <v>15572</v>
      </c>
      <c r="J6133" s="3" t="str">
        <f>HYPERLINK("https://www.boe.es/gazeta/dias/1810/05/24/pdfs/GMD-1810-144.pdf#page=2","Abrir facsímil")</f>
        <v>Abrir facsímil</v>
      </c>
      <c r="K6133" s="3" t="s">
        <v>76</v>
      </c>
    </row>
    <row r="6134" spans="1:11" ht="42" customHeight="1">
      <c r="A6134" s="2" t="s">
        <v>15534</v>
      </c>
      <c r="B6134" s="2" t="s">
        <v>15534</v>
      </c>
      <c r="C6134" s="2" t="s">
        <v>88</v>
      </c>
      <c r="D6134" s="2" t="s">
        <v>27</v>
      </c>
      <c r="E6134" s="4">
        <v>-32727</v>
      </c>
      <c r="F6134" s="3" t="s">
        <v>1611</v>
      </c>
      <c r="G6134" s="3" t="s">
        <v>99</v>
      </c>
      <c r="H6134" s="2" t="s">
        <v>74</v>
      </c>
      <c r="I6134" s="2" t="s">
        <v>15573</v>
      </c>
      <c r="J6134" s="3" t="str">
        <f>HYPERLINK("https://www.boe.es/gazeta/dias/1810/05/24/pdfs/GMD-1810-144.pdf#page=3","Abrir facsímil")</f>
        <v>Abrir facsímil</v>
      </c>
      <c r="K6134" s="3" t="s">
        <v>76</v>
      </c>
    </row>
    <row r="6135" spans="1:11" ht="42" customHeight="1">
      <c r="A6135" s="2" t="s">
        <v>15534</v>
      </c>
      <c r="B6135" s="2" t="s">
        <v>15534</v>
      </c>
      <c r="C6135" s="2" t="s">
        <v>33</v>
      </c>
      <c r="D6135" s="2" t="s">
        <v>27</v>
      </c>
      <c r="E6135" s="4">
        <v>-32723</v>
      </c>
      <c r="F6135" s="3" t="s">
        <v>464</v>
      </c>
      <c r="G6135" s="3" t="s">
        <v>465</v>
      </c>
      <c r="H6135" s="2" t="s">
        <v>74</v>
      </c>
      <c r="I6135" s="2" t="s">
        <v>15574</v>
      </c>
      <c r="J6135" s="3" t="str">
        <f>HYPERLINK("https://www.boe.es/gazeta/dias/1810/05/28/pdfs/GMD-1810-148.pdf#page=1","Abrir facsímil")</f>
        <v>Abrir facsímil</v>
      </c>
      <c r="K6135" s="3" t="s">
        <v>76</v>
      </c>
    </row>
    <row r="6136" spans="1:11" ht="42" customHeight="1">
      <c r="A6136" s="2" t="s">
        <v>15534</v>
      </c>
      <c r="B6136" s="2" t="s">
        <v>15534</v>
      </c>
      <c r="C6136" s="2" t="s">
        <v>88</v>
      </c>
      <c r="D6136" s="2" t="s">
        <v>220</v>
      </c>
      <c r="E6136" s="4">
        <v>-32719</v>
      </c>
      <c r="F6136" s="3" t="s">
        <v>965</v>
      </c>
      <c r="G6136" s="3" t="s">
        <v>7142</v>
      </c>
      <c r="H6136" s="2" t="s">
        <v>74</v>
      </c>
      <c r="I6136" s="2" t="s">
        <v>15575</v>
      </c>
      <c r="J6136" s="3" t="str">
        <f>HYPERLINK("https://www.boe.es/gazeta/dias/1810/06/01/pdfs/GMD-1810-152.pdf#page=1","Abrir facsímil")</f>
        <v>Abrir facsímil</v>
      </c>
      <c r="K6136" s="3" t="s">
        <v>76</v>
      </c>
    </row>
    <row r="6137" spans="1:11" ht="42" customHeight="1">
      <c r="A6137" s="2" t="s">
        <v>15534</v>
      </c>
      <c r="B6137" s="2" t="s">
        <v>15534</v>
      </c>
      <c r="C6137" s="2" t="s">
        <v>33</v>
      </c>
      <c r="D6137" s="2" t="s">
        <v>27</v>
      </c>
      <c r="E6137" s="4">
        <v>-32718</v>
      </c>
      <c r="F6137" s="3" t="s">
        <v>2566</v>
      </c>
      <c r="G6137" s="3" t="s">
        <v>70</v>
      </c>
      <c r="H6137" s="2" t="s">
        <v>74</v>
      </c>
      <c r="I6137" s="2" t="s">
        <v>15576</v>
      </c>
      <c r="J6137" s="3" t="str">
        <f>HYPERLINK("https://www.boe.es/gazeta/dias/1810/06/02/pdfs/GMD-1810-153.pdf#page=3","Abrir facsímil")</f>
        <v>Abrir facsímil</v>
      </c>
      <c r="K6137" s="3" t="s">
        <v>76</v>
      </c>
    </row>
    <row r="6138" spans="1:11" ht="42" customHeight="1">
      <c r="A6138" s="2" t="s">
        <v>15534</v>
      </c>
      <c r="B6138" s="2" t="s">
        <v>15534</v>
      </c>
      <c r="C6138" s="2" t="s">
        <v>33</v>
      </c>
      <c r="D6138" s="2" t="s">
        <v>27</v>
      </c>
      <c r="E6138" s="4">
        <v>-32717</v>
      </c>
      <c r="F6138" s="3" t="s">
        <v>10711</v>
      </c>
      <c r="G6138" s="3" t="s">
        <v>2577</v>
      </c>
      <c r="H6138" s="2" t="s">
        <v>74</v>
      </c>
      <c r="I6138" s="2" t="s">
        <v>15577</v>
      </c>
      <c r="J6138" s="3" t="str">
        <f>HYPERLINK("https://www.boe.es/gazeta/dias/1810/06/03/pdfs/GMD-1810-154.pdf#page=1","Abrir facsímil")</f>
        <v>Abrir facsímil</v>
      </c>
      <c r="K6138" s="3" t="s">
        <v>76</v>
      </c>
    </row>
    <row r="6139" spans="1:11" ht="42" customHeight="1">
      <c r="A6139" s="2" t="s">
        <v>15534</v>
      </c>
      <c r="B6139" s="2" t="s">
        <v>15534</v>
      </c>
      <c r="C6139" s="2" t="s">
        <v>33</v>
      </c>
      <c r="D6139" s="2" t="s">
        <v>220</v>
      </c>
      <c r="E6139" s="4">
        <v>-32706</v>
      </c>
      <c r="F6139" s="3" t="s">
        <v>1210</v>
      </c>
      <c r="G6139" s="3" t="s">
        <v>99</v>
      </c>
      <c r="H6139" s="2" t="s">
        <v>74</v>
      </c>
      <c r="I6139" s="2" t="s">
        <v>15578</v>
      </c>
      <c r="J6139" s="3" t="str">
        <f>HYPERLINK("https://www.boe.es/gazeta/dias/1810/06/14/pdfs/GMD-1810-165.pdf#page=3","Abrir facsímil")</f>
        <v>Abrir facsímil</v>
      </c>
      <c r="K6139" s="3" t="s">
        <v>76</v>
      </c>
    </row>
    <row r="6140" spans="1:11" ht="42" customHeight="1">
      <c r="A6140" s="2" t="s">
        <v>15534</v>
      </c>
      <c r="B6140" s="2" t="s">
        <v>15534</v>
      </c>
      <c r="C6140" s="2" t="s">
        <v>88</v>
      </c>
      <c r="D6140" s="2" t="s">
        <v>27</v>
      </c>
      <c r="E6140" s="4">
        <v>-32696</v>
      </c>
      <c r="F6140" s="3" t="s">
        <v>1863</v>
      </c>
      <c r="G6140" s="3" t="s">
        <v>668</v>
      </c>
      <c r="H6140" s="2" t="s">
        <v>74</v>
      </c>
      <c r="I6140" s="2" t="s">
        <v>15579</v>
      </c>
      <c r="J6140" s="3" t="str">
        <f>HYPERLINK("https://www.boe.es/gazeta/dias/1810/06/24/pdfs/GMD-1810-175.pdf#page=2","Abrir facsímil")</f>
        <v>Abrir facsímil</v>
      </c>
      <c r="K6140" s="3" t="s">
        <v>76</v>
      </c>
    </row>
    <row r="6141" spans="1:11" ht="42" customHeight="1">
      <c r="A6141" s="2" t="s">
        <v>15534</v>
      </c>
      <c r="B6141" s="2" t="s">
        <v>15534</v>
      </c>
      <c r="C6141" s="2" t="s">
        <v>33</v>
      </c>
      <c r="D6141" s="2" t="s">
        <v>220</v>
      </c>
      <c r="E6141" s="4">
        <v>-32695</v>
      </c>
      <c r="F6141" s="3" t="s">
        <v>1646</v>
      </c>
      <c r="G6141" s="3" t="s">
        <v>7532</v>
      </c>
      <c r="H6141" s="2" t="s">
        <v>74</v>
      </c>
      <c r="I6141" s="2" t="s">
        <v>15580</v>
      </c>
      <c r="J6141" s="3" t="str">
        <f>HYPERLINK("https://www.boe.es/gazeta/dias/1810/06/25/pdfs/GMD-1810-176.pdf#page=3","Abrir facsímil")</f>
        <v>Abrir facsímil</v>
      </c>
      <c r="K6141" s="3" t="s">
        <v>76</v>
      </c>
    </row>
    <row r="6142" spans="1:11" ht="42" customHeight="1">
      <c r="A6142" s="2" t="s">
        <v>15534</v>
      </c>
      <c r="B6142" s="2" t="s">
        <v>15534</v>
      </c>
      <c r="C6142" s="2" t="s">
        <v>33</v>
      </c>
      <c r="D6142" s="2" t="s">
        <v>27</v>
      </c>
      <c r="E6142" s="4">
        <v>-32689</v>
      </c>
      <c r="F6142" s="3" t="s">
        <v>571</v>
      </c>
      <c r="G6142" s="3" t="s">
        <v>2577</v>
      </c>
      <c r="H6142" s="2" t="s">
        <v>74</v>
      </c>
      <c r="I6142" s="2" t="s">
        <v>15581</v>
      </c>
      <c r="J6142" s="3" t="str">
        <f>HYPERLINK("https://www.boe.es/gazeta/dias/1810/07/01/pdfs/GMD-1810-182.pdf#page=1","Abrir facsímil")</f>
        <v>Abrir facsímil</v>
      </c>
      <c r="K6142" s="3" t="s">
        <v>76</v>
      </c>
    </row>
    <row r="6143" spans="1:11" ht="42" customHeight="1">
      <c r="A6143" s="2" t="s">
        <v>15534</v>
      </c>
      <c r="B6143" s="2" t="s">
        <v>15534</v>
      </c>
      <c r="C6143" s="2" t="s">
        <v>88</v>
      </c>
      <c r="D6143" s="2" t="s">
        <v>27</v>
      </c>
      <c r="E6143" s="4">
        <v>-32687</v>
      </c>
      <c r="F6143" s="3" t="s">
        <v>221</v>
      </c>
      <c r="G6143" s="3" t="s">
        <v>4739</v>
      </c>
      <c r="H6143" s="2" t="s">
        <v>74</v>
      </c>
      <c r="I6143" s="2" t="s">
        <v>15582</v>
      </c>
      <c r="J6143" s="3" t="str">
        <f>HYPERLINK("https://www.boe.es/gazeta/dias/1810/07/03/pdfs/GMD-1810-184.pdf#page=3","Abrir facsímil")</f>
        <v>Abrir facsímil</v>
      </c>
      <c r="K6143" s="3" t="s">
        <v>76</v>
      </c>
    </row>
    <row r="6144" spans="1:11" ht="42" customHeight="1">
      <c r="A6144" s="2" t="s">
        <v>15534</v>
      </c>
      <c r="B6144" s="2" t="s">
        <v>15534</v>
      </c>
      <c r="C6144" s="2" t="s">
        <v>225</v>
      </c>
      <c r="D6144" s="2" t="s">
        <v>220</v>
      </c>
      <c r="E6144" s="4">
        <v>-32685</v>
      </c>
      <c r="F6144" s="3" t="s">
        <v>1106</v>
      </c>
      <c r="G6144" s="3" t="s">
        <v>70</v>
      </c>
      <c r="H6144" s="2" t="s">
        <v>74</v>
      </c>
      <c r="I6144" s="2" t="s">
        <v>15583</v>
      </c>
      <c r="J6144" s="3" t="str">
        <f>HYPERLINK("https://www.boe.es/gazeta/dias/1810/07/05/pdfs/GMD-1810-186.pdf#page=3","Abrir facsímil")</f>
        <v>Abrir facsímil</v>
      </c>
      <c r="K6144" s="3" t="s">
        <v>76</v>
      </c>
    </row>
    <row r="6145" spans="1:11" ht="42" customHeight="1">
      <c r="A6145" s="2" t="s">
        <v>15534</v>
      </c>
      <c r="B6145" s="2" t="s">
        <v>15534</v>
      </c>
      <c r="C6145" s="2" t="s">
        <v>33</v>
      </c>
      <c r="D6145" s="2" t="s">
        <v>27</v>
      </c>
      <c r="E6145" s="4">
        <v>-32671</v>
      </c>
      <c r="F6145" s="3" t="s">
        <v>3682</v>
      </c>
      <c r="G6145" s="3" t="s">
        <v>90</v>
      </c>
      <c r="H6145" s="2" t="s">
        <v>74</v>
      </c>
      <c r="I6145" s="2" t="s">
        <v>15584</v>
      </c>
      <c r="J6145" s="3" t="str">
        <f>HYPERLINK("https://www.boe.es/gazeta/dias/1810/07/19/pdfs/GMD-1810-200.pdf#page=2","Abrir facsímil")</f>
        <v>Abrir facsímil</v>
      </c>
      <c r="K6145" s="3" t="s">
        <v>76</v>
      </c>
    </row>
    <row r="6146" spans="1:11" ht="42" customHeight="1">
      <c r="A6146" s="2" t="s">
        <v>15534</v>
      </c>
      <c r="B6146" s="2" t="s">
        <v>15534</v>
      </c>
      <c r="C6146" s="2" t="s">
        <v>33</v>
      </c>
      <c r="D6146" s="2" t="s">
        <v>220</v>
      </c>
      <c r="E6146" s="4">
        <v>-32650</v>
      </c>
      <c r="F6146" s="3" t="s">
        <v>9008</v>
      </c>
      <c r="G6146" s="3" t="s">
        <v>20</v>
      </c>
      <c r="H6146" s="2" t="s">
        <v>74</v>
      </c>
      <c r="I6146" s="2" t="s">
        <v>15585</v>
      </c>
      <c r="J6146" s="3" t="str">
        <f>HYPERLINK("https://www.boe.es/gazeta/dias/1810/08/09/pdfs/GMD-1810-221.pdf#page=4","Abrir facsímil")</f>
        <v>Abrir facsímil</v>
      </c>
      <c r="K6146" s="3" t="s">
        <v>76</v>
      </c>
    </row>
    <row r="6147" spans="1:11" ht="42" customHeight="1">
      <c r="A6147" s="2" t="s">
        <v>15534</v>
      </c>
      <c r="B6147" s="2" t="s">
        <v>15534</v>
      </c>
      <c r="C6147" s="2" t="s">
        <v>88</v>
      </c>
      <c r="D6147" s="2" t="s">
        <v>27</v>
      </c>
      <c r="E6147" s="4">
        <v>-32643</v>
      </c>
      <c r="F6147" s="3" t="s">
        <v>4246</v>
      </c>
      <c r="G6147" s="3" t="s">
        <v>99</v>
      </c>
      <c r="H6147" s="2" t="s">
        <v>74</v>
      </c>
      <c r="I6147" s="2" t="s">
        <v>15586</v>
      </c>
      <c r="J6147" s="3" t="str">
        <f>HYPERLINK("https://www.boe.es/gazeta/dias/1810/08/16/pdfs/GMD-1810-228.pdf#page=3","Abrir facsímil")</f>
        <v>Abrir facsímil</v>
      </c>
      <c r="K6147" s="3" t="s">
        <v>76</v>
      </c>
    </row>
    <row r="6148" spans="1:11" ht="42" customHeight="1">
      <c r="A6148" s="2" t="s">
        <v>15534</v>
      </c>
      <c r="B6148" s="2" t="s">
        <v>15534</v>
      </c>
      <c r="C6148" s="2" t="s">
        <v>225</v>
      </c>
      <c r="D6148" s="2" t="s">
        <v>27</v>
      </c>
      <c r="E6148" s="4">
        <v>-32642</v>
      </c>
      <c r="F6148" s="3" t="s">
        <v>2607</v>
      </c>
      <c r="G6148" s="3" t="s">
        <v>465</v>
      </c>
      <c r="H6148" s="2" t="s">
        <v>74</v>
      </c>
      <c r="I6148" s="2" t="s">
        <v>15587</v>
      </c>
      <c r="J6148" s="3" t="str">
        <f>HYPERLINK("https://www.boe.es/gazeta/dias/1810/08/17/pdfs/GMD-1810-229.pdf#page=2","Abrir facsímil")</f>
        <v>Abrir facsímil</v>
      </c>
      <c r="K6148" s="3" t="s">
        <v>76</v>
      </c>
    </row>
    <row r="6149" spans="1:11" ht="42" customHeight="1">
      <c r="A6149" s="2" t="s">
        <v>15534</v>
      </c>
      <c r="B6149" s="2" t="s">
        <v>15534</v>
      </c>
      <c r="C6149" s="2" t="s">
        <v>33</v>
      </c>
      <c r="D6149" s="2" t="s">
        <v>27</v>
      </c>
      <c r="E6149" s="4">
        <v>-32612</v>
      </c>
      <c r="F6149" s="3" t="s">
        <v>7236</v>
      </c>
      <c r="G6149" s="3" t="s">
        <v>668</v>
      </c>
      <c r="H6149" s="2" t="s">
        <v>74</v>
      </c>
      <c r="I6149" s="2" t="s">
        <v>15588</v>
      </c>
      <c r="J6149" s="3" t="str">
        <f>HYPERLINK("https://www.boe.es/gazeta/dias/1810/09/16/pdfs/GMD-1810-259.pdf#page=3","Abrir facsímil")</f>
        <v>Abrir facsímil</v>
      </c>
      <c r="K6149" s="3" t="s">
        <v>76</v>
      </c>
    </row>
    <row r="6150" spans="1:11" ht="42" customHeight="1">
      <c r="A6150" s="2" t="s">
        <v>15534</v>
      </c>
      <c r="B6150" s="2" t="s">
        <v>15534</v>
      </c>
      <c r="C6150" s="2" t="s">
        <v>17</v>
      </c>
      <c r="D6150" s="2" t="s">
        <v>220</v>
      </c>
      <c r="E6150" s="4">
        <v>-32608</v>
      </c>
      <c r="F6150" s="3" t="s">
        <v>150</v>
      </c>
      <c r="G6150" s="3" t="s">
        <v>227</v>
      </c>
      <c r="H6150" s="2" t="s">
        <v>74</v>
      </c>
      <c r="I6150" s="2" t="s">
        <v>15589</v>
      </c>
      <c r="J6150" s="3" t="str">
        <f>HYPERLINK("https://www.boe.es/gazeta/dias/1810/09/20/pdfs/GMD-1810-263.pdf#page=1","Abrir facsímil")</f>
        <v>Abrir facsímil</v>
      </c>
      <c r="K6150" s="3" t="s">
        <v>76</v>
      </c>
    </row>
    <row r="6151" spans="1:11" ht="42" customHeight="1">
      <c r="A6151" s="2" t="s">
        <v>15534</v>
      </c>
      <c r="B6151" s="2" t="s">
        <v>15534</v>
      </c>
      <c r="C6151" s="2" t="s">
        <v>33</v>
      </c>
      <c r="D6151" s="2" t="s">
        <v>220</v>
      </c>
      <c r="E6151" s="4">
        <v>-32600</v>
      </c>
      <c r="F6151" s="3" t="s">
        <v>1679</v>
      </c>
      <c r="G6151" s="3" t="s">
        <v>12175</v>
      </c>
      <c r="H6151" s="2" t="s">
        <v>74</v>
      </c>
      <c r="I6151" s="2" t="s">
        <v>15590</v>
      </c>
      <c r="J6151" s="3" t="str">
        <f>HYPERLINK("https://www.boe.es/gazeta/dias/1810/09/28/pdfs/GMD-1810-271.pdf#page=1","Abrir facsímil")</f>
        <v>Abrir facsímil</v>
      </c>
      <c r="K6151" s="3" t="s">
        <v>76</v>
      </c>
    </row>
    <row r="6152" spans="1:11" ht="42" customHeight="1">
      <c r="A6152" s="2" t="s">
        <v>15534</v>
      </c>
      <c r="B6152" s="2" t="s">
        <v>15534</v>
      </c>
      <c r="C6152" s="2" t="s">
        <v>33</v>
      </c>
      <c r="D6152" s="2" t="s">
        <v>27</v>
      </c>
      <c r="E6152" s="4">
        <v>-32588</v>
      </c>
      <c r="F6152" s="3" t="s">
        <v>15591</v>
      </c>
      <c r="G6152" s="3" t="s">
        <v>227</v>
      </c>
      <c r="H6152" s="2" t="s">
        <v>74</v>
      </c>
      <c r="I6152" s="2" t="s">
        <v>15592</v>
      </c>
      <c r="J6152" s="3" t="str">
        <f>HYPERLINK("https://www.boe.es/gazeta/dias/1810/10/10/pdfs/GMD-1810-283.pdf#page=4","Abrir facsímil")</f>
        <v>Abrir facsímil</v>
      </c>
      <c r="K6152" s="3" t="s">
        <v>76</v>
      </c>
    </row>
    <row r="6153" spans="1:11" ht="42" customHeight="1">
      <c r="A6153" s="2" t="s">
        <v>15534</v>
      </c>
      <c r="B6153" s="2" t="s">
        <v>15534</v>
      </c>
      <c r="C6153" s="2" t="s">
        <v>88</v>
      </c>
      <c r="D6153" s="2" t="s">
        <v>117</v>
      </c>
      <c r="E6153" s="4">
        <v>-32575</v>
      </c>
      <c r="F6153" s="3" t="s">
        <v>734</v>
      </c>
      <c r="G6153" s="3" t="s">
        <v>735</v>
      </c>
      <c r="H6153" s="2" t="s">
        <v>74</v>
      </c>
      <c r="I6153" s="2" t="s">
        <v>15593</v>
      </c>
      <c r="J6153" s="3" t="str">
        <f>HYPERLINK("https://www.boe.es/gazeta/dias/1810/10/23/pdfs/GMD-1810-296.pdf#page=3","Abrir facsímil")</f>
        <v>Abrir facsímil</v>
      </c>
      <c r="K6153" s="3" t="s">
        <v>76</v>
      </c>
    </row>
    <row r="6154" spans="1:11" ht="42" customHeight="1">
      <c r="A6154" s="2" t="s">
        <v>15534</v>
      </c>
      <c r="B6154" s="2" t="s">
        <v>15534</v>
      </c>
      <c r="C6154" s="2" t="s">
        <v>17</v>
      </c>
      <c r="D6154" s="2" t="s">
        <v>27</v>
      </c>
      <c r="E6154" s="4">
        <v>-32572</v>
      </c>
      <c r="F6154" s="3" t="s">
        <v>2967</v>
      </c>
      <c r="G6154" s="3" t="s">
        <v>15594</v>
      </c>
      <c r="H6154" s="2" t="s">
        <v>74</v>
      </c>
      <c r="I6154" s="2" t="s">
        <v>15595</v>
      </c>
      <c r="J6154" s="3" t="str">
        <f>HYPERLINK("https://www.boe.es/gazeta/dias/1810/10/26/pdfs/GMD-1810-299.pdf#page=3","Abrir facsímil")</f>
        <v>Abrir facsímil</v>
      </c>
      <c r="K6154" s="3" t="s">
        <v>76</v>
      </c>
    </row>
    <row r="6155" spans="1:11" ht="42" customHeight="1">
      <c r="A6155" s="2" t="s">
        <v>15534</v>
      </c>
      <c r="B6155" s="2" t="s">
        <v>15534</v>
      </c>
      <c r="C6155" s="2" t="s">
        <v>111</v>
      </c>
      <c r="D6155" s="2" t="s">
        <v>27</v>
      </c>
      <c r="E6155" s="4">
        <v>-32561</v>
      </c>
      <c r="F6155" s="3" t="s">
        <v>3469</v>
      </c>
      <c r="G6155" s="3" t="s">
        <v>10962</v>
      </c>
      <c r="H6155" s="2" t="s">
        <v>74</v>
      </c>
      <c r="I6155" s="2" t="s">
        <v>15596</v>
      </c>
      <c r="J6155" s="3" t="str">
        <f>HYPERLINK("https://www.boe.es/gazeta/dias/1810/11/06/pdfs/GMD-1810-310.pdf#page=1","Abrir facsímil")</f>
        <v>Abrir facsímil</v>
      </c>
      <c r="K6155" s="3" t="s">
        <v>76</v>
      </c>
    </row>
    <row r="6156" spans="1:11" ht="42" customHeight="1">
      <c r="A6156" s="2" t="s">
        <v>15534</v>
      </c>
      <c r="B6156" s="2" t="s">
        <v>15534</v>
      </c>
      <c r="C6156" s="2" t="s">
        <v>33</v>
      </c>
      <c r="D6156" s="2" t="s">
        <v>27</v>
      </c>
      <c r="E6156" s="4">
        <v>-32554</v>
      </c>
      <c r="F6156" s="3" t="s">
        <v>5190</v>
      </c>
      <c r="G6156" s="3" t="s">
        <v>15597</v>
      </c>
      <c r="H6156" s="2" t="s">
        <v>74</v>
      </c>
      <c r="I6156" s="2" t="s">
        <v>15598</v>
      </c>
      <c r="J6156" s="3" t="str">
        <f>HYPERLINK("https://www.boe.es/gazeta/dias/1810/11/13/pdfs/GEI-1810-94.pdf#page=4","Abrir facsímil")</f>
        <v>Abrir facsímil</v>
      </c>
      <c r="K6156" s="3" t="s">
        <v>76</v>
      </c>
    </row>
    <row r="6157" spans="1:11" ht="42" customHeight="1">
      <c r="A6157" s="2" t="s">
        <v>15534</v>
      </c>
      <c r="B6157" s="2" t="s">
        <v>15534</v>
      </c>
      <c r="C6157" s="2" t="s">
        <v>225</v>
      </c>
      <c r="D6157" s="2" t="s">
        <v>220</v>
      </c>
      <c r="E6157" s="4">
        <v>-32517</v>
      </c>
      <c r="F6157" s="3" t="s">
        <v>979</v>
      </c>
      <c r="G6157" s="3" t="s">
        <v>213</v>
      </c>
      <c r="H6157" s="2" t="s">
        <v>74</v>
      </c>
      <c r="I6157" s="2" t="s">
        <v>15599</v>
      </c>
      <c r="J6157" s="3" t="str">
        <f>HYPERLINK("https://www.boe.es/gazeta/dias/1810/12/20/pdfs/GMD-1810-354.pdf#page=4","Abrir facsímil")</f>
        <v>Abrir facsímil</v>
      </c>
      <c r="K6157" s="3" t="s">
        <v>76</v>
      </c>
    </row>
    <row r="6158" spans="1:11" ht="42" customHeight="1">
      <c r="A6158" s="2" t="s">
        <v>15534</v>
      </c>
      <c r="B6158" s="2" t="s">
        <v>15534</v>
      </c>
      <c r="C6158" s="2" t="s">
        <v>88</v>
      </c>
      <c r="D6158" s="2" t="s">
        <v>27</v>
      </c>
      <c r="E6158" s="4">
        <v>-32517</v>
      </c>
      <c r="F6158" s="3" t="s">
        <v>566</v>
      </c>
      <c r="G6158" s="3" t="s">
        <v>8299</v>
      </c>
      <c r="H6158" s="2" t="s">
        <v>74</v>
      </c>
      <c r="I6158" s="2" t="s">
        <v>15600</v>
      </c>
      <c r="J6158" s="3" t="str">
        <f>HYPERLINK("https://www.boe.es/gazeta/dias/1810/12/20/pdfs/GEI-1810-110.pdf#page=3","Abrir facsímil")</f>
        <v>Abrir facsímil</v>
      </c>
      <c r="K6158" s="3" t="s">
        <v>76</v>
      </c>
    </row>
    <row r="6159" spans="1:11" ht="42" customHeight="1">
      <c r="A6159" s="2" t="s">
        <v>15534</v>
      </c>
      <c r="B6159" s="2" t="s">
        <v>15534</v>
      </c>
      <c r="C6159" s="2" t="s">
        <v>317</v>
      </c>
      <c r="D6159" s="2" t="s">
        <v>27</v>
      </c>
      <c r="E6159" s="4">
        <v>-32515</v>
      </c>
      <c r="F6159" s="3" t="s">
        <v>745</v>
      </c>
      <c r="G6159" s="3" t="s">
        <v>227</v>
      </c>
      <c r="H6159" s="2" t="s">
        <v>74</v>
      </c>
      <c r="I6159" s="2" t="s">
        <v>15601</v>
      </c>
      <c r="J6159" s="3" t="str">
        <f>HYPERLINK("https://www.boe.es/gazeta/dias/1810/12/22/pdfs/GMD-1810-356.pdf#page=1","Abrir facsímil")</f>
        <v>Abrir facsímil</v>
      </c>
      <c r="K6159" s="3" t="s">
        <v>76</v>
      </c>
    </row>
    <row r="6160" spans="1:11" ht="42" customHeight="1">
      <c r="A6160" s="2" t="s">
        <v>15602</v>
      </c>
      <c r="B6160" s="2" t="s">
        <v>15603</v>
      </c>
      <c r="C6160" s="2" t="s">
        <v>111</v>
      </c>
      <c r="D6160" s="2" t="s">
        <v>27</v>
      </c>
      <c r="E6160" s="4">
        <v>-32656</v>
      </c>
      <c r="F6160" s="3" t="s">
        <v>1909</v>
      </c>
      <c r="G6160" s="3" t="s">
        <v>15604</v>
      </c>
      <c r="H6160" s="2" t="s">
        <v>74</v>
      </c>
      <c r="I6160" s="2" t="s">
        <v>15605</v>
      </c>
      <c r="J6160" s="3" t="str">
        <f>HYPERLINK("https://www.boe.es/gazeta/dias/1810/08/03/pdfs/GEI-1810-50.pdf#page=4","Abrir facsímil")</f>
        <v>Abrir facsímil</v>
      </c>
      <c r="K6160" s="3" t="s">
        <v>76</v>
      </c>
    </row>
    <row r="6161" spans="1:11" ht="42" customHeight="1">
      <c r="A6161" s="2" t="s">
        <v>15606</v>
      </c>
      <c r="B6161" s="2" t="s">
        <v>15607</v>
      </c>
      <c r="C6161" s="2" t="s">
        <v>17</v>
      </c>
      <c r="D6161" s="2" t="s">
        <v>18</v>
      </c>
      <c r="E6161" s="4">
        <v>-32816</v>
      </c>
      <c r="F6161" s="3" t="s">
        <v>10608</v>
      </c>
      <c r="G6161" s="3" t="s">
        <v>451</v>
      </c>
      <c r="H6161" s="2" t="s">
        <v>74</v>
      </c>
      <c r="I6161" s="2" t="s">
        <v>15608</v>
      </c>
      <c r="J6161" s="3" t="str">
        <f>HYPERLINK("https://www.boe.es/gazeta/dias/1810/02/24/pdfs/GMD-1810-55.pdf#page=3","Abrir facsímil")</f>
        <v>Abrir facsímil</v>
      </c>
      <c r="K6161" s="3" t="s">
        <v>76</v>
      </c>
    </row>
    <row r="6162" spans="1:11" ht="42" customHeight="1">
      <c r="A6162" s="2" t="s">
        <v>15609</v>
      </c>
      <c r="B6162" s="2" t="s">
        <v>15610</v>
      </c>
      <c r="C6162" s="2" t="s">
        <v>17</v>
      </c>
      <c r="D6162" s="2" t="s">
        <v>18</v>
      </c>
      <c r="E6162" s="4">
        <v>-32702</v>
      </c>
      <c r="F6162" s="3" t="s">
        <v>8773</v>
      </c>
      <c r="G6162" s="3" t="s">
        <v>113</v>
      </c>
      <c r="H6162" s="2" t="s">
        <v>74</v>
      </c>
      <c r="I6162" s="2" t="s">
        <v>15611</v>
      </c>
      <c r="J6162" s="3" t="str">
        <f>HYPERLINK("https://www.boe.es/gazeta/dias/1810/06/18/pdfs/GMD-1810-169.pdf#page=4","Abrir facsímil")</f>
        <v>Abrir facsímil</v>
      </c>
      <c r="K6162" s="3" t="s">
        <v>76</v>
      </c>
    </row>
    <row r="6163" spans="1:11" ht="42" customHeight="1">
      <c r="A6163" s="2" t="s">
        <v>15606</v>
      </c>
      <c r="B6163" s="2" t="s">
        <v>15607</v>
      </c>
      <c r="C6163" s="2" t="s">
        <v>33</v>
      </c>
      <c r="D6163" s="2" t="s">
        <v>27</v>
      </c>
      <c r="E6163" s="4">
        <v>-32607</v>
      </c>
      <c r="F6163" s="3" t="s">
        <v>6044</v>
      </c>
      <c r="G6163" s="3" t="s">
        <v>99</v>
      </c>
      <c r="H6163" s="2" t="s">
        <v>74</v>
      </c>
      <c r="I6163" s="2" t="s">
        <v>15612</v>
      </c>
      <c r="J6163" s="3" t="str">
        <f>HYPERLINK("https://www.boe.es/gazeta/dias/1810/09/21/pdfs/GMD-1810-264.pdf#page=3","Abrir facsímil")</f>
        <v>Abrir facsímil</v>
      </c>
      <c r="K6163" s="3" t="s">
        <v>76</v>
      </c>
    </row>
    <row r="6164" spans="1:11" ht="42" customHeight="1">
      <c r="A6164" s="2" t="s">
        <v>15613</v>
      </c>
      <c r="B6164" s="2" t="s">
        <v>15614</v>
      </c>
      <c r="C6164" s="2" t="s">
        <v>26</v>
      </c>
      <c r="D6164" s="2" t="s">
        <v>220</v>
      </c>
      <c r="E6164" s="4">
        <v>-32784</v>
      </c>
      <c r="F6164" s="3" t="s">
        <v>429</v>
      </c>
      <c r="G6164" s="3" t="s">
        <v>632</v>
      </c>
      <c r="H6164" s="2" t="s">
        <v>74</v>
      </c>
      <c r="I6164" s="2" t="s">
        <v>15615</v>
      </c>
      <c r="J6164" s="3" t="str">
        <f>HYPERLINK("https://www.boe.es/gazeta/dias/1810/03/28/pdfs/GMD-1810-87.pdf#page=2","Abrir facsímil")</f>
        <v>Abrir facsímil</v>
      </c>
      <c r="K6164" s="3" t="s">
        <v>76</v>
      </c>
    </row>
    <row r="6165" spans="1:11" ht="42" customHeight="1">
      <c r="A6165" s="2" t="s">
        <v>15613</v>
      </c>
      <c r="B6165" s="2" t="s">
        <v>15614</v>
      </c>
      <c r="C6165" s="2" t="s">
        <v>317</v>
      </c>
      <c r="D6165" s="2" t="s">
        <v>27</v>
      </c>
      <c r="E6165" s="4">
        <v>-32757</v>
      </c>
      <c r="F6165" s="3" t="s">
        <v>1136</v>
      </c>
      <c r="G6165" s="3" t="s">
        <v>8762</v>
      </c>
      <c r="H6165" s="2" t="s">
        <v>74</v>
      </c>
      <c r="I6165" s="2" t="s">
        <v>15616</v>
      </c>
      <c r="J6165" s="3" t="str">
        <f>HYPERLINK("https://www.boe.es/gazeta/dias/1810/04/24/pdfs/GEI-1810-17.pdf#page=4","Abrir facsímil")</f>
        <v>Abrir facsímil</v>
      </c>
      <c r="K6165" s="3" t="s">
        <v>76</v>
      </c>
    </row>
    <row r="6166" spans="1:11" ht="42" customHeight="1">
      <c r="A6166" s="2" t="s">
        <v>15617</v>
      </c>
      <c r="B6166" s="2" t="s">
        <v>15618</v>
      </c>
      <c r="C6166" s="2" t="s">
        <v>26</v>
      </c>
      <c r="D6166" s="2" t="s">
        <v>27</v>
      </c>
      <c r="E6166" s="4">
        <v>-32839</v>
      </c>
      <c r="F6166" s="3" t="s">
        <v>28</v>
      </c>
      <c r="G6166" s="3" t="s">
        <v>29</v>
      </c>
      <c r="H6166" s="2" t="s">
        <v>74</v>
      </c>
      <c r="I6166" s="2" t="s">
        <v>15619</v>
      </c>
      <c r="J6166" s="3" t="str">
        <f>HYPERLINK("https://www.boe.es/gazeta/dias/1810/02/01/pdfs/GMD-1810-32.pdf#page=3","Abrir facsímil")</f>
        <v>Abrir facsímil</v>
      </c>
      <c r="K6166" s="3" t="s">
        <v>76</v>
      </c>
    </row>
    <row r="6167" spans="1:11" ht="42" customHeight="1">
      <c r="A6167" s="2" t="s">
        <v>15620</v>
      </c>
      <c r="B6167" s="2" t="s">
        <v>15621</v>
      </c>
      <c r="C6167" s="2" t="s">
        <v>26</v>
      </c>
      <c r="D6167" s="2" t="s">
        <v>27</v>
      </c>
      <c r="E6167" s="4">
        <v>-32578</v>
      </c>
      <c r="F6167" s="3" t="s">
        <v>7073</v>
      </c>
      <c r="G6167" s="3" t="s">
        <v>7074</v>
      </c>
      <c r="H6167" s="2" t="s">
        <v>74</v>
      </c>
      <c r="I6167" s="2" t="s">
        <v>15622</v>
      </c>
      <c r="J6167" s="3" t="str">
        <f>HYPERLINK("https://www.boe.es/gazeta/dias/1810/10/20/pdfs/GMD-1810-293.pdf#page=4","Abrir facsímil")</f>
        <v>Abrir facsímil</v>
      </c>
      <c r="K6167" s="3" t="s">
        <v>76</v>
      </c>
    </row>
    <row r="6168" spans="1:11" ht="42" customHeight="1">
      <c r="A6168" s="2" t="s">
        <v>15623</v>
      </c>
      <c r="B6168" s="2" t="s">
        <v>15624</v>
      </c>
      <c r="C6168" s="2" t="s">
        <v>33</v>
      </c>
      <c r="D6168" s="2" t="s">
        <v>27</v>
      </c>
      <c r="E6168" s="4">
        <v>-32656</v>
      </c>
      <c r="F6168" s="3" t="s">
        <v>1909</v>
      </c>
      <c r="G6168" s="3" t="s">
        <v>15625</v>
      </c>
      <c r="H6168" s="2" t="s">
        <v>74</v>
      </c>
      <c r="I6168" s="2" t="s">
        <v>15626</v>
      </c>
      <c r="J6168" s="3" t="str">
        <f>HYPERLINK("https://www.boe.es/gazeta/dias/1810/08/03/pdfs/GEI-1810-50.pdf#page=3","Abrir facsímil")</f>
        <v>Abrir facsímil</v>
      </c>
      <c r="K6168" s="3" t="s">
        <v>76</v>
      </c>
    </row>
    <row r="6169" spans="1:11" ht="42" customHeight="1">
      <c r="A6169" s="2" t="s">
        <v>15627</v>
      </c>
      <c r="B6169" s="2" t="s">
        <v>15628</v>
      </c>
      <c r="C6169" s="2" t="s">
        <v>33</v>
      </c>
      <c r="D6169" s="2" t="s">
        <v>27</v>
      </c>
      <c r="E6169" s="4">
        <v>-32754</v>
      </c>
      <c r="F6169" s="3" t="s">
        <v>34</v>
      </c>
      <c r="G6169" s="3" t="s">
        <v>35</v>
      </c>
      <c r="H6169" s="2" t="s">
        <v>74</v>
      </c>
      <c r="I6169" s="2" t="s">
        <v>15629</v>
      </c>
      <c r="J6169" s="3" t="str">
        <f>HYPERLINK("https://www.boe.es/gazeta/dias/1810/04/27/pdfs/GMD-1810-117.pdf#page=2","Abrir facsímil")</f>
        <v>Abrir facsímil</v>
      </c>
      <c r="K6169" s="3" t="s">
        <v>76</v>
      </c>
    </row>
    <row r="6170" spans="1:11" ht="42" customHeight="1">
      <c r="A6170" s="2" t="s">
        <v>15627</v>
      </c>
      <c r="B6170" s="2" t="s">
        <v>15628</v>
      </c>
      <c r="C6170" s="2" t="s">
        <v>17</v>
      </c>
      <c r="D6170" s="2" t="s">
        <v>27</v>
      </c>
      <c r="E6170" s="4">
        <v>-32655</v>
      </c>
      <c r="F6170" s="3" t="s">
        <v>1040</v>
      </c>
      <c r="G6170" s="3" t="s">
        <v>1041</v>
      </c>
      <c r="H6170" s="2" t="s">
        <v>74</v>
      </c>
      <c r="I6170" s="2" t="s">
        <v>15630</v>
      </c>
      <c r="J6170" s="3" t="str">
        <f>HYPERLINK("https://www.boe.es/gazeta/dias/1810/08/04/pdfs/GMD-1810-216.pdf#page=4","Abrir facsímil")</f>
        <v>Abrir facsímil</v>
      </c>
      <c r="K6170" s="3" t="s">
        <v>76</v>
      </c>
    </row>
    <row r="6171" spans="1:11" ht="42" customHeight="1">
      <c r="A6171" s="2" t="s">
        <v>15631</v>
      </c>
      <c r="B6171" s="2" t="s">
        <v>15632</v>
      </c>
      <c r="C6171" s="2" t="s">
        <v>88</v>
      </c>
      <c r="D6171" s="2" t="s">
        <v>117</v>
      </c>
      <c r="E6171" s="4">
        <v>-32725</v>
      </c>
      <c r="F6171" s="3" t="s">
        <v>417</v>
      </c>
      <c r="G6171" s="3" t="s">
        <v>70</v>
      </c>
      <c r="H6171" s="2" t="s">
        <v>74</v>
      </c>
      <c r="I6171" s="2" t="s">
        <v>15633</v>
      </c>
      <c r="J6171" s="3" t="str">
        <f>HYPERLINK("https://www.boe.es/gazeta/dias/1810/05/26/pdfs/GMD-1810-146.pdf#page=3","Abrir facsímil")</f>
        <v>Abrir facsímil</v>
      </c>
      <c r="K6171" s="3" t="s">
        <v>76</v>
      </c>
    </row>
    <row r="6172" spans="1:11" ht="42" customHeight="1">
      <c r="A6172" s="2" t="s">
        <v>15634</v>
      </c>
      <c r="B6172" s="2" t="s">
        <v>15635</v>
      </c>
      <c r="C6172" s="2" t="s">
        <v>88</v>
      </c>
      <c r="D6172" s="2" t="s">
        <v>220</v>
      </c>
      <c r="E6172" s="4">
        <v>-32754</v>
      </c>
      <c r="F6172" s="3" t="s">
        <v>34</v>
      </c>
      <c r="G6172" s="3" t="s">
        <v>35</v>
      </c>
      <c r="H6172" s="2" t="s">
        <v>74</v>
      </c>
      <c r="I6172" s="2" t="s">
        <v>15636</v>
      </c>
      <c r="J6172" s="3" t="str">
        <f>HYPERLINK("https://www.boe.es/gazeta/dias/1810/04/27/pdfs/GMD-1810-117.pdf#page=2","Abrir facsímil")</f>
        <v>Abrir facsímil</v>
      </c>
      <c r="K6172" s="3" t="s">
        <v>76</v>
      </c>
    </row>
    <row r="6173" spans="1:11" ht="42" customHeight="1">
      <c r="A6173" s="2" t="s">
        <v>15637</v>
      </c>
      <c r="B6173" s="2" t="s">
        <v>15638</v>
      </c>
      <c r="C6173" s="2" t="s">
        <v>26</v>
      </c>
      <c r="D6173" s="2" t="s">
        <v>27</v>
      </c>
      <c r="E6173" s="4">
        <v>-32799</v>
      </c>
      <c r="F6173" s="3" t="s">
        <v>2252</v>
      </c>
      <c r="G6173" s="3" t="s">
        <v>99</v>
      </c>
      <c r="H6173" s="2" t="s">
        <v>74</v>
      </c>
      <c r="I6173" s="2" t="s">
        <v>15639</v>
      </c>
      <c r="J6173" s="3" t="str">
        <f>HYPERLINK("https://www.boe.es/gazeta/dias/1810/03/13/pdfs/GMD-1810-72.pdf#page=3","Abrir facsímil")</f>
        <v>Abrir facsímil</v>
      </c>
      <c r="K6173" s="3" t="s">
        <v>76</v>
      </c>
    </row>
    <row r="6174" spans="1:11" ht="42" customHeight="1">
      <c r="A6174" s="2" t="s">
        <v>15637</v>
      </c>
      <c r="B6174" s="2" t="s">
        <v>15638</v>
      </c>
      <c r="C6174" s="2" t="s">
        <v>26</v>
      </c>
      <c r="D6174" s="2" t="s">
        <v>27</v>
      </c>
      <c r="E6174" s="4">
        <v>-32784</v>
      </c>
      <c r="F6174" s="3" t="s">
        <v>429</v>
      </c>
      <c r="G6174" s="3" t="s">
        <v>1821</v>
      </c>
      <c r="H6174" s="2" t="s">
        <v>74</v>
      </c>
      <c r="I6174" s="2" t="s">
        <v>15640</v>
      </c>
      <c r="J6174" s="3" t="str">
        <f>HYPERLINK("https://www.boe.es/gazeta/dias/1810/03/28/pdfs/GMD-1810-87.pdf#page=4","Abrir facsímil")</f>
        <v>Abrir facsímil</v>
      </c>
      <c r="K6174" s="3" t="s">
        <v>76</v>
      </c>
    </row>
    <row r="6175" spans="1:11" ht="42" customHeight="1">
      <c r="A6175" s="2" t="s">
        <v>15637</v>
      </c>
      <c r="B6175" s="2" t="s">
        <v>15638</v>
      </c>
      <c r="C6175" s="2" t="s">
        <v>88</v>
      </c>
      <c r="D6175" s="2" t="s">
        <v>117</v>
      </c>
      <c r="E6175" s="4">
        <v>-32771</v>
      </c>
      <c r="F6175" s="3" t="s">
        <v>8719</v>
      </c>
      <c r="G6175" s="3" t="s">
        <v>15641</v>
      </c>
      <c r="H6175" s="2" t="s">
        <v>74</v>
      </c>
      <c r="I6175" s="2" t="s">
        <v>15642</v>
      </c>
      <c r="J6175" s="3" t="str">
        <f>HYPERLINK("https://www.boe.es/gazeta/dias/1810/04/10/pdfs/GMD-1810-100.pdf#page=4","Abrir facsímil")</f>
        <v>Abrir facsímil</v>
      </c>
      <c r="K6175" s="3" t="s">
        <v>76</v>
      </c>
    </row>
    <row r="6176" spans="1:11" ht="42" customHeight="1">
      <c r="A6176" s="2" t="s">
        <v>15637</v>
      </c>
      <c r="B6176" s="2" t="s">
        <v>15638</v>
      </c>
      <c r="C6176" s="2" t="s">
        <v>26</v>
      </c>
      <c r="D6176" s="2" t="s">
        <v>27</v>
      </c>
      <c r="E6176" s="4">
        <v>-32751</v>
      </c>
      <c r="F6176" s="3" t="s">
        <v>1205</v>
      </c>
      <c r="G6176" s="3" t="s">
        <v>70</v>
      </c>
      <c r="H6176" s="2" t="s">
        <v>74</v>
      </c>
      <c r="I6176" s="2" t="s">
        <v>15643</v>
      </c>
      <c r="J6176" s="3" t="str">
        <f>HYPERLINK("https://www.boe.es/gazeta/dias/1810/04/30/pdfs/GMD-1810-120.pdf#page=4","Abrir facsímil")</f>
        <v>Abrir facsímil</v>
      </c>
      <c r="K6176" s="3" t="s">
        <v>76</v>
      </c>
    </row>
    <row r="6177" spans="1:11" ht="42" customHeight="1">
      <c r="A6177" s="2" t="s">
        <v>15637</v>
      </c>
      <c r="B6177" s="2" t="s">
        <v>15638</v>
      </c>
      <c r="C6177" s="2" t="s">
        <v>17</v>
      </c>
      <c r="D6177" s="2" t="s">
        <v>27</v>
      </c>
      <c r="E6177" s="4">
        <v>-32749</v>
      </c>
      <c r="F6177" s="3" t="s">
        <v>2812</v>
      </c>
      <c r="G6177" s="3" t="s">
        <v>20</v>
      </c>
      <c r="H6177" s="2" t="s">
        <v>74</v>
      </c>
      <c r="I6177" s="2" t="s">
        <v>15644</v>
      </c>
      <c r="J6177" s="3" t="str">
        <f>HYPERLINK("https://www.boe.es/gazeta/dias/1810/05/02/pdfs/GMD-1810-122.pdf#page=4","Abrir facsímil")</f>
        <v>Abrir facsímil</v>
      </c>
      <c r="K6177" s="3" t="s">
        <v>76</v>
      </c>
    </row>
    <row r="6178" spans="1:11" ht="42" customHeight="1">
      <c r="A6178" s="2" t="s">
        <v>15637</v>
      </c>
      <c r="B6178" s="2" t="s">
        <v>15638</v>
      </c>
      <c r="C6178" s="2" t="s">
        <v>33</v>
      </c>
      <c r="D6178" s="2" t="s">
        <v>27</v>
      </c>
      <c r="E6178" s="4">
        <v>-32737</v>
      </c>
      <c r="F6178" s="3" t="s">
        <v>1847</v>
      </c>
      <c r="G6178" s="3" t="s">
        <v>140</v>
      </c>
      <c r="H6178" s="2" t="s">
        <v>74</v>
      </c>
      <c r="I6178" s="2" t="s">
        <v>15645</v>
      </c>
      <c r="J6178" s="3" t="str">
        <f>HYPERLINK("https://www.boe.es/gazeta/dias/1810/05/14/pdfs/GMD-1810-134.pdf#page=4","Abrir facsímil")</f>
        <v>Abrir facsímil</v>
      </c>
      <c r="K6178" s="3" t="s">
        <v>76</v>
      </c>
    </row>
    <row r="6179" spans="1:11" ht="42" customHeight="1">
      <c r="A6179" s="2" t="s">
        <v>15637</v>
      </c>
      <c r="B6179" s="2" t="s">
        <v>15638</v>
      </c>
      <c r="C6179" s="2" t="s">
        <v>26</v>
      </c>
      <c r="D6179" s="2" t="s">
        <v>27</v>
      </c>
      <c r="E6179" s="4">
        <v>-32733</v>
      </c>
      <c r="F6179" s="3" t="s">
        <v>644</v>
      </c>
      <c r="G6179" s="3" t="s">
        <v>20</v>
      </c>
      <c r="H6179" s="2" t="s">
        <v>74</v>
      </c>
      <c r="I6179" s="2" t="s">
        <v>15646</v>
      </c>
      <c r="J6179" s="3" t="str">
        <f>HYPERLINK("https://www.boe.es/gazeta/dias/1810/05/18/pdfs/GMD-1810-138.pdf#page=4","Abrir facsímil")</f>
        <v>Abrir facsímil</v>
      </c>
      <c r="K6179" s="3" t="s">
        <v>76</v>
      </c>
    </row>
    <row r="6180" spans="1:11" ht="42" customHeight="1">
      <c r="A6180" s="2" t="s">
        <v>15637</v>
      </c>
      <c r="B6180" s="2" t="s">
        <v>15638</v>
      </c>
      <c r="C6180" s="2" t="s">
        <v>26</v>
      </c>
      <c r="D6180" s="2" t="s">
        <v>27</v>
      </c>
      <c r="E6180" s="4">
        <v>-32726</v>
      </c>
      <c r="F6180" s="3" t="s">
        <v>3350</v>
      </c>
      <c r="G6180" s="3" t="s">
        <v>1667</v>
      </c>
      <c r="H6180" s="2" t="s">
        <v>74</v>
      </c>
      <c r="I6180" s="2" t="s">
        <v>15647</v>
      </c>
      <c r="J6180" s="3" t="str">
        <f>HYPERLINK("https://www.boe.es/gazeta/dias/1810/05/25/pdfs/GMD-1810-145.pdf#page=3","Abrir facsímil")</f>
        <v>Abrir facsímil</v>
      </c>
      <c r="K6180" s="3" t="s">
        <v>76</v>
      </c>
    </row>
    <row r="6181" spans="1:11" ht="42" customHeight="1">
      <c r="A6181" s="2" t="s">
        <v>15637</v>
      </c>
      <c r="B6181" s="2" t="s">
        <v>15638</v>
      </c>
      <c r="C6181" s="2" t="s">
        <v>26</v>
      </c>
      <c r="D6181" s="2" t="s">
        <v>27</v>
      </c>
      <c r="E6181" s="4">
        <v>-32649</v>
      </c>
      <c r="F6181" s="3" t="s">
        <v>1988</v>
      </c>
      <c r="G6181" s="3" t="s">
        <v>227</v>
      </c>
      <c r="H6181" s="2" t="s">
        <v>74</v>
      </c>
      <c r="I6181" s="2" t="s">
        <v>15648</v>
      </c>
      <c r="J6181" s="3" t="str">
        <f>HYPERLINK("https://www.boe.es/gazeta/dias/1810/08/10/pdfs/GMD-1810-222.pdf#page=4","Abrir facsímil")</f>
        <v>Abrir facsímil</v>
      </c>
      <c r="K6181" s="3" t="s">
        <v>76</v>
      </c>
    </row>
    <row r="6182" spans="1:11" ht="42" customHeight="1">
      <c r="A6182" s="2" t="s">
        <v>15649</v>
      </c>
      <c r="B6182" s="2" t="s">
        <v>15650</v>
      </c>
      <c r="C6182" s="2" t="s">
        <v>26</v>
      </c>
      <c r="D6182" s="2" t="s">
        <v>18</v>
      </c>
      <c r="E6182" s="4">
        <v>-32820</v>
      </c>
      <c r="F6182" s="3" t="s">
        <v>226</v>
      </c>
      <c r="G6182" s="3" t="s">
        <v>356</v>
      </c>
      <c r="H6182" s="2" t="s">
        <v>74</v>
      </c>
      <c r="I6182" s="2" t="s">
        <v>15651</v>
      </c>
      <c r="J6182" s="3" t="str">
        <f>HYPERLINK("https://www.boe.es/gazeta/dias/1810/02/20/pdfs/GMD-1810-51.pdf#page=3","Abrir facsímil")</f>
        <v>Abrir facsímil</v>
      </c>
      <c r="K6182" s="3" t="s">
        <v>76</v>
      </c>
    </row>
    <row r="6183" spans="1:11" ht="42" customHeight="1">
      <c r="A6183" s="2" t="s">
        <v>15652</v>
      </c>
      <c r="B6183" s="2" t="s">
        <v>15653</v>
      </c>
      <c r="C6183" s="2" t="s">
        <v>26</v>
      </c>
      <c r="D6183" s="2" t="s">
        <v>27</v>
      </c>
      <c r="E6183" s="4">
        <v>-32788</v>
      </c>
      <c r="F6183" s="3" t="s">
        <v>1254</v>
      </c>
      <c r="G6183" s="3" t="s">
        <v>90</v>
      </c>
      <c r="H6183" s="2" t="s">
        <v>74</v>
      </c>
      <c r="I6183" s="2" t="s">
        <v>15654</v>
      </c>
      <c r="J6183" s="3" t="str">
        <f>HYPERLINK("https://www.boe.es/gazeta/dias/1810/03/24/pdfs/GMD-1810-83.pdf#page=4","Abrir facsímil")</f>
        <v>Abrir facsímil</v>
      </c>
      <c r="K6183" s="3" t="s">
        <v>76</v>
      </c>
    </row>
    <row r="6184" spans="1:11" ht="42" customHeight="1">
      <c r="A6184" s="2" t="s">
        <v>15655</v>
      </c>
      <c r="B6184" s="2" t="s">
        <v>15656</v>
      </c>
      <c r="C6184" s="2" t="s">
        <v>33</v>
      </c>
      <c r="D6184" s="2" t="s">
        <v>27</v>
      </c>
      <c r="E6184" s="4">
        <v>-32754</v>
      </c>
      <c r="F6184" s="3" t="s">
        <v>34</v>
      </c>
      <c r="G6184" s="3" t="s">
        <v>35</v>
      </c>
      <c r="H6184" s="2" t="s">
        <v>74</v>
      </c>
      <c r="I6184" s="2" t="s">
        <v>15657</v>
      </c>
      <c r="J6184" s="3" t="str">
        <f>HYPERLINK("https://www.boe.es/gazeta/dias/1810/04/27/pdfs/GMD-1810-117.pdf#page=2","Abrir facsímil")</f>
        <v>Abrir facsímil</v>
      </c>
      <c r="K6184" s="3" t="s">
        <v>76</v>
      </c>
    </row>
    <row r="6185" spans="1:11" ht="42" customHeight="1">
      <c r="A6185" s="2" t="s">
        <v>15658</v>
      </c>
      <c r="B6185" s="2" t="s">
        <v>15659</v>
      </c>
      <c r="C6185" s="2" t="s">
        <v>17</v>
      </c>
      <c r="D6185" s="2" t="s">
        <v>27</v>
      </c>
      <c r="E6185" s="4">
        <v>-32820</v>
      </c>
      <c r="F6185" s="3" t="s">
        <v>226</v>
      </c>
      <c r="G6185" s="3" t="s">
        <v>356</v>
      </c>
      <c r="H6185" s="2" t="s">
        <v>74</v>
      </c>
      <c r="I6185" s="2" t="s">
        <v>15660</v>
      </c>
      <c r="J6185" s="3" t="str">
        <f>HYPERLINK("https://www.boe.es/gazeta/dias/1810/02/20/pdfs/GMD-1810-51.pdf#page=3","Abrir facsímil")</f>
        <v>Abrir facsímil</v>
      </c>
      <c r="K6185" s="3" t="s">
        <v>76</v>
      </c>
    </row>
    <row r="6186" spans="1:11" ht="42" customHeight="1">
      <c r="A6186" s="2" t="s">
        <v>15661</v>
      </c>
      <c r="B6186" s="2" t="s">
        <v>15661</v>
      </c>
      <c r="C6186" s="2" t="s">
        <v>225</v>
      </c>
      <c r="D6186" s="2" t="s">
        <v>27</v>
      </c>
      <c r="E6186" s="4">
        <v>-32795</v>
      </c>
      <c r="F6186" s="3" t="s">
        <v>690</v>
      </c>
      <c r="G6186" s="3" t="s">
        <v>1833</v>
      </c>
      <c r="H6186" s="2" t="s">
        <v>74</v>
      </c>
      <c r="I6186" s="2" t="s">
        <v>15662</v>
      </c>
      <c r="J6186" s="3" t="str">
        <f>HYPERLINK("https://www.boe.es/gazeta/dias/1810/03/17/pdfs/GMD-1810-76.pdf#page=1","Abrir facsímil")</f>
        <v>Abrir facsímil</v>
      </c>
      <c r="K6186" s="3" t="s">
        <v>76</v>
      </c>
    </row>
    <row r="6187" spans="1:11" ht="42" customHeight="1">
      <c r="A6187" s="2" t="s">
        <v>15663</v>
      </c>
      <c r="B6187" s="2" t="s">
        <v>15663</v>
      </c>
      <c r="C6187" s="2" t="s">
        <v>33</v>
      </c>
      <c r="D6187" s="2" t="s">
        <v>27</v>
      </c>
      <c r="E6187" s="4">
        <v>-32841</v>
      </c>
      <c r="F6187" s="3" t="s">
        <v>4274</v>
      </c>
      <c r="G6187" s="3" t="s">
        <v>29</v>
      </c>
      <c r="H6187" s="2" t="s">
        <v>74</v>
      </c>
      <c r="I6187" s="2" t="s">
        <v>15664</v>
      </c>
      <c r="J6187" s="3" t="str">
        <f>HYPERLINK("https://www.boe.es/gazeta/dias/1810/01/30/pdfs/GMD-1810-30.pdf#page=2","Abrir facsímil")</f>
        <v>Abrir facsímil</v>
      </c>
      <c r="K6187" s="3" t="s">
        <v>76</v>
      </c>
    </row>
    <row r="6188" spans="1:11" ht="42" customHeight="1">
      <c r="A6188" s="2" t="s">
        <v>15665</v>
      </c>
      <c r="B6188" s="2" t="s">
        <v>15665</v>
      </c>
      <c r="C6188" s="2" t="s">
        <v>88</v>
      </c>
      <c r="D6188" s="2" t="s">
        <v>117</v>
      </c>
      <c r="E6188" s="4">
        <v>-32624</v>
      </c>
      <c r="F6188" s="3" t="s">
        <v>2838</v>
      </c>
      <c r="G6188" s="3" t="s">
        <v>1667</v>
      </c>
      <c r="H6188" s="2" t="s">
        <v>74</v>
      </c>
      <c r="I6188" s="2" t="s">
        <v>15666</v>
      </c>
      <c r="J6188" s="3" t="str">
        <f>HYPERLINK("https://www.boe.es/gazeta/dias/1810/09/04/pdfs/GMD-1810-247.pdf#page=2","Abrir facsímil")</f>
        <v>Abrir facsímil</v>
      </c>
      <c r="K6188" s="3" t="s">
        <v>76</v>
      </c>
    </row>
    <row r="6189" spans="1:11" ht="42" customHeight="1">
      <c r="A6189" s="2" t="s">
        <v>15667</v>
      </c>
      <c r="B6189" s="2" t="s">
        <v>15668</v>
      </c>
      <c r="C6189" s="2" t="s">
        <v>17</v>
      </c>
      <c r="D6189" s="2" t="s">
        <v>27</v>
      </c>
      <c r="E6189" s="4">
        <v>-32766</v>
      </c>
      <c r="F6189" s="3" t="s">
        <v>492</v>
      </c>
      <c r="G6189" s="3" t="s">
        <v>99</v>
      </c>
      <c r="H6189" s="2" t="s">
        <v>74</v>
      </c>
      <c r="I6189" s="2" t="s">
        <v>15669</v>
      </c>
      <c r="J6189" s="3" t="str">
        <f>HYPERLINK("https://www.boe.es/gazeta/dias/1810/04/15/pdfs/GMD-1810-105.pdf#page=3","Abrir facsímil")</f>
        <v>Abrir facsímil</v>
      </c>
      <c r="K6189" s="3" t="s">
        <v>76</v>
      </c>
    </row>
    <row r="6190" spans="1:11" ht="42" customHeight="1">
      <c r="A6190" s="2" t="s">
        <v>15670</v>
      </c>
      <c r="B6190" s="2" t="s">
        <v>15671</v>
      </c>
      <c r="C6190" s="2" t="s">
        <v>26</v>
      </c>
      <c r="D6190" s="2" t="s">
        <v>27</v>
      </c>
      <c r="E6190" s="4">
        <v>-32647</v>
      </c>
      <c r="F6190" s="3" t="s">
        <v>118</v>
      </c>
      <c r="G6190" s="3" t="s">
        <v>140</v>
      </c>
      <c r="H6190" s="2" t="s">
        <v>74</v>
      </c>
      <c r="I6190" s="2" t="s">
        <v>15672</v>
      </c>
      <c r="J6190" s="3" t="str">
        <f>HYPERLINK("https://www.boe.es/gazeta/dias/1810/08/12/pdfs/GMD-1810-224.pdf#page=2","Abrir facsímil")</f>
        <v>Abrir facsímil</v>
      </c>
      <c r="K6190" s="3" t="s">
        <v>76</v>
      </c>
    </row>
    <row r="6191" spans="1:11" ht="42" customHeight="1">
      <c r="A6191" s="2" t="s">
        <v>15673</v>
      </c>
      <c r="B6191" s="2" t="s">
        <v>15674</v>
      </c>
      <c r="C6191" s="2" t="s">
        <v>225</v>
      </c>
      <c r="D6191" s="2" t="s">
        <v>27</v>
      </c>
      <c r="E6191" s="4">
        <v>-32509</v>
      </c>
      <c r="F6191" s="3" t="s">
        <v>212</v>
      </c>
      <c r="G6191" s="3" t="s">
        <v>213</v>
      </c>
      <c r="H6191" s="2" t="s">
        <v>74</v>
      </c>
      <c r="I6191" s="2" t="s">
        <v>15675</v>
      </c>
      <c r="J6191" s="3" t="str">
        <f>HYPERLINK("https://www.boe.es/gazeta/dias/1810/12/28/pdfs/GMD-1810-362.pdf#page=4","Abrir facsímil")</f>
        <v>Abrir facsímil</v>
      </c>
      <c r="K6191" s="3" t="s">
        <v>76</v>
      </c>
    </row>
    <row r="6192" spans="1:11" ht="42" customHeight="1">
      <c r="A6192" s="2" t="s">
        <v>15676</v>
      </c>
      <c r="B6192" s="2" t="s">
        <v>15676</v>
      </c>
      <c r="C6192" s="2" t="s">
        <v>88</v>
      </c>
      <c r="D6192" s="2" t="s">
        <v>27</v>
      </c>
      <c r="E6192" s="4">
        <v>-32769</v>
      </c>
      <c r="F6192" s="3" t="s">
        <v>1543</v>
      </c>
      <c r="G6192" s="3" t="s">
        <v>1936</v>
      </c>
      <c r="H6192" s="2" t="s">
        <v>74</v>
      </c>
      <c r="I6192" s="2" t="s">
        <v>15677</v>
      </c>
      <c r="J6192" s="3" t="str">
        <f>HYPERLINK("https://www.boe.es/gazeta/dias/1810/04/12/pdfs/GMD-1810-102.pdf#page=1","Abrir facsímil")</f>
        <v>Abrir facsímil</v>
      </c>
      <c r="K6192" s="3" t="s">
        <v>76</v>
      </c>
    </row>
    <row r="6193" spans="1:11" ht="42" customHeight="1">
      <c r="A6193" s="2" t="s">
        <v>15678</v>
      </c>
      <c r="B6193" s="2" t="s">
        <v>15678</v>
      </c>
      <c r="C6193" s="2" t="s">
        <v>26</v>
      </c>
      <c r="D6193" s="2" t="s">
        <v>220</v>
      </c>
      <c r="E6193" s="4">
        <v>-32759</v>
      </c>
      <c r="F6193" s="3" t="s">
        <v>4747</v>
      </c>
      <c r="G6193" s="3" t="s">
        <v>140</v>
      </c>
      <c r="H6193" s="2" t="s">
        <v>74</v>
      </c>
      <c r="I6193" s="2" t="s">
        <v>15679</v>
      </c>
      <c r="J6193" s="3" t="str">
        <f>HYPERLINK("https://www.boe.es/gazeta/dias/1810/04/22/pdfs/GMD-1810-112.pdf#page=4","Abrir facsímil")</f>
        <v>Abrir facsímil</v>
      </c>
      <c r="K6193" s="3" t="s">
        <v>76</v>
      </c>
    </row>
    <row r="6194" spans="1:11" ht="42" customHeight="1">
      <c r="A6194" s="2" t="s">
        <v>15678</v>
      </c>
      <c r="B6194" s="2" t="s">
        <v>15678</v>
      </c>
      <c r="C6194" s="2" t="s">
        <v>26</v>
      </c>
      <c r="D6194" s="2" t="s">
        <v>39</v>
      </c>
      <c r="E6194" s="4">
        <v>-32599</v>
      </c>
      <c r="F6194" s="3" t="s">
        <v>662</v>
      </c>
      <c r="G6194" s="3" t="s">
        <v>3346</v>
      </c>
      <c r="H6194" s="2" t="s">
        <v>74</v>
      </c>
      <c r="I6194" s="2" t="s">
        <v>15680</v>
      </c>
      <c r="J6194" s="3" t="str">
        <f>HYPERLINK("https://www.boe.es/gazeta/dias/1810/09/29/pdfs/GMD-C-1810-272.pdf#page=5","Abrir facsímil")</f>
        <v>Abrir facsímil</v>
      </c>
      <c r="K6194" s="3" t="s">
        <v>76</v>
      </c>
    </row>
    <row r="6195" spans="1:11" ht="42" customHeight="1">
      <c r="A6195" s="2" t="s">
        <v>15681</v>
      </c>
      <c r="B6195" s="2" t="s">
        <v>15682</v>
      </c>
      <c r="C6195" s="2" t="s">
        <v>26</v>
      </c>
      <c r="D6195" s="2" t="s">
        <v>27</v>
      </c>
      <c r="E6195" s="4">
        <v>-32707</v>
      </c>
      <c r="F6195" s="3" t="s">
        <v>1753</v>
      </c>
      <c r="G6195" s="3" t="s">
        <v>227</v>
      </c>
      <c r="H6195" s="2" t="s">
        <v>74</v>
      </c>
      <c r="I6195" s="2" t="s">
        <v>15683</v>
      </c>
      <c r="J6195" s="3" t="str">
        <f>HYPERLINK("https://www.boe.es/gazeta/dias/1810/06/13/pdfs/GMD-1810-164.pdf#page=4","Abrir facsímil")</f>
        <v>Abrir facsímil</v>
      </c>
      <c r="K6195" s="3" t="s">
        <v>76</v>
      </c>
    </row>
    <row r="6196" spans="1:11" ht="42" customHeight="1">
      <c r="A6196" s="2" t="s">
        <v>15684</v>
      </c>
      <c r="B6196" s="2" t="s">
        <v>15685</v>
      </c>
      <c r="C6196" s="2" t="s">
        <v>88</v>
      </c>
      <c r="D6196" s="2" t="s">
        <v>27</v>
      </c>
      <c r="E6196" s="4">
        <v>-32533</v>
      </c>
      <c r="F6196" s="3" t="s">
        <v>1357</v>
      </c>
      <c r="G6196" s="3" t="s">
        <v>701</v>
      </c>
      <c r="H6196" s="2" t="s">
        <v>74</v>
      </c>
      <c r="I6196" s="2" t="s">
        <v>15686</v>
      </c>
      <c r="J6196" s="3" t="str">
        <f>HYPERLINK("https://www.boe.es/gazeta/dias/1810/12/04/pdfs/GEI-1810-103.pdf#page=8","Abrir facsímil")</f>
        <v>Abrir facsímil</v>
      </c>
      <c r="K6196" s="3" t="s">
        <v>76</v>
      </c>
    </row>
    <row r="6197" spans="1:11" ht="42" customHeight="1">
      <c r="A6197" s="2" t="s">
        <v>15687</v>
      </c>
      <c r="B6197" s="2" t="s">
        <v>15688</v>
      </c>
      <c r="C6197" s="2" t="s">
        <v>88</v>
      </c>
      <c r="D6197" s="2" t="s">
        <v>27</v>
      </c>
      <c r="E6197" s="4">
        <v>-32577</v>
      </c>
      <c r="F6197" s="3" t="s">
        <v>2576</v>
      </c>
      <c r="G6197" s="3" t="s">
        <v>20</v>
      </c>
      <c r="H6197" s="2" t="s">
        <v>74</v>
      </c>
      <c r="I6197" s="2" t="s">
        <v>15689</v>
      </c>
      <c r="J6197" s="3" t="str">
        <f>HYPERLINK("https://www.boe.es/gazeta/dias/1810/10/21/pdfs/GMD-1810-294.pdf#page=4","Abrir facsímil")</f>
        <v>Abrir facsímil</v>
      </c>
      <c r="K6197" s="3" t="s">
        <v>76</v>
      </c>
    </row>
    <row r="6198" spans="1:11" ht="42" customHeight="1">
      <c r="A6198" s="2" t="s">
        <v>15690</v>
      </c>
      <c r="B6198" s="2" t="s">
        <v>15691</v>
      </c>
      <c r="C6198" s="2" t="s">
        <v>26</v>
      </c>
      <c r="D6198" s="2" t="s">
        <v>27</v>
      </c>
      <c r="E6198" s="4">
        <v>-32591</v>
      </c>
      <c r="F6198" s="3" t="s">
        <v>377</v>
      </c>
      <c r="G6198" s="3" t="s">
        <v>140</v>
      </c>
      <c r="H6198" s="2" t="s">
        <v>74</v>
      </c>
      <c r="I6198" s="2" t="s">
        <v>15692</v>
      </c>
      <c r="J6198" s="3" t="str">
        <f>HYPERLINK("https://www.boe.es/gazeta/dias/1810/10/07/pdfs/GMD-1810-280.pdf#page=4","Abrir facsímil")</f>
        <v>Abrir facsímil</v>
      </c>
      <c r="K6198" s="3" t="s">
        <v>76</v>
      </c>
    </row>
    <row r="6199" spans="1:11" ht="42" customHeight="1">
      <c r="A6199" s="2" t="s">
        <v>15693</v>
      </c>
      <c r="B6199" s="2" t="s">
        <v>15693</v>
      </c>
      <c r="C6199" s="2" t="s">
        <v>17</v>
      </c>
      <c r="D6199" s="2" t="s">
        <v>27</v>
      </c>
      <c r="E6199" s="4">
        <v>-32687</v>
      </c>
      <c r="F6199" s="3" t="s">
        <v>221</v>
      </c>
      <c r="G6199" s="3" t="s">
        <v>20</v>
      </c>
      <c r="H6199" s="2" t="s">
        <v>74</v>
      </c>
      <c r="I6199" s="2" t="s">
        <v>15694</v>
      </c>
      <c r="J6199" s="3" t="str">
        <f>HYPERLINK("https://www.boe.es/gazeta/dias/1810/07/03/pdfs/GMD-1810-184.pdf#page=4","Abrir facsímil")</f>
        <v>Abrir facsímil</v>
      </c>
      <c r="K6199" s="3" t="s">
        <v>76</v>
      </c>
    </row>
    <row r="6200" spans="1:11" ht="42" customHeight="1">
      <c r="A6200" s="2" t="s">
        <v>15695</v>
      </c>
      <c r="B6200" s="2" t="s">
        <v>15695</v>
      </c>
      <c r="C6200" s="2" t="s">
        <v>88</v>
      </c>
      <c r="D6200" s="2" t="s">
        <v>18</v>
      </c>
      <c r="E6200" s="4">
        <v>-32536</v>
      </c>
      <c r="F6200" s="3" t="s">
        <v>9556</v>
      </c>
      <c r="G6200" s="3" t="s">
        <v>15696</v>
      </c>
      <c r="H6200" s="2" t="s">
        <v>74</v>
      </c>
      <c r="I6200" s="2" t="s">
        <v>15697</v>
      </c>
      <c r="J6200" s="3" t="str">
        <f>HYPERLINK("https://www.boe.es/gazeta/dias/1810/12/01/pdfs/GEI-1810-102.pdf#page=3","Abrir facsímil")</f>
        <v>Abrir facsímil</v>
      </c>
      <c r="K6200" s="3" t="s">
        <v>76</v>
      </c>
    </row>
    <row r="6201" spans="1:11" ht="42" customHeight="1">
      <c r="A6201" s="2" t="s">
        <v>15698</v>
      </c>
      <c r="B6201" s="2" t="s">
        <v>15699</v>
      </c>
      <c r="C6201" s="2" t="s">
        <v>26</v>
      </c>
      <c r="D6201" s="2" t="s">
        <v>27</v>
      </c>
      <c r="E6201" s="4">
        <v>-32710</v>
      </c>
      <c r="F6201" s="3" t="s">
        <v>126</v>
      </c>
      <c r="G6201" s="3" t="s">
        <v>35</v>
      </c>
      <c r="H6201" s="2" t="s">
        <v>74</v>
      </c>
      <c r="I6201" s="2" t="s">
        <v>15700</v>
      </c>
      <c r="J6201" s="3" t="str">
        <f>HYPERLINK("https://www.boe.es/gazeta/dias/1810/06/10/pdfs/GMD-1810-161.pdf#page=2","Abrir facsímil")</f>
        <v>Abrir facsímil</v>
      </c>
      <c r="K6201" s="3" t="s">
        <v>76</v>
      </c>
    </row>
    <row r="6202" spans="1:11" ht="42" customHeight="1">
      <c r="A6202" s="2" t="s">
        <v>15701</v>
      </c>
      <c r="B6202" s="2" t="s">
        <v>15702</v>
      </c>
      <c r="C6202" s="2" t="s">
        <v>26</v>
      </c>
      <c r="D6202" s="2" t="s">
        <v>27</v>
      </c>
      <c r="E6202" s="4">
        <v>-32526</v>
      </c>
      <c r="F6202" s="3" t="s">
        <v>530</v>
      </c>
      <c r="G6202" s="3" t="s">
        <v>531</v>
      </c>
      <c r="H6202" s="2" t="s">
        <v>74</v>
      </c>
      <c r="I6202" s="2" t="s">
        <v>15703</v>
      </c>
      <c r="J6202" s="3" t="str">
        <f>HYPERLINK("https://www.boe.es/gazeta/dias/1810/12/11/pdfs/GEI-1810-106.pdf#page=2","Abrir facsímil")</f>
        <v>Abrir facsímil</v>
      </c>
      <c r="K6202" s="3" t="s">
        <v>76</v>
      </c>
    </row>
    <row r="6203" spans="1:11" ht="42" customHeight="1">
      <c r="A6203" s="2" t="s">
        <v>15704</v>
      </c>
      <c r="B6203" s="2" t="s">
        <v>15705</v>
      </c>
      <c r="C6203" s="2" t="s">
        <v>26</v>
      </c>
      <c r="D6203" s="2" t="s">
        <v>27</v>
      </c>
      <c r="E6203" s="4">
        <v>-32603</v>
      </c>
      <c r="F6203" s="3" t="s">
        <v>2163</v>
      </c>
      <c r="G6203" s="3" t="s">
        <v>29</v>
      </c>
      <c r="H6203" s="2" t="s">
        <v>74</v>
      </c>
      <c r="I6203" s="2" t="s">
        <v>15706</v>
      </c>
      <c r="J6203" s="3" t="str">
        <f>HYPERLINK("https://www.boe.es/gazeta/dias/1810/09/25/pdfs/GEI-1810-72.pdf#page=8","Abrir facsímil")</f>
        <v>Abrir facsímil</v>
      </c>
      <c r="K6203" s="3" t="s">
        <v>76</v>
      </c>
    </row>
    <row r="6204" spans="1:11" ht="42" customHeight="1">
      <c r="A6204" s="2" t="s">
        <v>15707</v>
      </c>
      <c r="B6204" s="2" t="s">
        <v>15708</v>
      </c>
      <c r="C6204" s="2" t="s">
        <v>26</v>
      </c>
      <c r="D6204" s="2" t="s">
        <v>27</v>
      </c>
      <c r="E6204" s="4">
        <v>-32756</v>
      </c>
      <c r="F6204" s="3" t="s">
        <v>203</v>
      </c>
      <c r="G6204" s="3" t="s">
        <v>180</v>
      </c>
      <c r="H6204" s="2" t="s">
        <v>74</v>
      </c>
      <c r="I6204" s="2" t="s">
        <v>15709</v>
      </c>
      <c r="J6204" s="3" t="str">
        <f>HYPERLINK("https://www.boe.es/gazeta/dias/1810/04/25/pdfs/GMD-1810-115.pdf#page=4","Abrir facsímil")</f>
        <v>Abrir facsímil</v>
      </c>
      <c r="K6204" s="3" t="s">
        <v>76</v>
      </c>
    </row>
    <row r="6205" spans="1:11" ht="42" customHeight="1">
      <c r="A6205" s="2" t="s">
        <v>15710</v>
      </c>
      <c r="B6205" s="2" t="s">
        <v>15711</v>
      </c>
      <c r="C6205" s="2" t="s">
        <v>225</v>
      </c>
      <c r="D6205" s="2" t="s">
        <v>220</v>
      </c>
      <c r="E6205" s="4">
        <v>-32762</v>
      </c>
      <c r="F6205" s="3" t="s">
        <v>231</v>
      </c>
      <c r="G6205" s="3" t="s">
        <v>29</v>
      </c>
      <c r="H6205" s="2" t="s">
        <v>74</v>
      </c>
      <c r="I6205" s="2" t="s">
        <v>15712</v>
      </c>
      <c r="J6205" s="3" t="str">
        <f>HYPERLINK("https://www.boe.es/gazeta/dias/1810/04/19/pdfs/GMD-1810-109.pdf#page=2","Abrir facsímil")</f>
        <v>Abrir facsímil</v>
      </c>
      <c r="K6205" s="3" t="s">
        <v>76</v>
      </c>
    </row>
    <row r="6206" spans="1:11" ht="42" customHeight="1">
      <c r="A6206" s="2" t="s">
        <v>15713</v>
      </c>
      <c r="B6206" s="2" t="s">
        <v>15714</v>
      </c>
      <c r="C6206" s="2" t="s">
        <v>26</v>
      </c>
      <c r="D6206" s="2" t="s">
        <v>27</v>
      </c>
      <c r="E6206" s="4">
        <v>-32522</v>
      </c>
      <c r="F6206" s="3" t="s">
        <v>1168</v>
      </c>
      <c r="G6206" s="3" t="s">
        <v>90</v>
      </c>
      <c r="H6206" s="2" t="s">
        <v>74</v>
      </c>
      <c r="I6206" s="2" t="s">
        <v>15715</v>
      </c>
      <c r="J6206" s="3" t="str">
        <f>HYPERLINK("https://www.boe.es/gazeta/dias/1810/12/15/pdfs/GMD-1810-349.pdf#page=3","Abrir facsímil")</f>
        <v>Abrir facsímil</v>
      </c>
      <c r="K6206" s="3" t="s">
        <v>76</v>
      </c>
    </row>
    <row r="6207" spans="1:11" ht="42" customHeight="1">
      <c r="A6207" s="2" t="s">
        <v>15716</v>
      </c>
      <c r="B6207" s="2" t="s">
        <v>15717</v>
      </c>
      <c r="C6207" s="2" t="s">
        <v>26</v>
      </c>
      <c r="D6207" s="2" t="s">
        <v>18</v>
      </c>
      <c r="E6207" s="4">
        <v>-32701</v>
      </c>
      <c r="F6207" s="3" t="s">
        <v>40</v>
      </c>
      <c r="G6207" s="3" t="s">
        <v>333</v>
      </c>
      <c r="H6207" s="2" t="s">
        <v>74</v>
      </c>
      <c r="I6207" s="2" t="s">
        <v>15718</v>
      </c>
      <c r="J6207" s="3" t="str">
        <f>HYPERLINK("https://www.boe.es/gazeta/dias/1810/06/19/pdfs/GMD-C-1810-170.pdf#page=4","Abrir facsímil")</f>
        <v>Abrir facsímil</v>
      </c>
      <c r="K6207" s="3" t="s">
        <v>76</v>
      </c>
    </row>
    <row r="6208" spans="1:11" ht="42" customHeight="1">
      <c r="A6208" s="2" t="s">
        <v>15719</v>
      </c>
      <c r="B6208" s="2" t="s">
        <v>15720</v>
      </c>
      <c r="C6208" s="2" t="s">
        <v>225</v>
      </c>
      <c r="D6208" s="2" t="s">
        <v>27</v>
      </c>
      <c r="E6208" s="4">
        <v>-32771</v>
      </c>
      <c r="F6208" s="3" t="s">
        <v>543</v>
      </c>
      <c r="G6208" s="3" t="s">
        <v>65</v>
      </c>
      <c r="H6208" s="2" t="s">
        <v>74</v>
      </c>
      <c r="I6208" s="2" t="s">
        <v>15721</v>
      </c>
      <c r="J6208" s="3" t="str">
        <f>HYPERLINK("https://www.boe.es/gazeta/dias/1810/04/10/pdfs/GEI-1810-13.pdf#page=7","Abrir facsímil")</f>
        <v>Abrir facsímil</v>
      </c>
      <c r="K6208" s="3" t="s">
        <v>76</v>
      </c>
    </row>
    <row r="6209" spans="1:11" ht="42" customHeight="1">
      <c r="A6209" s="2" t="s">
        <v>15722</v>
      </c>
      <c r="B6209" s="2" t="s">
        <v>15723</v>
      </c>
      <c r="C6209" s="2" t="s">
        <v>88</v>
      </c>
      <c r="D6209" s="2" t="s">
        <v>27</v>
      </c>
      <c r="E6209" s="4">
        <v>-32728</v>
      </c>
      <c r="F6209" s="3" t="s">
        <v>269</v>
      </c>
      <c r="G6209" s="3" t="s">
        <v>119</v>
      </c>
      <c r="H6209" s="2" t="s">
        <v>74</v>
      </c>
      <c r="I6209" s="2" t="s">
        <v>15724</v>
      </c>
      <c r="J6209" s="3" t="str">
        <f>HYPERLINK("https://www.boe.es/gazeta/dias/1810/05/23/pdfs/GMD-1810-143.pdf#page=3","Abrir facsímil")</f>
        <v>Abrir facsímil</v>
      </c>
      <c r="K6209" s="3" t="s">
        <v>76</v>
      </c>
    </row>
    <row r="6210" spans="1:11" ht="42" customHeight="1">
      <c r="A6210" s="2" t="s">
        <v>15725</v>
      </c>
      <c r="B6210" s="2" t="s">
        <v>15726</v>
      </c>
      <c r="C6210" s="2" t="s">
        <v>88</v>
      </c>
      <c r="D6210" s="2" t="s">
        <v>27</v>
      </c>
      <c r="E6210" s="4">
        <v>-32842</v>
      </c>
      <c r="F6210" s="3" t="s">
        <v>1291</v>
      </c>
      <c r="G6210" s="3" t="s">
        <v>70</v>
      </c>
      <c r="H6210" s="2" t="s">
        <v>74</v>
      </c>
      <c r="I6210" s="2" t="s">
        <v>15727</v>
      </c>
      <c r="J6210" s="3" t="str">
        <f>HYPERLINK("https://www.boe.es/gazeta/dias/1810/01/29/pdfs/GMD-1810-29.pdf#page=4","Abrir facsímil")</f>
        <v>Abrir facsímil</v>
      </c>
      <c r="K6210" s="3" t="s">
        <v>76</v>
      </c>
    </row>
    <row r="6211" spans="1:11" ht="42" customHeight="1">
      <c r="A6211" s="2" t="s">
        <v>15725</v>
      </c>
      <c r="B6211" s="2" t="s">
        <v>15726</v>
      </c>
      <c r="C6211" s="2" t="s">
        <v>88</v>
      </c>
      <c r="D6211" s="2" t="s">
        <v>117</v>
      </c>
      <c r="E6211" s="4">
        <v>-32827</v>
      </c>
      <c r="F6211" s="3" t="s">
        <v>290</v>
      </c>
      <c r="G6211" s="3" t="s">
        <v>291</v>
      </c>
      <c r="H6211" s="2" t="s">
        <v>74</v>
      </c>
      <c r="I6211" s="2" t="s">
        <v>15728</v>
      </c>
      <c r="J6211" s="3" t="str">
        <f>HYPERLINK("https://www.boe.es/gazeta/dias/1810/02/13/pdfs/GMD-1810-44.pdf#page=4","Abrir facsímil")</f>
        <v>Abrir facsímil</v>
      </c>
      <c r="K6211" s="3" t="s">
        <v>76</v>
      </c>
    </row>
    <row r="6212" spans="1:11" ht="42" customHeight="1">
      <c r="A6212" s="2" t="s">
        <v>15729</v>
      </c>
      <c r="B6212" s="2" t="s">
        <v>15730</v>
      </c>
      <c r="C6212" s="2" t="s">
        <v>88</v>
      </c>
      <c r="D6212" s="2" t="s">
        <v>27</v>
      </c>
      <c r="E6212" s="4">
        <v>-32554</v>
      </c>
      <c r="F6212" s="3" t="s">
        <v>5190</v>
      </c>
      <c r="G6212" s="3" t="s">
        <v>5191</v>
      </c>
      <c r="H6212" s="2" t="s">
        <v>74</v>
      </c>
      <c r="I6212" s="2" t="s">
        <v>15731</v>
      </c>
      <c r="J6212" s="3" t="str">
        <f>HYPERLINK("https://www.boe.es/gazeta/dias/1810/11/13/pdfs/GEI-1810-94.pdf#page=8","Abrir facsímil")</f>
        <v>Abrir facsímil</v>
      </c>
      <c r="K6212" s="3" t="s">
        <v>76</v>
      </c>
    </row>
    <row r="6213" spans="1:11" ht="42" customHeight="1">
      <c r="A6213" s="2" t="s">
        <v>15732</v>
      </c>
      <c r="B6213" s="2" t="s">
        <v>15733</v>
      </c>
      <c r="C6213" s="2" t="s">
        <v>26</v>
      </c>
      <c r="D6213" s="2" t="s">
        <v>39</v>
      </c>
      <c r="E6213" s="4">
        <v>-32702</v>
      </c>
      <c r="F6213" s="3" t="s">
        <v>179</v>
      </c>
      <c r="G6213" s="3" t="s">
        <v>180</v>
      </c>
      <c r="H6213" s="2" t="s">
        <v>74</v>
      </c>
      <c r="I6213" s="2" t="s">
        <v>15734</v>
      </c>
      <c r="J6213" s="3" t="str">
        <f>HYPERLINK("https://www.boe.es/gazeta/dias/1810/06/18/pdfs/GMD-C-1810-169.pdf#page=2","Abrir facsímil")</f>
        <v>Abrir facsímil</v>
      </c>
      <c r="K6213" s="3" t="s">
        <v>76</v>
      </c>
    </row>
    <row r="6214" spans="1:11" ht="42" customHeight="1">
      <c r="A6214" s="2" t="s">
        <v>15735</v>
      </c>
      <c r="B6214" s="2" t="s">
        <v>15736</v>
      </c>
      <c r="C6214" s="2" t="s">
        <v>88</v>
      </c>
      <c r="D6214" s="2" t="s">
        <v>27</v>
      </c>
      <c r="E6214" s="4">
        <v>-32729</v>
      </c>
      <c r="F6214" s="3" t="s">
        <v>174</v>
      </c>
      <c r="G6214" s="3" t="s">
        <v>886</v>
      </c>
      <c r="H6214" s="2" t="s">
        <v>74</v>
      </c>
      <c r="I6214" s="2" t="s">
        <v>15737</v>
      </c>
      <c r="J6214" s="3" t="str">
        <f>HYPERLINK("https://www.boe.es/gazeta/dias/1810/05/22/pdfs/GEI-1810-28.pdf#page=11","Abrir facsímil")</f>
        <v>Abrir facsímil</v>
      </c>
      <c r="K6214" s="3" t="s">
        <v>76</v>
      </c>
    </row>
    <row r="6215" spans="1:11" ht="42" customHeight="1">
      <c r="A6215" s="2" t="s">
        <v>15738</v>
      </c>
      <c r="B6215" s="2" t="s">
        <v>15739</v>
      </c>
      <c r="C6215" s="2" t="s">
        <v>26</v>
      </c>
      <c r="D6215" s="2" t="s">
        <v>27</v>
      </c>
      <c r="E6215" s="4">
        <v>-32710</v>
      </c>
      <c r="F6215" s="3" t="s">
        <v>126</v>
      </c>
      <c r="G6215" s="3" t="s">
        <v>180</v>
      </c>
      <c r="H6215" s="2" t="s">
        <v>74</v>
      </c>
      <c r="I6215" s="2" t="s">
        <v>15740</v>
      </c>
      <c r="J6215" s="3" t="str">
        <f>HYPERLINK("https://www.boe.es/gazeta/dias/1810/06/10/pdfs/GMD-1810-161.pdf#page=1","Abrir facsímil")</f>
        <v>Abrir facsímil</v>
      </c>
      <c r="K6215" s="3" t="s">
        <v>76</v>
      </c>
    </row>
    <row r="6216" spans="1:11" ht="42" customHeight="1">
      <c r="A6216" s="2" t="s">
        <v>15741</v>
      </c>
      <c r="B6216" s="2" t="s">
        <v>15742</v>
      </c>
      <c r="C6216" s="2" t="s">
        <v>26</v>
      </c>
      <c r="D6216" s="2" t="s">
        <v>39</v>
      </c>
      <c r="E6216" s="4">
        <v>-32701</v>
      </c>
      <c r="F6216" s="3" t="s">
        <v>40</v>
      </c>
      <c r="G6216" s="3" t="s">
        <v>315</v>
      </c>
      <c r="H6216" s="2" t="s">
        <v>74</v>
      </c>
      <c r="I6216" s="2" t="s">
        <v>15743</v>
      </c>
      <c r="J6216" s="3" t="str">
        <f>HYPERLINK("https://www.boe.es/gazeta/dias/1810/06/19/pdfs/GMD-C-1810-170.pdf#page=2","Abrir facsímil")</f>
        <v>Abrir facsímil</v>
      </c>
      <c r="K6216" s="3" t="s">
        <v>76</v>
      </c>
    </row>
    <row r="6217" spans="1:11" ht="42" customHeight="1">
      <c r="A6217" s="2" t="s">
        <v>15744</v>
      </c>
      <c r="B6217" s="2" t="s">
        <v>15745</v>
      </c>
      <c r="C6217" s="2" t="s">
        <v>26</v>
      </c>
      <c r="D6217" s="2" t="s">
        <v>27</v>
      </c>
      <c r="E6217" s="4">
        <v>-32839</v>
      </c>
      <c r="F6217" s="3" t="s">
        <v>28</v>
      </c>
      <c r="G6217" s="3" t="s">
        <v>29</v>
      </c>
      <c r="H6217" s="2" t="s">
        <v>74</v>
      </c>
      <c r="I6217" s="2" t="s">
        <v>15746</v>
      </c>
      <c r="J6217" s="3" t="str">
        <f>HYPERLINK("https://www.boe.es/gazeta/dias/1810/02/01/pdfs/GMD-1810-32.pdf#page=2","Abrir facsímil")</f>
        <v>Abrir facsímil</v>
      </c>
      <c r="K6217" s="3" t="s">
        <v>76</v>
      </c>
    </row>
    <row r="6218" spans="1:11" ht="42" customHeight="1">
      <c r="A6218" s="2" t="s">
        <v>15744</v>
      </c>
      <c r="B6218" s="2" t="s">
        <v>15745</v>
      </c>
      <c r="C6218" s="2" t="s">
        <v>26</v>
      </c>
      <c r="D6218" s="2" t="s">
        <v>27</v>
      </c>
      <c r="E6218" s="4">
        <v>-32764</v>
      </c>
      <c r="F6218" s="3" t="s">
        <v>640</v>
      </c>
      <c r="G6218" s="3" t="s">
        <v>641</v>
      </c>
      <c r="H6218" s="2" t="s">
        <v>74</v>
      </c>
      <c r="I6218" s="2" t="s">
        <v>15747</v>
      </c>
      <c r="J6218" s="3" t="str">
        <f>HYPERLINK("https://www.boe.es/gazeta/dias/1810/04/17/pdfs/GEI-1810-15.pdf#page=8","Abrir facsímil")</f>
        <v>Abrir facsímil</v>
      </c>
      <c r="K6218" s="3" t="s">
        <v>76</v>
      </c>
    </row>
    <row r="6219" spans="1:11" ht="42" customHeight="1">
      <c r="A6219" s="2" t="s">
        <v>15748</v>
      </c>
      <c r="B6219" s="2" t="s">
        <v>15749</v>
      </c>
      <c r="C6219" s="2" t="s">
        <v>26</v>
      </c>
      <c r="D6219" s="2" t="s">
        <v>39</v>
      </c>
      <c r="E6219" s="4">
        <v>-32702</v>
      </c>
      <c r="F6219" s="3" t="s">
        <v>179</v>
      </c>
      <c r="G6219" s="3" t="s">
        <v>213</v>
      </c>
      <c r="H6219" s="2" t="s">
        <v>74</v>
      </c>
      <c r="I6219" s="2" t="s">
        <v>15750</v>
      </c>
      <c r="J6219" s="3" t="str">
        <f>HYPERLINK("https://www.boe.es/gazeta/dias/1810/06/18/pdfs/GMD-C-1810-169.pdf#page=4","Abrir facsímil")</f>
        <v>Abrir facsímil</v>
      </c>
      <c r="K6219" s="3" t="s">
        <v>76</v>
      </c>
    </row>
    <row r="6220" spans="1:11" ht="42" customHeight="1">
      <c r="A6220" s="2" t="s">
        <v>15751</v>
      </c>
      <c r="B6220" s="2" t="s">
        <v>15752</v>
      </c>
      <c r="C6220" s="2" t="s">
        <v>88</v>
      </c>
      <c r="D6220" s="2" t="s">
        <v>27</v>
      </c>
      <c r="E6220" s="4">
        <v>-32614</v>
      </c>
      <c r="F6220" s="3" t="s">
        <v>1083</v>
      </c>
      <c r="G6220" s="3" t="s">
        <v>1084</v>
      </c>
      <c r="H6220" s="2" t="s">
        <v>74</v>
      </c>
      <c r="I6220" s="2" t="s">
        <v>15753</v>
      </c>
      <c r="J6220" s="3" t="str">
        <f>HYPERLINK("https://www.boe.es/gazeta/dias/1810/09/14/pdfs/GEI-1810-67.pdf#page=10","Abrir facsímil")</f>
        <v>Abrir facsímil</v>
      </c>
      <c r="K6220" s="3" t="s">
        <v>76</v>
      </c>
    </row>
    <row r="6221" spans="1:11" ht="42" customHeight="1">
      <c r="A6221" s="2" t="s">
        <v>15754</v>
      </c>
      <c r="B6221" s="2" t="s">
        <v>15755</v>
      </c>
      <c r="C6221" s="2" t="s">
        <v>26</v>
      </c>
      <c r="D6221" s="2" t="s">
        <v>27</v>
      </c>
      <c r="E6221" s="4">
        <v>-32754</v>
      </c>
      <c r="F6221" s="3" t="s">
        <v>1057</v>
      </c>
      <c r="G6221" s="3" t="s">
        <v>15756</v>
      </c>
      <c r="H6221" s="2" t="s">
        <v>74</v>
      </c>
      <c r="I6221" s="2" t="s">
        <v>15757</v>
      </c>
      <c r="J6221" s="3" t="str">
        <f>HYPERLINK("https://www.boe.es/gazeta/dias/1810/04/27/pdfs/GEI-1810-18.pdf#page=7","Abrir facsímil")</f>
        <v>Abrir facsímil</v>
      </c>
      <c r="K6221" s="3" t="s">
        <v>76</v>
      </c>
    </row>
    <row r="6222" spans="1:11" ht="42" customHeight="1">
      <c r="A6222" s="2" t="s">
        <v>15758</v>
      </c>
      <c r="B6222" s="2" t="s">
        <v>15759</v>
      </c>
      <c r="C6222" s="2" t="s">
        <v>26</v>
      </c>
      <c r="D6222" s="2" t="s">
        <v>27</v>
      </c>
      <c r="E6222" s="4">
        <v>-32761</v>
      </c>
      <c r="F6222" s="3" t="s">
        <v>811</v>
      </c>
      <c r="G6222" s="3" t="s">
        <v>140</v>
      </c>
      <c r="H6222" s="2" t="s">
        <v>74</v>
      </c>
      <c r="I6222" s="2" t="s">
        <v>15760</v>
      </c>
      <c r="J6222" s="3" t="str">
        <f>HYPERLINK("https://www.boe.es/gazeta/dias/1810/04/20/pdfs/GEI-1810-16.pdf#page=8","Abrir facsímil")</f>
        <v>Abrir facsímil</v>
      </c>
      <c r="K6222" s="3" t="s">
        <v>76</v>
      </c>
    </row>
    <row r="6223" spans="1:11" ht="42" customHeight="1">
      <c r="A6223" s="2" t="s">
        <v>15761</v>
      </c>
      <c r="B6223" s="2" t="s">
        <v>15762</v>
      </c>
      <c r="C6223" s="2" t="s">
        <v>88</v>
      </c>
      <c r="D6223" s="2" t="s">
        <v>27</v>
      </c>
      <c r="E6223" s="4">
        <v>-32788</v>
      </c>
      <c r="F6223" s="3" t="s">
        <v>1254</v>
      </c>
      <c r="G6223" s="3" t="s">
        <v>90</v>
      </c>
      <c r="H6223" s="2" t="s">
        <v>74</v>
      </c>
      <c r="I6223" s="2" t="s">
        <v>15763</v>
      </c>
      <c r="J6223" s="3" t="str">
        <f>HYPERLINK("https://www.boe.es/gazeta/dias/1810/03/24/pdfs/GMD-1810-83.pdf#page=4","Abrir facsímil")</f>
        <v>Abrir facsímil</v>
      </c>
      <c r="K6223" s="3" t="s">
        <v>76</v>
      </c>
    </row>
    <row r="6224" spans="1:11" ht="42" customHeight="1">
      <c r="A6224" s="2" t="s">
        <v>15764</v>
      </c>
      <c r="B6224" s="2" t="s">
        <v>15765</v>
      </c>
      <c r="C6224" s="2" t="s">
        <v>225</v>
      </c>
      <c r="D6224" s="2" t="s">
        <v>27</v>
      </c>
      <c r="E6224" s="4">
        <v>-32761</v>
      </c>
      <c r="F6224" s="3" t="s">
        <v>811</v>
      </c>
      <c r="G6224" s="3" t="s">
        <v>119</v>
      </c>
      <c r="H6224" s="2" t="s">
        <v>74</v>
      </c>
      <c r="I6224" s="2" t="s">
        <v>15766</v>
      </c>
      <c r="J6224" s="3" t="str">
        <f>HYPERLINK("https://www.boe.es/gazeta/dias/1810/04/20/pdfs/GEI-1810-16.pdf#page=7","Abrir facsímil")</f>
        <v>Abrir facsímil</v>
      </c>
      <c r="K6224" s="3" t="s">
        <v>76</v>
      </c>
    </row>
    <row r="6225" spans="1:11" ht="42" customHeight="1">
      <c r="A6225" s="2" t="s">
        <v>15767</v>
      </c>
      <c r="B6225" s="2" t="s">
        <v>15767</v>
      </c>
      <c r="C6225" s="2" t="s">
        <v>26</v>
      </c>
      <c r="D6225" s="2" t="s">
        <v>220</v>
      </c>
      <c r="E6225" s="4">
        <v>-32774</v>
      </c>
      <c r="F6225" s="3" t="s">
        <v>10556</v>
      </c>
      <c r="G6225" s="3" t="s">
        <v>732</v>
      </c>
      <c r="H6225" s="2" t="s">
        <v>74</v>
      </c>
      <c r="I6225" s="2" t="s">
        <v>15768</v>
      </c>
      <c r="J6225" s="3" t="str">
        <f>HYPERLINK("https://www.boe.es/gazeta/dias/1810/04/07/pdfs/GMD-1810-97.pdf#page=1","Abrir facsímil")</f>
        <v>Abrir facsímil</v>
      </c>
      <c r="K6225" s="3" t="s">
        <v>76</v>
      </c>
    </row>
    <row r="6226" spans="1:11" ht="42" customHeight="1">
      <c r="A6226" s="2" t="s">
        <v>15769</v>
      </c>
      <c r="B6226" s="2" t="s">
        <v>15769</v>
      </c>
      <c r="C6226" s="2" t="s">
        <v>88</v>
      </c>
      <c r="D6226" s="2" t="s">
        <v>27</v>
      </c>
      <c r="E6226" s="4">
        <v>-32557</v>
      </c>
      <c r="F6226" s="3" t="s">
        <v>8182</v>
      </c>
      <c r="G6226" s="3" t="s">
        <v>2968</v>
      </c>
      <c r="H6226" s="2" t="s">
        <v>74</v>
      </c>
      <c r="I6226" s="2" t="s">
        <v>15770</v>
      </c>
      <c r="J6226" s="3" t="str">
        <f>HYPERLINK("https://www.boe.es/gazeta/dias/1810/11/10/pdfs/GMD-1810-314.pdf#page=1","Abrir facsímil")</f>
        <v>Abrir facsímil</v>
      </c>
      <c r="K6226" s="3" t="s">
        <v>76</v>
      </c>
    </row>
    <row r="6227" spans="1:11" ht="42" customHeight="1">
      <c r="A6227" s="2" t="s">
        <v>15771</v>
      </c>
      <c r="B6227" s="2" t="s">
        <v>15772</v>
      </c>
      <c r="C6227" s="2" t="s">
        <v>26</v>
      </c>
      <c r="D6227" s="2" t="s">
        <v>27</v>
      </c>
      <c r="E6227" s="4">
        <v>-32729</v>
      </c>
      <c r="F6227" s="3" t="s">
        <v>174</v>
      </c>
      <c r="G6227" s="3" t="s">
        <v>70</v>
      </c>
      <c r="H6227" s="2" t="s">
        <v>74</v>
      </c>
      <c r="I6227" s="2" t="s">
        <v>15773</v>
      </c>
      <c r="J6227" s="3" t="str">
        <f>HYPERLINK("https://www.boe.es/gazeta/dias/1810/05/22/pdfs/GEI-1810-28.pdf#page=7","Abrir facsímil")</f>
        <v>Abrir facsímil</v>
      </c>
      <c r="K6227" s="3" t="s">
        <v>76</v>
      </c>
    </row>
    <row r="6228" spans="1:11" ht="42" customHeight="1">
      <c r="A6228" s="2" t="s">
        <v>15774</v>
      </c>
      <c r="B6228" s="2" t="s">
        <v>15775</v>
      </c>
      <c r="C6228" s="2" t="s">
        <v>26</v>
      </c>
      <c r="D6228" s="2" t="s">
        <v>27</v>
      </c>
      <c r="E6228" s="4">
        <v>-32547</v>
      </c>
      <c r="F6228" s="3" t="s">
        <v>407</v>
      </c>
      <c r="G6228" s="3" t="s">
        <v>408</v>
      </c>
      <c r="H6228" s="2" t="s">
        <v>74</v>
      </c>
      <c r="I6228" s="2" t="s">
        <v>15776</v>
      </c>
      <c r="J6228" s="3" t="str">
        <f>HYPERLINK("https://www.boe.es/gazeta/dias/1810/11/20/pdfs/GEI-1810-97.pdf#page=8","Abrir facsímil")</f>
        <v>Abrir facsímil</v>
      </c>
      <c r="K6228" s="3" t="s">
        <v>76</v>
      </c>
    </row>
    <row r="6229" spans="1:11" ht="42" customHeight="1">
      <c r="A6229" s="2" t="s">
        <v>15777</v>
      </c>
      <c r="B6229" s="2" t="s">
        <v>15778</v>
      </c>
      <c r="C6229" s="2" t="s">
        <v>26</v>
      </c>
      <c r="D6229" s="2" t="s">
        <v>39</v>
      </c>
      <c r="E6229" s="4">
        <v>-32684</v>
      </c>
      <c r="F6229" s="3" t="s">
        <v>372</v>
      </c>
      <c r="G6229" s="3" t="s">
        <v>373</v>
      </c>
      <c r="H6229" s="2" t="s">
        <v>74</v>
      </c>
      <c r="I6229" s="2" t="s">
        <v>15779</v>
      </c>
      <c r="J6229" s="3" t="str">
        <f>HYPERLINK("https://www.boe.es/gazeta/dias/1810/07/06/pdfs/GEI-D-1810-42.pdf#page=8","Abrir facsímil")</f>
        <v>Abrir facsímil</v>
      </c>
      <c r="K6229" s="3" t="s">
        <v>76</v>
      </c>
    </row>
    <row r="6230" spans="1:11" ht="42" customHeight="1">
      <c r="A6230" s="2" t="s">
        <v>15780</v>
      </c>
      <c r="B6230" s="2" t="s">
        <v>15781</v>
      </c>
      <c r="C6230" s="2" t="s">
        <v>26</v>
      </c>
      <c r="D6230" s="2" t="s">
        <v>27</v>
      </c>
      <c r="E6230" s="4">
        <v>-32509</v>
      </c>
      <c r="F6230" s="3" t="s">
        <v>212</v>
      </c>
      <c r="G6230" s="3" t="s">
        <v>213</v>
      </c>
      <c r="H6230" s="2" t="s">
        <v>74</v>
      </c>
      <c r="I6230" s="2" t="s">
        <v>15782</v>
      </c>
      <c r="J6230" s="3" t="str">
        <f>HYPERLINK("https://www.boe.es/gazeta/dias/1810/12/28/pdfs/GMD-1810-362.pdf#page=4","Abrir facsímil")</f>
        <v>Abrir facsímil</v>
      </c>
      <c r="K6230" s="3" t="s">
        <v>76</v>
      </c>
    </row>
    <row r="6231" spans="1:11" ht="42" customHeight="1">
      <c r="A6231" s="2" t="s">
        <v>15783</v>
      </c>
      <c r="B6231" s="2" t="s">
        <v>15784</v>
      </c>
      <c r="C6231" s="2" t="s">
        <v>26</v>
      </c>
      <c r="D6231" s="2" t="s">
        <v>27</v>
      </c>
      <c r="E6231" s="4">
        <v>-32710</v>
      </c>
      <c r="F6231" s="3" t="s">
        <v>126</v>
      </c>
      <c r="G6231" s="3" t="s">
        <v>20</v>
      </c>
      <c r="H6231" s="2" t="s">
        <v>74</v>
      </c>
      <c r="I6231" s="2" t="s">
        <v>15785</v>
      </c>
      <c r="J6231" s="3" t="str">
        <f>HYPERLINK("https://www.boe.es/gazeta/dias/1810/06/10/pdfs/GMD-1810-161.pdf#page=4","Abrir facsímil")</f>
        <v>Abrir facsímil</v>
      </c>
      <c r="K6231" s="3" t="s">
        <v>76</v>
      </c>
    </row>
    <row r="6232" spans="1:11" ht="42" customHeight="1">
      <c r="A6232" s="2" t="s">
        <v>15786</v>
      </c>
      <c r="B6232" s="2" t="s">
        <v>15786</v>
      </c>
      <c r="C6232" s="2" t="s">
        <v>88</v>
      </c>
      <c r="D6232" s="2" t="s">
        <v>117</v>
      </c>
      <c r="E6232" s="4">
        <v>-32539</v>
      </c>
      <c r="F6232" s="3" t="s">
        <v>11216</v>
      </c>
      <c r="G6232" s="3" t="s">
        <v>140</v>
      </c>
      <c r="H6232" s="2" t="s">
        <v>74</v>
      </c>
      <c r="I6232" s="2" t="s">
        <v>15787</v>
      </c>
      <c r="J6232" s="3" t="str">
        <f>HYPERLINK("https://www.boe.es/gazeta/dias/1810/11/28/pdfs/GMD-1810-332.pdf#page=4","Abrir facsímil")</f>
        <v>Abrir facsímil</v>
      </c>
      <c r="K6232" s="3" t="s">
        <v>76</v>
      </c>
    </row>
    <row r="6233" spans="1:11" ht="42" customHeight="1">
      <c r="A6233" s="2" t="s">
        <v>15788</v>
      </c>
      <c r="B6233" s="2" t="s">
        <v>15789</v>
      </c>
      <c r="C6233" s="2" t="s">
        <v>26</v>
      </c>
      <c r="D6233" s="2" t="s">
        <v>27</v>
      </c>
      <c r="E6233" s="4">
        <v>-32805</v>
      </c>
      <c r="F6233" s="3" t="s">
        <v>2068</v>
      </c>
      <c r="G6233" s="3" t="s">
        <v>9469</v>
      </c>
      <c r="H6233" s="2" t="s">
        <v>74</v>
      </c>
      <c r="I6233" s="2" t="s">
        <v>15790</v>
      </c>
      <c r="J6233" s="3" t="str">
        <f>HYPERLINK("https://www.boe.es/gazeta/dias/1810/03/07/pdfs/GMD-1810-66.pdf#page=1","Abrir facsímil")</f>
        <v>Abrir facsímil</v>
      </c>
      <c r="K6233" s="3" t="s">
        <v>76</v>
      </c>
    </row>
    <row r="6234" spans="1:11" ht="42" customHeight="1">
      <c r="A6234" s="2" t="s">
        <v>15791</v>
      </c>
      <c r="B6234" s="2" t="s">
        <v>15791</v>
      </c>
      <c r="C6234" s="2" t="s">
        <v>33</v>
      </c>
      <c r="D6234" s="2" t="s">
        <v>27</v>
      </c>
      <c r="E6234" s="4">
        <v>-32678</v>
      </c>
      <c r="F6234" s="3" t="s">
        <v>3679</v>
      </c>
      <c r="G6234" s="3" t="s">
        <v>99</v>
      </c>
      <c r="H6234" s="2" t="s">
        <v>74</v>
      </c>
      <c r="I6234" s="2" t="s">
        <v>15792</v>
      </c>
      <c r="J6234" s="3" t="str">
        <f>HYPERLINK("https://www.boe.es/gazeta/dias/1810/07/12/pdfs/GMD-1810-193.pdf#page=3","Abrir facsímil")</f>
        <v>Abrir facsímil</v>
      </c>
      <c r="K6234" s="3" t="s">
        <v>76</v>
      </c>
    </row>
    <row r="6235" spans="1:11" ht="42" customHeight="1">
      <c r="A6235" s="2" t="s">
        <v>15793</v>
      </c>
      <c r="B6235" s="2" t="s">
        <v>15794</v>
      </c>
      <c r="C6235" s="2" t="s">
        <v>88</v>
      </c>
      <c r="D6235" s="2" t="s">
        <v>27</v>
      </c>
      <c r="E6235" s="4">
        <v>-32763</v>
      </c>
      <c r="F6235" s="3" t="s">
        <v>1146</v>
      </c>
      <c r="G6235" s="3" t="s">
        <v>140</v>
      </c>
      <c r="H6235" s="2" t="s">
        <v>74</v>
      </c>
      <c r="I6235" s="2" t="s">
        <v>15795</v>
      </c>
      <c r="J6235" s="3" t="str">
        <f>HYPERLINK("https://www.boe.es/gazeta/dias/1810/04/18/pdfs/GMD-1810-108.pdf#page=3","Abrir facsímil")</f>
        <v>Abrir facsímil</v>
      </c>
      <c r="K6235" s="3" t="s">
        <v>76</v>
      </c>
    </row>
    <row r="6236" spans="1:11" ht="42" customHeight="1">
      <c r="A6236" s="2" t="s">
        <v>15796</v>
      </c>
      <c r="B6236" s="2" t="s">
        <v>15797</v>
      </c>
      <c r="C6236" s="2" t="s">
        <v>26</v>
      </c>
      <c r="D6236" s="2" t="s">
        <v>39</v>
      </c>
      <c r="E6236" s="4">
        <v>-32677</v>
      </c>
      <c r="F6236" s="3" t="s">
        <v>549</v>
      </c>
      <c r="G6236" s="3" t="s">
        <v>70</v>
      </c>
      <c r="H6236" s="2" t="s">
        <v>74</v>
      </c>
      <c r="I6236" s="2" t="s">
        <v>15798</v>
      </c>
      <c r="J6236" s="3" t="str">
        <f>HYPERLINK("https://www.boe.es/gazeta/dias/1810/07/13/pdfs/GEI-D-1810-44.pdf#page=8","Abrir facsímil")</f>
        <v>Abrir facsímil</v>
      </c>
      <c r="K6236" s="3" t="s">
        <v>76</v>
      </c>
    </row>
    <row r="6237" spans="1:11" ht="42" customHeight="1">
      <c r="A6237" s="2" t="s">
        <v>15799</v>
      </c>
      <c r="B6237" s="2" t="s">
        <v>15800</v>
      </c>
      <c r="C6237" s="2" t="s">
        <v>26</v>
      </c>
      <c r="D6237" s="2" t="s">
        <v>27</v>
      </c>
      <c r="E6237" s="4">
        <v>-32682</v>
      </c>
      <c r="F6237" s="3" t="s">
        <v>4623</v>
      </c>
      <c r="G6237" s="3" t="s">
        <v>113</v>
      </c>
      <c r="H6237" s="2" t="s">
        <v>74</v>
      </c>
      <c r="I6237" s="2" t="s">
        <v>15801</v>
      </c>
      <c r="J6237" s="3" t="str">
        <f>HYPERLINK("https://www.boe.es/gazeta/dias/1810/07/08/pdfs/GMD-1810-189.pdf#page=4","Abrir facsímil")</f>
        <v>Abrir facsímil</v>
      </c>
      <c r="K6237" s="3" t="s">
        <v>76</v>
      </c>
    </row>
    <row r="6238" spans="1:11" ht="42" customHeight="1">
      <c r="A6238" s="2" t="s">
        <v>15802</v>
      </c>
      <c r="B6238" s="2" t="s">
        <v>15802</v>
      </c>
      <c r="C6238" s="2" t="s">
        <v>26</v>
      </c>
      <c r="D6238" s="2" t="s">
        <v>27</v>
      </c>
      <c r="E6238" s="4">
        <v>-32813</v>
      </c>
      <c r="F6238" s="3" t="s">
        <v>1067</v>
      </c>
      <c r="G6238" s="3" t="s">
        <v>13655</v>
      </c>
      <c r="H6238" s="2" t="s">
        <v>74</v>
      </c>
      <c r="I6238" s="2" t="s">
        <v>15803</v>
      </c>
      <c r="J6238" s="3" t="str">
        <f>HYPERLINK("https://www.boe.es/gazeta/dias/1810/02/27/pdfs/GMD-1810-58.pdf#page=2","Abrir facsímil")</f>
        <v>Abrir facsímil</v>
      </c>
      <c r="K6238" s="3" t="s">
        <v>76</v>
      </c>
    </row>
    <row r="6239" spans="1:11" ht="42" customHeight="1">
      <c r="A6239" s="2" t="s">
        <v>15802</v>
      </c>
      <c r="B6239" s="2" t="s">
        <v>15802</v>
      </c>
      <c r="C6239" s="2" t="s">
        <v>26</v>
      </c>
      <c r="D6239" s="2" t="s">
        <v>27</v>
      </c>
      <c r="E6239" s="4">
        <v>-32664</v>
      </c>
      <c r="F6239" s="3" t="s">
        <v>618</v>
      </c>
      <c r="G6239" s="3" t="s">
        <v>1985</v>
      </c>
      <c r="H6239" s="2" t="s">
        <v>74</v>
      </c>
      <c r="I6239" s="2" t="s">
        <v>15804</v>
      </c>
      <c r="J6239" s="3" t="str">
        <f>HYPERLINK("https://www.boe.es/gazeta/dias/1810/07/26/pdfs/GMD-1810-207.pdf#page=4","Abrir facsímil")</f>
        <v>Abrir facsímil</v>
      </c>
      <c r="K6239" s="3" t="s">
        <v>76</v>
      </c>
    </row>
    <row r="6240" spans="1:11" ht="42" customHeight="1">
      <c r="A6240" s="2" t="s">
        <v>15805</v>
      </c>
      <c r="B6240" s="2" t="s">
        <v>15806</v>
      </c>
      <c r="C6240" s="2" t="s">
        <v>88</v>
      </c>
      <c r="D6240" s="2" t="s">
        <v>27</v>
      </c>
      <c r="E6240" s="4">
        <v>-32550</v>
      </c>
      <c r="F6240" s="3" t="s">
        <v>1472</v>
      </c>
      <c r="G6240" s="3" t="s">
        <v>1473</v>
      </c>
      <c r="H6240" s="2" t="s">
        <v>74</v>
      </c>
      <c r="I6240" s="2" t="s">
        <v>15807</v>
      </c>
      <c r="J6240" s="3" t="str">
        <f>HYPERLINK("https://www.boe.es/gazeta/dias/1810/11/17/pdfs/GEI-1810-96.pdf#page=8","Abrir facsímil")</f>
        <v>Abrir facsímil</v>
      </c>
      <c r="K6240" s="3" t="s">
        <v>76</v>
      </c>
    </row>
    <row r="6241" spans="1:11" ht="42" customHeight="1">
      <c r="A6241" s="2" t="s">
        <v>15808</v>
      </c>
      <c r="B6241" s="2" t="s">
        <v>15808</v>
      </c>
      <c r="C6241" s="2" t="s">
        <v>26</v>
      </c>
      <c r="D6241" s="2" t="s">
        <v>27</v>
      </c>
      <c r="E6241" s="4">
        <v>-32792</v>
      </c>
      <c r="F6241" s="3" t="s">
        <v>2387</v>
      </c>
      <c r="G6241" s="3" t="s">
        <v>136</v>
      </c>
      <c r="H6241" s="2" t="s">
        <v>74</v>
      </c>
      <c r="I6241" s="2" t="s">
        <v>15809</v>
      </c>
      <c r="J6241" s="3" t="str">
        <f>HYPERLINK("https://www.boe.es/gazeta/dias/1810/03/20/pdfs/GEI-1810-4.pdf#page=5","Abrir facsímil")</f>
        <v>Abrir facsímil</v>
      </c>
      <c r="K6241" s="3" t="s">
        <v>76</v>
      </c>
    </row>
    <row r="6242" spans="1:11" ht="42" customHeight="1">
      <c r="A6242" s="2" t="s">
        <v>15808</v>
      </c>
      <c r="B6242" s="2" t="s">
        <v>15808</v>
      </c>
      <c r="C6242" s="2" t="s">
        <v>88</v>
      </c>
      <c r="D6242" s="2" t="s">
        <v>27</v>
      </c>
      <c r="E6242" s="4">
        <v>-32782</v>
      </c>
      <c r="F6242" s="3" t="s">
        <v>79</v>
      </c>
      <c r="G6242" s="3" t="s">
        <v>5628</v>
      </c>
      <c r="H6242" s="2" t="s">
        <v>74</v>
      </c>
      <c r="I6242" s="2" t="s">
        <v>15810</v>
      </c>
      <c r="J6242" s="3" t="str">
        <f>HYPERLINK("https://www.boe.es/gazeta/dias/1810/03/30/pdfs/GEI-1810-9.pdf#page=6","Abrir facsímil")</f>
        <v>Abrir facsímil</v>
      </c>
      <c r="K6242" s="3" t="s">
        <v>76</v>
      </c>
    </row>
    <row r="6243" spans="1:11" ht="42" customHeight="1">
      <c r="A6243" s="2" t="s">
        <v>15808</v>
      </c>
      <c r="B6243" s="2" t="s">
        <v>15808</v>
      </c>
      <c r="C6243" s="2" t="s">
        <v>88</v>
      </c>
      <c r="D6243" s="2" t="s">
        <v>117</v>
      </c>
      <c r="E6243" s="4">
        <v>-32761</v>
      </c>
      <c r="F6243" s="3" t="s">
        <v>811</v>
      </c>
      <c r="G6243" s="3" t="s">
        <v>1292</v>
      </c>
      <c r="H6243" s="2" t="s">
        <v>74</v>
      </c>
      <c r="I6243" s="2" t="s">
        <v>15811</v>
      </c>
      <c r="J6243" s="3" t="str">
        <f>HYPERLINK("https://www.boe.es/gazeta/dias/1810/04/20/pdfs/GEI-1810-16.pdf#page=1","Abrir facsímil")</f>
        <v>Abrir facsímil</v>
      </c>
      <c r="K6243" s="3" t="s">
        <v>76</v>
      </c>
    </row>
    <row r="6244" spans="1:11" ht="42" customHeight="1">
      <c r="A6244" s="2" t="s">
        <v>15808</v>
      </c>
      <c r="B6244" s="2" t="s">
        <v>15808</v>
      </c>
      <c r="C6244" s="2" t="s">
        <v>26</v>
      </c>
      <c r="D6244" s="2" t="s">
        <v>27</v>
      </c>
      <c r="E6244" s="4">
        <v>-32733</v>
      </c>
      <c r="F6244" s="3" t="s">
        <v>955</v>
      </c>
      <c r="G6244" s="3" t="s">
        <v>5433</v>
      </c>
      <c r="H6244" s="2" t="s">
        <v>74</v>
      </c>
      <c r="I6244" s="2" t="s">
        <v>15812</v>
      </c>
      <c r="J6244" s="3" t="str">
        <f>HYPERLINK("https://www.boe.es/gazeta/dias/1810/05/18/pdfs/GEI-1810-27.pdf#page=3","Abrir facsímil")</f>
        <v>Abrir facsímil</v>
      </c>
      <c r="K6244" s="3" t="s">
        <v>76</v>
      </c>
    </row>
    <row r="6245" spans="1:11" ht="42" customHeight="1">
      <c r="A6245" s="2" t="s">
        <v>15808</v>
      </c>
      <c r="B6245" s="2" t="s">
        <v>15808</v>
      </c>
      <c r="C6245" s="2" t="s">
        <v>88</v>
      </c>
      <c r="D6245" s="2" t="s">
        <v>117</v>
      </c>
      <c r="E6245" s="4">
        <v>-32701</v>
      </c>
      <c r="F6245" s="3" t="s">
        <v>671</v>
      </c>
      <c r="G6245" s="3" t="s">
        <v>9577</v>
      </c>
      <c r="H6245" s="2" t="s">
        <v>74</v>
      </c>
      <c r="I6245" s="2" t="s">
        <v>15813</v>
      </c>
      <c r="J6245" s="3" t="str">
        <f>HYPERLINK("https://www.boe.es/gazeta/dias/1810/06/19/pdfs/GEI-1810-37.pdf#page=4","Abrir facsímil")</f>
        <v>Abrir facsímil</v>
      </c>
      <c r="K6245" s="3" t="s">
        <v>76</v>
      </c>
    </row>
    <row r="6246" spans="1:11" ht="42" customHeight="1">
      <c r="A6246" s="2" t="s">
        <v>15808</v>
      </c>
      <c r="B6246" s="2" t="s">
        <v>15808</v>
      </c>
      <c r="C6246" s="2" t="s">
        <v>26</v>
      </c>
      <c r="D6246" s="2" t="s">
        <v>27</v>
      </c>
      <c r="E6246" s="4">
        <v>-32659</v>
      </c>
      <c r="F6246" s="3" t="s">
        <v>328</v>
      </c>
      <c r="G6246" s="3" t="s">
        <v>4539</v>
      </c>
      <c r="H6246" s="2" t="s">
        <v>74</v>
      </c>
      <c r="I6246" s="2" t="s">
        <v>15814</v>
      </c>
      <c r="J6246" s="3" t="str">
        <f>HYPERLINK("https://www.boe.es/gazeta/dias/1810/07/31/pdfs/GEI-1810-49.pdf#page=4","Abrir facsímil")</f>
        <v>Abrir facsímil</v>
      </c>
      <c r="K6246" s="3" t="s">
        <v>76</v>
      </c>
    </row>
    <row r="6247" spans="1:11" ht="42" customHeight="1">
      <c r="A6247" s="2" t="s">
        <v>15808</v>
      </c>
      <c r="B6247" s="2" t="s">
        <v>15808</v>
      </c>
      <c r="C6247" s="2" t="s">
        <v>33</v>
      </c>
      <c r="D6247" s="2" t="s">
        <v>58</v>
      </c>
      <c r="E6247" s="4">
        <v>-32654</v>
      </c>
      <c r="F6247" s="3" t="s">
        <v>1032</v>
      </c>
      <c r="G6247" s="3" t="s">
        <v>1894</v>
      </c>
      <c r="H6247" s="2" t="s">
        <v>74</v>
      </c>
      <c r="I6247" s="2" t="s">
        <v>15815</v>
      </c>
      <c r="J6247" s="3" t="str">
        <f>HYPERLINK("https://www.boe.es/gazeta/dias/1810/08/05/pdfs/GEI-1810-51E.pdf#page=14","Abrir facsímil")</f>
        <v>Abrir facsímil</v>
      </c>
      <c r="K6247" s="3" t="s">
        <v>76</v>
      </c>
    </row>
    <row r="6248" spans="1:11" ht="42" customHeight="1">
      <c r="A6248" s="2" t="s">
        <v>15816</v>
      </c>
      <c r="B6248" s="2" t="s">
        <v>15816</v>
      </c>
      <c r="C6248" s="2" t="s">
        <v>26</v>
      </c>
      <c r="D6248" s="2" t="s">
        <v>27</v>
      </c>
      <c r="E6248" s="4">
        <v>-32678</v>
      </c>
      <c r="F6248" s="3" t="s">
        <v>3679</v>
      </c>
      <c r="G6248" s="3" t="s">
        <v>29</v>
      </c>
      <c r="H6248" s="2" t="s">
        <v>74</v>
      </c>
      <c r="I6248" s="2" t="s">
        <v>15817</v>
      </c>
      <c r="J6248" s="3" t="str">
        <f>HYPERLINK("https://www.boe.es/gazeta/dias/1810/07/12/pdfs/GMD-1810-193.pdf#page=2","Abrir facsímil")</f>
        <v>Abrir facsímil</v>
      </c>
      <c r="K6248" s="3" t="s">
        <v>76</v>
      </c>
    </row>
    <row r="6249" spans="1:11" ht="42" customHeight="1">
      <c r="A6249" s="2" t="s">
        <v>15818</v>
      </c>
      <c r="B6249" s="2" t="s">
        <v>15818</v>
      </c>
      <c r="C6249" s="2" t="s">
        <v>26</v>
      </c>
      <c r="D6249" s="2" t="s">
        <v>27</v>
      </c>
      <c r="E6249" s="4">
        <v>-32700</v>
      </c>
      <c r="F6249" s="3" t="s">
        <v>89</v>
      </c>
      <c r="G6249" s="3" t="s">
        <v>29</v>
      </c>
      <c r="H6249" s="2" t="s">
        <v>74</v>
      </c>
      <c r="I6249" s="2" t="s">
        <v>15819</v>
      </c>
      <c r="J6249" s="3" t="str">
        <f>HYPERLINK("https://www.boe.es/gazeta/dias/1810/06/20/pdfs/GMD-1810-171.pdf#page=3","Abrir facsímil")</f>
        <v>Abrir facsímil</v>
      </c>
      <c r="K6249" s="3" t="s">
        <v>76</v>
      </c>
    </row>
    <row r="6250" spans="1:11" ht="42" customHeight="1">
      <c r="A6250" s="2" t="s">
        <v>15820</v>
      </c>
      <c r="B6250" s="2" t="s">
        <v>15820</v>
      </c>
      <c r="C6250" s="2" t="s">
        <v>17</v>
      </c>
      <c r="D6250" s="2" t="s">
        <v>27</v>
      </c>
      <c r="E6250" s="4">
        <v>-32623</v>
      </c>
      <c r="F6250" s="3" t="s">
        <v>15821</v>
      </c>
      <c r="G6250" s="3" t="s">
        <v>227</v>
      </c>
      <c r="H6250" s="2" t="s">
        <v>74</v>
      </c>
      <c r="I6250" s="2" t="s">
        <v>15822</v>
      </c>
      <c r="J6250" s="3" t="str">
        <f>HYPERLINK("https://www.boe.es/gazeta/dias/1810/09/05/pdfs/GMD-1810-248.pdf#page=4","Abrir facsímil")</f>
        <v>Abrir facsímil</v>
      </c>
      <c r="K6250" s="3" t="s">
        <v>76</v>
      </c>
    </row>
    <row r="6251" spans="1:11" ht="42" customHeight="1">
      <c r="A6251" s="2" t="s">
        <v>15823</v>
      </c>
      <c r="B6251" s="2" t="s">
        <v>15823</v>
      </c>
      <c r="C6251" s="2" t="s">
        <v>17</v>
      </c>
      <c r="D6251" s="2" t="s">
        <v>27</v>
      </c>
      <c r="E6251" s="4">
        <v>-32826</v>
      </c>
      <c r="F6251" s="3" t="s">
        <v>1252</v>
      </c>
      <c r="G6251" s="3" t="s">
        <v>99</v>
      </c>
      <c r="H6251" s="2" t="s">
        <v>74</v>
      </c>
      <c r="I6251" s="2" t="s">
        <v>15824</v>
      </c>
      <c r="J6251" s="3" t="str">
        <f>HYPERLINK("https://www.boe.es/gazeta/dias/1810/02/14/pdfs/GMD-1810-45.pdf#page=3","Abrir facsímil")</f>
        <v>Abrir facsímil</v>
      </c>
      <c r="K6251" s="3" t="s">
        <v>76</v>
      </c>
    </row>
    <row r="6252" spans="1:11" ht="42" customHeight="1">
      <c r="A6252" s="2" t="s">
        <v>15823</v>
      </c>
      <c r="B6252" s="2" t="s">
        <v>15823</v>
      </c>
      <c r="C6252" s="2" t="s">
        <v>88</v>
      </c>
      <c r="D6252" s="2" t="s">
        <v>117</v>
      </c>
      <c r="E6252" s="4">
        <v>-32698</v>
      </c>
      <c r="F6252" s="3" t="s">
        <v>2705</v>
      </c>
      <c r="G6252" s="3" t="s">
        <v>2706</v>
      </c>
      <c r="H6252" s="2" t="s">
        <v>74</v>
      </c>
      <c r="I6252" s="2" t="s">
        <v>15825</v>
      </c>
      <c r="J6252" s="3" t="str">
        <f>HYPERLINK("https://www.boe.es/gazeta/dias/1810/06/22/pdfs/GEI-1810-38.pdf#page=8","Abrir facsímil")</f>
        <v>Abrir facsímil</v>
      </c>
      <c r="K6252" s="3" t="s">
        <v>76</v>
      </c>
    </row>
    <row r="6253" spans="1:11" ht="42" customHeight="1">
      <c r="A6253" s="2" t="s">
        <v>15823</v>
      </c>
      <c r="B6253" s="2" t="s">
        <v>15823</v>
      </c>
      <c r="C6253" s="2" t="s">
        <v>225</v>
      </c>
      <c r="D6253" s="2" t="s">
        <v>18</v>
      </c>
      <c r="E6253" s="4">
        <v>-32697</v>
      </c>
      <c r="F6253" s="3" t="s">
        <v>1859</v>
      </c>
      <c r="G6253" s="3" t="s">
        <v>70</v>
      </c>
      <c r="H6253" s="2" t="s">
        <v>74</v>
      </c>
      <c r="I6253" s="2" t="s">
        <v>15826</v>
      </c>
      <c r="J6253" s="3" t="str">
        <f>HYPERLINK("https://www.boe.es/gazeta/dias/1810/06/23/pdfs/GMD-1810-174.pdf#page=4","Abrir facsímil")</f>
        <v>Abrir facsímil</v>
      </c>
      <c r="K6253" s="3" t="s">
        <v>76</v>
      </c>
    </row>
    <row r="6254" spans="1:11" ht="42" customHeight="1">
      <c r="A6254" s="2" t="s">
        <v>15827</v>
      </c>
      <c r="B6254" s="2" t="s">
        <v>15827</v>
      </c>
      <c r="C6254" s="2" t="s">
        <v>88</v>
      </c>
      <c r="D6254" s="2" t="s">
        <v>27</v>
      </c>
      <c r="E6254" s="4">
        <v>-32842</v>
      </c>
      <c r="F6254" s="3" t="s">
        <v>1291</v>
      </c>
      <c r="G6254" s="3" t="s">
        <v>1292</v>
      </c>
      <c r="H6254" s="2" t="s">
        <v>74</v>
      </c>
      <c r="I6254" s="2" t="s">
        <v>15828</v>
      </c>
      <c r="J6254" s="3" t="str">
        <f>HYPERLINK("https://www.boe.es/gazeta/dias/1810/01/29/pdfs/GMD-1810-29.pdf#page=3","Abrir facsímil")</f>
        <v>Abrir facsímil</v>
      </c>
      <c r="K6254" s="3" t="s">
        <v>76</v>
      </c>
    </row>
    <row r="6255" spans="1:11" ht="42" customHeight="1">
      <c r="A6255" s="2" t="s">
        <v>15827</v>
      </c>
      <c r="B6255" s="2" t="s">
        <v>15827</v>
      </c>
      <c r="C6255" s="2" t="s">
        <v>26</v>
      </c>
      <c r="D6255" s="2" t="s">
        <v>27</v>
      </c>
      <c r="E6255" s="4">
        <v>-32820</v>
      </c>
      <c r="F6255" s="3" t="s">
        <v>226</v>
      </c>
      <c r="G6255" s="3" t="s">
        <v>227</v>
      </c>
      <c r="H6255" s="2" t="s">
        <v>74</v>
      </c>
      <c r="I6255" s="2" t="s">
        <v>15829</v>
      </c>
      <c r="J6255" s="3" t="str">
        <f>HYPERLINK("https://www.boe.es/gazeta/dias/1810/02/20/pdfs/GMD-1810-51.pdf#page=4","Abrir facsímil")</f>
        <v>Abrir facsímil</v>
      </c>
      <c r="K6255" s="3" t="s">
        <v>76</v>
      </c>
    </row>
    <row r="6256" spans="1:11" ht="42" customHeight="1">
      <c r="A6256" s="2" t="s">
        <v>15827</v>
      </c>
      <c r="B6256" s="2" t="s">
        <v>15827</v>
      </c>
      <c r="C6256" s="2" t="s">
        <v>88</v>
      </c>
      <c r="D6256" s="2" t="s">
        <v>27</v>
      </c>
      <c r="E6256" s="4">
        <v>-32767</v>
      </c>
      <c r="F6256" s="3" t="s">
        <v>1265</v>
      </c>
      <c r="G6256" s="3" t="s">
        <v>1266</v>
      </c>
      <c r="H6256" s="2" t="s">
        <v>74</v>
      </c>
      <c r="I6256" s="2" t="s">
        <v>15830</v>
      </c>
      <c r="J6256" s="3" t="str">
        <f>HYPERLINK("https://www.boe.es/gazeta/dias/1810/04/14/pdfs/GMD-1810-104.pdf#page=4","Abrir facsímil")</f>
        <v>Abrir facsímil</v>
      </c>
      <c r="K6256" s="3" t="s">
        <v>76</v>
      </c>
    </row>
    <row r="6257" spans="1:11" ht="42" customHeight="1">
      <c r="A6257" s="2" t="s">
        <v>15827</v>
      </c>
      <c r="B6257" s="2" t="s">
        <v>15827</v>
      </c>
      <c r="C6257" s="2" t="s">
        <v>26</v>
      </c>
      <c r="D6257" s="2" t="s">
        <v>27</v>
      </c>
      <c r="E6257" s="4">
        <v>-32756</v>
      </c>
      <c r="F6257" s="3" t="s">
        <v>203</v>
      </c>
      <c r="G6257" s="3" t="s">
        <v>180</v>
      </c>
      <c r="H6257" s="2" t="s">
        <v>74</v>
      </c>
      <c r="I6257" s="2" t="s">
        <v>15831</v>
      </c>
      <c r="J6257" s="3" t="str">
        <f>HYPERLINK("https://www.boe.es/gazeta/dias/1810/04/25/pdfs/GMD-1810-115.pdf#page=4","Abrir facsímil")</f>
        <v>Abrir facsímil</v>
      </c>
      <c r="K6257" s="3" t="s">
        <v>76</v>
      </c>
    </row>
    <row r="6258" spans="1:11" ht="42" customHeight="1">
      <c r="A6258" s="2" t="s">
        <v>15827</v>
      </c>
      <c r="B6258" s="2" t="s">
        <v>15827</v>
      </c>
      <c r="C6258" s="2" t="s">
        <v>26</v>
      </c>
      <c r="D6258" s="2" t="s">
        <v>39</v>
      </c>
      <c r="E6258" s="4">
        <v>-32702</v>
      </c>
      <c r="F6258" s="3" t="s">
        <v>179</v>
      </c>
      <c r="G6258" s="3" t="s">
        <v>180</v>
      </c>
      <c r="H6258" s="2" t="s">
        <v>74</v>
      </c>
      <c r="I6258" s="2" t="s">
        <v>15832</v>
      </c>
      <c r="J6258" s="3" t="str">
        <f>HYPERLINK("https://www.boe.es/gazeta/dias/1810/06/18/pdfs/GMD-C-1810-169.pdf#page=2","Abrir facsímil")</f>
        <v>Abrir facsímil</v>
      </c>
      <c r="K6258" s="3" t="s">
        <v>76</v>
      </c>
    </row>
    <row r="6259" spans="1:11" ht="42" customHeight="1">
      <c r="A6259" s="2" t="s">
        <v>15827</v>
      </c>
      <c r="B6259" s="2" t="s">
        <v>15827</v>
      </c>
      <c r="C6259" s="2" t="s">
        <v>26</v>
      </c>
      <c r="D6259" s="2" t="s">
        <v>39</v>
      </c>
      <c r="E6259" s="4">
        <v>-32686</v>
      </c>
      <c r="F6259" s="3" t="s">
        <v>3230</v>
      </c>
      <c r="G6259" s="3" t="s">
        <v>735</v>
      </c>
      <c r="H6259" s="2" t="s">
        <v>74</v>
      </c>
      <c r="I6259" s="2" t="s">
        <v>15833</v>
      </c>
      <c r="J6259" s="3" t="str">
        <f>HYPERLINK("https://www.boe.es/gazeta/dias/1810/07/04/pdfs/GMD-C-1810-185.pdf#page=2","Abrir facsímil")</f>
        <v>Abrir facsímil</v>
      </c>
      <c r="K6259" s="3" t="s">
        <v>76</v>
      </c>
    </row>
    <row r="6260" spans="1:11" ht="42" customHeight="1">
      <c r="A6260" s="2" t="s">
        <v>15827</v>
      </c>
      <c r="B6260" s="2" t="s">
        <v>15827</v>
      </c>
      <c r="C6260" s="2" t="s">
        <v>26</v>
      </c>
      <c r="D6260" s="2" t="s">
        <v>18</v>
      </c>
      <c r="E6260" s="4">
        <v>-32669</v>
      </c>
      <c r="F6260" s="3" t="s">
        <v>1110</v>
      </c>
      <c r="G6260" s="3" t="s">
        <v>1222</v>
      </c>
      <c r="H6260" s="2" t="s">
        <v>74</v>
      </c>
      <c r="I6260" s="2" t="s">
        <v>15834</v>
      </c>
      <c r="J6260" s="3" t="str">
        <f>HYPERLINK("https://www.boe.es/gazeta/dias/1810/07/21/pdfs/GMD-C-1810-202.pdf#page=2","Abrir facsímil")</f>
        <v>Abrir facsímil</v>
      </c>
      <c r="K6260" s="3" t="s">
        <v>76</v>
      </c>
    </row>
    <row r="6261" spans="1:11" ht="42" customHeight="1">
      <c r="A6261" s="2" t="s">
        <v>15827</v>
      </c>
      <c r="B6261" s="2" t="s">
        <v>15827</v>
      </c>
      <c r="C6261" s="2" t="s">
        <v>26</v>
      </c>
      <c r="D6261" s="2" t="s">
        <v>27</v>
      </c>
      <c r="E6261" s="4">
        <v>-32666</v>
      </c>
      <c r="F6261" s="3" t="s">
        <v>1913</v>
      </c>
      <c r="G6261" s="3" t="s">
        <v>1914</v>
      </c>
      <c r="H6261" s="2" t="s">
        <v>74</v>
      </c>
      <c r="I6261" s="2" t="s">
        <v>15835</v>
      </c>
      <c r="J6261" s="3" t="str">
        <f>HYPERLINK("https://www.boe.es/gazeta/dias/1810/07/24/pdfs/GMD-1810-205.pdf#page=4","Abrir facsímil")</f>
        <v>Abrir facsímil</v>
      </c>
      <c r="K6261" s="3" t="s">
        <v>76</v>
      </c>
    </row>
    <row r="6262" spans="1:11" ht="42" customHeight="1">
      <c r="A6262" s="2" t="s">
        <v>15827</v>
      </c>
      <c r="B6262" s="2" t="s">
        <v>15827</v>
      </c>
      <c r="C6262" s="2" t="s">
        <v>26</v>
      </c>
      <c r="D6262" s="2" t="s">
        <v>27</v>
      </c>
      <c r="E6262" s="4">
        <v>-32595</v>
      </c>
      <c r="F6262" s="3" t="s">
        <v>700</v>
      </c>
      <c r="G6262" s="3" t="s">
        <v>29</v>
      </c>
      <c r="H6262" s="2" t="s">
        <v>74</v>
      </c>
      <c r="I6262" s="2" t="s">
        <v>15836</v>
      </c>
      <c r="J6262" s="3" t="str">
        <f>HYPERLINK("https://www.boe.es/gazeta/dias/1810/10/03/pdfs/GMD-1810-276.pdf#page=4","Abrir facsímil")</f>
        <v>Abrir facsímil</v>
      </c>
      <c r="K6262" s="3" t="s">
        <v>76</v>
      </c>
    </row>
    <row r="6263" spans="1:11" ht="42" customHeight="1">
      <c r="A6263" s="2" t="s">
        <v>15827</v>
      </c>
      <c r="B6263" s="2" t="s">
        <v>15827</v>
      </c>
      <c r="C6263" s="2" t="s">
        <v>88</v>
      </c>
      <c r="D6263" s="2" t="s">
        <v>18</v>
      </c>
      <c r="E6263" s="4">
        <v>-32566</v>
      </c>
      <c r="F6263" s="3" t="s">
        <v>405</v>
      </c>
      <c r="G6263" s="3" t="s">
        <v>469</v>
      </c>
      <c r="H6263" s="2" t="s">
        <v>74</v>
      </c>
      <c r="I6263" s="2" t="s">
        <v>15837</v>
      </c>
      <c r="J6263" s="3" t="str">
        <f>HYPERLINK("https://www.boe.es/gazeta/dias/1810/11/01/pdfs/GMD-1810-305.pdf#page=2","Abrir facsímil")</f>
        <v>Abrir facsímil</v>
      </c>
      <c r="K6263" s="3" t="s">
        <v>76</v>
      </c>
    </row>
    <row r="6264" spans="1:11" ht="42" customHeight="1">
      <c r="A6264" s="2" t="s">
        <v>15827</v>
      </c>
      <c r="B6264" s="2" t="s">
        <v>15827</v>
      </c>
      <c r="C6264" s="2" t="s">
        <v>88</v>
      </c>
      <c r="D6264" s="2" t="s">
        <v>117</v>
      </c>
      <c r="E6264" s="4">
        <v>-32565</v>
      </c>
      <c r="F6264" s="3" t="s">
        <v>743</v>
      </c>
      <c r="G6264" s="3" t="s">
        <v>458</v>
      </c>
      <c r="H6264" s="2" t="s">
        <v>74</v>
      </c>
      <c r="I6264" s="2" t="s">
        <v>15838</v>
      </c>
      <c r="J6264" s="3" t="str">
        <f>HYPERLINK("https://www.boe.es/gazeta/dias/1810/11/02/pdfs/GMD-1810-306.pdf#page=2","Abrir facsímil")</f>
        <v>Abrir facsímil</v>
      </c>
      <c r="K6264" s="3" t="s">
        <v>76</v>
      </c>
    </row>
    <row r="6265" spans="1:11" ht="42" customHeight="1">
      <c r="A6265" s="2" t="s">
        <v>15839</v>
      </c>
      <c r="B6265" s="2" t="s">
        <v>15840</v>
      </c>
      <c r="C6265" s="2" t="s">
        <v>26</v>
      </c>
      <c r="D6265" s="2" t="s">
        <v>18</v>
      </c>
      <c r="E6265" s="4">
        <v>-32533</v>
      </c>
      <c r="F6265" s="3" t="s">
        <v>1357</v>
      </c>
      <c r="G6265" s="3" t="s">
        <v>1894</v>
      </c>
      <c r="H6265" s="2" t="s">
        <v>21</v>
      </c>
      <c r="I6265" s="2" t="s">
        <v>15841</v>
      </c>
      <c r="J6265" s="3" t="str">
        <f>HYPERLINK("https://www.boe.es/gazeta/dias/1810/12/04/pdfs/GEI-1810-103.pdf#page=7","Abrir facsímil")</f>
        <v>Abrir facsímil</v>
      </c>
      <c r="K6265" s="3" t="s">
        <v>23</v>
      </c>
    </row>
    <row r="6266" spans="1:11" ht="42" customHeight="1">
      <c r="A6266" s="2" t="s">
        <v>15842</v>
      </c>
      <c r="B6266" s="2" t="s">
        <v>15842</v>
      </c>
      <c r="C6266" s="2" t="s">
        <v>26</v>
      </c>
      <c r="D6266" s="2" t="s">
        <v>39</v>
      </c>
      <c r="E6266" s="4">
        <v>-32701</v>
      </c>
      <c r="F6266" s="3" t="s">
        <v>40</v>
      </c>
      <c r="G6266" s="3" t="s">
        <v>333</v>
      </c>
      <c r="H6266" s="2" t="s">
        <v>74</v>
      </c>
      <c r="I6266" s="2" t="s">
        <v>15843</v>
      </c>
      <c r="J6266" s="3" t="str">
        <f>HYPERLINK("https://www.boe.es/gazeta/dias/1810/06/19/pdfs/GMD-C-1810-170.pdf#page=4","Abrir facsímil")</f>
        <v>Abrir facsímil</v>
      </c>
      <c r="K6266" s="3" t="s">
        <v>76</v>
      </c>
    </row>
    <row r="6267" spans="1:11" ht="42" customHeight="1">
      <c r="A6267" s="2" t="s">
        <v>15844</v>
      </c>
      <c r="B6267" s="2" t="s">
        <v>15844</v>
      </c>
      <c r="C6267" s="2" t="s">
        <v>26</v>
      </c>
      <c r="D6267" s="2" t="s">
        <v>27</v>
      </c>
      <c r="E6267" s="4">
        <v>-32529</v>
      </c>
      <c r="F6267" s="3" t="s">
        <v>3700</v>
      </c>
      <c r="G6267" s="3" t="s">
        <v>213</v>
      </c>
      <c r="H6267" s="2" t="s">
        <v>74</v>
      </c>
      <c r="I6267" s="2" t="s">
        <v>15845</v>
      </c>
      <c r="J6267" s="3" t="str">
        <f>HYPERLINK("https://www.boe.es/gazeta/dias/1810/12/08/pdfs/GMD-1810-342.pdf#page=4","Abrir facsímil")</f>
        <v>Abrir facsímil</v>
      </c>
      <c r="K6267" s="3" t="s">
        <v>76</v>
      </c>
    </row>
    <row r="6268" spans="1:11" ht="42" customHeight="1">
      <c r="A6268" s="2" t="s">
        <v>15846</v>
      </c>
      <c r="B6268" s="2" t="s">
        <v>15847</v>
      </c>
      <c r="C6268" s="2" t="s">
        <v>26</v>
      </c>
      <c r="D6268" s="2" t="s">
        <v>27</v>
      </c>
      <c r="E6268" s="4">
        <v>-32691</v>
      </c>
      <c r="F6268" s="3" t="s">
        <v>3021</v>
      </c>
      <c r="G6268" s="3" t="s">
        <v>136</v>
      </c>
      <c r="H6268" s="2" t="s">
        <v>74</v>
      </c>
      <c r="I6268" s="2" t="s">
        <v>15848</v>
      </c>
      <c r="J6268" s="3" t="str">
        <f>HYPERLINK("https://www.boe.es/gazeta/dias/1810/06/29/pdfs/GEI-1810-40.pdf#page=4","Abrir facsímil")</f>
        <v>Abrir facsímil</v>
      </c>
      <c r="K6268" s="3" t="s">
        <v>76</v>
      </c>
    </row>
    <row r="6269" spans="1:11" ht="42" customHeight="1">
      <c r="A6269" s="2" t="s">
        <v>15849</v>
      </c>
      <c r="B6269" s="2" t="s">
        <v>15849</v>
      </c>
      <c r="C6269" s="2" t="s">
        <v>88</v>
      </c>
      <c r="D6269" s="2" t="s">
        <v>27</v>
      </c>
      <c r="E6269" s="4">
        <v>-32553</v>
      </c>
      <c r="F6269" s="3" t="s">
        <v>2276</v>
      </c>
      <c r="G6269" s="3" t="s">
        <v>1656</v>
      </c>
      <c r="H6269" s="2" t="s">
        <v>74</v>
      </c>
      <c r="I6269" s="2" t="s">
        <v>15850</v>
      </c>
      <c r="J6269" s="3" t="str">
        <f>HYPERLINK("https://www.boe.es/gazeta/dias/1810/11/14/pdfs/GMD-1810-318.pdf#page=4","Abrir facsímil")</f>
        <v>Abrir facsímil</v>
      </c>
      <c r="K6269" s="3" t="s">
        <v>76</v>
      </c>
    </row>
    <row r="6270" spans="1:11" ht="42" customHeight="1">
      <c r="A6270" s="2" t="s">
        <v>15851</v>
      </c>
      <c r="B6270" s="2" t="s">
        <v>15851</v>
      </c>
      <c r="C6270" s="2" t="s">
        <v>88</v>
      </c>
      <c r="D6270" s="2" t="s">
        <v>220</v>
      </c>
      <c r="E6270" s="4">
        <v>-32524</v>
      </c>
      <c r="F6270" s="3" t="s">
        <v>281</v>
      </c>
      <c r="G6270" s="3" t="s">
        <v>645</v>
      </c>
      <c r="H6270" s="2" t="s">
        <v>74</v>
      </c>
      <c r="I6270" s="2" t="s">
        <v>15852</v>
      </c>
      <c r="J6270" s="3" t="str">
        <f>HYPERLINK("https://www.boe.es/gazeta/dias/1810/12/13/pdfs/GEI-1810-107.pdf#page=1","Abrir facsímil")</f>
        <v>Abrir facsímil</v>
      </c>
      <c r="K6270" s="3" t="s">
        <v>76</v>
      </c>
    </row>
    <row r="6271" spans="1:11" ht="42" customHeight="1">
      <c r="A6271" s="2" t="s">
        <v>15853</v>
      </c>
      <c r="B6271" s="2" t="s">
        <v>15853</v>
      </c>
      <c r="C6271" s="2" t="s">
        <v>88</v>
      </c>
      <c r="D6271" s="2" t="s">
        <v>220</v>
      </c>
      <c r="E6271" s="4">
        <v>-32632</v>
      </c>
      <c r="F6271" s="3" t="s">
        <v>358</v>
      </c>
      <c r="G6271" s="3" t="s">
        <v>1691</v>
      </c>
      <c r="H6271" s="2" t="s">
        <v>74</v>
      </c>
      <c r="I6271" s="2" t="s">
        <v>15854</v>
      </c>
      <c r="J6271" s="3" t="str">
        <f>HYPERLINK("https://www.boe.es/gazeta/dias/1810/08/27/pdfs/GMD-1810-239.pdf#page=1","Abrir facsímil")</f>
        <v>Abrir facsímil</v>
      </c>
      <c r="K6271" s="3" t="s">
        <v>76</v>
      </c>
    </row>
    <row r="6272" spans="1:11" ht="42" customHeight="1">
      <c r="A6272" s="2" t="s">
        <v>15855</v>
      </c>
      <c r="B6272" s="2" t="s">
        <v>15855</v>
      </c>
      <c r="C6272" s="2" t="s">
        <v>88</v>
      </c>
      <c r="D6272" s="2" t="s">
        <v>117</v>
      </c>
      <c r="E6272" s="4">
        <v>-32521</v>
      </c>
      <c r="F6272" s="3" t="s">
        <v>3569</v>
      </c>
      <c r="G6272" s="3" t="s">
        <v>291</v>
      </c>
      <c r="H6272" s="2" t="s">
        <v>74</v>
      </c>
      <c r="I6272" s="2" t="s">
        <v>15856</v>
      </c>
      <c r="J6272" s="3" t="str">
        <f>HYPERLINK("https://www.boe.es/gazeta/dias/1810/12/16/pdfs/GMD-1810-350.pdf#page=1","Abrir facsímil")</f>
        <v>Abrir facsímil</v>
      </c>
      <c r="K6272" s="3" t="s">
        <v>76</v>
      </c>
    </row>
    <row r="6273" spans="1:11" ht="42" customHeight="1">
      <c r="A6273" s="2" t="s">
        <v>15857</v>
      </c>
      <c r="B6273" s="2" t="s">
        <v>15858</v>
      </c>
      <c r="C6273" s="2" t="s">
        <v>88</v>
      </c>
      <c r="D6273" s="2" t="s">
        <v>27</v>
      </c>
      <c r="E6273" s="4">
        <v>-32763</v>
      </c>
      <c r="F6273" s="3" t="s">
        <v>1146</v>
      </c>
      <c r="G6273" s="3" t="s">
        <v>140</v>
      </c>
      <c r="H6273" s="2" t="s">
        <v>74</v>
      </c>
      <c r="I6273" s="2" t="s">
        <v>15859</v>
      </c>
      <c r="J6273" s="3" t="str">
        <f>HYPERLINK("https://www.boe.es/gazeta/dias/1810/04/18/pdfs/GMD-1810-108.pdf#page=3","Abrir facsímil")</f>
        <v>Abrir facsímil</v>
      </c>
      <c r="K6273" s="3" t="s">
        <v>76</v>
      </c>
    </row>
    <row r="6274" spans="1:11" ht="42" customHeight="1">
      <c r="A6274" s="2" t="s">
        <v>15860</v>
      </c>
      <c r="B6274" s="2" t="s">
        <v>15861</v>
      </c>
      <c r="C6274" s="2" t="s">
        <v>26</v>
      </c>
      <c r="D6274" s="2" t="s">
        <v>27</v>
      </c>
      <c r="E6274" s="4">
        <v>-32761</v>
      </c>
      <c r="F6274" s="3" t="s">
        <v>811</v>
      </c>
      <c r="G6274" s="3" t="s">
        <v>140</v>
      </c>
      <c r="H6274" s="2" t="s">
        <v>74</v>
      </c>
      <c r="I6274" s="2" t="s">
        <v>15862</v>
      </c>
      <c r="J6274" s="3" t="str">
        <f>HYPERLINK("https://www.boe.es/gazeta/dias/1810/04/20/pdfs/GEI-1810-16.pdf#page=8","Abrir facsímil")</f>
        <v>Abrir facsímil</v>
      </c>
      <c r="K6274" s="3" t="s">
        <v>76</v>
      </c>
    </row>
    <row r="6275" spans="1:11" ht="42" customHeight="1">
      <c r="A6275" s="2" t="s">
        <v>15863</v>
      </c>
      <c r="B6275" s="2" t="s">
        <v>15863</v>
      </c>
      <c r="C6275" s="2" t="s">
        <v>26</v>
      </c>
      <c r="D6275" s="2" t="s">
        <v>27</v>
      </c>
      <c r="E6275" s="4">
        <v>-32695</v>
      </c>
      <c r="F6275" s="3" t="s">
        <v>1646</v>
      </c>
      <c r="G6275" s="3" t="s">
        <v>701</v>
      </c>
      <c r="H6275" s="2" t="s">
        <v>74</v>
      </c>
      <c r="I6275" s="2" t="s">
        <v>15864</v>
      </c>
      <c r="J6275" s="3" t="str">
        <f>HYPERLINK("https://www.boe.es/gazeta/dias/1810/06/25/pdfs/GMD-1810-176.pdf#page=2","Abrir facsímil")</f>
        <v>Abrir facsímil</v>
      </c>
      <c r="K6275" s="3" t="s">
        <v>76</v>
      </c>
    </row>
    <row r="6276" spans="1:11" ht="42" customHeight="1">
      <c r="A6276" s="2" t="s">
        <v>15865</v>
      </c>
      <c r="B6276" s="2" t="s">
        <v>15866</v>
      </c>
      <c r="C6276" s="2" t="s">
        <v>26</v>
      </c>
      <c r="D6276" s="2" t="s">
        <v>27</v>
      </c>
      <c r="E6276" s="4">
        <v>-32710</v>
      </c>
      <c r="F6276" s="3" t="s">
        <v>126</v>
      </c>
      <c r="G6276" s="3" t="s">
        <v>20</v>
      </c>
      <c r="H6276" s="2" t="s">
        <v>74</v>
      </c>
      <c r="I6276" s="2" t="s">
        <v>15867</v>
      </c>
      <c r="J6276" s="3" t="str">
        <f>HYPERLINK("https://www.boe.es/gazeta/dias/1810/06/10/pdfs/GMD-1810-161.pdf#page=4","Abrir facsímil")</f>
        <v>Abrir facsímil</v>
      </c>
      <c r="K6276" s="3" t="s">
        <v>76</v>
      </c>
    </row>
    <row r="6277" spans="1:11" ht="42" customHeight="1">
      <c r="A6277" s="2" t="s">
        <v>15868</v>
      </c>
      <c r="B6277" s="2" t="s">
        <v>15868</v>
      </c>
      <c r="C6277" s="2" t="s">
        <v>88</v>
      </c>
      <c r="D6277" s="2" t="s">
        <v>27</v>
      </c>
      <c r="E6277" s="4">
        <v>-32767</v>
      </c>
      <c r="F6277" s="3" t="s">
        <v>1265</v>
      </c>
      <c r="G6277" s="3" t="s">
        <v>1266</v>
      </c>
      <c r="H6277" s="2" t="s">
        <v>74</v>
      </c>
      <c r="I6277" s="2" t="s">
        <v>15869</v>
      </c>
      <c r="J6277" s="3" t="str">
        <f>HYPERLINK("https://www.boe.es/gazeta/dias/1810/04/14/pdfs/GMD-1810-104.pdf#page=4","Abrir facsímil")</f>
        <v>Abrir facsímil</v>
      </c>
      <c r="K6277" s="3" t="s">
        <v>76</v>
      </c>
    </row>
    <row r="6278" spans="1:11" ht="42" customHeight="1">
      <c r="A6278" s="2" t="s">
        <v>15868</v>
      </c>
      <c r="B6278" s="2" t="s">
        <v>15868</v>
      </c>
      <c r="C6278" s="2" t="s">
        <v>88</v>
      </c>
      <c r="D6278" s="2" t="s">
        <v>27</v>
      </c>
      <c r="E6278" s="4">
        <v>-32566</v>
      </c>
      <c r="F6278" s="3" t="s">
        <v>405</v>
      </c>
      <c r="G6278" s="3" t="s">
        <v>99</v>
      </c>
      <c r="H6278" s="2" t="s">
        <v>74</v>
      </c>
      <c r="I6278" s="2" t="s">
        <v>15870</v>
      </c>
      <c r="J6278" s="3" t="str">
        <f>HYPERLINK("https://www.boe.es/gazeta/dias/1810/11/01/pdfs/GMD-1810-305.pdf#page=3","Abrir facsímil")</f>
        <v>Abrir facsímil</v>
      </c>
      <c r="K6278" s="3" t="s">
        <v>76</v>
      </c>
    </row>
    <row r="6279" spans="1:11" ht="42" customHeight="1">
      <c r="A6279" s="2" t="s">
        <v>15871</v>
      </c>
      <c r="B6279" s="2" t="s">
        <v>15872</v>
      </c>
      <c r="C6279" s="2" t="s">
        <v>88</v>
      </c>
      <c r="D6279" s="2" t="s">
        <v>27</v>
      </c>
      <c r="E6279" s="4">
        <v>-32638</v>
      </c>
      <c r="F6279" s="3" t="s">
        <v>489</v>
      </c>
      <c r="G6279" s="3" t="s">
        <v>227</v>
      </c>
      <c r="H6279" s="2" t="s">
        <v>74</v>
      </c>
      <c r="I6279" s="2" t="s">
        <v>15873</v>
      </c>
      <c r="J6279" s="3" t="str">
        <f>HYPERLINK("https://www.boe.es/gazeta/dias/1810/08/21/pdfs/GMD-1810-233.pdf#page=2","Abrir facsímil")</f>
        <v>Abrir facsímil</v>
      </c>
      <c r="K6279" s="3" t="s">
        <v>76</v>
      </c>
    </row>
    <row r="6280" spans="1:11" ht="42" customHeight="1">
      <c r="A6280" s="2" t="s">
        <v>15874</v>
      </c>
      <c r="B6280" s="2" t="s">
        <v>15875</v>
      </c>
      <c r="C6280" s="2" t="s">
        <v>88</v>
      </c>
      <c r="D6280" s="2" t="s">
        <v>27</v>
      </c>
      <c r="E6280" s="4">
        <v>-32585</v>
      </c>
      <c r="F6280" s="3" t="s">
        <v>260</v>
      </c>
      <c r="G6280" s="3" t="s">
        <v>99</v>
      </c>
      <c r="H6280" s="2" t="s">
        <v>74</v>
      </c>
      <c r="I6280" s="2" t="s">
        <v>15876</v>
      </c>
      <c r="J6280" s="3" t="str">
        <f>HYPERLINK("https://www.boe.es/gazeta/dias/1810/10/13/pdfs/GEI-1810-81.pdf#page=3","Abrir facsímil")</f>
        <v>Abrir facsímil</v>
      </c>
      <c r="K6280" s="3" t="s">
        <v>76</v>
      </c>
    </row>
    <row r="6281" spans="1:11" ht="42" customHeight="1">
      <c r="A6281" s="2" t="s">
        <v>15877</v>
      </c>
      <c r="B6281" s="2" t="s">
        <v>15878</v>
      </c>
      <c r="C6281" s="2" t="s">
        <v>26</v>
      </c>
      <c r="D6281" s="2" t="s">
        <v>27</v>
      </c>
      <c r="E6281" s="4">
        <v>-32704</v>
      </c>
      <c r="F6281" s="3" t="s">
        <v>94</v>
      </c>
      <c r="G6281" s="3" t="s">
        <v>20</v>
      </c>
      <c r="H6281" s="2" t="s">
        <v>74</v>
      </c>
      <c r="I6281" s="2" t="s">
        <v>15879</v>
      </c>
      <c r="J6281" s="3" t="str">
        <f>HYPERLINK("https://www.boe.es/gazeta/dias/1810/06/16/pdfs/GMD-1810-167.pdf#page=4","Abrir facsímil")</f>
        <v>Abrir facsímil</v>
      </c>
      <c r="K6281" s="3" t="s">
        <v>76</v>
      </c>
    </row>
    <row r="6282" spans="1:11" ht="42" customHeight="1">
      <c r="A6282" s="2" t="s">
        <v>15880</v>
      </c>
      <c r="B6282" s="2" t="s">
        <v>15881</v>
      </c>
      <c r="C6282" s="2" t="s">
        <v>26</v>
      </c>
      <c r="D6282" s="2" t="s">
        <v>39</v>
      </c>
      <c r="E6282" s="4">
        <v>-32702</v>
      </c>
      <c r="F6282" s="3" t="s">
        <v>179</v>
      </c>
      <c r="G6282" s="3" t="s">
        <v>213</v>
      </c>
      <c r="H6282" s="2" t="s">
        <v>74</v>
      </c>
      <c r="I6282" s="2" t="s">
        <v>15882</v>
      </c>
      <c r="J6282" s="3" t="str">
        <f>HYPERLINK("https://www.boe.es/gazeta/dias/1810/06/18/pdfs/GMD-C-1810-169.pdf#page=4","Abrir facsímil")</f>
        <v>Abrir facsímil</v>
      </c>
      <c r="K6282" s="3" t="s">
        <v>76</v>
      </c>
    </row>
    <row r="6283" spans="1:11" ht="42" customHeight="1">
      <c r="A6283" s="2" t="s">
        <v>15883</v>
      </c>
      <c r="B6283" s="2" t="s">
        <v>15884</v>
      </c>
      <c r="C6283" s="2" t="s">
        <v>26</v>
      </c>
      <c r="D6283" s="2" t="s">
        <v>27</v>
      </c>
      <c r="E6283" s="4">
        <v>-32575</v>
      </c>
      <c r="F6283" s="3" t="s">
        <v>135</v>
      </c>
      <c r="G6283" s="3" t="s">
        <v>136</v>
      </c>
      <c r="H6283" s="2" t="s">
        <v>74</v>
      </c>
      <c r="I6283" s="2" t="s">
        <v>15885</v>
      </c>
      <c r="J6283" s="3" t="str">
        <f>HYPERLINK("https://www.boe.es/gazeta/dias/1810/10/23/pdfs/GEI-1810-85.pdf#page=11","Abrir facsímil")</f>
        <v>Abrir facsímil</v>
      </c>
      <c r="K6283" s="3" t="s">
        <v>76</v>
      </c>
    </row>
    <row r="6284" spans="1:11" ht="42" customHeight="1">
      <c r="A6284" s="2" t="s">
        <v>15886</v>
      </c>
      <c r="B6284" s="2" t="s">
        <v>15887</v>
      </c>
      <c r="C6284" s="2" t="s">
        <v>26</v>
      </c>
      <c r="D6284" s="2" t="s">
        <v>27</v>
      </c>
      <c r="E6284" s="4">
        <v>-32515</v>
      </c>
      <c r="F6284" s="3" t="s">
        <v>351</v>
      </c>
      <c r="G6284" s="3" t="s">
        <v>352</v>
      </c>
      <c r="H6284" s="2" t="s">
        <v>74</v>
      </c>
      <c r="I6284" s="2" t="s">
        <v>15888</v>
      </c>
      <c r="J6284" s="3" t="str">
        <f>HYPERLINK("https://www.boe.es/gazeta/dias/1810/12/22/pdfs/GEI-1810-111.pdf#page=8","Abrir facsímil")</f>
        <v>Abrir facsímil</v>
      </c>
      <c r="K6284" s="3" t="s">
        <v>76</v>
      </c>
    </row>
    <row r="6285" spans="1:11" ht="42" customHeight="1">
      <c r="A6285" s="2" t="s">
        <v>15889</v>
      </c>
      <c r="B6285" s="2" t="s">
        <v>15890</v>
      </c>
      <c r="C6285" s="2" t="s">
        <v>26</v>
      </c>
      <c r="D6285" s="2" t="s">
        <v>27</v>
      </c>
      <c r="E6285" s="4">
        <v>-32515</v>
      </c>
      <c r="F6285" s="3" t="s">
        <v>351</v>
      </c>
      <c r="G6285" s="3" t="s">
        <v>352</v>
      </c>
      <c r="H6285" s="2" t="s">
        <v>74</v>
      </c>
      <c r="I6285" s="2" t="s">
        <v>15891</v>
      </c>
      <c r="J6285" s="3" t="str">
        <f>HYPERLINK("https://www.boe.es/gazeta/dias/1810/12/22/pdfs/GEI-1810-111.pdf#page=8","Abrir facsímil")</f>
        <v>Abrir facsímil</v>
      </c>
      <c r="K6285" s="3" t="s">
        <v>76</v>
      </c>
    </row>
    <row r="6286" spans="1:11" ht="42" customHeight="1">
      <c r="A6286" s="2" t="s">
        <v>15892</v>
      </c>
      <c r="B6286" s="2" t="s">
        <v>15893</v>
      </c>
      <c r="C6286" s="2" t="s">
        <v>88</v>
      </c>
      <c r="D6286" s="2" t="s">
        <v>117</v>
      </c>
      <c r="E6286" s="4">
        <v>-32775</v>
      </c>
      <c r="F6286" s="3" t="s">
        <v>308</v>
      </c>
      <c r="G6286" s="3" t="s">
        <v>140</v>
      </c>
      <c r="H6286" s="2" t="s">
        <v>74</v>
      </c>
      <c r="I6286" s="2" t="s">
        <v>15894</v>
      </c>
      <c r="J6286" s="3" t="str">
        <f>HYPERLINK("https://www.boe.es/gazeta/dias/1810/04/06/pdfs/GMD-1810-96.pdf#page=3","Abrir facsímil")</f>
        <v>Abrir facsímil</v>
      </c>
      <c r="K6286" s="3" t="s">
        <v>76</v>
      </c>
    </row>
    <row r="6287" spans="1:11" ht="42" customHeight="1">
      <c r="A6287" s="2" t="s">
        <v>15895</v>
      </c>
      <c r="B6287" s="2" t="s">
        <v>15896</v>
      </c>
      <c r="C6287" s="2" t="s">
        <v>26</v>
      </c>
      <c r="D6287" s="2" t="s">
        <v>27</v>
      </c>
      <c r="E6287" s="4">
        <v>-32647</v>
      </c>
      <c r="F6287" s="3" t="s">
        <v>118</v>
      </c>
      <c r="G6287" s="3" t="s">
        <v>119</v>
      </c>
      <c r="H6287" s="2" t="s">
        <v>74</v>
      </c>
      <c r="I6287" s="2" t="s">
        <v>15897</v>
      </c>
      <c r="J6287" s="3" t="str">
        <f>HYPERLINK("https://www.boe.es/gazeta/dias/1810/08/12/pdfs/GMD-1810-224.pdf#page=3","Abrir facsímil")</f>
        <v>Abrir facsímil</v>
      </c>
      <c r="K6287" s="3" t="s">
        <v>76</v>
      </c>
    </row>
    <row r="6288" spans="1:11" ht="42" customHeight="1">
      <c r="A6288" s="2" t="s">
        <v>15898</v>
      </c>
      <c r="B6288" s="2" t="s">
        <v>15899</v>
      </c>
      <c r="C6288" s="2" t="s">
        <v>26</v>
      </c>
      <c r="D6288" s="2" t="s">
        <v>27</v>
      </c>
      <c r="E6288" s="4">
        <v>-32710</v>
      </c>
      <c r="F6288" s="3" t="s">
        <v>126</v>
      </c>
      <c r="G6288" s="3" t="s">
        <v>20</v>
      </c>
      <c r="H6288" s="2" t="s">
        <v>74</v>
      </c>
      <c r="I6288" s="2" t="s">
        <v>15900</v>
      </c>
      <c r="J6288" s="3" t="str">
        <f>HYPERLINK("https://www.boe.es/gazeta/dias/1810/06/10/pdfs/GMD-1810-161.pdf#page=4","Abrir facsímil")</f>
        <v>Abrir facsímil</v>
      </c>
      <c r="K6288" s="3" t="s">
        <v>76</v>
      </c>
    </row>
    <row r="6289" spans="1:11" ht="42" customHeight="1">
      <c r="A6289" s="2" t="s">
        <v>15901</v>
      </c>
      <c r="B6289" s="2" t="s">
        <v>15902</v>
      </c>
      <c r="C6289" s="2" t="s">
        <v>26</v>
      </c>
      <c r="D6289" s="2" t="s">
        <v>27</v>
      </c>
      <c r="E6289" s="4">
        <v>-32710</v>
      </c>
      <c r="F6289" s="3" t="s">
        <v>126</v>
      </c>
      <c r="G6289" s="3" t="s">
        <v>20</v>
      </c>
      <c r="H6289" s="2" t="s">
        <v>74</v>
      </c>
      <c r="I6289" s="2" t="s">
        <v>15903</v>
      </c>
      <c r="J6289" s="3" t="str">
        <f>HYPERLINK("https://www.boe.es/gazeta/dias/1810/06/10/pdfs/GMD-1810-161.pdf#page=4","Abrir facsímil")</f>
        <v>Abrir facsímil</v>
      </c>
      <c r="K6289" s="3" t="s">
        <v>76</v>
      </c>
    </row>
    <row r="6290" spans="1:11" ht="42" customHeight="1">
      <c r="A6290" s="2" t="s">
        <v>15904</v>
      </c>
      <c r="B6290" s="2" t="s">
        <v>15905</v>
      </c>
      <c r="C6290" s="2" t="s">
        <v>88</v>
      </c>
      <c r="D6290" s="2" t="s">
        <v>27</v>
      </c>
      <c r="E6290" s="4">
        <v>-32545</v>
      </c>
      <c r="F6290" s="3" t="s">
        <v>165</v>
      </c>
      <c r="G6290" s="3" t="s">
        <v>1516</v>
      </c>
      <c r="H6290" s="2" t="s">
        <v>74</v>
      </c>
      <c r="I6290" s="2" t="s">
        <v>15906</v>
      </c>
      <c r="J6290" s="3" t="str">
        <f>HYPERLINK("https://www.boe.es/gazeta/dias/1810/11/22/pdfs/GEI-1810-98.pdf#page=7","Abrir facsímil")</f>
        <v>Abrir facsímil</v>
      </c>
      <c r="K6290" s="3" t="s">
        <v>76</v>
      </c>
    </row>
    <row r="6291" spans="1:11" ht="42" customHeight="1">
      <c r="A6291" s="2" t="s">
        <v>15907</v>
      </c>
      <c r="B6291" s="2" t="s">
        <v>15908</v>
      </c>
      <c r="C6291" s="2" t="s">
        <v>88</v>
      </c>
      <c r="D6291" s="2" t="s">
        <v>27</v>
      </c>
      <c r="E6291" s="4">
        <v>-32545</v>
      </c>
      <c r="F6291" s="3" t="s">
        <v>165</v>
      </c>
      <c r="G6291" s="3" t="s">
        <v>1516</v>
      </c>
      <c r="H6291" s="2" t="s">
        <v>74</v>
      </c>
      <c r="I6291" s="2" t="s">
        <v>15909</v>
      </c>
      <c r="J6291" s="3" t="str">
        <f>HYPERLINK("https://www.boe.es/gazeta/dias/1810/11/22/pdfs/GEI-1810-98.pdf#page=7","Abrir facsímil")</f>
        <v>Abrir facsímil</v>
      </c>
      <c r="K6291" s="3" t="s">
        <v>76</v>
      </c>
    </row>
    <row r="6292" spans="1:11" ht="42" customHeight="1">
      <c r="A6292" s="2" t="s">
        <v>15910</v>
      </c>
      <c r="B6292" s="2" t="s">
        <v>15911</v>
      </c>
      <c r="C6292" s="2" t="s">
        <v>26</v>
      </c>
      <c r="D6292" s="2" t="s">
        <v>27</v>
      </c>
      <c r="E6292" s="4">
        <v>-32738</v>
      </c>
      <c r="F6292" s="3" t="s">
        <v>321</v>
      </c>
      <c r="G6292" s="3" t="s">
        <v>140</v>
      </c>
      <c r="H6292" s="2" t="s">
        <v>74</v>
      </c>
      <c r="I6292" s="2" t="s">
        <v>15912</v>
      </c>
      <c r="J6292" s="3" t="str">
        <f>HYPERLINK("https://www.boe.es/gazeta/dias/1810/05/13/pdfs/GMD-1810-133.pdf#page=4","Abrir facsímil")</f>
        <v>Abrir facsímil</v>
      </c>
      <c r="K6292" s="3" t="s">
        <v>76</v>
      </c>
    </row>
    <row r="6293" spans="1:11" ht="42" customHeight="1">
      <c r="A6293" s="2" t="s">
        <v>15913</v>
      </c>
      <c r="B6293" s="2" t="s">
        <v>15914</v>
      </c>
      <c r="C6293" s="2" t="s">
        <v>26</v>
      </c>
      <c r="D6293" s="2" t="s">
        <v>39</v>
      </c>
      <c r="E6293" s="4">
        <v>-32702</v>
      </c>
      <c r="F6293" s="3" t="s">
        <v>179</v>
      </c>
      <c r="G6293" s="3" t="s">
        <v>213</v>
      </c>
      <c r="H6293" s="2" t="s">
        <v>74</v>
      </c>
      <c r="I6293" s="2" t="s">
        <v>15915</v>
      </c>
      <c r="J6293" s="3" t="str">
        <f>HYPERLINK("https://www.boe.es/gazeta/dias/1810/06/18/pdfs/GMD-C-1810-169.pdf#page=4","Abrir facsímil")</f>
        <v>Abrir facsímil</v>
      </c>
      <c r="K6293" s="3" t="s">
        <v>76</v>
      </c>
    </row>
    <row r="6294" spans="1:11" ht="42" customHeight="1">
      <c r="A6294" s="2" t="s">
        <v>15916</v>
      </c>
      <c r="B6294" s="2" t="s">
        <v>15916</v>
      </c>
      <c r="C6294" s="2" t="s">
        <v>88</v>
      </c>
      <c r="D6294" s="2" t="s">
        <v>117</v>
      </c>
      <c r="E6294" s="4">
        <v>-32675</v>
      </c>
      <c r="F6294" s="3" t="s">
        <v>729</v>
      </c>
      <c r="G6294" s="3" t="s">
        <v>29</v>
      </c>
      <c r="H6294" s="2" t="s">
        <v>74</v>
      </c>
      <c r="I6294" s="2" t="s">
        <v>15917</v>
      </c>
      <c r="J6294" s="3" t="str">
        <f>HYPERLINK("https://www.boe.es/gazeta/dias/1810/07/15/pdfs/GMD-1810-196.pdf#page=2","Abrir facsímil")</f>
        <v>Abrir facsímil</v>
      </c>
      <c r="K6294" s="3" t="s">
        <v>76</v>
      </c>
    </row>
    <row r="6295" spans="1:11" ht="42" customHeight="1">
      <c r="A6295" s="2" t="s">
        <v>15918</v>
      </c>
      <c r="B6295" s="2" t="s">
        <v>15918</v>
      </c>
      <c r="C6295" s="2" t="s">
        <v>26</v>
      </c>
      <c r="D6295" s="2" t="s">
        <v>27</v>
      </c>
      <c r="E6295" s="4">
        <v>-32721</v>
      </c>
      <c r="F6295" s="3" t="s">
        <v>3437</v>
      </c>
      <c r="G6295" s="3" t="s">
        <v>15919</v>
      </c>
      <c r="H6295" s="2" t="s">
        <v>74</v>
      </c>
      <c r="I6295" s="2" t="s">
        <v>15920</v>
      </c>
      <c r="J6295" s="3" t="str">
        <f>HYPERLINK("https://www.boe.es/gazeta/dias/1810/05/30/pdfs/GMD-1810-150.pdf#page=1","Abrir facsímil")</f>
        <v>Abrir facsímil</v>
      </c>
      <c r="K6295" s="3" t="s">
        <v>76</v>
      </c>
    </row>
    <row r="6296" spans="1:11" ht="42" customHeight="1">
      <c r="A6296" s="2" t="s">
        <v>15921</v>
      </c>
      <c r="B6296" s="2" t="s">
        <v>15922</v>
      </c>
      <c r="C6296" s="2" t="s">
        <v>26</v>
      </c>
      <c r="D6296" s="2" t="s">
        <v>27</v>
      </c>
      <c r="E6296" s="4">
        <v>-32575</v>
      </c>
      <c r="F6296" s="3" t="s">
        <v>135</v>
      </c>
      <c r="G6296" s="3" t="s">
        <v>140</v>
      </c>
      <c r="H6296" s="2" t="s">
        <v>74</v>
      </c>
      <c r="I6296" s="2" t="s">
        <v>15923</v>
      </c>
      <c r="J6296" s="3" t="str">
        <f>HYPERLINK("https://www.boe.es/gazeta/dias/1810/10/23/pdfs/GEI-1810-85.pdf#page=10","Abrir facsímil")</f>
        <v>Abrir facsímil</v>
      </c>
      <c r="K6296" s="3" t="s">
        <v>76</v>
      </c>
    </row>
    <row r="6297" spans="1:11" ht="42" customHeight="1">
      <c r="A6297" s="2" t="s">
        <v>15924</v>
      </c>
      <c r="B6297" s="2" t="s">
        <v>15925</v>
      </c>
      <c r="C6297" s="2" t="s">
        <v>88</v>
      </c>
      <c r="D6297" s="2" t="s">
        <v>117</v>
      </c>
      <c r="E6297" s="4">
        <v>-32524</v>
      </c>
      <c r="F6297" s="3" t="s">
        <v>281</v>
      </c>
      <c r="G6297" s="3" t="s">
        <v>119</v>
      </c>
      <c r="H6297" s="2" t="s">
        <v>74</v>
      </c>
      <c r="I6297" s="2" t="s">
        <v>15926</v>
      </c>
      <c r="J6297" s="3" t="str">
        <f>HYPERLINK("https://www.boe.es/gazeta/dias/1810/12/13/pdfs/GEI-1810-107.pdf#page=7","Abrir facsímil")</f>
        <v>Abrir facsímil</v>
      </c>
      <c r="K6297" s="3" t="s">
        <v>76</v>
      </c>
    </row>
    <row r="6298" spans="1:11" ht="42" customHeight="1">
      <c r="A6298" s="2" t="s">
        <v>15927</v>
      </c>
      <c r="B6298" s="2" t="s">
        <v>15928</v>
      </c>
      <c r="C6298" s="2" t="s">
        <v>26</v>
      </c>
      <c r="D6298" s="2" t="s">
        <v>18</v>
      </c>
      <c r="E6298" s="4">
        <v>-32827</v>
      </c>
      <c r="F6298" s="3" t="s">
        <v>290</v>
      </c>
      <c r="G6298" s="3" t="s">
        <v>291</v>
      </c>
      <c r="H6298" s="2" t="s">
        <v>74</v>
      </c>
      <c r="I6298" s="2" t="s">
        <v>15929</v>
      </c>
      <c r="J6298" s="3" t="str">
        <f>HYPERLINK("https://www.boe.es/gazeta/dias/1810/02/13/pdfs/GMD-1810-44.pdf#page=4","Abrir facsímil")</f>
        <v>Abrir facsímil</v>
      </c>
      <c r="K6298" s="3" t="s">
        <v>76</v>
      </c>
    </row>
    <row r="6299" spans="1:11" ht="42" customHeight="1">
      <c r="A6299" s="2" t="s">
        <v>15930</v>
      </c>
      <c r="B6299" s="2" t="s">
        <v>15931</v>
      </c>
      <c r="C6299" s="2" t="s">
        <v>26</v>
      </c>
      <c r="D6299" s="2" t="s">
        <v>27</v>
      </c>
      <c r="E6299" s="4">
        <v>-32842</v>
      </c>
      <c r="F6299" s="3" t="s">
        <v>1291</v>
      </c>
      <c r="G6299" s="3" t="s">
        <v>70</v>
      </c>
      <c r="H6299" s="2" t="s">
        <v>74</v>
      </c>
      <c r="I6299" s="2" t="s">
        <v>15932</v>
      </c>
      <c r="J6299" s="3" t="str">
        <f>HYPERLINK("https://www.boe.es/gazeta/dias/1810/01/29/pdfs/GMD-1810-29.pdf#page=4","Abrir facsímil")</f>
        <v>Abrir facsímil</v>
      </c>
      <c r="K6299" s="3" t="s">
        <v>76</v>
      </c>
    </row>
    <row r="6300" spans="1:11" ht="42" customHeight="1">
      <c r="A6300" s="2" t="s">
        <v>15933</v>
      </c>
      <c r="B6300" s="2" t="s">
        <v>15934</v>
      </c>
      <c r="C6300" s="2" t="s">
        <v>88</v>
      </c>
      <c r="D6300" s="2" t="s">
        <v>18</v>
      </c>
      <c r="E6300" s="4">
        <v>-32720</v>
      </c>
      <c r="F6300" s="3" t="s">
        <v>3377</v>
      </c>
      <c r="G6300" s="3" t="s">
        <v>3378</v>
      </c>
      <c r="H6300" s="2" t="s">
        <v>74</v>
      </c>
      <c r="I6300" s="2" t="s">
        <v>15935</v>
      </c>
      <c r="J6300" s="3" t="str">
        <f>HYPERLINK("https://www.boe.es/gazeta/dias/1810/05/31/pdfs/GMD-1810-151.pdf#page=4","Abrir facsímil")</f>
        <v>Abrir facsímil</v>
      </c>
      <c r="K6300" s="3" t="s">
        <v>76</v>
      </c>
    </row>
    <row r="6301" spans="1:11" ht="42" customHeight="1">
      <c r="A6301" s="2" t="s">
        <v>15936</v>
      </c>
      <c r="B6301" s="2" t="s">
        <v>15937</v>
      </c>
      <c r="C6301" s="2" t="s">
        <v>26</v>
      </c>
      <c r="D6301" s="2" t="s">
        <v>27</v>
      </c>
      <c r="E6301" s="4">
        <v>-32508</v>
      </c>
      <c r="F6301" s="3" t="s">
        <v>864</v>
      </c>
      <c r="G6301" s="3" t="s">
        <v>691</v>
      </c>
      <c r="H6301" s="2" t="s">
        <v>21</v>
      </c>
      <c r="I6301" s="2" t="s">
        <v>15938</v>
      </c>
      <c r="J6301" s="3" t="str">
        <f>HYPERLINK("https://www.boe.es/gazeta/dias/1810/12/29/pdfs/GEI-1810-114.pdf#page=8","Abrir facsímil")</f>
        <v>Abrir facsímil</v>
      </c>
      <c r="K6301" s="3" t="s">
        <v>23</v>
      </c>
    </row>
    <row r="6302" spans="1:11" ht="42" customHeight="1">
      <c r="A6302" s="2" t="s">
        <v>15939</v>
      </c>
      <c r="B6302" s="2" t="s">
        <v>15940</v>
      </c>
      <c r="C6302" s="2" t="s">
        <v>88</v>
      </c>
      <c r="D6302" s="2" t="s">
        <v>117</v>
      </c>
      <c r="E6302" s="4">
        <v>-32716</v>
      </c>
      <c r="F6302" s="3" t="s">
        <v>624</v>
      </c>
      <c r="G6302" s="3" t="s">
        <v>140</v>
      </c>
      <c r="H6302" s="2" t="s">
        <v>21</v>
      </c>
      <c r="I6302" s="2" t="s">
        <v>15941</v>
      </c>
      <c r="J6302" s="3" t="str">
        <f>HYPERLINK("https://www.boe.es/gazeta/dias/1810/06/04/pdfs/GMD-1810-155.pdf#page=4","Abrir facsímil")</f>
        <v>Abrir facsímil</v>
      </c>
      <c r="K6302" s="3" t="s">
        <v>23</v>
      </c>
    </row>
    <row r="6303" spans="1:11" ht="42" customHeight="1">
      <c r="A6303" s="2" t="s">
        <v>15942</v>
      </c>
      <c r="B6303" s="2" t="s">
        <v>15943</v>
      </c>
      <c r="C6303" s="2" t="s">
        <v>26</v>
      </c>
      <c r="D6303" s="2" t="s">
        <v>27</v>
      </c>
      <c r="E6303" s="4">
        <v>-32833</v>
      </c>
      <c r="F6303" s="3" t="s">
        <v>1836</v>
      </c>
      <c r="G6303" s="3" t="s">
        <v>29</v>
      </c>
      <c r="H6303" s="2" t="s">
        <v>21</v>
      </c>
      <c r="I6303" s="2" t="s">
        <v>15944</v>
      </c>
      <c r="J6303" s="3" t="str">
        <f>HYPERLINK("https://www.boe.es/gazeta/dias/1810/02/07/pdfs/GMD-1810-38.pdf#page=4","Abrir facsímil")</f>
        <v>Abrir facsímil</v>
      </c>
      <c r="K6303" s="3" t="s">
        <v>23</v>
      </c>
    </row>
    <row r="6304" spans="1:11" ht="42" customHeight="1">
      <c r="A6304" s="2" t="s">
        <v>15945</v>
      </c>
      <c r="B6304" s="2" t="s">
        <v>15946</v>
      </c>
      <c r="C6304" s="2" t="s">
        <v>26</v>
      </c>
      <c r="D6304" s="2" t="s">
        <v>58</v>
      </c>
      <c r="E6304" s="4">
        <v>-32601</v>
      </c>
      <c r="F6304" s="3" t="s">
        <v>392</v>
      </c>
      <c r="G6304" s="3" t="s">
        <v>1430</v>
      </c>
      <c r="H6304" s="2" t="s">
        <v>21</v>
      </c>
      <c r="I6304" s="2" t="s">
        <v>15947</v>
      </c>
      <c r="J6304" s="3" t="str">
        <f>HYPERLINK("https://www.boe.es/gazeta/dias/1810/09/27/pdfs/GEI-1810-74E.pdf#page=3","Abrir facsímil")</f>
        <v>Abrir facsímil</v>
      </c>
      <c r="K6304" s="3" t="s">
        <v>23</v>
      </c>
    </row>
    <row r="6305" spans="1:11" ht="42" customHeight="1">
      <c r="A6305" s="2" t="s">
        <v>15948</v>
      </c>
      <c r="B6305" s="2" t="s">
        <v>15949</v>
      </c>
      <c r="C6305" s="2" t="s">
        <v>26</v>
      </c>
      <c r="D6305" s="2" t="s">
        <v>39</v>
      </c>
      <c r="E6305" s="4">
        <v>-32701</v>
      </c>
      <c r="F6305" s="3" t="s">
        <v>40</v>
      </c>
      <c r="G6305" s="3" t="s">
        <v>41</v>
      </c>
      <c r="H6305" s="2" t="s">
        <v>21</v>
      </c>
      <c r="I6305" s="2" t="s">
        <v>15950</v>
      </c>
      <c r="J6305" s="3" t="str">
        <f>HYPERLINK("https://www.boe.es/gazeta/dias/1810/06/19/pdfs/GMD-C-1810-170.pdf#page=3","Abrir facsímil")</f>
        <v>Abrir facsímil</v>
      </c>
      <c r="K6305" s="3" t="s">
        <v>23</v>
      </c>
    </row>
    <row r="6306" spans="1:11" ht="42" customHeight="1">
      <c r="A6306" s="2" t="s">
        <v>15951</v>
      </c>
      <c r="B6306" s="2" t="s">
        <v>15952</v>
      </c>
      <c r="C6306" s="2" t="s">
        <v>26</v>
      </c>
      <c r="D6306" s="2" t="s">
        <v>27</v>
      </c>
      <c r="E6306" s="4">
        <v>-32522</v>
      </c>
      <c r="F6306" s="3" t="s">
        <v>3137</v>
      </c>
      <c r="G6306" s="3" t="s">
        <v>7887</v>
      </c>
      <c r="H6306" s="2" t="s">
        <v>74</v>
      </c>
      <c r="I6306" s="2" t="s">
        <v>15953</v>
      </c>
      <c r="J6306" s="3" t="str">
        <f>HYPERLINK("https://www.boe.es/gazeta/dias/1810/12/15/pdfs/GEI-1810-108.pdf#page=6","Abrir facsímil")</f>
        <v>Abrir facsímil</v>
      </c>
      <c r="K6306" s="3" t="s">
        <v>76</v>
      </c>
    </row>
    <row r="6307" spans="1:11" ht="42" customHeight="1">
      <c r="A6307" s="2" t="s">
        <v>15954</v>
      </c>
      <c r="B6307" s="2" t="s">
        <v>15955</v>
      </c>
      <c r="C6307" s="2" t="s">
        <v>88</v>
      </c>
      <c r="D6307" s="2" t="s">
        <v>27</v>
      </c>
      <c r="E6307" s="4">
        <v>-32571</v>
      </c>
      <c r="F6307" s="3" t="s">
        <v>737</v>
      </c>
      <c r="G6307" s="3" t="s">
        <v>738</v>
      </c>
      <c r="H6307" s="2" t="s">
        <v>74</v>
      </c>
      <c r="I6307" s="2" t="s">
        <v>15956</v>
      </c>
      <c r="J6307" s="3" t="str">
        <f>HYPERLINK("https://www.boe.es/gazeta/dias/1810/10/27/pdfs/GEI-1810-87.pdf#page=4","Abrir facsímil")</f>
        <v>Abrir facsímil</v>
      </c>
      <c r="K6307" s="3" t="s">
        <v>76</v>
      </c>
    </row>
    <row r="6308" spans="1:11" ht="42" customHeight="1">
      <c r="A6308" s="2" t="s">
        <v>15957</v>
      </c>
      <c r="B6308" s="2" t="s">
        <v>15957</v>
      </c>
      <c r="C6308" s="2" t="s">
        <v>88</v>
      </c>
      <c r="D6308" s="2" t="s">
        <v>27</v>
      </c>
      <c r="E6308" s="4">
        <v>-32780</v>
      </c>
      <c r="F6308" s="3" t="s">
        <v>1295</v>
      </c>
      <c r="G6308" s="3" t="s">
        <v>213</v>
      </c>
      <c r="H6308" s="2" t="s">
        <v>74</v>
      </c>
      <c r="I6308" s="2" t="s">
        <v>15958</v>
      </c>
      <c r="J6308" s="3" t="str">
        <f>HYPERLINK("https://www.boe.es/gazeta/dias/1810/04/01/pdfs/GMD-1810-91.pdf#page=3","Abrir facsímil")</f>
        <v>Abrir facsímil</v>
      </c>
      <c r="K6308" s="3" t="s">
        <v>76</v>
      </c>
    </row>
    <row r="6309" spans="1:11" ht="42" customHeight="1">
      <c r="A6309" s="2" t="s">
        <v>15957</v>
      </c>
      <c r="B6309" s="2" t="s">
        <v>15957</v>
      </c>
      <c r="C6309" s="2" t="s">
        <v>88</v>
      </c>
      <c r="D6309" s="2" t="s">
        <v>117</v>
      </c>
      <c r="E6309" s="4">
        <v>-32740</v>
      </c>
      <c r="F6309" s="3" t="s">
        <v>721</v>
      </c>
      <c r="G6309" s="3" t="s">
        <v>1633</v>
      </c>
      <c r="H6309" s="2" t="s">
        <v>74</v>
      </c>
      <c r="I6309" s="2" t="s">
        <v>15959</v>
      </c>
      <c r="J6309" s="3" t="str">
        <f>HYPERLINK("https://www.boe.es/gazeta/dias/1810/05/11/pdfs/GEI-1810-24.pdf#page=4","Abrir facsímil")</f>
        <v>Abrir facsímil</v>
      </c>
      <c r="K6309" s="3" t="s">
        <v>76</v>
      </c>
    </row>
    <row r="6310" spans="1:11" ht="42" customHeight="1">
      <c r="A6310" s="2" t="s">
        <v>15957</v>
      </c>
      <c r="B6310" s="2" t="s">
        <v>15957</v>
      </c>
      <c r="C6310" s="2" t="s">
        <v>88</v>
      </c>
      <c r="D6310" s="2" t="s">
        <v>117</v>
      </c>
      <c r="E6310" s="4">
        <v>-32740</v>
      </c>
      <c r="F6310" s="3" t="s">
        <v>721</v>
      </c>
      <c r="G6310" s="3" t="s">
        <v>2441</v>
      </c>
      <c r="H6310" s="2" t="s">
        <v>74</v>
      </c>
      <c r="I6310" s="2" t="s">
        <v>15960</v>
      </c>
      <c r="J6310" s="3" t="str">
        <f>HYPERLINK("https://www.boe.es/gazeta/dias/1810/05/11/pdfs/GEI-1810-24.pdf#page=5","Abrir facsímil")</f>
        <v>Abrir facsímil</v>
      </c>
      <c r="K6310" s="3" t="s">
        <v>76</v>
      </c>
    </row>
    <row r="6311" spans="1:11" ht="42" customHeight="1">
      <c r="A6311" s="2" t="s">
        <v>15957</v>
      </c>
      <c r="B6311" s="2" t="s">
        <v>15957</v>
      </c>
      <c r="C6311" s="2" t="s">
        <v>88</v>
      </c>
      <c r="D6311" s="2" t="s">
        <v>117</v>
      </c>
      <c r="E6311" s="4">
        <v>-32691</v>
      </c>
      <c r="F6311" s="3" t="s">
        <v>3021</v>
      </c>
      <c r="G6311" s="3" t="s">
        <v>15961</v>
      </c>
      <c r="H6311" s="2" t="s">
        <v>74</v>
      </c>
      <c r="I6311" s="2" t="s">
        <v>15962</v>
      </c>
      <c r="J6311" s="3" t="str">
        <f>HYPERLINK("https://www.boe.es/gazeta/dias/1810/06/29/pdfs/GEI-1810-40.pdf#page=2","Abrir facsímil")</f>
        <v>Abrir facsímil</v>
      </c>
      <c r="K6311" s="3" t="s">
        <v>76</v>
      </c>
    </row>
    <row r="6312" spans="1:11" ht="42" customHeight="1">
      <c r="A6312" s="2" t="s">
        <v>15957</v>
      </c>
      <c r="B6312" s="2" t="s">
        <v>15957</v>
      </c>
      <c r="C6312" s="2" t="s">
        <v>88</v>
      </c>
      <c r="D6312" s="2" t="s">
        <v>27</v>
      </c>
      <c r="E6312" s="4">
        <v>-32670</v>
      </c>
      <c r="F6312" s="3" t="s">
        <v>1942</v>
      </c>
      <c r="G6312" s="3" t="s">
        <v>140</v>
      </c>
      <c r="H6312" s="2" t="s">
        <v>74</v>
      </c>
      <c r="I6312" s="2" t="s">
        <v>15963</v>
      </c>
      <c r="J6312" s="3" t="str">
        <f>HYPERLINK("https://www.boe.es/gazeta/dias/1810/07/20/pdfs/GEI-1810-46.pdf#page=6","Abrir facsímil")</f>
        <v>Abrir facsímil</v>
      </c>
      <c r="K6312" s="3" t="s">
        <v>76</v>
      </c>
    </row>
    <row r="6313" spans="1:11" ht="42" customHeight="1">
      <c r="A6313" s="2" t="s">
        <v>15957</v>
      </c>
      <c r="B6313" s="2" t="s">
        <v>15957</v>
      </c>
      <c r="C6313" s="2" t="s">
        <v>88</v>
      </c>
      <c r="D6313" s="2" t="s">
        <v>117</v>
      </c>
      <c r="E6313" s="4">
        <v>-32645</v>
      </c>
      <c r="F6313" s="3" t="s">
        <v>2492</v>
      </c>
      <c r="G6313" s="3" t="s">
        <v>2493</v>
      </c>
      <c r="H6313" s="2" t="s">
        <v>74</v>
      </c>
      <c r="I6313" s="2" t="s">
        <v>15964</v>
      </c>
      <c r="J6313" s="3" t="str">
        <f>HYPERLINK("https://www.boe.es/gazeta/dias/1810/08/14/pdfs/GEI-D-1810-56.pdf#page=2","Abrir facsímil")</f>
        <v>Abrir facsímil</v>
      </c>
      <c r="K6313" s="3" t="s">
        <v>76</v>
      </c>
    </row>
    <row r="6314" spans="1:11" ht="42" customHeight="1">
      <c r="A6314" s="2" t="s">
        <v>15957</v>
      </c>
      <c r="B6314" s="2" t="s">
        <v>15957</v>
      </c>
      <c r="C6314" s="2" t="s">
        <v>88</v>
      </c>
      <c r="D6314" s="2" t="s">
        <v>27</v>
      </c>
      <c r="E6314" s="4">
        <v>-32592</v>
      </c>
      <c r="F6314" s="3" t="s">
        <v>771</v>
      </c>
      <c r="G6314" s="3" t="s">
        <v>15965</v>
      </c>
      <c r="H6314" s="2" t="s">
        <v>74</v>
      </c>
      <c r="I6314" s="2" t="s">
        <v>15966</v>
      </c>
      <c r="J6314" s="3" t="str">
        <f>HYPERLINK("https://www.boe.es/gazeta/dias/1810/10/06/pdfs/GEI-1810-78.pdf#page=8","Abrir facsímil")</f>
        <v>Abrir facsímil</v>
      </c>
      <c r="K6314" s="3" t="s">
        <v>76</v>
      </c>
    </row>
    <row r="6315" spans="1:11" ht="42" customHeight="1">
      <c r="A6315" s="2" t="s">
        <v>15957</v>
      </c>
      <c r="B6315" s="2" t="s">
        <v>15957</v>
      </c>
      <c r="C6315" s="2" t="s">
        <v>88</v>
      </c>
      <c r="D6315" s="2" t="s">
        <v>27</v>
      </c>
      <c r="E6315" s="4">
        <v>-32568</v>
      </c>
      <c r="F6315" s="3" t="s">
        <v>683</v>
      </c>
      <c r="G6315" s="3" t="s">
        <v>5333</v>
      </c>
      <c r="H6315" s="2" t="s">
        <v>74</v>
      </c>
      <c r="I6315" s="2" t="s">
        <v>15967</v>
      </c>
      <c r="J6315" s="3" t="str">
        <f>HYPERLINK("https://www.boe.es/gazeta/dias/1810/10/30/pdfs/GEI-1810-88.pdf#page=7","Abrir facsímil")</f>
        <v>Abrir facsímil</v>
      </c>
      <c r="K6315" s="3" t="s">
        <v>76</v>
      </c>
    </row>
    <row r="6316" spans="1:11" ht="42" customHeight="1">
      <c r="A6316" s="2" t="s">
        <v>15957</v>
      </c>
      <c r="B6316" s="2" t="s">
        <v>15957</v>
      </c>
      <c r="C6316" s="2" t="s">
        <v>88</v>
      </c>
      <c r="D6316" s="2" t="s">
        <v>27</v>
      </c>
      <c r="E6316" s="4">
        <v>-32561</v>
      </c>
      <c r="F6316" s="3" t="s">
        <v>273</v>
      </c>
      <c r="G6316" s="3" t="s">
        <v>3749</v>
      </c>
      <c r="H6316" s="2" t="s">
        <v>74</v>
      </c>
      <c r="I6316" s="2" t="s">
        <v>15968</v>
      </c>
      <c r="J6316" s="3" t="str">
        <f>HYPERLINK("https://www.boe.es/gazeta/dias/1810/11/06/pdfs/GEI-1810-91.pdf#page=1","Abrir facsímil")</f>
        <v>Abrir facsímil</v>
      </c>
      <c r="K6316" s="3" t="s">
        <v>76</v>
      </c>
    </row>
    <row r="6317" spans="1:11" ht="42" customHeight="1">
      <c r="A6317" s="2" t="s">
        <v>15957</v>
      </c>
      <c r="B6317" s="2" t="s">
        <v>15957</v>
      </c>
      <c r="C6317" s="2" t="s">
        <v>88</v>
      </c>
      <c r="D6317" s="2" t="s">
        <v>220</v>
      </c>
      <c r="E6317" s="4">
        <v>-32561</v>
      </c>
      <c r="F6317" s="3" t="s">
        <v>273</v>
      </c>
      <c r="G6317" s="3" t="s">
        <v>782</v>
      </c>
      <c r="H6317" s="2" t="s">
        <v>74</v>
      </c>
      <c r="I6317" s="2" t="s">
        <v>15969</v>
      </c>
      <c r="J6317" s="3" t="str">
        <f>HYPERLINK("https://www.boe.es/gazeta/dias/1810/11/06/pdfs/GEI-1810-91.pdf#page=5","Abrir facsímil")</f>
        <v>Abrir facsímil</v>
      </c>
      <c r="K6317" s="3" t="s">
        <v>76</v>
      </c>
    </row>
    <row r="6318" spans="1:11" ht="42" customHeight="1">
      <c r="A6318" s="2" t="s">
        <v>15970</v>
      </c>
      <c r="B6318" s="2" t="s">
        <v>15971</v>
      </c>
      <c r="C6318" s="2" t="s">
        <v>88</v>
      </c>
      <c r="D6318" s="2" t="s">
        <v>117</v>
      </c>
      <c r="E6318" s="4">
        <v>-32796</v>
      </c>
      <c r="F6318" s="3" t="s">
        <v>246</v>
      </c>
      <c r="G6318" s="3" t="s">
        <v>291</v>
      </c>
      <c r="H6318" s="2" t="s">
        <v>74</v>
      </c>
      <c r="I6318" s="2" t="s">
        <v>15972</v>
      </c>
      <c r="J6318" s="3" t="str">
        <f>HYPERLINK("https://www.boe.es/gazeta/dias/1810/03/16/pdfs/GEI-1810-2.pdf#page=4","Abrir facsímil")</f>
        <v>Abrir facsímil</v>
      </c>
      <c r="K6318" s="3" t="s">
        <v>76</v>
      </c>
    </row>
    <row r="6319" spans="1:11" ht="42" customHeight="1">
      <c r="A6319" s="2" t="s">
        <v>15973</v>
      </c>
      <c r="B6319" s="2" t="s">
        <v>15974</v>
      </c>
      <c r="C6319" s="2" t="s">
        <v>88</v>
      </c>
      <c r="D6319" s="2" t="s">
        <v>27</v>
      </c>
      <c r="E6319" s="4">
        <v>-32568</v>
      </c>
      <c r="F6319" s="3" t="s">
        <v>683</v>
      </c>
      <c r="G6319" s="3" t="s">
        <v>465</v>
      </c>
      <c r="H6319" s="2" t="s">
        <v>74</v>
      </c>
      <c r="I6319" s="2" t="s">
        <v>15975</v>
      </c>
      <c r="J6319" s="3" t="str">
        <f>HYPERLINK("https://www.boe.es/gazeta/dias/1810/10/30/pdfs/GEI-1810-88.pdf#page=8","Abrir facsímil")</f>
        <v>Abrir facsímil</v>
      </c>
      <c r="K6319" s="3" t="s">
        <v>76</v>
      </c>
    </row>
    <row r="6320" spans="1:11" ht="42" customHeight="1">
      <c r="A6320" s="2" t="s">
        <v>15973</v>
      </c>
      <c r="B6320" s="2" t="s">
        <v>15974</v>
      </c>
      <c r="C6320" s="2" t="s">
        <v>88</v>
      </c>
      <c r="D6320" s="2" t="s">
        <v>117</v>
      </c>
      <c r="E6320" s="4">
        <v>-32529</v>
      </c>
      <c r="F6320" s="3" t="s">
        <v>112</v>
      </c>
      <c r="G6320" s="3" t="s">
        <v>2169</v>
      </c>
      <c r="H6320" s="2" t="s">
        <v>74</v>
      </c>
      <c r="I6320" s="2" t="s">
        <v>15976</v>
      </c>
      <c r="J6320" s="3" t="str">
        <f>HYPERLINK("https://www.boe.es/gazeta/dias/1810/12/08/pdfs/GEI-1810-105.pdf#page=5","Abrir facsímil")</f>
        <v>Abrir facsímil</v>
      </c>
      <c r="K6320" s="3" t="s">
        <v>76</v>
      </c>
    </row>
    <row r="6321" spans="1:11" ht="42" customHeight="1">
      <c r="A6321" s="2" t="s">
        <v>15977</v>
      </c>
      <c r="B6321" s="2" t="s">
        <v>15978</v>
      </c>
      <c r="C6321" s="2" t="s">
        <v>88</v>
      </c>
      <c r="D6321" s="2" t="s">
        <v>117</v>
      </c>
      <c r="E6321" s="4">
        <v>-32764</v>
      </c>
      <c r="F6321" s="3" t="s">
        <v>640</v>
      </c>
      <c r="G6321" s="3" t="s">
        <v>1347</v>
      </c>
      <c r="H6321" s="2" t="s">
        <v>74</v>
      </c>
      <c r="I6321" s="2" t="s">
        <v>15979</v>
      </c>
      <c r="J6321" s="3" t="str">
        <f>HYPERLINK("https://www.boe.es/gazeta/dias/1810/04/17/pdfs/GEI-1810-15.pdf#page=7","Abrir facsímil")</f>
        <v>Abrir facsímil</v>
      </c>
      <c r="K6321" s="3" t="s">
        <v>76</v>
      </c>
    </row>
    <row r="6322" spans="1:11" ht="42" customHeight="1">
      <c r="A6322" s="2" t="s">
        <v>15980</v>
      </c>
      <c r="B6322" s="2" t="s">
        <v>15980</v>
      </c>
      <c r="C6322" s="2" t="s">
        <v>88</v>
      </c>
      <c r="D6322" s="2" t="s">
        <v>27</v>
      </c>
      <c r="E6322" s="4">
        <v>-32638</v>
      </c>
      <c r="F6322" s="3" t="s">
        <v>2498</v>
      </c>
      <c r="G6322" s="3" t="s">
        <v>10914</v>
      </c>
      <c r="H6322" s="2" t="s">
        <v>74</v>
      </c>
      <c r="I6322" s="2" t="s">
        <v>15981</v>
      </c>
      <c r="J6322" s="3" t="str">
        <f>HYPERLINK("https://www.boe.es/gazeta/dias/1810/08/21/pdfs/GEI-1810-58.pdf#page=6","Abrir facsímil")</f>
        <v>Abrir facsímil</v>
      </c>
      <c r="K6322" s="3" t="s">
        <v>76</v>
      </c>
    </row>
    <row r="6323" spans="1:11" ht="42" customHeight="1">
      <c r="A6323" s="2" t="s">
        <v>15982</v>
      </c>
      <c r="B6323" s="2" t="s">
        <v>15983</v>
      </c>
      <c r="C6323" s="2" t="s">
        <v>26</v>
      </c>
      <c r="D6323" s="2" t="s">
        <v>27</v>
      </c>
      <c r="E6323" s="4">
        <v>-32571</v>
      </c>
      <c r="F6323" s="3" t="s">
        <v>737</v>
      </c>
      <c r="G6323" s="3" t="s">
        <v>2879</v>
      </c>
      <c r="H6323" s="2" t="s">
        <v>74</v>
      </c>
      <c r="I6323" s="2" t="s">
        <v>15984</v>
      </c>
      <c r="J6323" s="3" t="str">
        <f>HYPERLINK("https://www.boe.es/gazeta/dias/1810/10/27/pdfs/GEI-1810-87.pdf#page=6","Abrir facsímil")</f>
        <v>Abrir facsímil</v>
      </c>
      <c r="K6323" s="3" t="s">
        <v>76</v>
      </c>
    </row>
    <row r="6324" spans="1:11" ht="42" customHeight="1">
      <c r="A6324" s="2" t="s">
        <v>15985</v>
      </c>
      <c r="B6324" s="2" t="s">
        <v>15986</v>
      </c>
      <c r="C6324" s="2" t="s">
        <v>88</v>
      </c>
      <c r="D6324" s="2" t="s">
        <v>117</v>
      </c>
      <c r="E6324" s="4">
        <v>-32654</v>
      </c>
      <c r="F6324" s="3" t="s">
        <v>1032</v>
      </c>
      <c r="G6324" s="3" t="s">
        <v>1033</v>
      </c>
      <c r="H6324" s="2" t="s">
        <v>21</v>
      </c>
      <c r="I6324" s="2" t="s">
        <v>15987</v>
      </c>
      <c r="J6324" s="3" t="str">
        <f>HYPERLINK("https://www.boe.es/gazeta/dias/1810/08/05/pdfs/GEI-1810-51E.pdf#page=13","Abrir facsímil")</f>
        <v>Abrir facsímil</v>
      </c>
      <c r="K6324" s="3" t="s">
        <v>23</v>
      </c>
    </row>
    <row r="6325" spans="1:11" ht="42" customHeight="1">
      <c r="A6325" s="2" t="s">
        <v>15988</v>
      </c>
      <c r="B6325" s="2" t="s">
        <v>15988</v>
      </c>
      <c r="C6325" s="2" t="s">
        <v>88</v>
      </c>
      <c r="D6325" s="2" t="s">
        <v>117</v>
      </c>
      <c r="E6325" s="4">
        <v>-32638</v>
      </c>
      <c r="F6325" s="3" t="s">
        <v>2498</v>
      </c>
      <c r="G6325" s="3" t="s">
        <v>5669</v>
      </c>
      <c r="H6325" s="2" t="s">
        <v>74</v>
      </c>
      <c r="I6325" s="2" t="s">
        <v>15989</v>
      </c>
      <c r="J6325" s="3" t="str">
        <f>HYPERLINK("https://www.boe.es/gazeta/dias/1810/08/21/pdfs/GEI-1810-58.pdf#page=7","Abrir facsímil")</f>
        <v>Abrir facsímil</v>
      </c>
      <c r="K6325" s="3" t="s">
        <v>76</v>
      </c>
    </row>
    <row r="6326" spans="1:11" ht="42" customHeight="1">
      <c r="A6326" s="2" t="s">
        <v>15990</v>
      </c>
      <c r="B6326" s="2" t="s">
        <v>15991</v>
      </c>
      <c r="C6326" s="2" t="s">
        <v>26</v>
      </c>
      <c r="D6326" s="2" t="s">
        <v>27</v>
      </c>
      <c r="E6326" s="4">
        <v>-32842</v>
      </c>
      <c r="F6326" s="3" t="s">
        <v>1291</v>
      </c>
      <c r="G6326" s="3" t="s">
        <v>70</v>
      </c>
      <c r="H6326" s="2" t="s">
        <v>74</v>
      </c>
      <c r="I6326" s="2" t="s">
        <v>15992</v>
      </c>
      <c r="J6326" s="3" t="str">
        <f>HYPERLINK("https://www.boe.es/gazeta/dias/1810/01/29/pdfs/GMD-1810-29.pdf#page=4","Abrir facsímil")</f>
        <v>Abrir facsímil</v>
      </c>
      <c r="K6326" s="3" t="s">
        <v>76</v>
      </c>
    </row>
    <row r="6327" spans="1:11" ht="42" customHeight="1">
      <c r="A6327" s="2" t="s">
        <v>15993</v>
      </c>
      <c r="B6327" s="2" t="s">
        <v>15993</v>
      </c>
      <c r="C6327" s="2" t="s">
        <v>88</v>
      </c>
      <c r="D6327" s="2" t="s">
        <v>117</v>
      </c>
      <c r="E6327" s="4">
        <v>-32734</v>
      </c>
      <c r="F6327" s="3" t="s">
        <v>19</v>
      </c>
      <c r="G6327" s="3" t="s">
        <v>35</v>
      </c>
      <c r="H6327" s="2" t="s">
        <v>74</v>
      </c>
      <c r="I6327" s="2" t="s">
        <v>15994</v>
      </c>
      <c r="J6327" s="3" t="str">
        <f>HYPERLINK("https://www.boe.es/gazeta/dias/1810/05/17/pdfs/GMD-1810-137.pdf#page=2","Abrir facsímil")</f>
        <v>Abrir facsímil</v>
      </c>
      <c r="K6327" s="3" t="s">
        <v>76</v>
      </c>
    </row>
    <row r="6328" spans="1:11" ht="42" customHeight="1">
      <c r="A6328" s="2" t="s">
        <v>15995</v>
      </c>
      <c r="B6328" s="2" t="s">
        <v>15995</v>
      </c>
      <c r="C6328" s="2" t="s">
        <v>88</v>
      </c>
      <c r="D6328" s="2" t="s">
        <v>117</v>
      </c>
      <c r="E6328" s="4">
        <v>-32800</v>
      </c>
      <c r="F6328" s="3" t="s">
        <v>388</v>
      </c>
      <c r="G6328" s="3" t="s">
        <v>119</v>
      </c>
      <c r="H6328" s="2" t="s">
        <v>74</v>
      </c>
      <c r="I6328" s="2" t="s">
        <v>15996</v>
      </c>
      <c r="J6328" s="3" t="str">
        <f>HYPERLINK("https://www.boe.es/gazeta/dias/1810/03/12/pdfs/GMD-1810-71.pdf#page=3","Abrir facsímil")</f>
        <v>Abrir facsímil</v>
      </c>
      <c r="K6328" s="3" t="s">
        <v>76</v>
      </c>
    </row>
    <row r="6329" spans="1:11" ht="42" customHeight="1">
      <c r="A6329" s="2" t="s">
        <v>15997</v>
      </c>
      <c r="B6329" s="2" t="s">
        <v>15998</v>
      </c>
      <c r="C6329" s="2" t="s">
        <v>26</v>
      </c>
      <c r="D6329" s="2" t="s">
        <v>27</v>
      </c>
      <c r="E6329" s="4">
        <v>-32557</v>
      </c>
      <c r="F6329" s="3" t="s">
        <v>837</v>
      </c>
      <c r="G6329" s="3" t="s">
        <v>2073</v>
      </c>
      <c r="H6329" s="2" t="s">
        <v>74</v>
      </c>
      <c r="I6329" s="2" t="s">
        <v>15999</v>
      </c>
      <c r="J6329" s="3" t="str">
        <f>HYPERLINK("https://www.boe.es/gazeta/dias/1810/11/10/pdfs/GEI-1810-93.pdf#page=7","Abrir facsímil")</f>
        <v>Abrir facsímil</v>
      </c>
      <c r="K6329" s="3" t="s">
        <v>76</v>
      </c>
    </row>
    <row r="6330" spans="1:11" ht="42" customHeight="1">
      <c r="A6330" s="2" t="s">
        <v>16000</v>
      </c>
      <c r="B6330" s="2" t="s">
        <v>16000</v>
      </c>
      <c r="C6330" s="2" t="s">
        <v>88</v>
      </c>
      <c r="D6330" s="2" t="s">
        <v>117</v>
      </c>
      <c r="E6330" s="4">
        <v>-32768</v>
      </c>
      <c r="F6330" s="3" t="s">
        <v>1930</v>
      </c>
      <c r="G6330" s="3" t="s">
        <v>9141</v>
      </c>
      <c r="H6330" s="2" t="s">
        <v>74</v>
      </c>
      <c r="I6330" s="2" t="s">
        <v>16001</v>
      </c>
      <c r="J6330" s="3" t="str">
        <f>HYPERLINK("https://www.boe.es/gazeta/dias/1810/04/13/pdfs/GEI-1810-14.pdf#page=4","Abrir facsímil")</f>
        <v>Abrir facsímil</v>
      </c>
      <c r="K6330" s="3" t="s">
        <v>76</v>
      </c>
    </row>
    <row r="6331" spans="1:11" ht="42" customHeight="1">
      <c r="A6331" s="2" t="s">
        <v>16000</v>
      </c>
      <c r="B6331" s="2" t="s">
        <v>16000</v>
      </c>
      <c r="C6331" s="2" t="s">
        <v>88</v>
      </c>
      <c r="D6331" s="2" t="s">
        <v>27</v>
      </c>
      <c r="E6331" s="4">
        <v>-32571</v>
      </c>
      <c r="F6331" s="3" t="s">
        <v>737</v>
      </c>
      <c r="G6331" s="3" t="s">
        <v>70</v>
      </c>
      <c r="H6331" s="2" t="s">
        <v>74</v>
      </c>
      <c r="I6331" s="2" t="s">
        <v>16002</v>
      </c>
      <c r="J6331" s="3" t="str">
        <f>HYPERLINK("https://www.boe.es/gazeta/dias/1810/10/27/pdfs/GEI-1810-87.pdf#page=8","Abrir facsímil")</f>
        <v>Abrir facsímil</v>
      </c>
      <c r="K6331" s="3" t="s">
        <v>76</v>
      </c>
    </row>
    <row r="6332" spans="1:11" ht="42" customHeight="1">
      <c r="A6332" s="2" t="s">
        <v>16003</v>
      </c>
      <c r="B6332" s="2" t="s">
        <v>16004</v>
      </c>
      <c r="C6332" s="2" t="s">
        <v>26</v>
      </c>
      <c r="D6332" s="2" t="s">
        <v>27</v>
      </c>
      <c r="E6332" s="4">
        <v>-32543</v>
      </c>
      <c r="F6332" s="3" t="s">
        <v>69</v>
      </c>
      <c r="G6332" s="3" t="s">
        <v>84</v>
      </c>
      <c r="H6332" s="2" t="s">
        <v>74</v>
      </c>
      <c r="I6332" s="2" t="s">
        <v>16005</v>
      </c>
      <c r="J6332" s="3" t="str">
        <f>HYPERLINK("https://www.boe.es/gazeta/dias/1810/11/24/pdfs/GEI-1810-99.pdf#page=7","Abrir facsímil")</f>
        <v>Abrir facsímil</v>
      </c>
      <c r="K6332" s="3" t="s">
        <v>76</v>
      </c>
    </row>
    <row r="6333" spans="1:11" ht="42" customHeight="1">
      <c r="A6333" s="2" t="s">
        <v>16006</v>
      </c>
      <c r="B6333" s="2" t="s">
        <v>16007</v>
      </c>
      <c r="C6333" s="2" t="s">
        <v>88</v>
      </c>
      <c r="D6333" s="2" t="s">
        <v>27</v>
      </c>
      <c r="E6333" s="4">
        <v>-32554</v>
      </c>
      <c r="F6333" s="3" t="s">
        <v>5190</v>
      </c>
      <c r="G6333" s="3" t="s">
        <v>5191</v>
      </c>
      <c r="H6333" s="2" t="s">
        <v>74</v>
      </c>
      <c r="I6333" s="2" t="s">
        <v>16008</v>
      </c>
      <c r="J6333" s="3" t="str">
        <f>HYPERLINK("https://www.boe.es/gazeta/dias/1810/11/13/pdfs/GEI-1810-94.pdf#page=8","Abrir facsímil")</f>
        <v>Abrir facsímil</v>
      </c>
      <c r="K6333" s="3" t="s">
        <v>76</v>
      </c>
    </row>
    <row r="6334" spans="1:11" ht="42" customHeight="1">
      <c r="A6334" s="2" t="s">
        <v>16009</v>
      </c>
      <c r="B6334" s="2" t="s">
        <v>16010</v>
      </c>
      <c r="C6334" s="2" t="s">
        <v>88</v>
      </c>
      <c r="D6334" s="2" t="s">
        <v>27</v>
      </c>
      <c r="E6334" s="4">
        <v>-32784</v>
      </c>
      <c r="F6334" s="3" t="s">
        <v>429</v>
      </c>
      <c r="G6334" s="3" t="s">
        <v>131</v>
      </c>
      <c r="H6334" s="2" t="s">
        <v>74</v>
      </c>
      <c r="I6334" s="2" t="s">
        <v>16011</v>
      </c>
      <c r="J6334" s="3" t="str">
        <f>HYPERLINK("https://www.boe.es/gazeta/dias/1810/03/28/pdfs/GMD-1810-87.pdf#page=3","Abrir facsímil")</f>
        <v>Abrir facsímil</v>
      </c>
      <c r="K6334" s="3" t="s">
        <v>76</v>
      </c>
    </row>
    <row r="6335" spans="1:11" ht="42" customHeight="1">
      <c r="A6335" s="2" t="s">
        <v>16009</v>
      </c>
      <c r="B6335" s="2" t="s">
        <v>16010</v>
      </c>
      <c r="C6335" s="2" t="s">
        <v>26</v>
      </c>
      <c r="D6335" s="2" t="s">
        <v>39</v>
      </c>
      <c r="E6335" s="4">
        <v>-32684</v>
      </c>
      <c r="F6335" s="3" t="s">
        <v>372</v>
      </c>
      <c r="G6335" s="3" t="s">
        <v>35</v>
      </c>
      <c r="H6335" s="2" t="s">
        <v>74</v>
      </c>
      <c r="I6335" s="2" t="s">
        <v>16012</v>
      </c>
      <c r="J6335" s="3" t="str">
        <f>HYPERLINK("https://www.boe.es/gazeta/dias/1810/07/06/pdfs/GEI-D-1810-42.pdf#page=2","Abrir facsímil")</f>
        <v>Abrir facsímil</v>
      </c>
      <c r="K6335" s="3" t="s">
        <v>76</v>
      </c>
    </row>
    <row r="6336" spans="1:11" ht="42" customHeight="1">
      <c r="A6336" s="2" t="s">
        <v>16013</v>
      </c>
      <c r="B6336" s="2" t="s">
        <v>16014</v>
      </c>
      <c r="C6336" s="2" t="s">
        <v>225</v>
      </c>
      <c r="D6336" s="2" t="s">
        <v>27</v>
      </c>
      <c r="E6336" s="4">
        <v>-32771</v>
      </c>
      <c r="F6336" s="3" t="s">
        <v>543</v>
      </c>
      <c r="G6336" s="3" t="s">
        <v>65</v>
      </c>
      <c r="H6336" s="2" t="s">
        <v>74</v>
      </c>
      <c r="I6336" s="2" t="s">
        <v>16015</v>
      </c>
      <c r="J6336" s="3" t="str">
        <f>HYPERLINK("https://www.boe.es/gazeta/dias/1810/04/10/pdfs/GEI-1810-13.pdf#page=7","Abrir facsímil")</f>
        <v>Abrir facsímil</v>
      </c>
      <c r="K6336" s="3" t="s">
        <v>76</v>
      </c>
    </row>
    <row r="6337" spans="1:11" ht="42" customHeight="1">
      <c r="A6337" s="2" t="s">
        <v>16016</v>
      </c>
      <c r="B6337" s="2" t="s">
        <v>16017</v>
      </c>
      <c r="C6337" s="2" t="s">
        <v>930</v>
      </c>
      <c r="D6337" s="2" t="s">
        <v>27</v>
      </c>
      <c r="E6337" s="4">
        <v>-32582</v>
      </c>
      <c r="F6337" s="3" t="s">
        <v>3849</v>
      </c>
      <c r="G6337" s="3" t="s">
        <v>5822</v>
      </c>
      <c r="H6337" s="2" t="s">
        <v>74</v>
      </c>
      <c r="I6337" s="2" t="s">
        <v>16018</v>
      </c>
      <c r="J6337" s="3" t="str">
        <f>HYPERLINK("https://www.boe.es/gazeta/dias/1810/10/16/pdfs/GEI-1810-82.pdf#page=8","Abrir facsímil")</f>
        <v>Abrir facsímil</v>
      </c>
      <c r="K6337" s="3" t="s">
        <v>76</v>
      </c>
    </row>
    <row r="6338" spans="1:11" ht="42" customHeight="1">
      <c r="A6338" s="2" t="s">
        <v>16019</v>
      </c>
      <c r="B6338" s="2" t="s">
        <v>16020</v>
      </c>
      <c r="C6338" s="2" t="s">
        <v>26</v>
      </c>
      <c r="D6338" s="2" t="s">
        <v>39</v>
      </c>
      <c r="E6338" s="4">
        <v>-32599</v>
      </c>
      <c r="F6338" s="3" t="s">
        <v>662</v>
      </c>
      <c r="G6338" s="3" t="s">
        <v>140</v>
      </c>
      <c r="H6338" s="2" t="s">
        <v>74</v>
      </c>
      <c r="I6338" s="2" t="s">
        <v>16021</v>
      </c>
      <c r="J6338" s="3" t="str">
        <f>HYPERLINK("https://www.boe.es/gazeta/dias/1810/09/29/pdfs/GMD-C-1810-272.pdf#page=10","Abrir facsímil")</f>
        <v>Abrir facsímil</v>
      </c>
      <c r="K6338" s="3" t="s">
        <v>76</v>
      </c>
    </row>
    <row r="6339" spans="1:11" ht="42" customHeight="1">
      <c r="A6339" s="2" t="s">
        <v>16022</v>
      </c>
      <c r="B6339" s="2" t="s">
        <v>16023</v>
      </c>
      <c r="C6339" s="2" t="s">
        <v>111</v>
      </c>
      <c r="D6339" s="2" t="s">
        <v>27</v>
      </c>
      <c r="E6339" s="4">
        <v>-32563</v>
      </c>
      <c r="F6339" s="3" t="s">
        <v>535</v>
      </c>
      <c r="G6339" s="3" t="s">
        <v>210</v>
      </c>
      <c r="H6339" s="2" t="s">
        <v>74</v>
      </c>
      <c r="I6339" s="2" t="s">
        <v>16024</v>
      </c>
      <c r="J6339" s="3" t="str">
        <f>HYPERLINK("https://www.boe.es/gazeta/dias/1810/11/04/pdfs/GMD-1810-308.pdf#page=18","Abrir facsímil")</f>
        <v>Abrir facsímil</v>
      </c>
      <c r="K6339" s="3" t="s">
        <v>76</v>
      </c>
    </row>
    <row r="6340" spans="1:11" ht="42" customHeight="1">
      <c r="A6340" s="2" t="s">
        <v>16025</v>
      </c>
      <c r="B6340" s="2" t="s">
        <v>16025</v>
      </c>
      <c r="C6340" s="2" t="s">
        <v>88</v>
      </c>
      <c r="D6340" s="2" t="s">
        <v>27</v>
      </c>
      <c r="E6340" s="4">
        <v>-32812</v>
      </c>
      <c r="F6340" s="3" t="s">
        <v>627</v>
      </c>
      <c r="G6340" s="3" t="s">
        <v>29</v>
      </c>
      <c r="H6340" s="2" t="s">
        <v>74</v>
      </c>
      <c r="I6340" s="2" t="s">
        <v>16026</v>
      </c>
      <c r="J6340" s="3" t="str">
        <f>HYPERLINK("https://www.boe.es/gazeta/dias/1810/02/28/pdfs/GMD-1810-59.pdf#page=2","Abrir facsímil")</f>
        <v>Abrir facsímil</v>
      </c>
      <c r="K6340" s="3" t="s">
        <v>76</v>
      </c>
    </row>
    <row r="6341" spans="1:11" ht="42" customHeight="1">
      <c r="A6341" s="2" t="s">
        <v>16027</v>
      </c>
      <c r="B6341" s="2" t="s">
        <v>16028</v>
      </c>
      <c r="C6341" s="2" t="s">
        <v>26</v>
      </c>
      <c r="D6341" s="2" t="s">
        <v>27</v>
      </c>
      <c r="E6341" s="4">
        <v>-32684</v>
      </c>
      <c r="F6341" s="3" t="s">
        <v>4741</v>
      </c>
      <c r="G6341" s="3" t="s">
        <v>227</v>
      </c>
      <c r="H6341" s="2" t="s">
        <v>74</v>
      </c>
      <c r="I6341" s="2" t="s">
        <v>16029</v>
      </c>
      <c r="J6341" s="3" t="str">
        <f>HYPERLINK("https://www.boe.es/gazeta/dias/1810/07/06/pdfs/GMD-1810-187.pdf#page=4","Abrir facsímil")</f>
        <v>Abrir facsímil</v>
      </c>
      <c r="K6341" s="3" t="s">
        <v>76</v>
      </c>
    </row>
    <row r="6342" spans="1:11" ht="42" customHeight="1">
      <c r="A6342" s="2" t="s">
        <v>16030</v>
      </c>
      <c r="B6342" s="2" t="s">
        <v>16030</v>
      </c>
      <c r="C6342" s="2" t="s">
        <v>111</v>
      </c>
      <c r="D6342" s="2" t="s">
        <v>27</v>
      </c>
      <c r="E6342" s="4">
        <v>-32569</v>
      </c>
      <c r="F6342" s="3" t="s">
        <v>421</v>
      </c>
      <c r="G6342" s="3" t="s">
        <v>119</v>
      </c>
      <c r="H6342" s="2" t="s">
        <v>74</v>
      </c>
      <c r="I6342" s="2" t="s">
        <v>16031</v>
      </c>
      <c r="J6342" s="3" t="str">
        <f>HYPERLINK("https://www.boe.es/gazeta/dias/1810/10/29/pdfs/GMD-1810-302.pdf#page=2","Abrir facsímil")</f>
        <v>Abrir facsímil</v>
      </c>
      <c r="K6342" s="3" t="s">
        <v>76</v>
      </c>
    </row>
    <row r="6343" spans="1:11" ht="42" customHeight="1">
      <c r="A6343" s="2" t="s">
        <v>16032</v>
      </c>
      <c r="B6343" s="2" t="s">
        <v>16032</v>
      </c>
      <c r="C6343" s="2" t="s">
        <v>33</v>
      </c>
      <c r="D6343" s="2" t="s">
        <v>27</v>
      </c>
      <c r="E6343" s="4">
        <v>-32714</v>
      </c>
      <c r="F6343" s="3" t="s">
        <v>977</v>
      </c>
      <c r="G6343" s="3" t="s">
        <v>227</v>
      </c>
      <c r="H6343" s="2" t="s">
        <v>74</v>
      </c>
      <c r="I6343" s="2" t="s">
        <v>16033</v>
      </c>
      <c r="J6343" s="3" t="str">
        <f>HYPERLINK("https://www.boe.es/gazeta/dias/1810/06/06/pdfs/GMD-1810-157.pdf#page=2","Abrir facsímil")</f>
        <v>Abrir facsímil</v>
      </c>
      <c r="K6343" s="3" t="s">
        <v>76</v>
      </c>
    </row>
    <row r="6344" spans="1:11" ht="42" customHeight="1">
      <c r="A6344" s="2" t="s">
        <v>16034</v>
      </c>
      <c r="B6344" s="2" t="s">
        <v>16034</v>
      </c>
      <c r="C6344" s="2" t="s">
        <v>111</v>
      </c>
      <c r="D6344" s="2" t="s">
        <v>27</v>
      </c>
      <c r="E6344" s="4">
        <v>-32631</v>
      </c>
      <c r="F6344" s="3" t="s">
        <v>497</v>
      </c>
      <c r="G6344" s="3" t="s">
        <v>16035</v>
      </c>
      <c r="H6344" s="2" t="s">
        <v>74</v>
      </c>
      <c r="I6344" s="2" t="s">
        <v>16036</v>
      </c>
      <c r="J6344" s="3" t="str">
        <f>HYPERLINK("https://www.boe.es/gazeta/dias/1810/08/28/pdfs/GMD-1810-240.pdf#page=1","Abrir facsímil")</f>
        <v>Abrir facsímil</v>
      </c>
      <c r="K6344" s="3" t="s">
        <v>76</v>
      </c>
    </row>
    <row r="6345" spans="1:11" ht="42" customHeight="1">
      <c r="A6345" s="2" t="s">
        <v>16037</v>
      </c>
      <c r="B6345" s="2" t="s">
        <v>16037</v>
      </c>
      <c r="C6345" s="2" t="s">
        <v>26</v>
      </c>
      <c r="D6345" s="2" t="s">
        <v>27</v>
      </c>
      <c r="E6345" s="4">
        <v>-32766</v>
      </c>
      <c r="F6345" s="3" t="s">
        <v>492</v>
      </c>
      <c r="G6345" s="3" t="s">
        <v>291</v>
      </c>
      <c r="H6345" s="2" t="s">
        <v>74</v>
      </c>
      <c r="I6345" s="2" t="s">
        <v>16038</v>
      </c>
      <c r="J6345" s="3" t="str">
        <f>HYPERLINK("https://www.boe.es/gazeta/dias/1810/04/15/pdfs/GMD-1810-105.pdf#page=2","Abrir facsímil")</f>
        <v>Abrir facsímil</v>
      </c>
      <c r="K6345" s="3" t="s">
        <v>76</v>
      </c>
    </row>
    <row r="6346" spans="1:11" ht="42" customHeight="1">
      <c r="A6346" s="2" t="s">
        <v>16037</v>
      </c>
      <c r="B6346" s="2" t="s">
        <v>16037</v>
      </c>
      <c r="C6346" s="2" t="s">
        <v>317</v>
      </c>
      <c r="D6346" s="2" t="s">
        <v>27</v>
      </c>
      <c r="E6346" s="4">
        <v>-32713</v>
      </c>
      <c r="F6346" s="3" t="s">
        <v>959</v>
      </c>
      <c r="G6346" s="3" t="s">
        <v>632</v>
      </c>
      <c r="H6346" s="2" t="s">
        <v>74</v>
      </c>
      <c r="I6346" s="2" t="s">
        <v>16039</v>
      </c>
      <c r="J6346" s="3" t="str">
        <f>HYPERLINK("https://www.boe.es/gazeta/dias/1810/06/07/pdfs/GMD-1810-158.pdf#page=2","Abrir facsímil")</f>
        <v>Abrir facsímil</v>
      </c>
      <c r="K6346" s="3" t="s">
        <v>76</v>
      </c>
    </row>
    <row r="6347" spans="1:11" ht="42" customHeight="1">
      <c r="A6347" s="2" t="s">
        <v>16037</v>
      </c>
      <c r="B6347" s="2" t="s">
        <v>16037</v>
      </c>
      <c r="C6347" s="2" t="s">
        <v>195</v>
      </c>
      <c r="D6347" s="2" t="s">
        <v>27</v>
      </c>
      <c r="E6347" s="4">
        <v>-32695</v>
      </c>
      <c r="F6347" s="3" t="s">
        <v>1646</v>
      </c>
      <c r="G6347" s="3" t="s">
        <v>701</v>
      </c>
      <c r="H6347" s="2" t="s">
        <v>74</v>
      </c>
      <c r="I6347" s="2" t="s">
        <v>16040</v>
      </c>
      <c r="J6347" s="3" t="str">
        <f>HYPERLINK("https://www.boe.es/gazeta/dias/1810/06/25/pdfs/GMD-1810-176.pdf#page=2","Abrir facsímil")</f>
        <v>Abrir facsímil</v>
      </c>
      <c r="K6347" s="3" t="s">
        <v>76</v>
      </c>
    </row>
    <row r="6348" spans="1:11" ht="42" customHeight="1">
      <c r="A6348" s="2" t="s">
        <v>16037</v>
      </c>
      <c r="B6348" s="2" t="s">
        <v>16037</v>
      </c>
      <c r="C6348" s="2" t="s">
        <v>317</v>
      </c>
      <c r="D6348" s="2" t="s">
        <v>220</v>
      </c>
      <c r="E6348" s="4">
        <v>-32667</v>
      </c>
      <c r="F6348" s="3" t="s">
        <v>381</v>
      </c>
      <c r="G6348" s="3" t="s">
        <v>35</v>
      </c>
      <c r="H6348" s="2" t="s">
        <v>74</v>
      </c>
      <c r="I6348" s="2" t="s">
        <v>16041</v>
      </c>
      <c r="J6348" s="3" t="str">
        <f>HYPERLINK("https://www.boe.es/gazeta/dias/1810/07/23/pdfs/GMD-1810-204.pdf#page=2","Abrir facsímil")</f>
        <v>Abrir facsímil</v>
      </c>
      <c r="K6348" s="3" t="s">
        <v>76</v>
      </c>
    </row>
    <row r="6349" spans="1:11" ht="42" customHeight="1">
      <c r="A6349" s="2" t="s">
        <v>16037</v>
      </c>
      <c r="B6349" s="2" t="s">
        <v>16037</v>
      </c>
      <c r="C6349" s="2" t="s">
        <v>26</v>
      </c>
      <c r="D6349" s="2" t="s">
        <v>220</v>
      </c>
      <c r="E6349" s="4">
        <v>-32666</v>
      </c>
      <c r="F6349" s="3" t="s">
        <v>1913</v>
      </c>
      <c r="G6349" s="3" t="s">
        <v>29</v>
      </c>
      <c r="H6349" s="2" t="s">
        <v>74</v>
      </c>
      <c r="I6349" s="2" t="s">
        <v>16042</v>
      </c>
      <c r="J6349" s="3" t="str">
        <f>HYPERLINK("https://www.boe.es/gazeta/dias/1810/07/24/pdfs/GMD-1810-205.pdf#page=2","Abrir facsímil")</f>
        <v>Abrir facsímil</v>
      </c>
      <c r="K6349" s="3" t="s">
        <v>76</v>
      </c>
    </row>
    <row r="6350" spans="1:11" ht="42" customHeight="1">
      <c r="A6350" s="2" t="s">
        <v>16037</v>
      </c>
      <c r="B6350" s="2" t="s">
        <v>16037</v>
      </c>
      <c r="C6350" s="2" t="s">
        <v>88</v>
      </c>
      <c r="D6350" s="2" t="s">
        <v>117</v>
      </c>
      <c r="E6350" s="4">
        <v>-32650</v>
      </c>
      <c r="F6350" s="3" t="s">
        <v>9008</v>
      </c>
      <c r="G6350" s="3" t="s">
        <v>35</v>
      </c>
      <c r="H6350" s="2" t="s">
        <v>74</v>
      </c>
      <c r="I6350" s="2" t="s">
        <v>16043</v>
      </c>
      <c r="J6350" s="3" t="str">
        <f>HYPERLINK("https://www.boe.es/gazeta/dias/1810/08/09/pdfs/GMD-1810-221.pdf#page=2","Abrir facsímil")</f>
        <v>Abrir facsímil</v>
      </c>
      <c r="K6350" s="3" t="s">
        <v>76</v>
      </c>
    </row>
    <row r="6351" spans="1:11" ht="42" customHeight="1">
      <c r="A6351" s="2" t="s">
        <v>16037</v>
      </c>
      <c r="B6351" s="2" t="s">
        <v>16037</v>
      </c>
      <c r="C6351" s="2" t="s">
        <v>225</v>
      </c>
      <c r="D6351" s="2" t="s">
        <v>27</v>
      </c>
      <c r="E6351" s="4">
        <v>-32647</v>
      </c>
      <c r="F6351" s="3" t="s">
        <v>118</v>
      </c>
      <c r="G6351" s="3" t="s">
        <v>7574</v>
      </c>
      <c r="H6351" s="2" t="s">
        <v>74</v>
      </c>
      <c r="I6351" s="2" t="s">
        <v>16044</v>
      </c>
      <c r="J6351" s="3" t="str">
        <f>HYPERLINK("https://www.boe.es/gazeta/dias/1810/08/12/pdfs/GMD-1810-224.pdf#page=1","Abrir facsímil")</f>
        <v>Abrir facsímil</v>
      </c>
      <c r="K6351" s="3" t="s">
        <v>76</v>
      </c>
    </row>
    <row r="6352" spans="1:11" ht="42" customHeight="1">
      <c r="A6352" s="2" t="s">
        <v>16037</v>
      </c>
      <c r="B6352" s="2" t="s">
        <v>16037</v>
      </c>
      <c r="C6352" s="2" t="s">
        <v>17</v>
      </c>
      <c r="D6352" s="2" t="s">
        <v>27</v>
      </c>
      <c r="E6352" s="4">
        <v>-32620</v>
      </c>
      <c r="F6352" s="3" t="s">
        <v>1499</v>
      </c>
      <c r="G6352" s="3" t="s">
        <v>70</v>
      </c>
      <c r="H6352" s="2" t="s">
        <v>74</v>
      </c>
      <c r="I6352" s="2" t="s">
        <v>16045</v>
      </c>
      <c r="J6352" s="3" t="str">
        <f>HYPERLINK("https://www.boe.es/gazeta/dias/1810/09/08/pdfs/GMD-1810-251.pdf#page=1","Abrir facsímil")</f>
        <v>Abrir facsímil</v>
      </c>
      <c r="K6352" s="3" t="s">
        <v>76</v>
      </c>
    </row>
    <row r="6353" spans="1:11" ht="42" customHeight="1">
      <c r="A6353" s="2" t="s">
        <v>16037</v>
      </c>
      <c r="B6353" s="2" t="s">
        <v>16037</v>
      </c>
      <c r="C6353" s="2" t="s">
        <v>317</v>
      </c>
      <c r="D6353" s="2" t="s">
        <v>27</v>
      </c>
      <c r="E6353" s="4">
        <v>-32572</v>
      </c>
      <c r="F6353" s="3" t="s">
        <v>2967</v>
      </c>
      <c r="G6353" s="3" t="s">
        <v>9798</v>
      </c>
      <c r="H6353" s="2" t="s">
        <v>74</v>
      </c>
      <c r="I6353" s="2" t="s">
        <v>16046</v>
      </c>
      <c r="J6353" s="3" t="str">
        <f>HYPERLINK("https://www.boe.es/gazeta/dias/1810/10/26/pdfs/GMD-1810-299.pdf#page=2","Abrir facsímil")</f>
        <v>Abrir facsímil</v>
      </c>
      <c r="K6353" s="3" t="s">
        <v>76</v>
      </c>
    </row>
    <row r="6354" spans="1:11" ht="42" customHeight="1">
      <c r="A6354" s="2" t="s">
        <v>16047</v>
      </c>
      <c r="B6354" s="2" t="s">
        <v>16047</v>
      </c>
      <c r="C6354" s="2" t="s">
        <v>88</v>
      </c>
      <c r="D6354" s="2" t="s">
        <v>27</v>
      </c>
      <c r="E6354" s="4">
        <v>-32769</v>
      </c>
      <c r="F6354" s="3" t="s">
        <v>1543</v>
      </c>
      <c r="G6354" s="3" t="s">
        <v>20</v>
      </c>
      <c r="H6354" s="2" t="s">
        <v>74</v>
      </c>
      <c r="I6354" s="2" t="s">
        <v>16048</v>
      </c>
      <c r="J6354" s="3" t="str">
        <f>HYPERLINK("https://www.boe.es/gazeta/dias/1810/04/12/pdfs/GMD-1810-102.pdf#page=4","Abrir facsímil")</f>
        <v>Abrir facsímil</v>
      </c>
      <c r="K6354" s="3" t="s">
        <v>76</v>
      </c>
    </row>
    <row r="6355" spans="1:11" ht="42" customHeight="1">
      <c r="A6355" s="2" t="s">
        <v>16049</v>
      </c>
      <c r="B6355" s="2" t="s">
        <v>16050</v>
      </c>
      <c r="C6355" s="2" t="s">
        <v>26</v>
      </c>
      <c r="D6355" s="2" t="s">
        <v>27</v>
      </c>
      <c r="E6355" s="4">
        <v>-32575</v>
      </c>
      <c r="F6355" s="3" t="s">
        <v>135</v>
      </c>
      <c r="G6355" s="3" t="s">
        <v>136</v>
      </c>
      <c r="H6355" s="2" t="s">
        <v>74</v>
      </c>
      <c r="I6355" s="2" t="s">
        <v>16051</v>
      </c>
      <c r="J6355" s="3" t="str">
        <f>HYPERLINK("https://www.boe.es/gazeta/dias/1810/10/23/pdfs/GEI-1810-85.pdf#page=11","Abrir facsímil")</f>
        <v>Abrir facsímil</v>
      </c>
      <c r="K6355" s="3" t="s">
        <v>76</v>
      </c>
    </row>
    <row r="6356" spans="1:11" ht="42" customHeight="1">
      <c r="A6356" s="2" t="s">
        <v>16052</v>
      </c>
      <c r="B6356" s="2" t="s">
        <v>16053</v>
      </c>
      <c r="C6356" s="2" t="s">
        <v>88</v>
      </c>
      <c r="D6356" s="2" t="s">
        <v>220</v>
      </c>
      <c r="E6356" s="4">
        <v>-32582</v>
      </c>
      <c r="F6356" s="3" t="s">
        <v>3642</v>
      </c>
      <c r="G6356" s="3" t="s">
        <v>20</v>
      </c>
      <c r="H6356" s="2" t="s">
        <v>74</v>
      </c>
      <c r="I6356" s="2" t="s">
        <v>16054</v>
      </c>
      <c r="J6356" s="3" t="str">
        <f>HYPERLINK("https://www.boe.es/gazeta/dias/1810/10/16/pdfs/GMD-1810-289.pdf#page=4","Abrir facsímil")</f>
        <v>Abrir facsímil</v>
      </c>
      <c r="K6356" s="3" t="s">
        <v>76</v>
      </c>
    </row>
    <row r="6357" spans="1:11" ht="42" customHeight="1">
      <c r="A6357" s="2" t="s">
        <v>16055</v>
      </c>
      <c r="B6357" s="2" t="s">
        <v>16056</v>
      </c>
      <c r="C6357" s="2" t="s">
        <v>26</v>
      </c>
      <c r="D6357" s="2" t="s">
        <v>27</v>
      </c>
      <c r="E6357" s="4">
        <v>-32649</v>
      </c>
      <c r="F6357" s="3" t="s">
        <v>190</v>
      </c>
      <c r="G6357" s="3" t="s">
        <v>191</v>
      </c>
      <c r="H6357" s="2" t="s">
        <v>74</v>
      </c>
      <c r="I6357" s="2" t="s">
        <v>16057</v>
      </c>
      <c r="J6357" s="3" t="str">
        <f>HYPERLINK("https://www.boe.es/gazeta/dias/1810/08/10/pdfs/GEI-1810-54.pdf#page=4","Abrir facsímil")</f>
        <v>Abrir facsímil</v>
      </c>
      <c r="K6357" s="3" t="s">
        <v>76</v>
      </c>
    </row>
    <row r="6358" spans="1:11" ht="42" customHeight="1">
      <c r="A6358" s="2" t="s">
        <v>16058</v>
      </c>
      <c r="B6358" s="2" t="s">
        <v>16059</v>
      </c>
      <c r="C6358" s="2" t="s">
        <v>26</v>
      </c>
      <c r="D6358" s="2" t="s">
        <v>27</v>
      </c>
      <c r="E6358" s="4">
        <v>-32526</v>
      </c>
      <c r="F6358" s="3" t="s">
        <v>530</v>
      </c>
      <c r="G6358" s="3" t="s">
        <v>531</v>
      </c>
      <c r="H6358" s="2" t="s">
        <v>74</v>
      </c>
      <c r="I6358" s="2" t="s">
        <v>16060</v>
      </c>
      <c r="J6358" s="3" t="str">
        <f>HYPERLINK("https://www.boe.es/gazeta/dias/1810/12/11/pdfs/GEI-1810-106.pdf#page=2","Abrir facsímil")</f>
        <v>Abrir facsímil</v>
      </c>
      <c r="K6358" s="3" t="s">
        <v>76</v>
      </c>
    </row>
    <row r="6359" spans="1:11" ht="42" customHeight="1">
      <c r="A6359" s="2" t="s">
        <v>16061</v>
      </c>
      <c r="B6359" s="2" t="s">
        <v>16061</v>
      </c>
      <c r="C6359" s="2" t="s">
        <v>26</v>
      </c>
      <c r="D6359" s="2" t="s">
        <v>27</v>
      </c>
      <c r="E6359" s="4">
        <v>-32715</v>
      </c>
      <c r="F6359" s="3" t="s">
        <v>11559</v>
      </c>
      <c r="G6359" s="3" t="s">
        <v>227</v>
      </c>
      <c r="H6359" s="2" t="s">
        <v>74</v>
      </c>
      <c r="I6359" s="2" t="s">
        <v>16062</v>
      </c>
      <c r="J6359" s="3" t="str">
        <f>HYPERLINK("https://www.boe.es/gazeta/dias/1810/06/05/pdfs/GMD-1810-156.pdf#page=4","Abrir facsímil")</f>
        <v>Abrir facsímil</v>
      </c>
      <c r="K6359" s="3" t="s">
        <v>76</v>
      </c>
    </row>
    <row r="6360" spans="1:11" ht="42" customHeight="1">
      <c r="A6360" s="2" t="s">
        <v>16063</v>
      </c>
      <c r="B6360" s="2" t="s">
        <v>16064</v>
      </c>
      <c r="C6360" s="2" t="s">
        <v>88</v>
      </c>
      <c r="D6360" s="2" t="s">
        <v>27</v>
      </c>
      <c r="E6360" s="4">
        <v>-32820</v>
      </c>
      <c r="F6360" s="3" t="s">
        <v>226</v>
      </c>
      <c r="G6360" s="3" t="s">
        <v>227</v>
      </c>
      <c r="H6360" s="2" t="s">
        <v>74</v>
      </c>
      <c r="I6360" s="2" t="s">
        <v>16065</v>
      </c>
      <c r="J6360" s="3" t="str">
        <f>HYPERLINK("https://www.boe.es/gazeta/dias/1810/02/20/pdfs/GMD-1810-51.pdf#page=4","Abrir facsímil")</f>
        <v>Abrir facsímil</v>
      </c>
      <c r="K6360" s="3" t="s">
        <v>76</v>
      </c>
    </row>
    <row r="6361" spans="1:11" ht="42" customHeight="1">
      <c r="A6361" s="2" t="s">
        <v>16066</v>
      </c>
      <c r="B6361" s="2" t="s">
        <v>16066</v>
      </c>
      <c r="C6361" s="2" t="s">
        <v>26</v>
      </c>
      <c r="D6361" s="2" t="s">
        <v>27</v>
      </c>
      <c r="E6361" s="4">
        <v>-32821</v>
      </c>
      <c r="F6361" s="3" t="s">
        <v>1743</v>
      </c>
      <c r="G6361" s="3" t="s">
        <v>119</v>
      </c>
      <c r="H6361" s="2" t="s">
        <v>74</v>
      </c>
      <c r="I6361" s="2" t="s">
        <v>16067</v>
      </c>
      <c r="J6361" s="3" t="str">
        <f>HYPERLINK("https://www.boe.es/gazeta/dias/1810/02/19/pdfs/GMD-1810-50.pdf#page=1","Abrir facsímil")</f>
        <v>Abrir facsímil</v>
      </c>
      <c r="K6361" s="3" t="s">
        <v>76</v>
      </c>
    </row>
    <row r="6362" spans="1:11" ht="42" customHeight="1">
      <c r="A6362" s="2" t="s">
        <v>16068</v>
      </c>
      <c r="B6362" s="2" t="s">
        <v>16069</v>
      </c>
      <c r="C6362" s="2" t="s">
        <v>26</v>
      </c>
      <c r="D6362" s="2" t="s">
        <v>39</v>
      </c>
      <c r="E6362" s="4">
        <v>-32701</v>
      </c>
      <c r="F6362" s="3" t="s">
        <v>40</v>
      </c>
      <c r="G6362" s="3" t="s">
        <v>170</v>
      </c>
      <c r="H6362" s="2" t="s">
        <v>74</v>
      </c>
      <c r="I6362" s="2" t="s">
        <v>16070</v>
      </c>
      <c r="J6362" s="3" t="str">
        <f>HYPERLINK("https://www.boe.es/gazeta/dias/1810/06/19/pdfs/GMD-C-1810-170.pdf#page=1","Abrir facsímil")</f>
        <v>Abrir facsímil</v>
      </c>
      <c r="K6362" s="3" t="s">
        <v>76</v>
      </c>
    </row>
    <row r="6363" spans="1:11" ht="42" customHeight="1">
      <c r="A6363" s="2" t="s">
        <v>16071</v>
      </c>
      <c r="B6363" s="2" t="s">
        <v>16072</v>
      </c>
      <c r="C6363" s="2" t="s">
        <v>88</v>
      </c>
      <c r="D6363" s="2" t="s">
        <v>27</v>
      </c>
      <c r="E6363" s="4">
        <v>-32837</v>
      </c>
      <c r="F6363" s="3" t="s">
        <v>196</v>
      </c>
      <c r="G6363" s="3" t="s">
        <v>140</v>
      </c>
      <c r="H6363" s="2" t="s">
        <v>74</v>
      </c>
      <c r="I6363" s="2" t="s">
        <v>16073</v>
      </c>
      <c r="J6363" s="3" t="str">
        <f>HYPERLINK("https://www.boe.es/gazeta/dias/1810/02/03/pdfs/GMD-1810-34.pdf#page=4","Abrir facsímil")</f>
        <v>Abrir facsímil</v>
      </c>
      <c r="K6363" s="3" t="s">
        <v>76</v>
      </c>
    </row>
    <row r="6364" spans="1:11" ht="42" customHeight="1">
      <c r="A6364" s="2" t="s">
        <v>16074</v>
      </c>
      <c r="B6364" s="2" t="s">
        <v>16075</v>
      </c>
      <c r="C6364" s="2" t="s">
        <v>17</v>
      </c>
      <c r="D6364" s="2" t="s">
        <v>27</v>
      </c>
      <c r="E6364" s="4">
        <v>-32741</v>
      </c>
      <c r="F6364" s="3" t="s">
        <v>98</v>
      </c>
      <c r="G6364" s="3" t="s">
        <v>99</v>
      </c>
      <c r="H6364" s="2" t="s">
        <v>74</v>
      </c>
      <c r="I6364" s="2" t="s">
        <v>16076</v>
      </c>
      <c r="J6364" s="3" t="str">
        <f>HYPERLINK("https://www.boe.es/gazeta/dias/1810/05/10/pdfs/GMD-1810-130.pdf#page=3","Abrir facsímil")</f>
        <v>Abrir facsímil</v>
      </c>
      <c r="K6364" s="3" t="s">
        <v>76</v>
      </c>
    </row>
    <row r="6365" spans="1:11" ht="42" customHeight="1">
      <c r="A6365" s="2" t="s">
        <v>16077</v>
      </c>
      <c r="B6365" s="2" t="s">
        <v>16078</v>
      </c>
      <c r="C6365" s="2" t="s">
        <v>26</v>
      </c>
      <c r="D6365" s="2" t="s">
        <v>27</v>
      </c>
      <c r="E6365" s="4">
        <v>-32704</v>
      </c>
      <c r="F6365" s="3" t="s">
        <v>94</v>
      </c>
      <c r="G6365" s="3" t="s">
        <v>20</v>
      </c>
      <c r="H6365" s="2" t="s">
        <v>74</v>
      </c>
      <c r="I6365" s="2" t="s">
        <v>16079</v>
      </c>
      <c r="J6365" s="3" t="str">
        <f>HYPERLINK("https://www.boe.es/gazeta/dias/1810/06/16/pdfs/GMD-1810-167.pdf#page=4","Abrir facsímil")</f>
        <v>Abrir facsímil</v>
      </c>
      <c r="K6365" s="3" t="s">
        <v>76</v>
      </c>
    </row>
    <row r="6366" spans="1:11" ht="42" customHeight="1">
      <c r="A6366" s="2" t="s">
        <v>16080</v>
      </c>
      <c r="B6366" s="2" t="s">
        <v>16081</v>
      </c>
      <c r="C6366" s="2" t="s">
        <v>26</v>
      </c>
      <c r="D6366" s="2" t="s">
        <v>27</v>
      </c>
      <c r="E6366" s="4">
        <v>-32545</v>
      </c>
      <c r="F6366" s="3" t="s">
        <v>165</v>
      </c>
      <c r="G6366" s="3" t="s">
        <v>166</v>
      </c>
      <c r="H6366" s="2" t="s">
        <v>74</v>
      </c>
      <c r="I6366" s="2" t="s">
        <v>16082</v>
      </c>
      <c r="J6366" s="3" t="str">
        <f>HYPERLINK("https://www.boe.es/gazeta/dias/1810/11/22/pdfs/GEI-1810-98.pdf#page=8","Abrir facsímil")</f>
        <v>Abrir facsímil</v>
      </c>
      <c r="K6366" s="3" t="s">
        <v>76</v>
      </c>
    </row>
    <row r="6367" spans="1:11" ht="42" customHeight="1">
      <c r="A6367" s="2" t="s">
        <v>16083</v>
      </c>
      <c r="B6367" s="2" t="s">
        <v>16084</v>
      </c>
      <c r="C6367" s="2" t="s">
        <v>88</v>
      </c>
      <c r="D6367" s="2" t="s">
        <v>27</v>
      </c>
      <c r="E6367" s="4">
        <v>-32550</v>
      </c>
      <c r="F6367" s="3" t="s">
        <v>1472</v>
      </c>
      <c r="G6367" s="3" t="s">
        <v>1473</v>
      </c>
      <c r="H6367" s="2" t="s">
        <v>74</v>
      </c>
      <c r="I6367" s="2" t="s">
        <v>16085</v>
      </c>
      <c r="J6367" s="3" t="str">
        <f>HYPERLINK("https://www.boe.es/gazeta/dias/1810/11/17/pdfs/GEI-1810-96.pdf#page=8","Abrir facsímil")</f>
        <v>Abrir facsímil</v>
      </c>
      <c r="K6367" s="3" t="s">
        <v>76</v>
      </c>
    </row>
    <row r="6368" spans="1:11" ht="42" customHeight="1">
      <c r="A6368" s="2" t="s">
        <v>16086</v>
      </c>
      <c r="B6368" s="2" t="s">
        <v>16087</v>
      </c>
      <c r="C6368" s="2" t="s">
        <v>33</v>
      </c>
      <c r="D6368" s="2" t="s">
        <v>27</v>
      </c>
      <c r="E6368" s="4">
        <v>-32610</v>
      </c>
      <c r="F6368" s="3" t="s">
        <v>4991</v>
      </c>
      <c r="G6368" s="3" t="s">
        <v>6139</v>
      </c>
      <c r="H6368" s="2" t="s">
        <v>74</v>
      </c>
      <c r="I6368" s="2" t="s">
        <v>16088</v>
      </c>
      <c r="J6368" s="3" t="str">
        <f>HYPERLINK("https://www.boe.es/gazeta/dias/1810/09/18/pdfs/GEI-1810-69.pdf#page=11","Abrir facsímil")</f>
        <v>Abrir facsímil</v>
      </c>
      <c r="K6368" s="3" t="s">
        <v>76</v>
      </c>
    </row>
    <row r="6369" spans="1:11" ht="42" customHeight="1">
      <c r="A6369" s="2" t="s">
        <v>16089</v>
      </c>
      <c r="B6369" s="2" t="s">
        <v>16090</v>
      </c>
      <c r="C6369" s="2" t="s">
        <v>88</v>
      </c>
      <c r="D6369" s="2" t="s">
        <v>117</v>
      </c>
      <c r="E6369" s="4">
        <v>-32771</v>
      </c>
      <c r="F6369" s="3" t="s">
        <v>543</v>
      </c>
      <c r="G6369" s="3" t="s">
        <v>1667</v>
      </c>
      <c r="H6369" s="2" t="s">
        <v>74</v>
      </c>
      <c r="I6369" s="2" t="s">
        <v>16091</v>
      </c>
      <c r="J6369" s="3" t="str">
        <f>HYPERLINK("https://www.boe.es/gazeta/dias/1810/04/10/pdfs/GEI-1810-13.pdf#page=4","Abrir facsímil")</f>
        <v>Abrir facsímil</v>
      </c>
      <c r="K6369" s="3" t="s">
        <v>76</v>
      </c>
    </row>
    <row r="6370" spans="1:11" ht="42" customHeight="1">
      <c r="A6370" s="2" t="s">
        <v>16092</v>
      </c>
      <c r="B6370" s="2" t="s">
        <v>16093</v>
      </c>
      <c r="C6370" s="2" t="s">
        <v>33</v>
      </c>
      <c r="D6370" s="2" t="s">
        <v>58</v>
      </c>
      <c r="E6370" s="4">
        <v>-32601</v>
      </c>
      <c r="F6370" s="3" t="s">
        <v>392</v>
      </c>
      <c r="G6370" s="3" t="s">
        <v>35</v>
      </c>
      <c r="H6370" s="2" t="s">
        <v>74</v>
      </c>
      <c r="I6370" s="2" t="s">
        <v>16094</v>
      </c>
      <c r="J6370" s="3" t="str">
        <f>HYPERLINK("https://www.boe.es/gazeta/dias/1810/09/27/pdfs/GEI-1810-74E.pdf#page=2","Abrir facsímil")</f>
        <v>Abrir facsímil</v>
      </c>
      <c r="K6370" s="3" t="s">
        <v>76</v>
      </c>
    </row>
    <row r="6371" spans="1:11" ht="42" customHeight="1">
      <c r="A6371" s="2" t="s">
        <v>16095</v>
      </c>
      <c r="B6371" s="2" t="s">
        <v>16096</v>
      </c>
      <c r="C6371" s="2" t="s">
        <v>33</v>
      </c>
      <c r="D6371" s="2" t="s">
        <v>58</v>
      </c>
      <c r="E6371" s="4">
        <v>-32612</v>
      </c>
      <c r="F6371" s="3" t="s">
        <v>947</v>
      </c>
      <c r="G6371" s="3" t="s">
        <v>948</v>
      </c>
      <c r="H6371" s="2" t="s">
        <v>74</v>
      </c>
      <c r="I6371" s="2" t="s">
        <v>16097</v>
      </c>
      <c r="J6371" s="3" t="str">
        <f>HYPERLINK("https://www.boe.es/gazeta/dias/1810/09/16/pdfs/GEI-1810-68E.pdf#page=2","Abrir facsímil")</f>
        <v>Abrir facsímil</v>
      </c>
      <c r="K6371" s="3" t="s">
        <v>76</v>
      </c>
    </row>
    <row r="6372" spans="1:11" ht="42" customHeight="1">
      <c r="A6372" s="2" t="s">
        <v>16098</v>
      </c>
      <c r="B6372" s="2" t="s">
        <v>16099</v>
      </c>
      <c r="C6372" s="2" t="s">
        <v>225</v>
      </c>
      <c r="D6372" s="2" t="s">
        <v>27</v>
      </c>
      <c r="E6372" s="4">
        <v>-32855</v>
      </c>
      <c r="F6372" s="3" t="s">
        <v>3911</v>
      </c>
      <c r="G6372" s="3" t="s">
        <v>80</v>
      </c>
      <c r="H6372" s="2" t="s">
        <v>74</v>
      </c>
      <c r="I6372" s="2" t="s">
        <v>16100</v>
      </c>
      <c r="J6372" s="3" t="str">
        <f>HYPERLINK("https://www.boe.es/gazeta/dias/1810/01/16/pdfs/GGB-1810-7.pdf#page=5","Abrir facsímil")</f>
        <v>Abrir facsímil</v>
      </c>
      <c r="K6372" s="3" t="s">
        <v>76</v>
      </c>
    </row>
    <row r="6373" spans="1:11" ht="42" customHeight="1">
      <c r="A6373" s="2" t="s">
        <v>16101</v>
      </c>
      <c r="B6373" s="2" t="s">
        <v>16102</v>
      </c>
      <c r="C6373" s="2" t="s">
        <v>26</v>
      </c>
      <c r="D6373" s="2" t="s">
        <v>39</v>
      </c>
      <c r="E6373" s="4">
        <v>-32701</v>
      </c>
      <c r="F6373" s="3" t="s">
        <v>40</v>
      </c>
      <c r="G6373" s="3" t="s">
        <v>315</v>
      </c>
      <c r="H6373" s="2" t="s">
        <v>74</v>
      </c>
      <c r="I6373" s="2" t="s">
        <v>16103</v>
      </c>
      <c r="J6373" s="3" t="str">
        <f>HYPERLINK("https://www.boe.es/gazeta/dias/1810/06/19/pdfs/GMD-C-1810-170.pdf#page=2","Abrir facsímil")</f>
        <v>Abrir facsímil</v>
      </c>
      <c r="K6373" s="3" t="s">
        <v>76</v>
      </c>
    </row>
    <row r="6374" spans="1:11" ht="42" customHeight="1">
      <c r="A6374" s="2" t="s">
        <v>16104</v>
      </c>
      <c r="B6374" s="2" t="s">
        <v>16105</v>
      </c>
      <c r="C6374" s="2" t="s">
        <v>111</v>
      </c>
      <c r="D6374" s="2" t="s">
        <v>27</v>
      </c>
      <c r="E6374" s="4">
        <v>-32574</v>
      </c>
      <c r="F6374" s="3" t="s">
        <v>9540</v>
      </c>
      <c r="G6374" s="3" t="s">
        <v>227</v>
      </c>
      <c r="H6374" s="2" t="s">
        <v>74</v>
      </c>
      <c r="I6374" s="2" t="s">
        <v>16106</v>
      </c>
      <c r="J6374" s="3" t="str">
        <f>HYPERLINK("https://www.boe.es/gazeta/dias/1810/10/24/pdfs/GMD-1810-297.pdf#page=4","Abrir facsímil")</f>
        <v>Abrir facsímil</v>
      </c>
      <c r="K6374" s="3" t="s">
        <v>76</v>
      </c>
    </row>
    <row r="6375" spans="1:11" ht="42" customHeight="1">
      <c r="A6375" s="2" t="s">
        <v>16107</v>
      </c>
      <c r="B6375" s="2" t="s">
        <v>16108</v>
      </c>
      <c r="C6375" s="2" t="s">
        <v>26</v>
      </c>
      <c r="D6375" s="2" t="s">
        <v>27</v>
      </c>
      <c r="E6375" s="4">
        <v>-32741</v>
      </c>
      <c r="F6375" s="3" t="s">
        <v>98</v>
      </c>
      <c r="G6375" s="3" t="s">
        <v>99</v>
      </c>
      <c r="H6375" s="2" t="s">
        <v>74</v>
      </c>
      <c r="I6375" s="2" t="s">
        <v>16109</v>
      </c>
      <c r="J6375" s="3" t="str">
        <f>HYPERLINK("https://www.boe.es/gazeta/dias/1810/05/10/pdfs/GMD-1810-130.pdf#page=3","Abrir facsímil")</f>
        <v>Abrir facsímil</v>
      </c>
      <c r="K6375" s="3" t="s">
        <v>76</v>
      </c>
    </row>
    <row r="6376" spans="1:11" ht="42" customHeight="1">
      <c r="A6376" s="2" t="s">
        <v>16110</v>
      </c>
      <c r="B6376" s="2" t="s">
        <v>16111</v>
      </c>
      <c r="C6376" s="2" t="s">
        <v>88</v>
      </c>
      <c r="D6376" s="2" t="s">
        <v>117</v>
      </c>
      <c r="E6376" s="4">
        <v>-32827</v>
      </c>
      <c r="F6376" s="3" t="s">
        <v>290</v>
      </c>
      <c r="G6376" s="3" t="s">
        <v>291</v>
      </c>
      <c r="H6376" s="2" t="s">
        <v>74</v>
      </c>
      <c r="I6376" s="2" t="s">
        <v>16112</v>
      </c>
      <c r="J6376" s="3" t="str">
        <f>HYPERLINK("https://www.boe.es/gazeta/dias/1810/02/13/pdfs/GMD-1810-44.pdf#page=4","Abrir facsímil")</f>
        <v>Abrir facsímil</v>
      </c>
      <c r="K6376" s="3" t="s">
        <v>76</v>
      </c>
    </row>
    <row r="6377" spans="1:11" ht="42" customHeight="1">
      <c r="A6377" s="2" t="s">
        <v>16113</v>
      </c>
      <c r="B6377" s="2" t="s">
        <v>16113</v>
      </c>
      <c r="C6377" s="2" t="s">
        <v>225</v>
      </c>
      <c r="D6377" s="2" t="s">
        <v>117</v>
      </c>
      <c r="E6377" s="4">
        <v>-32769</v>
      </c>
      <c r="F6377" s="3" t="s">
        <v>1543</v>
      </c>
      <c r="G6377" s="3" t="s">
        <v>1936</v>
      </c>
      <c r="H6377" s="2" t="s">
        <v>74</v>
      </c>
      <c r="I6377" s="2" t="s">
        <v>16114</v>
      </c>
      <c r="J6377" s="3" t="str">
        <f>HYPERLINK("https://www.boe.es/gazeta/dias/1810/04/12/pdfs/GMD-1810-102.pdf#page=1","Abrir facsímil")</f>
        <v>Abrir facsímil</v>
      </c>
      <c r="K6377" s="3" t="s">
        <v>76</v>
      </c>
    </row>
    <row r="6378" spans="1:11" ht="42" customHeight="1">
      <c r="A6378" s="2" t="s">
        <v>16113</v>
      </c>
      <c r="B6378" s="2" t="s">
        <v>16113</v>
      </c>
      <c r="C6378" s="2" t="s">
        <v>26</v>
      </c>
      <c r="D6378" s="2" t="s">
        <v>27</v>
      </c>
      <c r="E6378" s="4">
        <v>-32748</v>
      </c>
      <c r="F6378" s="3" t="s">
        <v>15562</v>
      </c>
      <c r="G6378" s="3" t="s">
        <v>140</v>
      </c>
      <c r="H6378" s="2" t="s">
        <v>74</v>
      </c>
      <c r="I6378" s="2" t="s">
        <v>16115</v>
      </c>
      <c r="J6378" s="3" t="str">
        <f>HYPERLINK("https://www.boe.es/gazeta/dias/1810/05/03/pdfs/GMD-1810-123.pdf#page=2","Abrir facsímil")</f>
        <v>Abrir facsímil</v>
      </c>
      <c r="K6378" s="3" t="s">
        <v>76</v>
      </c>
    </row>
    <row r="6379" spans="1:11" ht="42" customHeight="1">
      <c r="A6379" s="2" t="s">
        <v>16116</v>
      </c>
      <c r="B6379" s="2" t="s">
        <v>16117</v>
      </c>
      <c r="C6379" s="2" t="s">
        <v>88</v>
      </c>
      <c r="D6379" s="2" t="s">
        <v>27</v>
      </c>
      <c r="E6379" s="4">
        <v>-32710</v>
      </c>
      <c r="F6379" s="3" t="s">
        <v>126</v>
      </c>
      <c r="G6379" s="3" t="s">
        <v>184</v>
      </c>
      <c r="H6379" s="2" t="s">
        <v>74</v>
      </c>
      <c r="I6379" s="2" t="s">
        <v>16118</v>
      </c>
      <c r="J6379" s="3" t="str">
        <f>HYPERLINK("https://www.boe.es/gazeta/dias/1810/06/10/pdfs/GMD-1810-161.pdf#page=3","Abrir facsímil")</f>
        <v>Abrir facsímil</v>
      </c>
      <c r="K6379" s="3" t="s">
        <v>76</v>
      </c>
    </row>
    <row r="6380" spans="1:11" ht="42" customHeight="1">
      <c r="A6380" s="2" t="s">
        <v>16119</v>
      </c>
      <c r="B6380" s="2" t="s">
        <v>16120</v>
      </c>
      <c r="C6380" s="2" t="s">
        <v>26</v>
      </c>
      <c r="D6380" s="2" t="s">
        <v>27</v>
      </c>
      <c r="E6380" s="4">
        <v>-32782</v>
      </c>
      <c r="F6380" s="3" t="s">
        <v>79</v>
      </c>
      <c r="G6380" s="3" t="s">
        <v>80</v>
      </c>
      <c r="H6380" s="2" t="s">
        <v>74</v>
      </c>
      <c r="I6380" s="2" t="s">
        <v>16121</v>
      </c>
      <c r="J6380" s="3" t="str">
        <f>HYPERLINK("https://www.boe.es/gazeta/dias/1810/03/30/pdfs/GEI-1810-9.pdf#page=7","Abrir facsímil")</f>
        <v>Abrir facsímil</v>
      </c>
      <c r="K6380" s="3" t="s">
        <v>76</v>
      </c>
    </row>
    <row r="6381" spans="1:11" ht="42" customHeight="1">
      <c r="A6381" s="2" t="s">
        <v>16122</v>
      </c>
      <c r="B6381" s="2" t="s">
        <v>16122</v>
      </c>
      <c r="C6381" s="2" t="s">
        <v>26</v>
      </c>
      <c r="D6381" s="2" t="s">
        <v>27</v>
      </c>
      <c r="E6381" s="4">
        <v>-32714</v>
      </c>
      <c r="F6381" s="3" t="s">
        <v>977</v>
      </c>
      <c r="G6381" s="3" t="s">
        <v>632</v>
      </c>
      <c r="H6381" s="2" t="s">
        <v>74</v>
      </c>
      <c r="I6381" s="2" t="s">
        <v>16123</v>
      </c>
      <c r="J6381" s="3" t="str">
        <f>HYPERLINK("https://www.boe.es/gazeta/dias/1810/06/06/pdfs/GMD-1810-157.pdf#page=4","Abrir facsímil")</f>
        <v>Abrir facsímil</v>
      </c>
      <c r="K6381" s="3" t="s">
        <v>76</v>
      </c>
    </row>
    <row r="6382" spans="1:11" ht="42" customHeight="1">
      <c r="A6382" s="2" t="s">
        <v>16124</v>
      </c>
      <c r="B6382" s="2" t="s">
        <v>16125</v>
      </c>
      <c r="C6382" s="2" t="s">
        <v>26</v>
      </c>
      <c r="D6382" s="2" t="s">
        <v>27</v>
      </c>
      <c r="E6382" s="4">
        <v>-32618</v>
      </c>
      <c r="F6382" s="3" t="s">
        <v>1501</v>
      </c>
      <c r="G6382" s="3" t="s">
        <v>20</v>
      </c>
      <c r="H6382" s="2" t="s">
        <v>74</v>
      </c>
      <c r="I6382" s="2" t="s">
        <v>16126</v>
      </c>
      <c r="J6382" s="3" t="str">
        <f>HYPERLINK("https://www.boe.es/gazeta/dias/1810/09/10/pdfs/GMD-1810-253.pdf#page=4","Abrir facsímil")</f>
        <v>Abrir facsímil</v>
      </c>
      <c r="K6382" s="3" t="s">
        <v>76</v>
      </c>
    </row>
    <row r="6383" spans="1:11" ht="42" customHeight="1">
      <c r="A6383" s="2" t="s">
        <v>16127</v>
      </c>
      <c r="B6383" s="2" t="s">
        <v>16127</v>
      </c>
      <c r="C6383" s="2" t="s">
        <v>88</v>
      </c>
      <c r="D6383" s="2" t="s">
        <v>27</v>
      </c>
      <c r="E6383" s="4">
        <v>-32559</v>
      </c>
      <c r="F6383" s="3" t="s">
        <v>2260</v>
      </c>
      <c r="G6383" s="3" t="s">
        <v>12784</v>
      </c>
      <c r="H6383" s="2" t="s">
        <v>74</v>
      </c>
      <c r="I6383" s="2" t="s">
        <v>16128</v>
      </c>
      <c r="J6383" s="3" t="str">
        <f>HYPERLINK("https://www.boe.es/gazeta/dias/1810/11/08/pdfs/GMD-1810-312.pdf#page=1","Abrir facsímil")</f>
        <v>Abrir facsímil</v>
      </c>
      <c r="K6383" s="3" t="s">
        <v>76</v>
      </c>
    </row>
    <row r="6384" spans="1:11" ht="42" customHeight="1">
      <c r="A6384" s="2" t="s">
        <v>16129</v>
      </c>
      <c r="B6384" s="2" t="s">
        <v>16130</v>
      </c>
      <c r="C6384" s="2" t="s">
        <v>225</v>
      </c>
      <c r="D6384" s="2" t="s">
        <v>27</v>
      </c>
      <c r="E6384" s="4">
        <v>-32784</v>
      </c>
      <c r="F6384" s="3" t="s">
        <v>429</v>
      </c>
      <c r="G6384" s="3" t="s">
        <v>131</v>
      </c>
      <c r="H6384" s="2" t="s">
        <v>74</v>
      </c>
      <c r="I6384" s="2" t="s">
        <v>16131</v>
      </c>
      <c r="J6384" s="3" t="str">
        <f>HYPERLINK("https://www.boe.es/gazeta/dias/1810/03/28/pdfs/GMD-1810-87.pdf#page=3","Abrir facsímil")</f>
        <v>Abrir facsímil</v>
      </c>
      <c r="K6384" s="3" t="s">
        <v>76</v>
      </c>
    </row>
    <row r="6385" spans="1:11" ht="42" customHeight="1">
      <c r="A6385" s="2" t="s">
        <v>16132</v>
      </c>
      <c r="B6385" s="2" t="s">
        <v>16133</v>
      </c>
      <c r="C6385" s="2" t="s">
        <v>88</v>
      </c>
      <c r="D6385" s="2" t="s">
        <v>27</v>
      </c>
      <c r="E6385" s="4">
        <v>-32547</v>
      </c>
      <c r="F6385" s="3" t="s">
        <v>407</v>
      </c>
      <c r="G6385" s="3" t="s">
        <v>408</v>
      </c>
      <c r="H6385" s="2" t="s">
        <v>74</v>
      </c>
      <c r="I6385" s="2" t="s">
        <v>16134</v>
      </c>
      <c r="J6385" s="3" t="str">
        <f>HYPERLINK("https://www.boe.es/gazeta/dias/1810/11/20/pdfs/GEI-1810-97.pdf#page=8","Abrir facsímil")</f>
        <v>Abrir facsímil</v>
      </c>
      <c r="K6385" s="3" t="s">
        <v>76</v>
      </c>
    </row>
    <row r="6386" spans="1:11" ht="42" customHeight="1">
      <c r="A6386" s="2" t="s">
        <v>16135</v>
      </c>
      <c r="B6386" s="2" t="s">
        <v>16136</v>
      </c>
      <c r="C6386" s="2" t="s">
        <v>26</v>
      </c>
      <c r="D6386" s="2" t="s">
        <v>27</v>
      </c>
      <c r="E6386" s="4">
        <v>-32558</v>
      </c>
      <c r="F6386" s="3" t="s">
        <v>241</v>
      </c>
      <c r="G6386" s="3" t="s">
        <v>99</v>
      </c>
      <c r="H6386" s="2" t="s">
        <v>74</v>
      </c>
      <c r="I6386" s="2" t="s">
        <v>16137</v>
      </c>
      <c r="J6386" s="3" t="str">
        <f>HYPERLINK("https://www.boe.es/gazeta/dias/1810/11/09/pdfs/GMD-1810-313.pdf#page=3","Abrir facsímil")</f>
        <v>Abrir facsímil</v>
      </c>
      <c r="K6386" s="3" t="s">
        <v>76</v>
      </c>
    </row>
    <row r="6387" spans="1:11" ht="42" customHeight="1">
      <c r="A6387" s="2" t="s">
        <v>16138</v>
      </c>
      <c r="B6387" s="2" t="s">
        <v>16139</v>
      </c>
      <c r="C6387" s="2" t="s">
        <v>26</v>
      </c>
      <c r="D6387" s="2" t="s">
        <v>39</v>
      </c>
      <c r="E6387" s="4">
        <v>-32669</v>
      </c>
      <c r="F6387" s="3" t="s">
        <v>1110</v>
      </c>
      <c r="G6387" s="3" t="s">
        <v>29</v>
      </c>
      <c r="H6387" s="2" t="s">
        <v>74</v>
      </c>
      <c r="I6387" s="2" t="s">
        <v>16140</v>
      </c>
      <c r="J6387" s="3" t="str">
        <f>HYPERLINK("https://www.boe.es/gazeta/dias/1810/07/21/pdfs/GMD-C-1810-202.pdf#page=4","Abrir facsímil")</f>
        <v>Abrir facsímil</v>
      </c>
      <c r="K6387" s="3" t="s">
        <v>76</v>
      </c>
    </row>
    <row r="6388" spans="1:11" ht="42" customHeight="1">
      <c r="A6388" s="2" t="s">
        <v>16141</v>
      </c>
      <c r="B6388" s="2" t="s">
        <v>16142</v>
      </c>
      <c r="C6388" s="2" t="s">
        <v>26</v>
      </c>
      <c r="D6388" s="2" t="s">
        <v>27</v>
      </c>
      <c r="E6388" s="4">
        <v>-32599</v>
      </c>
      <c r="F6388" s="3" t="s">
        <v>1586</v>
      </c>
      <c r="G6388" s="3" t="s">
        <v>140</v>
      </c>
      <c r="H6388" s="2" t="s">
        <v>74</v>
      </c>
      <c r="I6388" s="2" t="s">
        <v>16143</v>
      </c>
      <c r="J6388" s="3" t="str">
        <f>HYPERLINK("https://www.boe.es/gazeta/dias/1810/09/29/pdfs/GMD-1810-272.pdf#page=4","Abrir facsímil")</f>
        <v>Abrir facsímil</v>
      </c>
      <c r="K6388" s="3" t="s">
        <v>76</v>
      </c>
    </row>
    <row r="6389" spans="1:11" ht="42" customHeight="1">
      <c r="A6389" s="2" t="s">
        <v>16144</v>
      </c>
      <c r="B6389" s="2" t="s">
        <v>16145</v>
      </c>
      <c r="C6389" s="2" t="s">
        <v>26</v>
      </c>
      <c r="D6389" s="2" t="s">
        <v>39</v>
      </c>
      <c r="E6389" s="4">
        <v>-32669</v>
      </c>
      <c r="F6389" s="3" t="s">
        <v>1110</v>
      </c>
      <c r="G6389" s="3" t="s">
        <v>29</v>
      </c>
      <c r="H6389" s="2" t="s">
        <v>74</v>
      </c>
      <c r="I6389" s="2" t="s">
        <v>16146</v>
      </c>
      <c r="J6389" s="3" t="str">
        <f>HYPERLINK("https://www.boe.es/gazeta/dias/1810/07/21/pdfs/GMD-C-1810-202.pdf#page=4","Abrir facsímil")</f>
        <v>Abrir facsímil</v>
      </c>
      <c r="K6389" s="3" t="s">
        <v>76</v>
      </c>
    </row>
    <row r="6390" spans="1:11" ht="42" customHeight="1">
      <c r="A6390" s="2" t="s">
        <v>16147</v>
      </c>
      <c r="B6390" s="2" t="s">
        <v>16148</v>
      </c>
      <c r="C6390" s="2" t="s">
        <v>33</v>
      </c>
      <c r="D6390" s="2" t="s">
        <v>27</v>
      </c>
      <c r="E6390" s="4">
        <v>-32545</v>
      </c>
      <c r="F6390" s="3" t="s">
        <v>165</v>
      </c>
      <c r="G6390" s="3" t="s">
        <v>166</v>
      </c>
      <c r="H6390" s="2" t="s">
        <v>74</v>
      </c>
      <c r="I6390" s="2" t="s">
        <v>16149</v>
      </c>
      <c r="J6390" s="3" t="str">
        <f>HYPERLINK("https://www.boe.es/gazeta/dias/1810/11/22/pdfs/GEI-1810-98.pdf#page=8","Abrir facsímil")</f>
        <v>Abrir facsímil</v>
      </c>
      <c r="K6390" s="3" t="s">
        <v>76</v>
      </c>
    </row>
    <row r="6391" spans="1:11" ht="42" customHeight="1">
      <c r="A6391" s="2" t="s">
        <v>16150</v>
      </c>
      <c r="B6391" s="2" t="s">
        <v>16151</v>
      </c>
      <c r="C6391" s="2" t="s">
        <v>26</v>
      </c>
      <c r="D6391" s="2" t="s">
        <v>27</v>
      </c>
      <c r="E6391" s="4">
        <v>-32563</v>
      </c>
      <c r="F6391" s="3" t="s">
        <v>535</v>
      </c>
      <c r="G6391" s="3" t="s">
        <v>3597</v>
      </c>
      <c r="H6391" s="2" t="s">
        <v>74</v>
      </c>
      <c r="I6391" s="2" t="s">
        <v>16152</v>
      </c>
      <c r="J6391" s="3" t="str">
        <f>HYPERLINK("https://www.boe.es/gazeta/dias/1810/11/04/pdfs/GMD-1810-308.pdf#page=16","Abrir facsímil")</f>
        <v>Abrir facsímil</v>
      </c>
      <c r="K6391" s="3" t="s">
        <v>76</v>
      </c>
    </row>
    <row r="6392" spans="1:11" ht="42" customHeight="1">
      <c r="A6392" s="2" t="s">
        <v>16153</v>
      </c>
      <c r="B6392" s="2" t="s">
        <v>16154</v>
      </c>
      <c r="C6392" s="2" t="s">
        <v>88</v>
      </c>
      <c r="D6392" s="2" t="s">
        <v>27</v>
      </c>
      <c r="E6392" s="4">
        <v>-32647</v>
      </c>
      <c r="F6392" s="3" t="s">
        <v>118</v>
      </c>
      <c r="G6392" s="3" t="s">
        <v>20</v>
      </c>
      <c r="H6392" s="2" t="s">
        <v>74</v>
      </c>
      <c r="I6392" s="2" t="s">
        <v>16155</v>
      </c>
      <c r="J6392" s="3" t="str">
        <f>HYPERLINK("https://www.boe.es/gazeta/dias/1810/08/12/pdfs/GMD-1810-224.pdf#page=4","Abrir facsímil")</f>
        <v>Abrir facsímil</v>
      </c>
      <c r="K6392" s="3" t="s">
        <v>76</v>
      </c>
    </row>
    <row r="6393" spans="1:11" ht="42" customHeight="1">
      <c r="A6393" s="2" t="s">
        <v>16156</v>
      </c>
      <c r="B6393" s="2" t="s">
        <v>16157</v>
      </c>
      <c r="C6393" s="2" t="s">
        <v>26</v>
      </c>
      <c r="D6393" s="2" t="s">
        <v>27</v>
      </c>
      <c r="E6393" s="4">
        <v>-32799</v>
      </c>
      <c r="F6393" s="3" t="s">
        <v>2252</v>
      </c>
      <c r="G6393" s="3" t="s">
        <v>2253</v>
      </c>
      <c r="H6393" s="2" t="s">
        <v>74</v>
      </c>
      <c r="I6393" s="2" t="s">
        <v>16158</v>
      </c>
      <c r="J6393" s="3" t="str">
        <f>HYPERLINK("https://www.boe.es/gazeta/dias/1810/03/13/pdfs/GMD-1810-72.pdf#page=4","Abrir facsímil")</f>
        <v>Abrir facsímil</v>
      </c>
      <c r="K6393" s="3" t="s">
        <v>76</v>
      </c>
    </row>
    <row r="6394" spans="1:11" ht="42" customHeight="1">
      <c r="A6394" s="2" t="s">
        <v>16159</v>
      </c>
      <c r="B6394" s="2" t="s">
        <v>16159</v>
      </c>
      <c r="C6394" s="2" t="s">
        <v>88</v>
      </c>
      <c r="D6394" s="2" t="s">
        <v>27</v>
      </c>
      <c r="E6394" s="4">
        <v>-32559</v>
      </c>
      <c r="F6394" s="3" t="s">
        <v>2260</v>
      </c>
      <c r="G6394" s="3" t="s">
        <v>12784</v>
      </c>
      <c r="H6394" s="2" t="s">
        <v>74</v>
      </c>
      <c r="I6394" s="2" t="s">
        <v>16160</v>
      </c>
      <c r="J6394" s="3" t="str">
        <f>HYPERLINK("https://www.boe.es/gazeta/dias/1810/11/08/pdfs/GMD-1810-312.pdf#page=1","Abrir facsímil")</f>
        <v>Abrir facsímil</v>
      </c>
      <c r="K6394" s="3" t="s">
        <v>76</v>
      </c>
    </row>
    <row r="6395" spans="1:11" ht="42" customHeight="1">
      <c r="A6395" s="2" t="s">
        <v>16161</v>
      </c>
      <c r="B6395" s="2" t="s">
        <v>16161</v>
      </c>
      <c r="C6395" s="2" t="s">
        <v>88</v>
      </c>
      <c r="D6395" s="2" t="s">
        <v>117</v>
      </c>
      <c r="E6395" s="4">
        <v>-32764</v>
      </c>
      <c r="F6395" s="3" t="s">
        <v>640</v>
      </c>
      <c r="G6395" s="3" t="s">
        <v>6122</v>
      </c>
      <c r="H6395" s="2" t="s">
        <v>74</v>
      </c>
      <c r="I6395" s="2" t="s">
        <v>16162</v>
      </c>
      <c r="J6395" s="3" t="str">
        <f>HYPERLINK("https://www.boe.es/gazeta/dias/1810/04/17/pdfs/GEI-1810-15.pdf#page=4","Abrir facsímil")</f>
        <v>Abrir facsímil</v>
      </c>
      <c r="K6395" s="3" t="s">
        <v>76</v>
      </c>
    </row>
    <row r="6396" spans="1:11" ht="42" customHeight="1">
      <c r="A6396" s="2" t="s">
        <v>16163</v>
      </c>
      <c r="B6396" s="2" t="s">
        <v>16164</v>
      </c>
      <c r="C6396" s="2" t="s">
        <v>26</v>
      </c>
      <c r="D6396" s="2" t="s">
        <v>39</v>
      </c>
      <c r="E6396" s="4">
        <v>-32686</v>
      </c>
      <c r="F6396" s="3" t="s">
        <v>3230</v>
      </c>
      <c r="G6396" s="3" t="s">
        <v>735</v>
      </c>
      <c r="H6396" s="2" t="s">
        <v>74</v>
      </c>
      <c r="I6396" s="2" t="s">
        <v>16165</v>
      </c>
      <c r="J6396" s="3" t="str">
        <f>HYPERLINK("https://www.boe.es/gazeta/dias/1810/07/04/pdfs/GMD-C-1810-185.pdf#page=2","Abrir facsímil")</f>
        <v>Abrir facsímil</v>
      </c>
      <c r="K6396" s="3" t="s">
        <v>76</v>
      </c>
    </row>
    <row r="6397" spans="1:11" ht="42" customHeight="1">
      <c r="A6397" s="2" t="s">
        <v>16166</v>
      </c>
      <c r="B6397" s="2" t="s">
        <v>16167</v>
      </c>
      <c r="C6397" s="2" t="s">
        <v>88</v>
      </c>
      <c r="D6397" s="2" t="s">
        <v>27</v>
      </c>
      <c r="E6397" s="4">
        <v>-32558</v>
      </c>
      <c r="F6397" s="3" t="s">
        <v>241</v>
      </c>
      <c r="G6397" s="3" t="s">
        <v>99</v>
      </c>
      <c r="H6397" s="2" t="s">
        <v>74</v>
      </c>
      <c r="I6397" s="2" t="s">
        <v>16168</v>
      </c>
      <c r="J6397" s="3" t="str">
        <f>HYPERLINK("https://www.boe.es/gazeta/dias/1810/11/09/pdfs/GMD-1810-313.pdf#page=3","Abrir facsímil")</f>
        <v>Abrir facsímil</v>
      </c>
      <c r="K6397" s="3" t="s">
        <v>76</v>
      </c>
    </row>
    <row r="6398" spans="1:11" ht="42" customHeight="1">
      <c r="A6398" s="2" t="s">
        <v>16169</v>
      </c>
      <c r="B6398" s="2" t="s">
        <v>16170</v>
      </c>
      <c r="C6398" s="2" t="s">
        <v>111</v>
      </c>
      <c r="D6398" s="2" t="s">
        <v>18</v>
      </c>
      <c r="E6398" s="4">
        <v>-32755</v>
      </c>
      <c r="F6398" s="3" t="s">
        <v>1641</v>
      </c>
      <c r="G6398" s="3" t="s">
        <v>2420</v>
      </c>
      <c r="H6398" s="2" t="s">
        <v>74</v>
      </c>
      <c r="I6398" s="2" t="s">
        <v>16171</v>
      </c>
      <c r="J6398" s="3" t="str">
        <f>HYPERLINK("https://www.boe.es/gazeta/dias/1810/04/26/pdfs/GMD-1810-116.pdf#page=4","Abrir facsímil")</f>
        <v>Abrir facsímil</v>
      </c>
      <c r="K6398" s="3" t="s">
        <v>76</v>
      </c>
    </row>
    <row r="6399" spans="1:11" ht="42" customHeight="1">
      <c r="A6399" s="2" t="s">
        <v>16172</v>
      </c>
      <c r="B6399" s="2" t="s">
        <v>16173</v>
      </c>
      <c r="C6399" s="2" t="s">
        <v>88</v>
      </c>
      <c r="D6399" s="2" t="s">
        <v>27</v>
      </c>
      <c r="E6399" s="4">
        <v>-32533</v>
      </c>
      <c r="F6399" s="3" t="s">
        <v>1357</v>
      </c>
      <c r="G6399" s="3" t="s">
        <v>701</v>
      </c>
      <c r="H6399" s="2" t="s">
        <v>74</v>
      </c>
      <c r="I6399" s="2" t="s">
        <v>16174</v>
      </c>
      <c r="J6399" s="3" t="str">
        <f>HYPERLINK("https://www.boe.es/gazeta/dias/1810/12/04/pdfs/GEI-1810-103.pdf#page=8","Abrir facsímil")</f>
        <v>Abrir facsímil</v>
      </c>
      <c r="K6399" s="3" t="s">
        <v>76</v>
      </c>
    </row>
    <row r="6400" spans="1:11" ht="42" customHeight="1">
      <c r="A6400" s="2" t="s">
        <v>16175</v>
      </c>
      <c r="B6400" s="2" t="s">
        <v>16176</v>
      </c>
      <c r="C6400" s="2" t="s">
        <v>26</v>
      </c>
      <c r="D6400" s="2" t="s">
        <v>39</v>
      </c>
      <c r="E6400" s="4">
        <v>-32702</v>
      </c>
      <c r="F6400" s="3" t="s">
        <v>179</v>
      </c>
      <c r="G6400" s="3" t="s">
        <v>180</v>
      </c>
      <c r="H6400" s="2" t="s">
        <v>74</v>
      </c>
      <c r="I6400" s="2" t="s">
        <v>16177</v>
      </c>
      <c r="J6400" s="3" t="str">
        <f>HYPERLINK("https://www.boe.es/gazeta/dias/1810/06/18/pdfs/GMD-C-1810-169.pdf#page=2","Abrir facsímil")</f>
        <v>Abrir facsímil</v>
      </c>
      <c r="K6400" s="3" t="s">
        <v>76</v>
      </c>
    </row>
    <row r="6401" spans="1:11" ht="42" customHeight="1">
      <c r="A6401" s="2" t="s">
        <v>16178</v>
      </c>
      <c r="B6401" s="2" t="s">
        <v>16179</v>
      </c>
      <c r="C6401" s="2" t="s">
        <v>26</v>
      </c>
      <c r="D6401" s="2" t="s">
        <v>39</v>
      </c>
      <c r="E6401" s="4">
        <v>-32599</v>
      </c>
      <c r="F6401" s="3" t="s">
        <v>662</v>
      </c>
      <c r="G6401" s="3" t="s">
        <v>668</v>
      </c>
      <c r="H6401" s="2" t="s">
        <v>74</v>
      </c>
      <c r="I6401" s="2" t="s">
        <v>16180</v>
      </c>
      <c r="J6401" s="3" t="str">
        <f>HYPERLINK("https://www.boe.es/gazeta/dias/1810/09/29/pdfs/GMD-C-1810-272.pdf#page=4","Abrir facsímil")</f>
        <v>Abrir facsímil</v>
      </c>
      <c r="K6401" s="3" t="s">
        <v>76</v>
      </c>
    </row>
    <row r="6402" spans="1:11" ht="42" customHeight="1">
      <c r="A6402" s="2" t="s">
        <v>16181</v>
      </c>
      <c r="B6402" s="2" t="s">
        <v>16182</v>
      </c>
      <c r="C6402" s="2" t="s">
        <v>33</v>
      </c>
      <c r="D6402" s="2" t="s">
        <v>27</v>
      </c>
      <c r="E6402" s="4">
        <v>-32757</v>
      </c>
      <c r="F6402" s="3" t="s">
        <v>1136</v>
      </c>
      <c r="G6402" s="3" t="s">
        <v>1901</v>
      </c>
      <c r="H6402" s="2" t="s">
        <v>74</v>
      </c>
      <c r="I6402" s="2" t="s">
        <v>16183</v>
      </c>
      <c r="J6402" s="3" t="str">
        <f>HYPERLINK("https://www.boe.es/gazeta/dias/1810/04/24/pdfs/GEI-1810-17.pdf#page=8","Abrir facsímil")</f>
        <v>Abrir facsímil</v>
      </c>
      <c r="K6402" s="3" t="s">
        <v>76</v>
      </c>
    </row>
    <row r="6403" spans="1:11" ht="42" customHeight="1">
      <c r="A6403" s="2" t="s">
        <v>16181</v>
      </c>
      <c r="B6403" s="2" t="s">
        <v>16182</v>
      </c>
      <c r="C6403" s="2" t="s">
        <v>88</v>
      </c>
      <c r="D6403" s="2" t="s">
        <v>27</v>
      </c>
      <c r="E6403" s="4">
        <v>-32515</v>
      </c>
      <c r="F6403" s="3" t="s">
        <v>351</v>
      </c>
      <c r="G6403" s="3" t="s">
        <v>352</v>
      </c>
      <c r="H6403" s="2" t="s">
        <v>74</v>
      </c>
      <c r="I6403" s="2" t="s">
        <v>16184</v>
      </c>
      <c r="J6403" s="3" t="str">
        <f>HYPERLINK("https://www.boe.es/gazeta/dias/1810/12/22/pdfs/GEI-1810-111.pdf#page=8","Abrir facsímil")</f>
        <v>Abrir facsímil</v>
      </c>
      <c r="K6403" s="3" t="s">
        <v>76</v>
      </c>
    </row>
    <row r="6404" spans="1:11" ht="42" customHeight="1">
      <c r="A6404" s="2" t="s">
        <v>16185</v>
      </c>
      <c r="B6404" s="2" t="s">
        <v>16186</v>
      </c>
      <c r="C6404" s="2" t="s">
        <v>17</v>
      </c>
      <c r="D6404" s="2" t="s">
        <v>27</v>
      </c>
      <c r="E6404" s="4">
        <v>-32842</v>
      </c>
      <c r="F6404" s="3" t="s">
        <v>1291</v>
      </c>
      <c r="G6404" s="3" t="s">
        <v>1292</v>
      </c>
      <c r="H6404" s="2" t="s">
        <v>74</v>
      </c>
      <c r="I6404" s="2" t="s">
        <v>16187</v>
      </c>
      <c r="J6404" s="3" t="str">
        <f>HYPERLINK("https://www.boe.es/gazeta/dias/1810/01/29/pdfs/GMD-1810-29.pdf#page=3","Abrir facsímil")</f>
        <v>Abrir facsímil</v>
      </c>
      <c r="K6404" s="3" t="s">
        <v>76</v>
      </c>
    </row>
    <row r="6405" spans="1:11" ht="42" customHeight="1">
      <c r="A6405" s="2" t="s">
        <v>16185</v>
      </c>
      <c r="B6405" s="2" t="s">
        <v>16186</v>
      </c>
      <c r="C6405" s="2" t="s">
        <v>88</v>
      </c>
      <c r="D6405" s="2" t="s">
        <v>27</v>
      </c>
      <c r="E6405" s="4">
        <v>-32531</v>
      </c>
      <c r="F6405" s="3" t="s">
        <v>2023</v>
      </c>
      <c r="G6405" s="3" t="s">
        <v>29</v>
      </c>
      <c r="H6405" s="2" t="s">
        <v>74</v>
      </c>
      <c r="I6405" s="2" t="s">
        <v>16188</v>
      </c>
      <c r="J6405" s="3" t="str">
        <f>HYPERLINK("https://www.boe.es/gazeta/dias/1810/12/06/pdfs/GMD-1810-340.pdf#page=4","Abrir facsímil")</f>
        <v>Abrir facsímil</v>
      </c>
      <c r="K6405" s="3" t="s">
        <v>76</v>
      </c>
    </row>
    <row r="6406" spans="1:11" ht="42" customHeight="1">
      <c r="A6406" s="2" t="s">
        <v>16189</v>
      </c>
      <c r="B6406" s="2" t="s">
        <v>16190</v>
      </c>
      <c r="C6406" s="2" t="s">
        <v>26</v>
      </c>
      <c r="D6406" s="2" t="s">
        <v>39</v>
      </c>
      <c r="E6406" s="4">
        <v>-32684</v>
      </c>
      <c r="F6406" s="3" t="s">
        <v>295</v>
      </c>
      <c r="G6406" s="3" t="s">
        <v>213</v>
      </c>
      <c r="H6406" s="2" t="s">
        <v>74</v>
      </c>
      <c r="I6406" s="2" t="s">
        <v>16191</v>
      </c>
      <c r="J6406" s="3" t="str">
        <f>HYPERLINK("https://www.boe.es/gazeta/dias/1810/07/06/pdfs/GMD-C-1810-187.pdf#page=2","Abrir facsímil")</f>
        <v>Abrir facsímil</v>
      </c>
      <c r="K6406" s="3" t="s">
        <v>76</v>
      </c>
    </row>
    <row r="6407" spans="1:11" ht="42" customHeight="1">
      <c r="A6407" s="2" t="s">
        <v>16192</v>
      </c>
      <c r="B6407" s="2" t="s">
        <v>16193</v>
      </c>
      <c r="C6407" s="2" t="s">
        <v>88</v>
      </c>
      <c r="D6407" s="2" t="s">
        <v>27</v>
      </c>
      <c r="E6407" s="4">
        <v>-32550</v>
      </c>
      <c r="F6407" s="3" t="s">
        <v>1472</v>
      </c>
      <c r="G6407" s="3" t="s">
        <v>1473</v>
      </c>
      <c r="H6407" s="2" t="s">
        <v>74</v>
      </c>
      <c r="I6407" s="2" t="s">
        <v>16194</v>
      </c>
      <c r="J6407" s="3" t="str">
        <f>HYPERLINK("https://www.boe.es/gazeta/dias/1810/11/17/pdfs/GEI-1810-96.pdf#page=8","Abrir facsímil")</f>
        <v>Abrir facsímil</v>
      </c>
      <c r="K6407" s="3" t="s">
        <v>76</v>
      </c>
    </row>
    <row r="6408" spans="1:11" ht="42" customHeight="1">
      <c r="A6408" s="2" t="s">
        <v>16195</v>
      </c>
      <c r="B6408" s="2" t="s">
        <v>16196</v>
      </c>
      <c r="C6408" s="2" t="s">
        <v>26</v>
      </c>
      <c r="D6408" s="2" t="s">
        <v>39</v>
      </c>
      <c r="E6408" s="4">
        <v>-32701</v>
      </c>
      <c r="F6408" s="3" t="s">
        <v>40</v>
      </c>
      <c r="G6408" s="3" t="s">
        <v>170</v>
      </c>
      <c r="H6408" s="2" t="s">
        <v>74</v>
      </c>
      <c r="I6408" s="2" t="s">
        <v>16197</v>
      </c>
      <c r="J6408" s="3" t="str">
        <f>HYPERLINK("https://www.boe.es/gazeta/dias/1810/06/19/pdfs/GMD-C-1810-170.pdf#page=1","Abrir facsímil")</f>
        <v>Abrir facsímil</v>
      </c>
      <c r="K6408" s="3" t="s">
        <v>76</v>
      </c>
    </row>
    <row r="6409" spans="1:11" ht="42" customHeight="1">
      <c r="A6409" s="2" t="s">
        <v>16198</v>
      </c>
      <c r="B6409" s="2" t="s">
        <v>16199</v>
      </c>
      <c r="C6409" s="2" t="s">
        <v>26</v>
      </c>
      <c r="D6409" s="2" t="s">
        <v>39</v>
      </c>
      <c r="E6409" s="4">
        <v>-32702</v>
      </c>
      <c r="F6409" s="3" t="s">
        <v>179</v>
      </c>
      <c r="G6409" s="3" t="s">
        <v>180</v>
      </c>
      <c r="H6409" s="2" t="s">
        <v>74</v>
      </c>
      <c r="I6409" s="2" t="s">
        <v>16200</v>
      </c>
      <c r="J6409" s="3" t="str">
        <f>HYPERLINK("https://www.boe.es/gazeta/dias/1810/06/18/pdfs/GMD-C-1810-169.pdf#page=2","Abrir facsímil")</f>
        <v>Abrir facsímil</v>
      </c>
      <c r="K6409" s="3" t="s">
        <v>76</v>
      </c>
    </row>
    <row r="6410" spans="1:11" ht="42" customHeight="1">
      <c r="A6410" s="2" t="s">
        <v>16201</v>
      </c>
      <c r="B6410" s="2" t="s">
        <v>16202</v>
      </c>
      <c r="C6410" s="2" t="s">
        <v>26</v>
      </c>
      <c r="D6410" s="2" t="s">
        <v>39</v>
      </c>
      <c r="E6410" s="4">
        <v>-32599</v>
      </c>
      <c r="F6410" s="3" t="s">
        <v>662</v>
      </c>
      <c r="G6410" s="3" t="s">
        <v>663</v>
      </c>
      <c r="H6410" s="2" t="s">
        <v>74</v>
      </c>
      <c r="I6410" s="2" t="s">
        <v>16203</v>
      </c>
      <c r="J6410" s="3" t="str">
        <f>HYPERLINK("https://www.boe.es/gazeta/dias/1810/09/29/pdfs/GMD-C-1810-272.pdf#page=11","Abrir facsímil")</f>
        <v>Abrir facsímil</v>
      </c>
      <c r="K6410" s="3" t="s">
        <v>76</v>
      </c>
    </row>
    <row r="6411" spans="1:11" ht="42" customHeight="1">
      <c r="A6411" s="2" t="s">
        <v>16204</v>
      </c>
      <c r="B6411" s="2" t="s">
        <v>16204</v>
      </c>
      <c r="C6411" s="2" t="s">
        <v>26</v>
      </c>
      <c r="D6411" s="2" t="s">
        <v>220</v>
      </c>
      <c r="E6411" s="4">
        <v>-32782</v>
      </c>
      <c r="F6411" s="3" t="s">
        <v>1141</v>
      </c>
      <c r="G6411" s="3" t="s">
        <v>140</v>
      </c>
      <c r="H6411" s="2" t="s">
        <v>74</v>
      </c>
      <c r="I6411" s="2" t="s">
        <v>16205</v>
      </c>
      <c r="J6411" s="3" t="str">
        <f>HYPERLINK("https://www.boe.es/gazeta/dias/1810/03/30/pdfs/GMD-1810-89.pdf#page=2","Abrir facsímil")</f>
        <v>Abrir facsímil</v>
      </c>
      <c r="K6411" s="3" t="s">
        <v>76</v>
      </c>
    </row>
    <row r="6412" spans="1:11" ht="42" customHeight="1">
      <c r="A6412" s="2" t="s">
        <v>16206</v>
      </c>
      <c r="B6412" s="2" t="s">
        <v>16206</v>
      </c>
      <c r="C6412" s="2" t="s">
        <v>88</v>
      </c>
      <c r="D6412" s="2" t="s">
        <v>27</v>
      </c>
      <c r="E6412" s="4">
        <v>-32541</v>
      </c>
      <c r="F6412" s="3" t="s">
        <v>748</v>
      </c>
      <c r="G6412" s="3" t="s">
        <v>749</v>
      </c>
      <c r="H6412" s="2" t="s">
        <v>74</v>
      </c>
      <c r="I6412" s="2" t="s">
        <v>16207</v>
      </c>
      <c r="J6412" s="3" t="str">
        <f>HYPERLINK("https://www.boe.es/gazeta/dias/1810/11/26/pdfs/GMD-1810-330.pdf#page=1","Abrir facsímil")</f>
        <v>Abrir facsímil</v>
      </c>
      <c r="K6412" s="3" t="s">
        <v>76</v>
      </c>
    </row>
    <row r="6413" spans="1:11" ht="42" customHeight="1">
      <c r="A6413" s="2" t="s">
        <v>16208</v>
      </c>
      <c r="B6413" s="2" t="s">
        <v>16208</v>
      </c>
      <c r="C6413" s="2" t="s">
        <v>88</v>
      </c>
      <c r="D6413" s="2" t="s">
        <v>27</v>
      </c>
      <c r="E6413" s="4">
        <v>-32721</v>
      </c>
      <c r="F6413" s="3" t="s">
        <v>3437</v>
      </c>
      <c r="G6413" s="3" t="s">
        <v>213</v>
      </c>
      <c r="H6413" s="2" t="s">
        <v>74</v>
      </c>
      <c r="I6413" s="2" t="s">
        <v>16209</v>
      </c>
      <c r="J6413" s="3" t="str">
        <f>HYPERLINK("https://www.boe.es/gazeta/dias/1810/05/30/pdfs/GMD-1810-150.pdf#page=2","Abrir facsímil")</f>
        <v>Abrir facsímil</v>
      </c>
      <c r="K6413" s="3" t="s">
        <v>76</v>
      </c>
    </row>
    <row r="6414" spans="1:11" ht="42" customHeight="1">
      <c r="A6414" s="2" t="s">
        <v>16210</v>
      </c>
      <c r="B6414" s="2" t="s">
        <v>16211</v>
      </c>
      <c r="C6414" s="2" t="s">
        <v>88</v>
      </c>
      <c r="D6414" s="2" t="s">
        <v>117</v>
      </c>
      <c r="E6414" s="4">
        <v>-32631</v>
      </c>
      <c r="F6414" s="3" t="s">
        <v>497</v>
      </c>
      <c r="G6414" s="3" t="s">
        <v>498</v>
      </c>
      <c r="H6414" s="2" t="s">
        <v>74</v>
      </c>
      <c r="I6414" s="2" t="s">
        <v>16212</v>
      </c>
      <c r="J6414" s="3" t="str">
        <f>HYPERLINK("https://www.boe.es/gazeta/dias/1810/08/28/pdfs/GMD-1810-240.pdf#page=2","Abrir facsímil")</f>
        <v>Abrir facsímil</v>
      </c>
      <c r="K6414" s="3" t="s">
        <v>76</v>
      </c>
    </row>
    <row r="6415" spans="1:11" ht="42" customHeight="1">
      <c r="A6415" s="2" t="s">
        <v>16213</v>
      </c>
      <c r="B6415" s="2" t="s">
        <v>16214</v>
      </c>
      <c r="C6415" s="2" t="s">
        <v>88</v>
      </c>
      <c r="D6415" s="2" t="s">
        <v>117</v>
      </c>
      <c r="E6415" s="4">
        <v>-32820</v>
      </c>
      <c r="F6415" s="3" t="s">
        <v>226</v>
      </c>
      <c r="G6415" s="3" t="s">
        <v>356</v>
      </c>
      <c r="H6415" s="2" t="s">
        <v>74</v>
      </c>
      <c r="I6415" s="2" t="s">
        <v>16215</v>
      </c>
      <c r="J6415" s="3" t="str">
        <f>HYPERLINK("https://www.boe.es/gazeta/dias/1810/02/20/pdfs/GMD-1810-51.pdf#page=3","Abrir facsímil")</f>
        <v>Abrir facsímil</v>
      </c>
      <c r="K6415" s="3" t="s">
        <v>76</v>
      </c>
    </row>
    <row r="6416" spans="1:11" ht="42" customHeight="1">
      <c r="A6416" s="2" t="s">
        <v>16216</v>
      </c>
      <c r="B6416" s="2" t="s">
        <v>16217</v>
      </c>
      <c r="C6416" s="2" t="s">
        <v>317</v>
      </c>
      <c r="D6416" s="2" t="s">
        <v>39</v>
      </c>
      <c r="E6416" s="4">
        <v>-32701</v>
      </c>
      <c r="F6416" s="3" t="s">
        <v>40</v>
      </c>
      <c r="G6416" s="3" t="s">
        <v>315</v>
      </c>
      <c r="H6416" s="2" t="s">
        <v>74</v>
      </c>
      <c r="I6416" s="2" t="s">
        <v>16218</v>
      </c>
      <c r="J6416" s="3" t="str">
        <f>HYPERLINK("https://www.boe.es/gazeta/dias/1810/06/19/pdfs/GMD-C-1810-170.pdf#page=2","Abrir facsímil")</f>
        <v>Abrir facsímil</v>
      </c>
      <c r="K6416" s="3" t="s">
        <v>76</v>
      </c>
    </row>
    <row r="6417" spans="1:11" ht="42" customHeight="1">
      <c r="A6417" s="2" t="s">
        <v>16219</v>
      </c>
      <c r="B6417" s="2" t="s">
        <v>16220</v>
      </c>
      <c r="C6417" s="2" t="s">
        <v>88</v>
      </c>
      <c r="D6417" s="2" t="s">
        <v>27</v>
      </c>
      <c r="E6417" s="4">
        <v>-32795</v>
      </c>
      <c r="F6417" s="3" t="s">
        <v>690</v>
      </c>
      <c r="G6417" s="3" t="s">
        <v>213</v>
      </c>
      <c r="H6417" s="2" t="s">
        <v>74</v>
      </c>
      <c r="I6417" s="2" t="s">
        <v>16221</v>
      </c>
      <c r="J6417" s="3" t="str">
        <f>HYPERLINK("https://www.boe.es/gazeta/dias/1810/03/17/pdfs/GMD-1810-76.pdf#page=4","Abrir facsímil")</f>
        <v>Abrir facsímil</v>
      </c>
      <c r="K6417" s="3" t="s">
        <v>76</v>
      </c>
    </row>
    <row r="6418" spans="1:11" ht="42" customHeight="1">
      <c r="A6418" s="2" t="s">
        <v>16222</v>
      </c>
      <c r="B6418" s="2" t="s">
        <v>16222</v>
      </c>
      <c r="C6418" s="2" t="s">
        <v>88</v>
      </c>
      <c r="D6418" s="2" t="s">
        <v>27</v>
      </c>
      <c r="E6418" s="4">
        <v>-32800</v>
      </c>
      <c r="F6418" s="3" t="s">
        <v>388</v>
      </c>
      <c r="G6418" s="3" t="s">
        <v>90</v>
      </c>
      <c r="H6418" s="2" t="s">
        <v>74</v>
      </c>
      <c r="I6418" s="2" t="s">
        <v>16223</v>
      </c>
      <c r="J6418" s="3" t="str">
        <f>HYPERLINK("https://www.boe.es/gazeta/dias/1810/03/12/pdfs/GMD-1810-71.pdf#page=2","Abrir facsímil")</f>
        <v>Abrir facsímil</v>
      </c>
      <c r="K6418" s="3" t="s">
        <v>76</v>
      </c>
    </row>
    <row r="6419" spans="1:11" ht="42" customHeight="1">
      <c r="A6419" s="2" t="s">
        <v>16224</v>
      </c>
      <c r="B6419" s="2" t="s">
        <v>16225</v>
      </c>
      <c r="C6419" s="2" t="s">
        <v>88</v>
      </c>
      <c r="D6419" s="2" t="s">
        <v>27</v>
      </c>
      <c r="E6419" s="4">
        <v>-32710</v>
      </c>
      <c r="F6419" s="3" t="s">
        <v>126</v>
      </c>
      <c r="G6419" s="3" t="s">
        <v>184</v>
      </c>
      <c r="H6419" s="2" t="s">
        <v>74</v>
      </c>
      <c r="I6419" s="2" t="s">
        <v>16226</v>
      </c>
      <c r="J6419" s="3" t="str">
        <f>HYPERLINK("https://www.boe.es/gazeta/dias/1810/06/10/pdfs/GMD-1810-161.pdf#page=3","Abrir facsímil")</f>
        <v>Abrir facsímil</v>
      </c>
      <c r="K6419" s="3" t="s">
        <v>76</v>
      </c>
    </row>
    <row r="6420" spans="1:11" ht="42" customHeight="1">
      <c r="A6420" s="2" t="s">
        <v>16227</v>
      </c>
      <c r="B6420" s="2" t="s">
        <v>16228</v>
      </c>
      <c r="C6420" s="2" t="s">
        <v>88</v>
      </c>
      <c r="D6420" s="2" t="s">
        <v>27</v>
      </c>
      <c r="E6420" s="4">
        <v>-32784</v>
      </c>
      <c r="F6420" s="3" t="s">
        <v>429</v>
      </c>
      <c r="G6420" s="3" t="s">
        <v>131</v>
      </c>
      <c r="H6420" s="2" t="s">
        <v>74</v>
      </c>
      <c r="I6420" s="2" t="s">
        <v>16229</v>
      </c>
      <c r="J6420" s="3" t="str">
        <f>HYPERLINK("https://www.boe.es/gazeta/dias/1810/03/28/pdfs/GMD-1810-87.pdf#page=3","Abrir facsímil")</f>
        <v>Abrir facsímil</v>
      </c>
      <c r="K6420" s="3" t="s">
        <v>76</v>
      </c>
    </row>
    <row r="6421" spans="1:11" ht="42" customHeight="1">
      <c r="A6421" s="2" t="s">
        <v>16227</v>
      </c>
      <c r="B6421" s="2" t="s">
        <v>16228</v>
      </c>
      <c r="C6421" s="2" t="s">
        <v>88</v>
      </c>
      <c r="D6421" s="2" t="s">
        <v>27</v>
      </c>
      <c r="E6421" s="4">
        <v>-32544</v>
      </c>
      <c r="F6421" s="3" t="s">
        <v>1239</v>
      </c>
      <c r="G6421" s="3" t="s">
        <v>99</v>
      </c>
      <c r="H6421" s="2" t="s">
        <v>74</v>
      </c>
      <c r="I6421" s="2" t="s">
        <v>16230</v>
      </c>
      <c r="J6421" s="3" t="str">
        <f>HYPERLINK("https://www.boe.es/gazeta/dias/1810/11/23/pdfs/GMD-1810-327.pdf#page=3","Abrir facsímil")</f>
        <v>Abrir facsímil</v>
      </c>
      <c r="K6421" s="3" t="s">
        <v>76</v>
      </c>
    </row>
    <row r="6422" spans="1:11" ht="42" customHeight="1">
      <c r="A6422" s="2" t="s">
        <v>16231</v>
      </c>
      <c r="B6422" s="2" t="s">
        <v>16232</v>
      </c>
      <c r="C6422" s="2" t="s">
        <v>26</v>
      </c>
      <c r="D6422" s="2" t="s">
        <v>27</v>
      </c>
      <c r="E6422" s="4">
        <v>-32568</v>
      </c>
      <c r="F6422" s="3" t="s">
        <v>1233</v>
      </c>
      <c r="G6422" s="3" t="s">
        <v>140</v>
      </c>
      <c r="H6422" s="2" t="s">
        <v>74</v>
      </c>
      <c r="I6422" s="2" t="s">
        <v>16233</v>
      </c>
      <c r="J6422" s="3" t="str">
        <f>HYPERLINK("https://www.boe.es/gazeta/dias/1810/10/30/pdfs/GMD-1810-303.pdf#page=4","Abrir facsímil")</f>
        <v>Abrir facsímil</v>
      </c>
      <c r="K6422" s="3" t="s">
        <v>76</v>
      </c>
    </row>
    <row r="6423" spans="1:11" ht="42" customHeight="1">
      <c r="A6423" s="2" t="s">
        <v>16234</v>
      </c>
      <c r="B6423" s="2" t="s">
        <v>16235</v>
      </c>
      <c r="C6423" s="2" t="s">
        <v>26</v>
      </c>
      <c r="D6423" s="2" t="s">
        <v>27</v>
      </c>
      <c r="E6423" s="4">
        <v>-32568</v>
      </c>
      <c r="F6423" s="3" t="s">
        <v>683</v>
      </c>
      <c r="G6423" s="3" t="s">
        <v>16236</v>
      </c>
      <c r="H6423" s="2" t="s">
        <v>74</v>
      </c>
      <c r="I6423" s="2" t="s">
        <v>16237</v>
      </c>
      <c r="J6423" s="3" t="str">
        <f>HYPERLINK("https://www.boe.es/gazeta/dias/1810/10/30/pdfs/GEI-1810-88.pdf#page=9","Abrir facsímil")</f>
        <v>Abrir facsímil</v>
      </c>
      <c r="K6423" s="3" t="s">
        <v>76</v>
      </c>
    </row>
    <row r="6424" spans="1:11" ht="42" customHeight="1">
      <c r="A6424" s="2" t="s">
        <v>16238</v>
      </c>
      <c r="B6424" s="2" t="s">
        <v>16238</v>
      </c>
      <c r="C6424" s="2" t="s">
        <v>26</v>
      </c>
      <c r="D6424" s="2" t="s">
        <v>39</v>
      </c>
      <c r="E6424" s="4">
        <v>-32669</v>
      </c>
      <c r="F6424" s="3" t="s">
        <v>1110</v>
      </c>
      <c r="G6424" s="3" t="s">
        <v>473</v>
      </c>
      <c r="H6424" s="2" t="s">
        <v>74</v>
      </c>
      <c r="I6424" s="2" t="s">
        <v>16239</v>
      </c>
      <c r="J6424" s="3" t="str">
        <f>HYPERLINK("https://www.boe.es/gazeta/dias/1810/07/21/pdfs/GMD-C-1810-202.pdf#page=3","Abrir facsímil")</f>
        <v>Abrir facsímil</v>
      </c>
      <c r="K6424" s="3" t="s">
        <v>76</v>
      </c>
    </row>
    <row r="6425" spans="1:11" ht="42" customHeight="1">
      <c r="A6425" s="2" t="s">
        <v>16238</v>
      </c>
      <c r="B6425" s="2" t="s">
        <v>16238</v>
      </c>
      <c r="C6425" s="2" t="s">
        <v>26</v>
      </c>
      <c r="D6425" s="2" t="s">
        <v>18</v>
      </c>
      <c r="E6425" s="4">
        <v>-32659</v>
      </c>
      <c r="F6425" s="3" t="s">
        <v>1304</v>
      </c>
      <c r="G6425" s="3" t="s">
        <v>886</v>
      </c>
      <c r="H6425" s="2" t="s">
        <v>74</v>
      </c>
      <c r="I6425" s="2" t="s">
        <v>16240</v>
      </c>
      <c r="J6425" s="3" t="str">
        <f>HYPERLINK("https://www.boe.es/gazeta/dias/1810/07/31/pdfs/GMD-C-1810-212.pdf#page=2","Abrir facsímil")</f>
        <v>Abrir facsímil</v>
      </c>
      <c r="K6425" s="3" t="s">
        <v>76</v>
      </c>
    </row>
    <row r="6426" spans="1:11" ht="42" customHeight="1">
      <c r="A6426" s="2" t="s">
        <v>16238</v>
      </c>
      <c r="B6426" s="2" t="s">
        <v>16238</v>
      </c>
      <c r="C6426" s="2" t="s">
        <v>33</v>
      </c>
      <c r="D6426" s="2" t="s">
        <v>39</v>
      </c>
      <c r="E6426" s="4">
        <v>-32650</v>
      </c>
      <c r="F6426" s="3" t="s">
        <v>765</v>
      </c>
      <c r="G6426" s="3" t="s">
        <v>16241</v>
      </c>
      <c r="H6426" s="2" t="s">
        <v>74</v>
      </c>
      <c r="I6426" s="2" t="s">
        <v>16242</v>
      </c>
      <c r="J6426" s="3" t="str">
        <f>HYPERLINK("https://www.boe.es/gazeta/dias/1810/08/09/pdfs/GMD-C-1810-221.pdf#page=4","Abrir facsímil")</f>
        <v>Abrir facsímil</v>
      </c>
      <c r="K6426" s="3" t="s">
        <v>76</v>
      </c>
    </row>
    <row r="6427" spans="1:11" ht="42" customHeight="1">
      <c r="A6427" s="2" t="s">
        <v>16243</v>
      </c>
      <c r="B6427" s="2" t="s">
        <v>16244</v>
      </c>
      <c r="C6427" s="2" t="s">
        <v>26</v>
      </c>
      <c r="D6427" s="2" t="s">
        <v>39</v>
      </c>
      <c r="E6427" s="4">
        <v>-32650</v>
      </c>
      <c r="F6427" s="3" t="s">
        <v>765</v>
      </c>
      <c r="G6427" s="3" t="s">
        <v>766</v>
      </c>
      <c r="H6427" s="2" t="s">
        <v>74</v>
      </c>
      <c r="I6427" s="2" t="s">
        <v>16245</v>
      </c>
      <c r="J6427" s="3" t="str">
        <f>HYPERLINK("https://www.boe.es/gazeta/dias/1810/08/09/pdfs/GMD-C-1810-221.pdf#page=3","Abrir facsímil")</f>
        <v>Abrir facsímil</v>
      </c>
      <c r="K6427" s="3" t="s">
        <v>76</v>
      </c>
    </row>
    <row r="6428" spans="1:11" ht="42" customHeight="1">
      <c r="A6428" s="2" t="s">
        <v>16246</v>
      </c>
      <c r="B6428" s="2" t="s">
        <v>16247</v>
      </c>
      <c r="C6428" s="2" t="s">
        <v>26</v>
      </c>
      <c r="D6428" s="2" t="s">
        <v>27</v>
      </c>
      <c r="E6428" s="4">
        <v>-32563</v>
      </c>
      <c r="F6428" s="3" t="s">
        <v>535</v>
      </c>
      <c r="G6428" s="3" t="s">
        <v>10274</v>
      </c>
      <c r="H6428" s="2" t="s">
        <v>74</v>
      </c>
      <c r="I6428" s="2" t="s">
        <v>16248</v>
      </c>
      <c r="J6428" s="3" t="str">
        <f>HYPERLINK("https://www.boe.es/gazeta/dias/1810/11/04/pdfs/GMD-1810-308.pdf#page=21","Abrir facsímil")</f>
        <v>Abrir facsímil</v>
      </c>
      <c r="K6428" s="3" t="s">
        <v>76</v>
      </c>
    </row>
    <row r="6429" spans="1:11" ht="42" customHeight="1">
      <c r="A6429" s="2" t="s">
        <v>16249</v>
      </c>
      <c r="B6429" s="2" t="s">
        <v>16250</v>
      </c>
      <c r="C6429" s="2" t="s">
        <v>26</v>
      </c>
      <c r="D6429" s="2" t="s">
        <v>39</v>
      </c>
      <c r="E6429" s="4">
        <v>-32686</v>
      </c>
      <c r="F6429" s="3" t="s">
        <v>3230</v>
      </c>
      <c r="G6429" s="3" t="s">
        <v>735</v>
      </c>
      <c r="H6429" s="2" t="s">
        <v>74</v>
      </c>
      <c r="I6429" s="2" t="s">
        <v>16251</v>
      </c>
      <c r="J6429" s="3" t="str">
        <f>HYPERLINK("https://www.boe.es/gazeta/dias/1810/07/04/pdfs/GMD-C-1810-185.pdf#page=2","Abrir facsímil")</f>
        <v>Abrir facsímil</v>
      </c>
      <c r="K6429" s="3" t="s">
        <v>76</v>
      </c>
    </row>
    <row r="6430" spans="1:11" ht="42" customHeight="1">
      <c r="A6430" s="2" t="s">
        <v>16252</v>
      </c>
      <c r="B6430" s="2" t="s">
        <v>16253</v>
      </c>
      <c r="C6430" s="2" t="s">
        <v>26</v>
      </c>
      <c r="D6430" s="2" t="s">
        <v>39</v>
      </c>
      <c r="E6430" s="4">
        <v>-32687</v>
      </c>
      <c r="F6430" s="3" t="s">
        <v>304</v>
      </c>
      <c r="G6430" s="3" t="s">
        <v>140</v>
      </c>
      <c r="H6430" s="2" t="s">
        <v>74</v>
      </c>
      <c r="I6430" s="2" t="s">
        <v>16254</v>
      </c>
      <c r="J6430" s="3" t="str">
        <f>HYPERLINK("https://www.boe.es/gazeta/dias/1810/07/03/pdfs/GMD-C-1810-184.pdf#page=2","Abrir facsímil")</f>
        <v>Abrir facsímil</v>
      </c>
      <c r="K6430" s="3" t="s">
        <v>76</v>
      </c>
    </row>
    <row r="6431" spans="1:11" ht="42" customHeight="1">
      <c r="A6431" s="2" t="s">
        <v>16255</v>
      </c>
      <c r="B6431" s="2" t="s">
        <v>16256</v>
      </c>
      <c r="C6431" s="2" t="s">
        <v>26</v>
      </c>
      <c r="D6431" s="2" t="s">
        <v>39</v>
      </c>
      <c r="E6431" s="4">
        <v>-32650</v>
      </c>
      <c r="F6431" s="3" t="s">
        <v>765</v>
      </c>
      <c r="G6431" s="3" t="s">
        <v>766</v>
      </c>
      <c r="H6431" s="2" t="s">
        <v>74</v>
      </c>
      <c r="I6431" s="2" t="s">
        <v>16257</v>
      </c>
      <c r="J6431" s="3" t="str">
        <f>HYPERLINK("https://www.boe.es/gazeta/dias/1810/08/09/pdfs/GMD-C-1810-221.pdf#page=3","Abrir facsímil")</f>
        <v>Abrir facsímil</v>
      </c>
      <c r="K6431" s="3" t="s">
        <v>76</v>
      </c>
    </row>
    <row r="6432" spans="1:11" ht="42" customHeight="1">
      <c r="A6432" s="2" t="s">
        <v>16258</v>
      </c>
      <c r="B6432" s="2" t="s">
        <v>16259</v>
      </c>
      <c r="C6432" s="2" t="s">
        <v>26</v>
      </c>
      <c r="D6432" s="2" t="s">
        <v>39</v>
      </c>
      <c r="E6432" s="4">
        <v>-32599</v>
      </c>
      <c r="F6432" s="3" t="s">
        <v>662</v>
      </c>
      <c r="G6432" s="3" t="s">
        <v>3346</v>
      </c>
      <c r="H6432" s="2" t="s">
        <v>74</v>
      </c>
      <c r="I6432" s="2" t="s">
        <v>16260</v>
      </c>
      <c r="J6432" s="3" t="str">
        <f>HYPERLINK("https://www.boe.es/gazeta/dias/1810/09/29/pdfs/GMD-C-1810-272.pdf#page=5","Abrir facsímil")</f>
        <v>Abrir facsímil</v>
      </c>
      <c r="K6432" s="3" t="s">
        <v>76</v>
      </c>
    </row>
    <row r="6433" spans="1:11" ht="42" customHeight="1">
      <c r="A6433" s="2" t="s">
        <v>16261</v>
      </c>
      <c r="B6433" s="2" t="s">
        <v>16262</v>
      </c>
      <c r="C6433" s="2" t="s">
        <v>26</v>
      </c>
      <c r="D6433" s="2" t="s">
        <v>39</v>
      </c>
      <c r="E6433" s="4">
        <v>-32650</v>
      </c>
      <c r="F6433" s="3" t="s">
        <v>765</v>
      </c>
      <c r="G6433" s="3" t="s">
        <v>766</v>
      </c>
      <c r="H6433" s="2" t="s">
        <v>74</v>
      </c>
      <c r="I6433" s="2" t="s">
        <v>16263</v>
      </c>
      <c r="J6433" s="3" t="str">
        <f>HYPERLINK("https://www.boe.es/gazeta/dias/1810/08/09/pdfs/GMD-C-1810-221.pdf#page=3","Abrir facsímil")</f>
        <v>Abrir facsímil</v>
      </c>
      <c r="K6433" s="3" t="s">
        <v>76</v>
      </c>
    </row>
    <row r="6434" spans="1:11" ht="42" customHeight="1">
      <c r="A6434" s="2" t="s">
        <v>16264</v>
      </c>
      <c r="B6434" s="2" t="s">
        <v>16265</v>
      </c>
      <c r="C6434" s="2" t="s">
        <v>26</v>
      </c>
      <c r="D6434" s="2" t="s">
        <v>39</v>
      </c>
      <c r="E6434" s="4">
        <v>-32684</v>
      </c>
      <c r="F6434" s="3" t="s">
        <v>295</v>
      </c>
      <c r="G6434" s="3" t="s">
        <v>213</v>
      </c>
      <c r="H6434" s="2" t="s">
        <v>74</v>
      </c>
      <c r="I6434" s="2" t="s">
        <v>16266</v>
      </c>
      <c r="J6434" s="3" t="str">
        <f>HYPERLINK("https://www.boe.es/gazeta/dias/1810/07/06/pdfs/GMD-C-1810-187.pdf#page=2","Abrir facsímil")</f>
        <v>Abrir facsímil</v>
      </c>
      <c r="K6434" s="3" t="s">
        <v>76</v>
      </c>
    </row>
    <row r="6435" spans="1:11" ht="42" customHeight="1">
      <c r="A6435" s="2" t="s">
        <v>16267</v>
      </c>
      <c r="B6435" s="2" t="s">
        <v>16268</v>
      </c>
      <c r="C6435" s="2" t="s">
        <v>26</v>
      </c>
      <c r="D6435" s="2" t="s">
        <v>39</v>
      </c>
      <c r="E6435" s="4">
        <v>-32599</v>
      </c>
      <c r="F6435" s="3" t="s">
        <v>662</v>
      </c>
      <c r="G6435" s="3" t="s">
        <v>3346</v>
      </c>
      <c r="H6435" s="2" t="s">
        <v>74</v>
      </c>
      <c r="I6435" s="2" t="s">
        <v>16269</v>
      </c>
      <c r="J6435" s="3" t="str">
        <f>HYPERLINK("https://www.boe.es/gazeta/dias/1810/09/29/pdfs/GMD-C-1810-272.pdf#page=5","Abrir facsímil")</f>
        <v>Abrir facsímil</v>
      </c>
      <c r="K6435" s="3" t="s">
        <v>76</v>
      </c>
    </row>
    <row r="6436" spans="1:11" ht="42" customHeight="1">
      <c r="A6436" s="2" t="s">
        <v>16270</v>
      </c>
      <c r="B6436" s="2" t="s">
        <v>16271</v>
      </c>
      <c r="C6436" s="2" t="s">
        <v>317</v>
      </c>
      <c r="D6436" s="2" t="s">
        <v>39</v>
      </c>
      <c r="E6436" s="4">
        <v>-32687</v>
      </c>
      <c r="F6436" s="3" t="s">
        <v>304</v>
      </c>
      <c r="G6436" s="3" t="s">
        <v>3237</v>
      </c>
      <c r="H6436" s="2" t="s">
        <v>74</v>
      </c>
      <c r="I6436" s="2" t="s">
        <v>16272</v>
      </c>
      <c r="J6436" s="3" t="str">
        <f>HYPERLINK("https://www.boe.es/gazeta/dias/1810/07/03/pdfs/GMD-C-1810-184.pdf#page=4","Abrir facsímil")</f>
        <v>Abrir facsímil</v>
      </c>
      <c r="K6436" s="3" t="s">
        <v>76</v>
      </c>
    </row>
    <row r="6437" spans="1:11" ht="42" customHeight="1">
      <c r="A6437" s="2" t="s">
        <v>16273</v>
      </c>
      <c r="B6437" s="2" t="s">
        <v>16274</v>
      </c>
      <c r="C6437" s="2" t="s">
        <v>26</v>
      </c>
      <c r="D6437" s="2" t="s">
        <v>39</v>
      </c>
      <c r="E6437" s="4">
        <v>-32686</v>
      </c>
      <c r="F6437" s="3" t="s">
        <v>3230</v>
      </c>
      <c r="G6437" s="3" t="s">
        <v>2577</v>
      </c>
      <c r="H6437" s="2" t="s">
        <v>74</v>
      </c>
      <c r="I6437" s="2" t="s">
        <v>16275</v>
      </c>
      <c r="J6437" s="3" t="str">
        <f>HYPERLINK("https://www.boe.es/gazeta/dias/1810/07/04/pdfs/GMD-C-1810-185.pdf#page=1","Abrir facsímil")</f>
        <v>Abrir facsímil</v>
      </c>
      <c r="K6437" s="3" t="s">
        <v>76</v>
      </c>
    </row>
    <row r="6438" spans="1:11" ht="42" customHeight="1">
      <c r="A6438" s="2" t="s">
        <v>16276</v>
      </c>
      <c r="B6438" s="2" t="s">
        <v>16277</v>
      </c>
      <c r="C6438" s="2" t="s">
        <v>317</v>
      </c>
      <c r="D6438" s="2" t="s">
        <v>39</v>
      </c>
      <c r="E6438" s="4">
        <v>-32684</v>
      </c>
      <c r="F6438" s="3" t="s">
        <v>295</v>
      </c>
      <c r="G6438" s="3" t="s">
        <v>4095</v>
      </c>
      <c r="H6438" s="2" t="s">
        <v>74</v>
      </c>
      <c r="I6438" s="2" t="s">
        <v>16278</v>
      </c>
      <c r="J6438" s="3" t="str">
        <f>HYPERLINK("https://www.boe.es/gazeta/dias/1810/07/06/pdfs/GMD-C-1810-187.pdf#page=3","Abrir facsímil")</f>
        <v>Abrir facsímil</v>
      </c>
      <c r="K6438" s="3" t="s">
        <v>76</v>
      </c>
    </row>
    <row r="6439" spans="1:11" ht="42" customHeight="1">
      <c r="A6439" s="2" t="s">
        <v>16279</v>
      </c>
      <c r="B6439" s="2" t="s">
        <v>16280</v>
      </c>
      <c r="C6439" s="2" t="s">
        <v>317</v>
      </c>
      <c r="D6439" s="2" t="s">
        <v>39</v>
      </c>
      <c r="E6439" s="4">
        <v>-32669</v>
      </c>
      <c r="F6439" s="3" t="s">
        <v>1110</v>
      </c>
      <c r="G6439" s="3" t="s">
        <v>213</v>
      </c>
      <c r="H6439" s="2" t="s">
        <v>74</v>
      </c>
      <c r="I6439" s="2" t="s">
        <v>16281</v>
      </c>
      <c r="J6439" s="3" t="str">
        <f>HYPERLINK("https://www.boe.es/gazeta/dias/1810/07/21/pdfs/GMD-C-1810-202.pdf#page=1","Abrir facsímil")</f>
        <v>Abrir facsímil</v>
      </c>
      <c r="K6439" s="3" t="s">
        <v>76</v>
      </c>
    </row>
    <row r="6440" spans="1:11" ht="42" customHeight="1">
      <c r="A6440" s="2" t="s">
        <v>16282</v>
      </c>
      <c r="B6440" s="2" t="s">
        <v>16283</v>
      </c>
      <c r="C6440" s="2" t="s">
        <v>26</v>
      </c>
      <c r="D6440" s="2" t="s">
        <v>39</v>
      </c>
      <c r="E6440" s="4">
        <v>-32599</v>
      </c>
      <c r="F6440" s="3" t="s">
        <v>662</v>
      </c>
      <c r="G6440" s="3" t="s">
        <v>140</v>
      </c>
      <c r="H6440" s="2" t="s">
        <v>74</v>
      </c>
      <c r="I6440" s="2" t="s">
        <v>16284</v>
      </c>
      <c r="J6440" s="3" t="str">
        <f>HYPERLINK("https://www.boe.es/gazeta/dias/1810/09/29/pdfs/GMD-C-1810-272.pdf#page=10","Abrir facsímil")</f>
        <v>Abrir facsímil</v>
      </c>
      <c r="K6440" s="3" t="s">
        <v>76</v>
      </c>
    </row>
    <row r="6441" spans="1:11" ht="42" customHeight="1">
      <c r="A6441" s="2" t="s">
        <v>16285</v>
      </c>
      <c r="B6441" s="2" t="s">
        <v>16286</v>
      </c>
      <c r="C6441" s="2" t="s">
        <v>26</v>
      </c>
      <c r="D6441" s="2" t="s">
        <v>39</v>
      </c>
      <c r="E6441" s="4">
        <v>-32599</v>
      </c>
      <c r="F6441" s="3" t="s">
        <v>662</v>
      </c>
      <c r="G6441" s="3" t="s">
        <v>668</v>
      </c>
      <c r="H6441" s="2" t="s">
        <v>74</v>
      </c>
      <c r="I6441" s="2" t="s">
        <v>16287</v>
      </c>
      <c r="J6441" s="3" t="str">
        <f>HYPERLINK("https://www.boe.es/gazeta/dias/1810/09/29/pdfs/GMD-C-1810-272.pdf#page=4","Abrir facsímil")</f>
        <v>Abrir facsímil</v>
      </c>
      <c r="K6441" s="3" t="s">
        <v>76</v>
      </c>
    </row>
    <row r="6442" spans="1:11" ht="42" customHeight="1">
      <c r="A6442" s="2" t="s">
        <v>16288</v>
      </c>
      <c r="B6442" s="2" t="s">
        <v>16289</v>
      </c>
      <c r="C6442" s="2" t="s">
        <v>26</v>
      </c>
      <c r="D6442" s="2" t="s">
        <v>39</v>
      </c>
      <c r="E6442" s="4">
        <v>-32670</v>
      </c>
      <c r="F6442" s="3" t="s">
        <v>2457</v>
      </c>
      <c r="G6442" s="3" t="s">
        <v>1464</v>
      </c>
      <c r="H6442" s="2" t="s">
        <v>74</v>
      </c>
      <c r="I6442" s="2" t="s">
        <v>16290</v>
      </c>
      <c r="J6442" s="3" t="str">
        <f>HYPERLINK("https://www.boe.es/gazeta/dias/1810/07/20/pdfs/GMD-C-1810-201.pdf#page=3","Abrir facsímil")</f>
        <v>Abrir facsímil</v>
      </c>
      <c r="K6442" s="3" t="s">
        <v>76</v>
      </c>
    </row>
    <row r="6443" spans="1:11" ht="42" customHeight="1">
      <c r="A6443" s="2" t="s">
        <v>16291</v>
      </c>
      <c r="B6443" s="2" t="s">
        <v>16292</v>
      </c>
      <c r="C6443" s="2" t="s">
        <v>26</v>
      </c>
      <c r="D6443" s="2" t="s">
        <v>18</v>
      </c>
      <c r="E6443" s="4">
        <v>-32667</v>
      </c>
      <c r="F6443" s="3" t="s">
        <v>924</v>
      </c>
      <c r="G6443" s="3" t="s">
        <v>925</v>
      </c>
      <c r="H6443" s="2" t="s">
        <v>74</v>
      </c>
      <c r="I6443" s="2" t="s">
        <v>16293</v>
      </c>
      <c r="J6443" s="3" t="str">
        <f>HYPERLINK("https://www.boe.es/gazeta/dias/1810/07/23/pdfs/GMD-C-1810-204.pdf#page=4","Abrir facsímil")</f>
        <v>Abrir facsímil</v>
      </c>
      <c r="K6443" s="3" t="s">
        <v>76</v>
      </c>
    </row>
    <row r="6444" spans="1:11" ht="42" customHeight="1">
      <c r="A6444" s="2" t="s">
        <v>16294</v>
      </c>
      <c r="B6444" s="2" t="s">
        <v>16294</v>
      </c>
      <c r="C6444" s="2" t="s">
        <v>88</v>
      </c>
      <c r="D6444" s="2" t="s">
        <v>117</v>
      </c>
      <c r="E6444" s="4">
        <v>-32782</v>
      </c>
      <c r="F6444" s="3" t="s">
        <v>79</v>
      </c>
      <c r="G6444" s="3" t="s">
        <v>465</v>
      </c>
      <c r="H6444" s="2" t="s">
        <v>74</v>
      </c>
      <c r="I6444" s="2" t="s">
        <v>16295</v>
      </c>
      <c r="J6444" s="3" t="str">
        <f>HYPERLINK("https://www.boe.es/gazeta/dias/1810/03/30/pdfs/GEI-1810-9.pdf#page=5","Abrir facsímil")</f>
        <v>Abrir facsímil</v>
      </c>
      <c r="K6444" s="3" t="s">
        <v>76</v>
      </c>
    </row>
    <row r="6445" spans="1:11" ht="42" customHeight="1">
      <c r="A6445" s="2" t="s">
        <v>16296</v>
      </c>
      <c r="B6445" s="2" t="s">
        <v>16296</v>
      </c>
      <c r="C6445" s="2" t="s">
        <v>88</v>
      </c>
      <c r="D6445" s="2" t="s">
        <v>117</v>
      </c>
      <c r="E6445" s="4">
        <v>-32803</v>
      </c>
      <c r="F6445" s="3" t="s">
        <v>4052</v>
      </c>
      <c r="G6445" s="3" t="s">
        <v>213</v>
      </c>
      <c r="H6445" s="2" t="s">
        <v>74</v>
      </c>
      <c r="I6445" s="2" t="s">
        <v>16297</v>
      </c>
      <c r="J6445" s="3" t="str">
        <f>HYPERLINK("https://www.boe.es/gazeta/dias/1810/03/09/pdfs/GMD-1810-68.pdf#page=2","Abrir facsímil")</f>
        <v>Abrir facsímil</v>
      </c>
      <c r="K6445" s="3" t="s">
        <v>76</v>
      </c>
    </row>
    <row r="6446" spans="1:11" ht="42" customHeight="1">
      <c r="A6446" s="2" t="s">
        <v>16296</v>
      </c>
      <c r="B6446" s="2" t="s">
        <v>16296</v>
      </c>
      <c r="C6446" s="2" t="s">
        <v>26</v>
      </c>
      <c r="D6446" s="2" t="s">
        <v>220</v>
      </c>
      <c r="E6446" s="4">
        <v>-32799</v>
      </c>
      <c r="F6446" s="3" t="s">
        <v>2252</v>
      </c>
      <c r="G6446" s="3" t="s">
        <v>90</v>
      </c>
      <c r="H6446" s="2" t="s">
        <v>74</v>
      </c>
      <c r="I6446" s="2" t="s">
        <v>16298</v>
      </c>
      <c r="J6446" s="3" t="str">
        <f>HYPERLINK("https://www.boe.es/gazeta/dias/1810/03/13/pdfs/GMD-1810-72.pdf#page=1","Abrir facsímil")</f>
        <v>Abrir facsímil</v>
      </c>
      <c r="K6446" s="3" t="s">
        <v>76</v>
      </c>
    </row>
    <row r="6447" spans="1:11" ht="42" customHeight="1">
      <c r="A6447" s="2" t="s">
        <v>16299</v>
      </c>
      <c r="B6447" s="2" t="s">
        <v>16299</v>
      </c>
      <c r="C6447" s="2" t="s">
        <v>88</v>
      </c>
      <c r="D6447" s="2" t="s">
        <v>117</v>
      </c>
      <c r="E6447" s="4">
        <v>-32822</v>
      </c>
      <c r="F6447" s="3" t="s">
        <v>1197</v>
      </c>
      <c r="G6447" s="3" t="s">
        <v>16300</v>
      </c>
      <c r="H6447" s="2" t="s">
        <v>74</v>
      </c>
      <c r="I6447" s="2" t="s">
        <v>16301</v>
      </c>
      <c r="J6447" s="3" t="str">
        <f>HYPERLINK("https://www.boe.es/gazeta/dias/1810/02/18/pdfs/GMD-1810-49.pdf#page=1","Abrir facsímil")</f>
        <v>Abrir facsímil</v>
      </c>
      <c r="K6447" s="3" t="s">
        <v>76</v>
      </c>
    </row>
    <row r="6448" spans="1:11" ht="42" customHeight="1">
      <c r="A6448" s="2" t="s">
        <v>16302</v>
      </c>
      <c r="B6448" s="2" t="s">
        <v>16302</v>
      </c>
      <c r="C6448" s="2" t="s">
        <v>88</v>
      </c>
      <c r="D6448" s="2" t="s">
        <v>117</v>
      </c>
      <c r="E6448" s="4">
        <v>-32837</v>
      </c>
      <c r="F6448" s="3" t="s">
        <v>196</v>
      </c>
      <c r="G6448" s="3" t="s">
        <v>180</v>
      </c>
      <c r="H6448" s="2" t="s">
        <v>74</v>
      </c>
      <c r="I6448" s="2" t="s">
        <v>16303</v>
      </c>
      <c r="J6448" s="3" t="str">
        <f>HYPERLINK("https://www.boe.es/gazeta/dias/1810/02/03/pdfs/GMD-1810-34.pdf#page=1","Abrir facsímil")</f>
        <v>Abrir facsímil</v>
      </c>
      <c r="K6448" s="3" t="s">
        <v>76</v>
      </c>
    </row>
    <row r="6449" spans="1:11" ht="42" customHeight="1">
      <c r="A6449" s="2" t="s">
        <v>16302</v>
      </c>
      <c r="B6449" s="2" t="s">
        <v>16302</v>
      </c>
      <c r="C6449" s="2" t="s">
        <v>88</v>
      </c>
      <c r="D6449" s="2" t="s">
        <v>117</v>
      </c>
      <c r="E6449" s="4">
        <v>-32833</v>
      </c>
      <c r="F6449" s="3" t="s">
        <v>1836</v>
      </c>
      <c r="G6449" s="3" t="s">
        <v>35</v>
      </c>
      <c r="H6449" s="2" t="s">
        <v>74</v>
      </c>
      <c r="I6449" s="2" t="s">
        <v>16304</v>
      </c>
      <c r="J6449" s="3" t="str">
        <f>HYPERLINK("https://www.boe.es/gazeta/dias/1810/02/07/pdfs/GMD-1810-38.pdf#page=2","Abrir facsímil")</f>
        <v>Abrir facsímil</v>
      </c>
      <c r="K6449" s="3" t="s">
        <v>76</v>
      </c>
    </row>
    <row r="6450" spans="1:11" ht="42" customHeight="1">
      <c r="A6450" s="2" t="s">
        <v>16302</v>
      </c>
      <c r="B6450" s="2" t="s">
        <v>16302</v>
      </c>
      <c r="C6450" s="2" t="s">
        <v>26</v>
      </c>
      <c r="D6450" s="2" t="s">
        <v>220</v>
      </c>
      <c r="E6450" s="4">
        <v>-32816</v>
      </c>
      <c r="F6450" s="3" t="s">
        <v>10608</v>
      </c>
      <c r="G6450" s="3" t="s">
        <v>16305</v>
      </c>
      <c r="H6450" s="2" t="s">
        <v>74</v>
      </c>
      <c r="I6450" s="2" t="s">
        <v>16306</v>
      </c>
      <c r="J6450" s="3" t="str">
        <f>HYPERLINK("https://www.boe.es/gazeta/dias/1810/02/24/pdfs/GMD-1810-55.pdf#page=2","Abrir facsímil")</f>
        <v>Abrir facsímil</v>
      </c>
      <c r="K6450" s="3" t="s">
        <v>76</v>
      </c>
    </row>
    <row r="6451" spans="1:11" ht="42" customHeight="1">
      <c r="A6451" s="2" t="s">
        <v>16302</v>
      </c>
      <c r="B6451" s="2" t="s">
        <v>16302</v>
      </c>
      <c r="C6451" s="2" t="s">
        <v>88</v>
      </c>
      <c r="D6451" s="2" t="s">
        <v>117</v>
      </c>
      <c r="E6451" s="4">
        <v>-32807</v>
      </c>
      <c r="F6451" s="3" t="s">
        <v>1338</v>
      </c>
      <c r="G6451" s="3" t="s">
        <v>4502</v>
      </c>
      <c r="H6451" s="2" t="s">
        <v>74</v>
      </c>
      <c r="I6451" s="2" t="s">
        <v>16307</v>
      </c>
      <c r="J6451" s="3" t="str">
        <f>HYPERLINK("https://www.boe.es/gazeta/dias/1810/03/05/pdfs/GMD-1810-64.pdf#page=2","Abrir facsímil")</f>
        <v>Abrir facsímil</v>
      </c>
      <c r="K6451" s="3" t="s">
        <v>76</v>
      </c>
    </row>
    <row r="6452" spans="1:11" ht="42" customHeight="1">
      <c r="A6452" s="2" t="s">
        <v>16302</v>
      </c>
      <c r="B6452" s="2" t="s">
        <v>16302</v>
      </c>
      <c r="C6452" s="2" t="s">
        <v>88</v>
      </c>
      <c r="D6452" s="2" t="s">
        <v>27</v>
      </c>
      <c r="E6452" s="4">
        <v>-32769</v>
      </c>
      <c r="F6452" s="3" t="s">
        <v>1543</v>
      </c>
      <c r="G6452" s="3" t="s">
        <v>1936</v>
      </c>
      <c r="H6452" s="2" t="s">
        <v>74</v>
      </c>
      <c r="I6452" s="2" t="s">
        <v>16308</v>
      </c>
      <c r="J6452" s="3" t="str">
        <f>HYPERLINK("https://www.boe.es/gazeta/dias/1810/04/12/pdfs/GMD-1810-102.pdf#page=1","Abrir facsímil")</f>
        <v>Abrir facsímil</v>
      </c>
      <c r="K6452" s="3" t="s">
        <v>76</v>
      </c>
    </row>
    <row r="6453" spans="1:11" ht="42" customHeight="1">
      <c r="A6453" s="2" t="s">
        <v>16302</v>
      </c>
      <c r="B6453" s="2" t="s">
        <v>16302</v>
      </c>
      <c r="C6453" s="2" t="s">
        <v>88</v>
      </c>
      <c r="D6453" s="2" t="s">
        <v>117</v>
      </c>
      <c r="E6453" s="4">
        <v>-32680</v>
      </c>
      <c r="F6453" s="3" t="s">
        <v>519</v>
      </c>
      <c r="G6453" s="3" t="s">
        <v>131</v>
      </c>
      <c r="H6453" s="2" t="s">
        <v>74</v>
      </c>
      <c r="I6453" s="2" t="s">
        <v>16309</v>
      </c>
      <c r="J6453" s="3" t="str">
        <f>HYPERLINK("https://www.boe.es/gazeta/dias/1810/07/10/pdfs/GEI-1810-43.pdf#page=1","Abrir facsímil")</f>
        <v>Abrir facsímil</v>
      </c>
      <c r="K6453" s="3" t="s">
        <v>76</v>
      </c>
    </row>
    <row r="6454" spans="1:11" ht="42" customHeight="1">
      <c r="A6454" s="2" t="s">
        <v>16302</v>
      </c>
      <c r="B6454" s="2" t="s">
        <v>16302</v>
      </c>
      <c r="C6454" s="2" t="s">
        <v>26</v>
      </c>
      <c r="D6454" s="2" t="s">
        <v>27</v>
      </c>
      <c r="E6454" s="4">
        <v>-32642</v>
      </c>
      <c r="F6454" s="3" t="s">
        <v>657</v>
      </c>
      <c r="G6454" s="3" t="s">
        <v>14155</v>
      </c>
      <c r="H6454" s="2" t="s">
        <v>74</v>
      </c>
      <c r="I6454" s="2" t="s">
        <v>16310</v>
      </c>
      <c r="J6454" s="3" t="str">
        <f>HYPERLINK("https://www.boe.es/gazeta/dias/1810/08/17/pdfs/GEI-1810-57.pdf#page=3","Abrir facsímil")</f>
        <v>Abrir facsímil</v>
      </c>
      <c r="K6454" s="3" t="s">
        <v>76</v>
      </c>
    </row>
    <row r="6455" spans="1:11" ht="42" customHeight="1">
      <c r="A6455" s="2" t="s">
        <v>16311</v>
      </c>
      <c r="B6455" s="2" t="s">
        <v>16311</v>
      </c>
      <c r="C6455" s="2" t="s">
        <v>88</v>
      </c>
      <c r="D6455" s="2" t="s">
        <v>27</v>
      </c>
      <c r="E6455" s="4">
        <v>-32598</v>
      </c>
      <c r="F6455" s="3" t="s">
        <v>6961</v>
      </c>
      <c r="G6455" s="3" t="s">
        <v>180</v>
      </c>
      <c r="H6455" s="2" t="s">
        <v>74</v>
      </c>
      <c r="I6455" s="2" t="s">
        <v>16312</v>
      </c>
      <c r="J6455" s="3" t="str">
        <f>HYPERLINK("https://www.boe.es/gazeta/dias/1810/09/30/pdfs/GMD-1810-273.pdf#page=1","Abrir facsímil")</f>
        <v>Abrir facsímil</v>
      </c>
      <c r="K6455" s="3" t="s">
        <v>76</v>
      </c>
    </row>
    <row r="6456" spans="1:11" ht="42" customHeight="1">
      <c r="A6456" s="2" t="s">
        <v>16313</v>
      </c>
      <c r="B6456" s="2" t="s">
        <v>16314</v>
      </c>
      <c r="C6456" s="2" t="s">
        <v>17</v>
      </c>
      <c r="D6456" s="2" t="s">
        <v>27</v>
      </c>
      <c r="E6456" s="4">
        <v>-32741</v>
      </c>
      <c r="F6456" s="3" t="s">
        <v>98</v>
      </c>
      <c r="G6456" s="3" t="s">
        <v>99</v>
      </c>
      <c r="H6456" s="2" t="s">
        <v>74</v>
      </c>
      <c r="I6456" s="2" t="s">
        <v>16315</v>
      </c>
      <c r="J6456" s="3" t="str">
        <f>HYPERLINK("https://www.boe.es/gazeta/dias/1810/05/10/pdfs/GMD-1810-130.pdf#page=3","Abrir facsímil")</f>
        <v>Abrir facsímil</v>
      </c>
      <c r="K6456" s="3" t="s">
        <v>76</v>
      </c>
    </row>
    <row r="6457" spans="1:11" ht="42" customHeight="1">
      <c r="A6457" s="2" t="s">
        <v>16316</v>
      </c>
      <c r="B6457" s="2" t="s">
        <v>16316</v>
      </c>
      <c r="C6457" s="2" t="s">
        <v>88</v>
      </c>
      <c r="D6457" s="2" t="s">
        <v>27</v>
      </c>
      <c r="E6457" s="4">
        <v>-32721</v>
      </c>
      <c r="F6457" s="3" t="s">
        <v>3437</v>
      </c>
      <c r="G6457" s="3" t="s">
        <v>213</v>
      </c>
      <c r="H6457" s="2" t="s">
        <v>74</v>
      </c>
      <c r="I6457" s="2" t="s">
        <v>16317</v>
      </c>
      <c r="J6457" s="3" t="str">
        <f>HYPERLINK("https://www.boe.es/gazeta/dias/1810/05/30/pdfs/GMD-1810-150.pdf#page=3","Abrir facsímil")</f>
        <v>Abrir facsímil</v>
      </c>
      <c r="K6457" s="3" t="s">
        <v>76</v>
      </c>
    </row>
    <row r="6458" spans="1:11" ht="42" customHeight="1">
      <c r="A6458" s="2" t="s">
        <v>16318</v>
      </c>
      <c r="B6458" s="2" t="s">
        <v>16318</v>
      </c>
      <c r="C6458" s="2" t="s">
        <v>225</v>
      </c>
      <c r="D6458" s="2" t="s">
        <v>27</v>
      </c>
      <c r="E6458" s="4">
        <v>-32713</v>
      </c>
      <c r="F6458" s="3" t="s">
        <v>959</v>
      </c>
      <c r="G6458" s="3" t="s">
        <v>632</v>
      </c>
      <c r="H6458" s="2" t="s">
        <v>74</v>
      </c>
      <c r="I6458" s="2" t="s">
        <v>16319</v>
      </c>
      <c r="J6458" s="3" t="str">
        <f>HYPERLINK("https://www.boe.es/gazeta/dias/1810/06/07/pdfs/GMD-1810-158.pdf#page=2","Abrir facsímil")</f>
        <v>Abrir facsímil</v>
      </c>
      <c r="K6458" s="3" t="s">
        <v>76</v>
      </c>
    </row>
    <row r="6459" spans="1:11" ht="42" customHeight="1">
      <c r="A6459" s="2" t="s">
        <v>16320</v>
      </c>
      <c r="B6459" s="2" t="s">
        <v>16321</v>
      </c>
      <c r="C6459" s="2" t="s">
        <v>26</v>
      </c>
      <c r="D6459" s="2" t="s">
        <v>27</v>
      </c>
      <c r="E6459" s="4">
        <v>-32716</v>
      </c>
      <c r="F6459" s="3" t="s">
        <v>624</v>
      </c>
      <c r="G6459" s="3" t="s">
        <v>140</v>
      </c>
      <c r="H6459" s="2" t="s">
        <v>74</v>
      </c>
      <c r="I6459" s="2" t="s">
        <v>16322</v>
      </c>
      <c r="J6459" s="3" t="str">
        <f>HYPERLINK("https://www.boe.es/gazeta/dias/1810/06/04/pdfs/GMD-1810-155.pdf#page=4","Abrir facsímil")</f>
        <v>Abrir facsímil</v>
      </c>
      <c r="K6459" s="3" t="s">
        <v>76</v>
      </c>
    </row>
    <row r="6460" spans="1:11" ht="42" customHeight="1">
      <c r="A6460" s="2" t="s">
        <v>16323</v>
      </c>
      <c r="B6460" s="2" t="s">
        <v>16324</v>
      </c>
      <c r="C6460" s="2" t="s">
        <v>26</v>
      </c>
      <c r="D6460" s="2" t="s">
        <v>27</v>
      </c>
      <c r="E6460" s="4">
        <v>-32647</v>
      </c>
      <c r="F6460" s="3" t="s">
        <v>118</v>
      </c>
      <c r="G6460" s="3" t="s">
        <v>20</v>
      </c>
      <c r="H6460" s="2" t="s">
        <v>74</v>
      </c>
      <c r="I6460" s="2" t="s">
        <v>16325</v>
      </c>
      <c r="J6460" s="3" t="str">
        <f>HYPERLINK("https://www.boe.es/gazeta/dias/1810/08/12/pdfs/GMD-1810-224.pdf#page=4","Abrir facsímil")</f>
        <v>Abrir facsímil</v>
      </c>
      <c r="K6460" s="3" t="s">
        <v>76</v>
      </c>
    </row>
    <row r="6461" spans="1:11" ht="42" customHeight="1">
      <c r="A6461" s="2" t="s">
        <v>16326</v>
      </c>
      <c r="B6461" s="2" t="s">
        <v>16327</v>
      </c>
      <c r="C6461" s="2" t="s">
        <v>88</v>
      </c>
      <c r="D6461" s="2" t="s">
        <v>27</v>
      </c>
      <c r="E6461" s="4">
        <v>-32729</v>
      </c>
      <c r="F6461" s="3" t="s">
        <v>174</v>
      </c>
      <c r="G6461" s="3" t="s">
        <v>70</v>
      </c>
      <c r="H6461" s="2" t="s">
        <v>21</v>
      </c>
      <c r="I6461" s="2" t="s">
        <v>16328</v>
      </c>
      <c r="J6461" s="3" t="str">
        <f>HYPERLINK("https://www.boe.es/gazeta/dias/1810/05/22/pdfs/GEI-1810-28.pdf#page=7","Abrir facsímil")</f>
        <v>Abrir facsímil</v>
      </c>
      <c r="K6461" s="3" t="s">
        <v>23</v>
      </c>
    </row>
    <row r="6462" spans="1:11" ht="42" customHeight="1">
      <c r="A6462" s="2" t="s">
        <v>16329</v>
      </c>
      <c r="B6462" s="2" t="s">
        <v>16330</v>
      </c>
      <c r="C6462" s="2" t="s">
        <v>26</v>
      </c>
      <c r="D6462" s="2" t="s">
        <v>27</v>
      </c>
      <c r="E6462" s="4">
        <v>-32654</v>
      </c>
      <c r="F6462" s="3" t="s">
        <v>1226</v>
      </c>
      <c r="G6462" s="3" t="s">
        <v>732</v>
      </c>
      <c r="H6462" s="2" t="s">
        <v>21</v>
      </c>
      <c r="I6462" s="2" t="s">
        <v>16331</v>
      </c>
      <c r="J6462" s="3" t="str">
        <f>HYPERLINK("https://www.boe.es/gazeta/dias/1810/08/05/pdfs/GMD-1810-217.pdf#page=3","Abrir facsímil")</f>
        <v>Abrir facsímil</v>
      </c>
      <c r="K6462" s="3" t="s">
        <v>23</v>
      </c>
    </row>
    <row r="6463" spans="1:11" ht="42" customHeight="1">
      <c r="A6463" s="2" t="s">
        <v>16332</v>
      </c>
      <c r="B6463" s="2" t="s">
        <v>16333</v>
      </c>
      <c r="C6463" s="2" t="s">
        <v>225</v>
      </c>
      <c r="D6463" s="2" t="s">
        <v>27</v>
      </c>
      <c r="E6463" s="4">
        <v>-32685</v>
      </c>
      <c r="F6463" s="3" t="s">
        <v>1106</v>
      </c>
      <c r="G6463" s="3" t="s">
        <v>20</v>
      </c>
      <c r="H6463" s="2" t="s">
        <v>21</v>
      </c>
      <c r="I6463" s="2" t="s">
        <v>16334</v>
      </c>
      <c r="J6463" s="3" t="str">
        <f>HYPERLINK("https://www.boe.es/gazeta/dias/1810/07/05/pdfs/GMD-1810-186.pdf#page=4","Abrir facsímil")</f>
        <v>Abrir facsímil</v>
      </c>
      <c r="K6463" s="3" t="s">
        <v>23</v>
      </c>
    </row>
    <row r="6464" spans="1:11" ht="42" customHeight="1">
      <c r="A6464" s="2" t="s">
        <v>16332</v>
      </c>
      <c r="B6464" s="2" t="s">
        <v>16333</v>
      </c>
      <c r="C6464" s="2" t="s">
        <v>26</v>
      </c>
      <c r="D6464" s="2" t="s">
        <v>27</v>
      </c>
      <c r="E6464" s="4">
        <v>-32647</v>
      </c>
      <c r="F6464" s="3" t="s">
        <v>118</v>
      </c>
      <c r="G6464" s="3" t="s">
        <v>119</v>
      </c>
      <c r="H6464" s="2" t="s">
        <v>21</v>
      </c>
      <c r="I6464" s="2" t="s">
        <v>16335</v>
      </c>
      <c r="J6464" s="3" t="str">
        <f>HYPERLINK("https://www.boe.es/gazeta/dias/1810/08/12/pdfs/GMD-1810-224.pdf#page=3","Abrir facsímil")</f>
        <v>Abrir facsímil</v>
      </c>
      <c r="K6464" s="3" t="s">
        <v>23</v>
      </c>
    </row>
    <row r="6465" spans="1:11" ht="42" customHeight="1">
      <c r="A6465" s="2" t="s">
        <v>16336</v>
      </c>
      <c r="B6465" s="2" t="s">
        <v>16337</v>
      </c>
      <c r="C6465" s="2" t="s">
        <v>195</v>
      </c>
      <c r="D6465" s="2" t="s">
        <v>27</v>
      </c>
      <c r="E6465" s="4">
        <v>-32562</v>
      </c>
      <c r="F6465" s="3" t="s">
        <v>1186</v>
      </c>
      <c r="G6465" s="3" t="s">
        <v>90</v>
      </c>
      <c r="H6465" s="2" t="s">
        <v>74</v>
      </c>
      <c r="I6465" s="2" t="s">
        <v>16338</v>
      </c>
      <c r="J6465" s="3" t="str">
        <f>HYPERLINK("https://www.boe.es/gazeta/dias/1810/11/05/pdfs/GMD-1810-309.pdf#page=3","Abrir facsímil")</f>
        <v>Abrir facsímil</v>
      </c>
      <c r="K6465" s="3" t="s">
        <v>76</v>
      </c>
    </row>
    <row r="6466" spans="1:11" ht="42" customHeight="1">
      <c r="A6466" s="2" t="s">
        <v>16339</v>
      </c>
      <c r="B6466" s="2" t="s">
        <v>16340</v>
      </c>
      <c r="C6466" s="2" t="s">
        <v>26</v>
      </c>
      <c r="D6466" s="2" t="s">
        <v>27</v>
      </c>
      <c r="E6466" s="4">
        <v>-32666</v>
      </c>
      <c r="F6466" s="3" t="s">
        <v>346</v>
      </c>
      <c r="G6466" s="3" t="s">
        <v>2861</v>
      </c>
      <c r="H6466" s="2" t="s">
        <v>74</v>
      </c>
      <c r="I6466" s="2" t="s">
        <v>16341</v>
      </c>
      <c r="J6466" s="3" t="str">
        <f>HYPERLINK("https://www.boe.es/gazeta/dias/1810/07/24/pdfs/GEI-1810-47.pdf#page=1","Abrir facsímil")</f>
        <v>Abrir facsímil</v>
      </c>
      <c r="K6466" s="3" t="s">
        <v>76</v>
      </c>
    </row>
    <row r="6467" spans="1:11" ht="42" customHeight="1">
      <c r="A6467" s="2" t="s">
        <v>16342</v>
      </c>
      <c r="B6467" s="2" t="s">
        <v>16342</v>
      </c>
      <c r="C6467" s="2" t="s">
        <v>26</v>
      </c>
      <c r="D6467" s="2" t="s">
        <v>27</v>
      </c>
      <c r="E6467" s="4">
        <v>-32777</v>
      </c>
      <c r="F6467" s="3" t="s">
        <v>2859</v>
      </c>
      <c r="G6467" s="3" t="s">
        <v>35</v>
      </c>
      <c r="H6467" s="2" t="s">
        <v>74</v>
      </c>
      <c r="I6467" s="2" t="s">
        <v>16343</v>
      </c>
      <c r="J6467" s="3" t="str">
        <f>HYPERLINK("https://www.boe.es/gazeta/dias/1810/04/04/pdfs/GMD-1810-94.pdf#page=2","Abrir facsímil")</f>
        <v>Abrir facsímil</v>
      </c>
      <c r="K6467" s="3" t="s">
        <v>76</v>
      </c>
    </row>
    <row r="6468" spans="1:11" ht="42" customHeight="1">
      <c r="A6468" s="2" t="s">
        <v>16342</v>
      </c>
      <c r="B6468" s="2" t="s">
        <v>16342</v>
      </c>
      <c r="C6468" s="2" t="s">
        <v>88</v>
      </c>
      <c r="D6468" s="2" t="s">
        <v>117</v>
      </c>
      <c r="E6468" s="4">
        <v>-32776</v>
      </c>
      <c r="F6468" s="3" t="s">
        <v>752</v>
      </c>
      <c r="G6468" s="3" t="s">
        <v>213</v>
      </c>
      <c r="H6468" s="2" t="s">
        <v>74</v>
      </c>
      <c r="I6468" s="2" t="s">
        <v>16344</v>
      </c>
      <c r="J6468" s="3" t="str">
        <f>HYPERLINK("https://www.boe.es/gazeta/dias/1810/04/05/pdfs/GMD-1810-95.pdf#page=3","Abrir facsímil")</f>
        <v>Abrir facsímil</v>
      </c>
      <c r="K6468" s="3" t="s">
        <v>76</v>
      </c>
    </row>
    <row r="6469" spans="1:11" ht="42" customHeight="1">
      <c r="A6469" s="2" t="s">
        <v>16342</v>
      </c>
      <c r="B6469" s="2" t="s">
        <v>16342</v>
      </c>
      <c r="C6469" s="2" t="s">
        <v>26</v>
      </c>
      <c r="D6469" s="2" t="s">
        <v>27</v>
      </c>
      <c r="E6469" s="4">
        <v>-32759</v>
      </c>
      <c r="F6469" s="3" t="s">
        <v>4747</v>
      </c>
      <c r="G6469" s="3" t="s">
        <v>5277</v>
      </c>
      <c r="H6469" s="2" t="s">
        <v>74</v>
      </c>
      <c r="I6469" s="2" t="s">
        <v>16345</v>
      </c>
      <c r="J6469" s="3" t="str">
        <f>HYPERLINK("https://www.boe.es/gazeta/dias/1810/04/22/pdfs/GMD-1810-112.pdf#page=2","Abrir facsímil")</f>
        <v>Abrir facsímil</v>
      </c>
      <c r="K6469" s="3" t="s">
        <v>76</v>
      </c>
    </row>
    <row r="6470" spans="1:11" ht="42" customHeight="1">
      <c r="A6470" s="2" t="s">
        <v>16342</v>
      </c>
      <c r="B6470" s="2" t="s">
        <v>16342</v>
      </c>
      <c r="C6470" s="2" t="s">
        <v>33</v>
      </c>
      <c r="D6470" s="2" t="s">
        <v>220</v>
      </c>
      <c r="E6470" s="4">
        <v>-32735</v>
      </c>
      <c r="F6470" s="3" t="s">
        <v>612</v>
      </c>
      <c r="G6470" s="3" t="s">
        <v>613</v>
      </c>
      <c r="H6470" s="2" t="s">
        <v>74</v>
      </c>
      <c r="I6470" s="2" t="s">
        <v>16346</v>
      </c>
      <c r="J6470" s="3" t="str">
        <f>HYPERLINK("https://www.boe.es/gazeta/dias/1810/05/16/pdfs/GMD-1810-136.pdf#page=1","Abrir facsímil")</f>
        <v>Abrir facsímil</v>
      </c>
      <c r="K6470" s="3" t="s">
        <v>76</v>
      </c>
    </row>
    <row r="6471" spans="1:11" ht="42" customHeight="1">
      <c r="A6471" s="2" t="s">
        <v>16342</v>
      </c>
      <c r="B6471" s="2" t="s">
        <v>16342</v>
      </c>
      <c r="C6471" s="2" t="s">
        <v>26</v>
      </c>
      <c r="D6471" s="2" t="s">
        <v>220</v>
      </c>
      <c r="E6471" s="4">
        <v>-32723</v>
      </c>
      <c r="F6471" s="3" t="s">
        <v>464</v>
      </c>
      <c r="G6471" s="3" t="s">
        <v>465</v>
      </c>
      <c r="H6471" s="2" t="s">
        <v>74</v>
      </c>
      <c r="I6471" s="2" t="s">
        <v>16347</v>
      </c>
      <c r="J6471" s="3" t="str">
        <f>HYPERLINK("https://www.boe.es/gazeta/dias/1810/05/28/pdfs/GMD-1810-148.pdf#page=1","Abrir facsímil")</f>
        <v>Abrir facsímil</v>
      </c>
      <c r="K6471" s="3" t="s">
        <v>76</v>
      </c>
    </row>
    <row r="6472" spans="1:11" ht="42" customHeight="1">
      <c r="A6472" s="2" t="s">
        <v>16342</v>
      </c>
      <c r="B6472" s="2" t="s">
        <v>16342</v>
      </c>
      <c r="C6472" s="2" t="s">
        <v>88</v>
      </c>
      <c r="D6472" s="2" t="s">
        <v>27</v>
      </c>
      <c r="E6472" s="4">
        <v>-32565</v>
      </c>
      <c r="F6472" s="3" t="s">
        <v>743</v>
      </c>
      <c r="G6472" s="3" t="s">
        <v>458</v>
      </c>
      <c r="H6472" s="2" t="s">
        <v>74</v>
      </c>
      <c r="I6472" s="2" t="s">
        <v>16348</v>
      </c>
      <c r="J6472" s="3" t="str">
        <f>HYPERLINK("https://www.boe.es/gazeta/dias/1810/11/02/pdfs/GMD-1810-306.pdf#page=2","Abrir facsímil")</f>
        <v>Abrir facsímil</v>
      </c>
      <c r="K6472" s="3" t="s">
        <v>76</v>
      </c>
    </row>
    <row r="6473" spans="1:11" ht="42" customHeight="1">
      <c r="A6473" s="2" t="s">
        <v>16349</v>
      </c>
      <c r="B6473" s="2" t="s">
        <v>16350</v>
      </c>
      <c r="C6473" s="2" t="s">
        <v>26</v>
      </c>
      <c r="D6473" s="2" t="s">
        <v>39</v>
      </c>
      <c r="E6473" s="4">
        <v>-32702</v>
      </c>
      <c r="F6473" s="3" t="s">
        <v>179</v>
      </c>
      <c r="G6473" s="3" t="s">
        <v>119</v>
      </c>
      <c r="H6473" s="2" t="s">
        <v>74</v>
      </c>
      <c r="I6473" s="2" t="s">
        <v>16351</v>
      </c>
      <c r="J6473" s="3" t="str">
        <f>HYPERLINK("https://www.boe.es/gazeta/dias/1810/06/18/pdfs/GMD-C-1810-169.pdf#page=1","Abrir facsímil")</f>
        <v>Abrir facsímil</v>
      </c>
      <c r="K6473" s="3" t="s">
        <v>76</v>
      </c>
    </row>
    <row r="6474" spans="1:11" ht="42" customHeight="1">
      <c r="A6474" s="2" t="s">
        <v>16352</v>
      </c>
      <c r="B6474" s="2" t="s">
        <v>16353</v>
      </c>
      <c r="C6474" s="2" t="s">
        <v>26</v>
      </c>
      <c r="D6474" s="2" t="s">
        <v>27</v>
      </c>
      <c r="E6474" s="4">
        <v>-32526</v>
      </c>
      <c r="F6474" s="3" t="s">
        <v>530</v>
      </c>
      <c r="G6474" s="3" t="s">
        <v>531</v>
      </c>
      <c r="H6474" s="2" t="s">
        <v>74</v>
      </c>
      <c r="I6474" s="2" t="s">
        <v>16354</v>
      </c>
      <c r="J6474" s="3" t="str">
        <f>HYPERLINK("https://www.boe.es/gazeta/dias/1810/12/11/pdfs/GEI-1810-106.pdf#page=2","Abrir facsímil")</f>
        <v>Abrir facsímil</v>
      </c>
      <c r="K6474" s="3" t="s">
        <v>76</v>
      </c>
    </row>
    <row r="6475" spans="1:11" ht="42" customHeight="1">
      <c r="A6475" s="2" t="s">
        <v>16355</v>
      </c>
      <c r="B6475" s="2" t="s">
        <v>16356</v>
      </c>
      <c r="C6475" s="2" t="s">
        <v>26</v>
      </c>
      <c r="D6475" s="2" t="s">
        <v>27</v>
      </c>
      <c r="E6475" s="4">
        <v>-32730</v>
      </c>
      <c r="F6475" s="3" t="s">
        <v>50</v>
      </c>
      <c r="G6475" s="3" t="s">
        <v>20</v>
      </c>
      <c r="H6475" s="2" t="s">
        <v>74</v>
      </c>
      <c r="I6475" s="2" t="s">
        <v>16357</v>
      </c>
      <c r="J6475" s="3" t="str">
        <f>HYPERLINK("https://www.boe.es/gazeta/dias/1810/05/21/pdfs/GMD-1810-141.pdf#page=4","Abrir facsímil")</f>
        <v>Abrir facsímil</v>
      </c>
      <c r="K6475" s="3" t="s">
        <v>76</v>
      </c>
    </row>
    <row r="6476" spans="1:11" ht="42" customHeight="1">
      <c r="A6476" s="2" t="s">
        <v>16358</v>
      </c>
      <c r="B6476" s="2" t="s">
        <v>16359</v>
      </c>
      <c r="C6476" s="2" t="s">
        <v>33</v>
      </c>
      <c r="D6476" s="2" t="s">
        <v>27</v>
      </c>
      <c r="E6476" s="4">
        <v>-32710</v>
      </c>
      <c r="F6476" s="3" t="s">
        <v>126</v>
      </c>
      <c r="G6476" s="3" t="s">
        <v>184</v>
      </c>
      <c r="H6476" s="2" t="s">
        <v>74</v>
      </c>
      <c r="I6476" s="2" t="s">
        <v>16360</v>
      </c>
      <c r="J6476" s="3" t="str">
        <f>HYPERLINK("https://www.boe.es/gazeta/dias/1810/06/10/pdfs/GMD-1810-161.pdf#page=3","Abrir facsímil")</f>
        <v>Abrir facsímil</v>
      </c>
      <c r="K6476" s="3" t="s">
        <v>76</v>
      </c>
    </row>
    <row r="6477" spans="1:11" ht="42" customHeight="1">
      <c r="A6477" s="2" t="s">
        <v>16361</v>
      </c>
      <c r="B6477" s="2" t="s">
        <v>16362</v>
      </c>
      <c r="C6477" s="2" t="s">
        <v>88</v>
      </c>
      <c r="D6477" s="2" t="s">
        <v>27</v>
      </c>
      <c r="E6477" s="4">
        <v>-32545</v>
      </c>
      <c r="F6477" s="3" t="s">
        <v>165</v>
      </c>
      <c r="G6477" s="3" t="s">
        <v>166</v>
      </c>
      <c r="H6477" s="2" t="s">
        <v>74</v>
      </c>
      <c r="I6477" s="2" t="s">
        <v>16363</v>
      </c>
      <c r="J6477" s="3" t="str">
        <f>HYPERLINK("https://www.boe.es/gazeta/dias/1810/11/22/pdfs/GEI-1810-98.pdf#page=8","Abrir facsímil")</f>
        <v>Abrir facsímil</v>
      </c>
      <c r="K6477" s="3" t="s">
        <v>76</v>
      </c>
    </row>
    <row r="6478" spans="1:11" ht="42" customHeight="1">
      <c r="A6478" s="2" t="s">
        <v>16364</v>
      </c>
      <c r="B6478" s="2" t="s">
        <v>16365</v>
      </c>
      <c r="C6478" s="2" t="s">
        <v>26</v>
      </c>
      <c r="D6478" s="2" t="s">
        <v>27</v>
      </c>
      <c r="E6478" s="4">
        <v>-32569</v>
      </c>
      <c r="F6478" s="3" t="s">
        <v>421</v>
      </c>
      <c r="G6478" s="3" t="s">
        <v>20</v>
      </c>
      <c r="H6478" s="2" t="s">
        <v>74</v>
      </c>
      <c r="I6478" s="2" t="s">
        <v>16366</v>
      </c>
      <c r="J6478" s="3" t="str">
        <f>HYPERLINK("https://www.boe.es/gazeta/dias/1810/10/29/pdfs/GMD-1810-302.pdf#page=4","Abrir facsímil")</f>
        <v>Abrir facsímil</v>
      </c>
      <c r="K6478" s="3" t="s">
        <v>76</v>
      </c>
    </row>
    <row r="6479" spans="1:11" ht="42" customHeight="1">
      <c r="A6479" s="2" t="s">
        <v>16367</v>
      </c>
      <c r="B6479" s="2" t="s">
        <v>16367</v>
      </c>
      <c r="C6479" s="2" t="s">
        <v>88</v>
      </c>
      <c r="D6479" s="2" t="s">
        <v>27</v>
      </c>
      <c r="E6479" s="4">
        <v>-32798</v>
      </c>
      <c r="F6479" s="3" t="s">
        <v>2002</v>
      </c>
      <c r="G6479" s="3" t="s">
        <v>180</v>
      </c>
      <c r="H6479" s="2" t="s">
        <v>74</v>
      </c>
      <c r="I6479" s="2" t="s">
        <v>16368</v>
      </c>
      <c r="J6479" s="3" t="str">
        <f>HYPERLINK("https://www.boe.es/gazeta/dias/1810/03/14/pdfs/GMD-1810-73.pdf#page=1","Abrir facsímil")</f>
        <v>Abrir facsímil</v>
      </c>
      <c r="K6479" s="3" t="s">
        <v>76</v>
      </c>
    </row>
    <row r="6480" spans="1:11" ht="42" customHeight="1">
      <c r="A6480" s="2" t="s">
        <v>16369</v>
      </c>
      <c r="B6480" s="2" t="s">
        <v>16369</v>
      </c>
      <c r="C6480" s="2" t="s">
        <v>88</v>
      </c>
      <c r="D6480" s="2" t="s">
        <v>117</v>
      </c>
      <c r="E6480" s="4">
        <v>-32578</v>
      </c>
      <c r="F6480" s="3" t="s">
        <v>2333</v>
      </c>
      <c r="G6480" s="3" t="s">
        <v>2334</v>
      </c>
      <c r="H6480" s="2" t="s">
        <v>74</v>
      </c>
      <c r="I6480" s="2" t="s">
        <v>16370</v>
      </c>
      <c r="J6480" s="3" t="str">
        <f>HYPERLINK("https://www.boe.es/gazeta/dias/1810/10/20/pdfs/GEI-1810-84.pdf#page=4","Abrir facsímil")</f>
        <v>Abrir facsímil</v>
      </c>
      <c r="K6480" s="3" t="s">
        <v>76</v>
      </c>
    </row>
    <row r="6481" spans="1:11" ht="42" customHeight="1">
      <c r="A6481" s="2" t="s">
        <v>16369</v>
      </c>
      <c r="B6481" s="2" t="s">
        <v>16369</v>
      </c>
      <c r="C6481" s="2" t="s">
        <v>88</v>
      </c>
      <c r="D6481" s="2" t="s">
        <v>117</v>
      </c>
      <c r="E6481" s="4">
        <v>-32575</v>
      </c>
      <c r="F6481" s="3" t="s">
        <v>135</v>
      </c>
      <c r="G6481" s="3" t="s">
        <v>3467</v>
      </c>
      <c r="H6481" s="2" t="s">
        <v>74</v>
      </c>
      <c r="I6481" s="2" t="s">
        <v>16371</v>
      </c>
      <c r="J6481" s="3" t="str">
        <f>HYPERLINK("https://www.boe.es/gazeta/dias/1810/10/23/pdfs/GEI-1810-85.pdf#page=2","Abrir facsímil")</f>
        <v>Abrir facsímil</v>
      </c>
      <c r="K6481" s="3" t="s">
        <v>76</v>
      </c>
    </row>
    <row r="6482" spans="1:11" ht="42" customHeight="1">
      <c r="A6482" s="2" t="s">
        <v>16372</v>
      </c>
      <c r="B6482" s="2" t="s">
        <v>16373</v>
      </c>
      <c r="C6482" s="2" t="s">
        <v>26</v>
      </c>
      <c r="D6482" s="2" t="s">
        <v>27</v>
      </c>
      <c r="E6482" s="4">
        <v>-32710</v>
      </c>
      <c r="F6482" s="3" t="s">
        <v>126</v>
      </c>
      <c r="G6482" s="3" t="s">
        <v>20</v>
      </c>
      <c r="H6482" s="2" t="s">
        <v>74</v>
      </c>
      <c r="I6482" s="2" t="s">
        <v>16374</v>
      </c>
      <c r="J6482" s="3" t="str">
        <f>HYPERLINK("https://www.boe.es/gazeta/dias/1810/06/10/pdfs/GMD-1810-161.pdf#page=4","Abrir facsímil")</f>
        <v>Abrir facsímil</v>
      </c>
      <c r="K6482" s="3" t="s">
        <v>76</v>
      </c>
    </row>
    <row r="6483" spans="1:11" ht="42" customHeight="1">
      <c r="A6483" s="2" t="s">
        <v>16375</v>
      </c>
      <c r="B6483" s="2" t="s">
        <v>16376</v>
      </c>
      <c r="C6483" s="2" t="s">
        <v>88</v>
      </c>
      <c r="D6483" s="2" t="s">
        <v>117</v>
      </c>
      <c r="E6483" s="4">
        <v>-32732</v>
      </c>
      <c r="F6483" s="3" t="s">
        <v>545</v>
      </c>
      <c r="G6483" s="3" t="s">
        <v>140</v>
      </c>
      <c r="H6483" s="2" t="s">
        <v>74</v>
      </c>
      <c r="I6483" s="2" t="s">
        <v>16377</v>
      </c>
      <c r="J6483" s="3" t="str">
        <f>HYPERLINK("https://www.boe.es/gazeta/dias/1810/05/19/pdfs/GMD-1810-139.pdf#page=3","Abrir facsímil")</f>
        <v>Abrir facsímil</v>
      </c>
      <c r="K6483" s="3" t="s">
        <v>76</v>
      </c>
    </row>
    <row r="6484" spans="1:11" ht="42" customHeight="1">
      <c r="A6484" s="2" t="s">
        <v>16378</v>
      </c>
      <c r="B6484" s="2" t="s">
        <v>16379</v>
      </c>
      <c r="C6484" s="2" t="s">
        <v>26</v>
      </c>
      <c r="D6484" s="2" t="s">
        <v>27</v>
      </c>
      <c r="E6484" s="4">
        <v>-32714</v>
      </c>
      <c r="F6484" s="3" t="s">
        <v>977</v>
      </c>
      <c r="G6484" s="3" t="s">
        <v>632</v>
      </c>
      <c r="H6484" s="2" t="s">
        <v>74</v>
      </c>
      <c r="I6484" s="2" t="s">
        <v>16380</v>
      </c>
      <c r="J6484" s="3" t="str">
        <f>HYPERLINK("https://www.boe.es/gazeta/dias/1810/06/06/pdfs/GMD-1810-157.pdf#page=4","Abrir facsímil")</f>
        <v>Abrir facsímil</v>
      </c>
      <c r="K6484" s="3" t="s">
        <v>76</v>
      </c>
    </row>
    <row r="6485" spans="1:11" ht="42" customHeight="1">
      <c r="A6485" s="2" t="s">
        <v>16381</v>
      </c>
      <c r="B6485" s="2" t="s">
        <v>16382</v>
      </c>
      <c r="C6485" s="2" t="s">
        <v>26</v>
      </c>
      <c r="D6485" s="2" t="s">
        <v>27</v>
      </c>
      <c r="E6485" s="4">
        <v>-32517</v>
      </c>
      <c r="F6485" s="3" t="s">
        <v>566</v>
      </c>
      <c r="G6485" s="3" t="s">
        <v>762</v>
      </c>
      <c r="H6485" s="2" t="s">
        <v>74</v>
      </c>
      <c r="I6485" s="2" t="s">
        <v>16383</v>
      </c>
      <c r="J6485" s="3" t="str">
        <f>HYPERLINK("https://www.boe.es/gazeta/dias/1810/12/20/pdfs/GEI-1810-110.pdf#page=8","Abrir facsímil")</f>
        <v>Abrir facsímil</v>
      </c>
      <c r="K6485" s="3" t="s">
        <v>76</v>
      </c>
    </row>
    <row r="6486" spans="1:11" ht="42" customHeight="1">
      <c r="A6486" s="2" t="s">
        <v>16384</v>
      </c>
      <c r="B6486" s="2" t="s">
        <v>16385</v>
      </c>
      <c r="C6486" s="2" t="s">
        <v>26</v>
      </c>
      <c r="D6486" s="2" t="s">
        <v>27</v>
      </c>
      <c r="E6486" s="4">
        <v>-32647</v>
      </c>
      <c r="F6486" s="3" t="s">
        <v>118</v>
      </c>
      <c r="G6486" s="3" t="s">
        <v>20</v>
      </c>
      <c r="H6486" s="2" t="s">
        <v>74</v>
      </c>
      <c r="I6486" s="2" t="s">
        <v>16386</v>
      </c>
      <c r="J6486" s="3" t="str">
        <f>HYPERLINK("https://www.boe.es/gazeta/dias/1810/08/12/pdfs/GMD-1810-224.pdf#page=4","Abrir facsímil")</f>
        <v>Abrir facsímil</v>
      </c>
      <c r="K6486" s="3" t="s">
        <v>76</v>
      </c>
    </row>
    <row r="6487" spans="1:11" ht="42" customHeight="1">
      <c r="A6487" s="2" t="s">
        <v>16387</v>
      </c>
      <c r="B6487" s="2" t="s">
        <v>16388</v>
      </c>
      <c r="C6487" s="2" t="s">
        <v>26</v>
      </c>
      <c r="D6487" s="2" t="s">
        <v>27</v>
      </c>
      <c r="E6487" s="4">
        <v>-32563</v>
      </c>
      <c r="F6487" s="3" t="s">
        <v>535</v>
      </c>
      <c r="G6487" s="3" t="s">
        <v>8537</v>
      </c>
      <c r="H6487" s="2" t="s">
        <v>74</v>
      </c>
      <c r="I6487" s="2" t="s">
        <v>16389</v>
      </c>
      <c r="J6487" s="3" t="str">
        <f>HYPERLINK("https://www.boe.es/gazeta/dias/1810/11/04/pdfs/GMD-1810-308.pdf#page=24","Abrir facsímil")</f>
        <v>Abrir facsímil</v>
      </c>
      <c r="K6487" s="3" t="s">
        <v>76</v>
      </c>
    </row>
    <row r="6488" spans="1:11" ht="42" customHeight="1">
      <c r="A6488" s="2" t="s">
        <v>16390</v>
      </c>
      <c r="B6488" s="2" t="s">
        <v>16391</v>
      </c>
      <c r="C6488" s="2" t="s">
        <v>26</v>
      </c>
      <c r="D6488" s="2" t="s">
        <v>220</v>
      </c>
      <c r="E6488" s="4">
        <v>-32683</v>
      </c>
      <c r="F6488" s="3" t="s">
        <v>579</v>
      </c>
      <c r="G6488" s="3" t="s">
        <v>5489</v>
      </c>
      <c r="H6488" s="2" t="s">
        <v>74</v>
      </c>
      <c r="I6488" s="2" t="s">
        <v>16392</v>
      </c>
      <c r="J6488" s="3" t="str">
        <f>HYPERLINK("https://www.boe.es/gazeta/dias/1810/07/07/pdfs/GMD-1810-188.pdf#page=3","Abrir facsímil")</f>
        <v>Abrir facsímil</v>
      </c>
      <c r="K6488" s="3" t="s">
        <v>76</v>
      </c>
    </row>
    <row r="6489" spans="1:11" ht="42" customHeight="1">
      <c r="A6489" s="2" t="s">
        <v>16393</v>
      </c>
      <c r="B6489" s="2" t="s">
        <v>16394</v>
      </c>
      <c r="C6489" s="2" t="s">
        <v>26</v>
      </c>
      <c r="D6489" s="2" t="s">
        <v>27</v>
      </c>
      <c r="E6489" s="4">
        <v>-32839</v>
      </c>
      <c r="F6489" s="3" t="s">
        <v>28</v>
      </c>
      <c r="G6489" s="3" t="s">
        <v>29</v>
      </c>
      <c r="H6489" s="2" t="s">
        <v>74</v>
      </c>
      <c r="I6489" s="2" t="s">
        <v>16395</v>
      </c>
      <c r="J6489" s="3" t="str">
        <f>HYPERLINK("https://www.boe.es/gazeta/dias/1810/02/01/pdfs/GMD-1810-32.pdf#page=3","Abrir facsímil")</f>
        <v>Abrir facsímil</v>
      </c>
      <c r="K6489" s="3" t="s">
        <v>76</v>
      </c>
    </row>
    <row r="6490" spans="1:11" ht="42" customHeight="1">
      <c r="A6490" s="2" t="s">
        <v>16396</v>
      </c>
      <c r="B6490" s="2" t="s">
        <v>16397</v>
      </c>
      <c r="C6490" s="2" t="s">
        <v>26</v>
      </c>
      <c r="D6490" s="2" t="s">
        <v>18</v>
      </c>
      <c r="E6490" s="4">
        <v>-32589</v>
      </c>
      <c r="F6490" s="3" t="s">
        <v>3026</v>
      </c>
      <c r="G6490" s="3" t="s">
        <v>119</v>
      </c>
      <c r="H6490" s="2" t="s">
        <v>74</v>
      </c>
      <c r="I6490" s="2" t="s">
        <v>16398</v>
      </c>
      <c r="J6490" s="3" t="str">
        <f>HYPERLINK("https://www.boe.es/gazeta/dias/1810/10/09/pdfs/GEI-1810-79.pdf#page=8","Abrir facsímil")</f>
        <v>Abrir facsímil</v>
      </c>
      <c r="K6490" s="3" t="s">
        <v>76</v>
      </c>
    </row>
    <row r="6491" spans="1:11" ht="42" customHeight="1">
      <c r="A6491" s="2" t="s">
        <v>16396</v>
      </c>
      <c r="B6491" s="2" t="s">
        <v>16397</v>
      </c>
      <c r="C6491" s="2" t="s">
        <v>111</v>
      </c>
      <c r="D6491" s="2" t="s">
        <v>18</v>
      </c>
      <c r="E6491" s="4">
        <v>-32531</v>
      </c>
      <c r="F6491" s="3" t="s">
        <v>2483</v>
      </c>
      <c r="G6491" s="3" t="s">
        <v>2686</v>
      </c>
      <c r="H6491" s="2" t="s">
        <v>74</v>
      </c>
      <c r="I6491" s="2" t="s">
        <v>16399</v>
      </c>
      <c r="J6491" s="3" t="str">
        <f>HYPERLINK("https://www.boe.es/gazeta/dias/1810/12/06/pdfs/GEI-1810-104.pdf#page=8","Abrir facsímil")</f>
        <v>Abrir facsímil</v>
      </c>
      <c r="K6491" s="3" t="s">
        <v>76</v>
      </c>
    </row>
    <row r="6492" spans="1:11" ht="42" customHeight="1">
      <c r="A6492" s="2" t="s">
        <v>16400</v>
      </c>
      <c r="B6492" s="2" t="s">
        <v>16400</v>
      </c>
      <c r="C6492" s="2" t="s">
        <v>88</v>
      </c>
      <c r="D6492" s="2" t="s">
        <v>220</v>
      </c>
      <c r="E6492" s="4">
        <v>-32690</v>
      </c>
      <c r="F6492" s="3" t="s">
        <v>2142</v>
      </c>
      <c r="G6492" s="3" t="s">
        <v>180</v>
      </c>
      <c r="H6492" s="2" t="s">
        <v>74</v>
      </c>
      <c r="I6492" s="2" t="s">
        <v>16401</v>
      </c>
      <c r="J6492" s="3" t="str">
        <f>HYPERLINK("https://www.boe.es/gazeta/dias/1810/06/30/pdfs/GMD-1810-181.pdf#page=1","Abrir facsímil")</f>
        <v>Abrir facsímil</v>
      </c>
      <c r="K6492" s="3" t="s">
        <v>76</v>
      </c>
    </row>
    <row r="6493" spans="1:11" ht="42" customHeight="1">
      <c r="A6493" s="2" t="s">
        <v>16402</v>
      </c>
      <c r="B6493" s="2" t="s">
        <v>16402</v>
      </c>
      <c r="C6493" s="2" t="s">
        <v>26</v>
      </c>
      <c r="D6493" s="2" t="s">
        <v>27</v>
      </c>
      <c r="E6493" s="4">
        <v>-32578</v>
      </c>
      <c r="F6493" s="3" t="s">
        <v>7073</v>
      </c>
      <c r="G6493" s="3" t="s">
        <v>16403</v>
      </c>
      <c r="H6493" s="2" t="s">
        <v>74</v>
      </c>
      <c r="I6493" s="2" t="s">
        <v>16404</v>
      </c>
      <c r="J6493" s="3" t="str">
        <f>HYPERLINK("https://www.boe.es/gazeta/dias/1810/10/20/pdfs/GMD-1810-293.pdf#page=3","Abrir facsímil")</f>
        <v>Abrir facsímil</v>
      </c>
      <c r="K6493" s="3" t="s">
        <v>76</v>
      </c>
    </row>
    <row r="6494" spans="1:11" ht="42" customHeight="1">
      <c r="A6494" s="2" t="s">
        <v>16405</v>
      </c>
      <c r="B6494" s="2" t="s">
        <v>16406</v>
      </c>
      <c r="C6494" s="2" t="s">
        <v>26</v>
      </c>
      <c r="D6494" s="2" t="s">
        <v>27</v>
      </c>
      <c r="E6494" s="4">
        <v>-32701</v>
      </c>
      <c r="F6494" s="3" t="s">
        <v>671</v>
      </c>
      <c r="G6494" s="3" t="s">
        <v>9577</v>
      </c>
      <c r="H6494" s="2" t="s">
        <v>74</v>
      </c>
      <c r="I6494" s="2" t="s">
        <v>16407</v>
      </c>
      <c r="J6494" s="3" t="str">
        <f>HYPERLINK("https://www.boe.es/gazeta/dias/1810/06/19/pdfs/GEI-1810-37.pdf#page=4","Abrir facsímil")</f>
        <v>Abrir facsímil</v>
      </c>
      <c r="K6494" s="3" t="s">
        <v>76</v>
      </c>
    </row>
    <row r="6495" spans="1:11" ht="42" customHeight="1">
      <c r="A6495" s="2" t="s">
        <v>16408</v>
      </c>
      <c r="B6495" s="2" t="s">
        <v>16409</v>
      </c>
      <c r="C6495" s="2" t="s">
        <v>26</v>
      </c>
      <c r="D6495" s="2" t="s">
        <v>27</v>
      </c>
      <c r="E6495" s="4">
        <v>-32689</v>
      </c>
      <c r="F6495" s="3" t="s">
        <v>571</v>
      </c>
      <c r="G6495" s="3" t="s">
        <v>140</v>
      </c>
      <c r="H6495" s="2" t="s">
        <v>74</v>
      </c>
      <c r="I6495" s="2" t="s">
        <v>16410</v>
      </c>
      <c r="J6495" s="3" t="str">
        <f>HYPERLINK("https://www.boe.es/gazeta/dias/1810/07/01/pdfs/GMD-1810-182.pdf#page=4","Abrir facsímil")</f>
        <v>Abrir facsímil</v>
      </c>
      <c r="K6495" s="3" t="s">
        <v>76</v>
      </c>
    </row>
    <row r="6496" spans="1:11" ht="42" customHeight="1">
      <c r="A6496" s="2" t="s">
        <v>16411</v>
      </c>
      <c r="B6496" s="2" t="s">
        <v>16412</v>
      </c>
      <c r="C6496" s="2" t="s">
        <v>26</v>
      </c>
      <c r="D6496" s="2" t="s">
        <v>27</v>
      </c>
      <c r="E6496" s="4">
        <v>-32689</v>
      </c>
      <c r="F6496" s="3" t="s">
        <v>571</v>
      </c>
      <c r="G6496" s="3" t="s">
        <v>140</v>
      </c>
      <c r="H6496" s="2" t="s">
        <v>74</v>
      </c>
      <c r="I6496" s="2" t="s">
        <v>16413</v>
      </c>
      <c r="J6496" s="3" t="str">
        <f>HYPERLINK("https://www.boe.es/gazeta/dias/1810/07/01/pdfs/GMD-1810-182.pdf#page=4","Abrir facsímil")</f>
        <v>Abrir facsímil</v>
      </c>
      <c r="K6496" s="3" t="s">
        <v>76</v>
      </c>
    </row>
    <row r="6497" spans="1:11" ht="42" customHeight="1">
      <c r="A6497" s="2" t="s">
        <v>16414</v>
      </c>
      <c r="B6497" s="2" t="s">
        <v>16415</v>
      </c>
      <c r="C6497" s="2" t="s">
        <v>111</v>
      </c>
      <c r="D6497" s="2" t="s">
        <v>27</v>
      </c>
      <c r="E6497" s="4">
        <v>-32647</v>
      </c>
      <c r="F6497" s="3" t="s">
        <v>118</v>
      </c>
      <c r="G6497" s="3" t="s">
        <v>119</v>
      </c>
      <c r="H6497" s="2" t="s">
        <v>74</v>
      </c>
      <c r="I6497" s="2" t="s">
        <v>16416</v>
      </c>
      <c r="J6497" s="3" t="str">
        <f>HYPERLINK("https://www.boe.es/gazeta/dias/1810/08/12/pdfs/GMD-1810-224.pdf#page=3","Abrir facsímil")</f>
        <v>Abrir facsímil</v>
      </c>
      <c r="K6497" s="3" t="s">
        <v>76</v>
      </c>
    </row>
    <row r="6498" spans="1:11" ht="42" customHeight="1">
      <c r="A6498" s="2" t="s">
        <v>16414</v>
      </c>
      <c r="B6498" s="2" t="s">
        <v>16415</v>
      </c>
      <c r="C6498" s="2" t="s">
        <v>26</v>
      </c>
      <c r="D6498" s="2" t="s">
        <v>27</v>
      </c>
      <c r="E6498" s="4">
        <v>-32537</v>
      </c>
      <c r="F6498" s="3" t="s">
        <v>1091</v>
      </c>
      <c r="G6498" s="3" t="s">
        <v>20</v>
      </c>
      <c r="H6498" s="2" t="s">
        <v>74</v>
      </c>
      <c r="I6498" s="2" t="s">
        <v>16417</v>
      </c>
      <c r="J6498" s="3" t="str">
        <f>HYPERLINK("https://www.boe.es/gazeta/dias/1810/11/30/pdfs/GMD-1810-334.pdf#page=4","Abrir facsímil")</f>
        <v>Abrir facsímil</v>
      </c>
      <c r="K6498" s="3" t="s">
        <v>76</v>
      </c>
    </row>
    <row r="6499" spans="1:11" ht="42" customHeight="1">
      <c r="A6499" s="2" t="s">
        <v>16418</v>
      </c>
      <c r="B6499" s="2" t="s">
        <v>16419</v>
      </c>
      <c r="C6499" s="2" t="s">
        <v>26</v>
      </c>
      <c r="D6499" s="2" t="s">
        <v>58</v>
      </c>
      <c r="E6499" s="4">
        <v>-32651</v>
      </c>
      <c r="F6499" s="3" t="s">
        <v>59</v>
      </c>
      <c r="G6499" s="3" t="s">
        <v>60</v>
      </c>
      <c r="H6499" s="2" t="s">
        <v>74</v>
      </c>
      <c r="I6499" s="2" t="s">
        <v>16420</v>
      </c>
      <c r="J6499" s="3" t="str">
        <f>HYPERLINK("https://www.boe.es/gazeta/dias/1810/08/08/pdfs/GEI-1810-53E.pdf#page=3","Abrir facsímil")</f>
        <v>Abrir facsímil</v>
      </c>
      <c r="K6499" s="3" t="s">
        <v>76</v>
      </c>
    </row>
    <row r="6500" spans="1:11" ht="42" customHeight="1">
      <c r="A6500" s="2" t="s">
        <v>16421</v>
      </c>
      <c r="B6500" s="2" t="s">
        <v>16422</v>
      </c>
      <c r="C6500" s="2" t="s">
        <v>26</v>
      </c>
      <c r="D6500" s="2" t="s">
        <v>18</v>
      </c>
      <c r="E6500" s="4">
        <v>-32601</v>
      </c>
      <c r="F6500" s="3" t="s">
        <v>392</v>
      </c>
      <c r="G6500" s="3" t="s">
        <v>1430</v>
      </c>
      <c r="H6500" s="2" t="s">
        <v>74</v>
      </c>
      <c r="I6500" s="2" t="s">
        <v>16423</v>
      </c>
      <c r="J6500" s="3" t="str">
        <f>HYPERLINK("https://www.boe.es/gazeta/dias/1810/09/27/pdfs/GEI-1810-74E.pdf#page=3","Abrir facsímil")</f>
        <v>Abrir facsímil</v>
      </c>
      <c r="K6500" s="3" t="s">
        <v>76</v>
      </c>
    </row>
    <row r="6501" spans="1:11" ht="42" customHeight="1">
      <c r="A6501" s="2" t="s">
        <v>16424</v>
      </c>
      <c r="B6501" s="2" t="s">
        <v>16425</v>
      </c>
      <c r="C6501" s="2" t="s">
        <v>26</v>
      </c>
      <c r="D6501" s="2" t="s">
        <v>27</v>
      </c>
      <c r="E6501" s="4">
        <v>-32710</v>
      </c>
      <c r="F6501" s="3" t="s">
        <v>126</v>
      </c>
      <c r="G6501" s="3" t="s">
        <v>35</v>
      </c>
      <c r="H6501" s="2" t="s">
        <v>74</v>
      </c>
      <c r="I6501" s="2" t="s">
        <v>16426</v>
      </c>
      <c r="J6501" s="3" t="str">
        <f>HYPERLINK("https://www.boe.es/gazeta/dias/1810/06/10/pdfs/GMD-1810-161.pdf#page=2","Abrir facsímil")</f>
        <v>Abrir facsímil</v>
      </c>
      <c r="K6501" s="3" t="s">
        <v>76</v>
      </c>
    </row>
    <row r="6502" spans="1:11" ht="42" customHeight="1">
      <c r="A6502" s="2" t="s">
        <v>16427</v>
      </c>
      <c r="B6502" s="2" t="s">
        <v>16428</v>
      </c>
      <c r="C6502" s="2" t="s">
        <v>26</v>
      </c>
      <c r="D6502" s="2" t="s">
        <v>18</v>
      </c>
      <c r="E6502" s="4">
        <v>-32656</v>
      </c>
      <c r="F6502" s="3" t="s">
        <v>1909</v>
      </c>
      <c r="G6502" s="3" t="s">
        <v>2094</v>
      </c>
      <c r="H6502" s="2" t="s">
        <v>74</v>
      </c>
      <c r="I6502" s="2" t="s">
        <v>16429</v>
      </c>
      <c r="J6502" s="3" t="str">
        <f>HYPERLINK("https://www.boe.es/gazeta/dias/1810/08/03/pdfs/GEI-1810-50.pdf#page=6","Abrir facsímil")</f>
        <v>Abrir facsímil</v>
      </c>
      <c r="K6502" s="3" t="s">
        <v>76</v>
      </c>
    </row>
    <row r="6503" spans="1:11" ht="42" customHeight="1">
      <c r="A6503" s="2" t="s">
        <v>16430</v>
      </c>
      <c r="B6503" s="2" t="s">
        <v>16431</v>
      </c>
      <c r="C6503" s="2" t="s">
        <v>26</v>
      </c>
      <c r="D6503" s="2" t="s">
        <v>27</v>
      </c>
      <c r="E6503" s="4">
        <v>-32647</v>
      </c>
      <c r="F6503" s="3" t="s">
        <v>118</v>
      </c>
      <c r="G6503" s="3" t="s">
        <v>20</v>
      </c>
      <c r="H6503" s="2" t="s">
        <v>74</v>
      </c>
      <c r="I6503" s="2" t="s">
        <v>16432</v>
      </c>
      <c r="J6503" s="3" t="str">
        <f>HYPERLINK("https://www.boe.es/gazeta/dias/1810/08/12/pdfs/GMD-1810-224.pdf#page=4","Abrir facsímil")</f>
        <v>Abrir facsímil</v>
      </c>
      <c r="K6503" s="3" t="s">
        <v>76</v>
      </c>
    </row>
    <row r="6504" spans="1:11" ht="42" customHeight="1">
      <c r="A6504" s="2" t="s">
        <v>16433</v>
      </c>
      <c r="B6504" s="2" t="s">
        <v>16434</v>
      </c>
      <c r="C6504" s="2" t="s">
        <v>88</v>
      </c>
      <c r="D6504" s="2" t="s">
        <v>58</v>
      </c>
      <c r="E6504" s="4">
        <v>-32651</v>
      </c>
      <c r="F6504" s="3" t="s">
        <v>59</v>
      </c>
      <c r="G6504" s="3" t="s">
        <v>60</v>
      </c>
      <c r="H6504" s="2" t="s">
        <v>74</v>
      </c>
      <c r="I6504" s="2" t="s">
        <v>16435</v>
      </c>
      <c r="J6504" s="3" t="str">
        <f>HYPERLINK("https://www.boe.es/gazeta/dias/1810/08/08/pdfs/GEI-1810-53E.pdf#page=3","Abrir facsímil")</f>
        <v>Abrir facsímil</v>
      </c>
      <c r="K6504" s="3" t="s">
        <v>76</v>
      </c>
    </row>
    <row r="6505" spans="1:11" ht="42" customHeight="1">
      <c r="A6505" s="2" t="s">
        <v>16436</v>
      </c>
      <c r="B6505" s="2" t="s">
        <v>16437</v>
      </c>
      <c r="C6505" s="2" t="s">
        <v>26</v>
      </c>
      <c r="D6505" s="2" t="s">
        <v>27</v>
      </c>
      <c r="E6505" s="4">
        <v>-32647</v>
      </c>
      <c r="F6505" s="3" t="s">
        <v>118</v>
      </c>
      <c r="G6505" s="3" t="s">
        <v>20</v>
      </c>
      <c r="H6505" s="2" t="s">
        <v>74</v>
      </c>
      <c r="I6505" s="2" t="s">
        <v>16438</v>
      </c>
      <c r="J6505" s="3" t="str">
        <f>HYPERLINK("https://www.boe.es/gazeta/dias/1810/08/12/pdfs/GMD-1810-224.pdf#page=4","Abrir facsímil")</f>
        <v>Abrir facsímil</v>
      </c>
      <c r="K6505" s="3" t="s">
        <v>76</v>
      </c>
    </row>
    <row r="6506" spans="1:11" ht="42" customHeight="1">
      <c r="A6506" s="2" t="s">
        <v>16439</v>
      </c>
      <c r="B6506" s="2" t="s">
        <v>16440</v>
      </c>
      <c r="C6506" s="2" t="s">
        <v>88</v>
      </c>
      <c r="D6506" s="2" t="s">
        <v>117</v>
      </c>
      <c r="E6506" s="4">
        <v>-32728</v>
      </c>
      <c r="F6506" s="3" t="s">
        <v>269</v>
      </c>
      <c r="G6506" s="3" t="s">
        <v>119</v>
      </c>
      <c r="H6506" s="2" t="s">
        <v>74</v>
      </c>
      <c r="I6506" s="2" t="s">
        <v>16441</v>
      </c>
      <c r="J6506" s="3" t="str">
        <f>HYPERLINK("https://www.boe.es/gazeta/dias/1810/05/23/pdfs/GMD-1810-143.pdf#page=3","Abrir facsímil")</f>
        <v>Abrir facsímil</v>
      </c>
      <c r="K6506" s="3" t="s">
        <v>76</v>
      </c>
    </row>
    <row r="6507" spans="1:11" ht="42" customHeight="1">
      <c r="A6507" s="2" t="s">
        <v>16442</v>
      </c>
      <c r="B6507" s="2" t="s">
        <v>16443</v>
      </c>
      <c r="C6507" s="2" t="s">
        <v>26</v>
      </c>
      <c r="D6507" s="2" t="s">
        <v>27</v>
      </c>
      <c r="E6507" s="4">
        <v>-32575</v>
      </c>
      <c r="F6507" s="3" t="s">
        <v>135</v>
      </c>
      <c r="G6507" s="3" t="s">
        <v>136</v>
      </c>
      <c r="H6507" s="2" t="s">
        <v>74</v>
      </c>
      <c r="I6507" s="2" t="s">
        <v>16444</v>
      </c>
      <c r="J6507" s="3" t="str">
        <f>HYPERLINK("https://www.boe.es/gazeta/dias/1810/10/23/pdfs/GEI-1810-85.pdf#page=11","Abrir facsímil")</f>
        <v>Abrir facsímil</v>
      </c>
      <c r="K6507" s="3" t="s">
        <v>76</v>
      </c>
    </row>
    <row r="6508" spans="1:11" ht="42" customHeight="1">
      <c r="A6508" s="2" t="s">
        <v>16445</v>
      </c>
      <c r="B6508" s="2" t="s">
        <v>16445</v>
      </c>
      <c r="C6508" s="2" t="s">
        <v>26</v>
      </c>
      <c r="D6508" s="2" t="s">
        <v>220</v>
      </c>
      <c r="E6508" s="4">
        <v>-32670</v>
      </c>
      <c r="F6508" s="3" t="s">
        <v>2256</v>
      </c>
      <c r="G6508" s="3" t="s">
        <v>140</v>
      </c>
      <c r="H6508" s="2" t="s">
        <v>74</v>
      </c>
      <c r="I6508" s="2" t="s">
        <v>16446</v>
      </c>
      <c r="J6508" s="3" t="str">
        <f>HYPERLINK("https://www.boe.es/gazeta/dias/1810/07/20/pdfs/GMD-1810-201.pdf#page=2","Abrir facsímil")</f>
        <v>Abrir facsímil</v>
      </c>
      <c r="K6508" s="3" t="s">
        <v>76</v>
      </c>
    </row>
    <row r="6509" spans="1:11" ht="42" customHeight="1">
      <c r="A6509" s="2" t="s">
        <v>16447</v>
      </c>
      <c r="B6509" s="2" t="s">
        <v>16448</v>
      </c>
      <c r="C6509" s="2" t="s">
        <v>26</v>
      </c>
      <c r="D6509" s="2" t="s">
        <v>27</v>
      </c>
      <c r="E6509" s="4">
        <v>-32647</v>
      </c>
      <c r="F6509" s="3" t="s">
        <v>118</v>
      </c>
      <c r="G6509" s="3" t="s">
        <v>20</v>
      </c>
      <c r="H6509" s="2" t="s">
        <v>74</v>
      </c>
      <c r="I6509" s="2" t="s">
        <v>16449</v>
      </c>
      <c r="J6509" s="3" t="str">
        <f>HYPERLINK("https://www.boe.es/gazeta/dias/1810/08/12/pdfs/GMD-1810-224.pdf#page=4","Abrir facsímil")</f>
        <v>Abrir facsímil</v>
      </c>
      <c r="K6509" s="3" t="s">
        <v>76</v>
      </c>
    </row>
    <row r="6510" spans="1:11" ht="42" customHeight="1">
      <c r="A6510" s="2" t="s">
        <v>16450</v>
      </c>
      <c r="B6510" s="2" t="s">
        <v>16451</v>
      </c>
      <c r="C6510" s="2" t="s">
        <v>26</v>
      </c>
      <c r="D6510" s="2" t="s">
        <v>27</v>
      </c>
      <c r="E6510" s="4">
        <v>-32647</v>
      </c>
      <c r="F6510" s="3" t="s">
        <v>118</v>
      </c>
      <c r="G6510" s="3" t="s">
        <v>20</v>
      </c>
      <c r="H6510" s="2" t="s">
        <v>74</v>
      </c>
      <c r="I6510" s="2" t="s">
        <v>16452</v>
      </c>
      <c r="J6510" s="3" t="str">
        <f>HYPERLINK("https://www.boe.es/gazeta/dias/1810/08/12/pdfs/GMD-1810-224.pdf#page=4","Abrir facsímil")</f>
        <v>Abrir facsímil</v>
      </c>
      <c r="K6510" s="3" t="s">
        <v>76</v>
      </c>
    </row>
    <row r="6511" spans="1:11" ht="42" customHeight="1">
      <c r="A6511" s="2" t="s">
        <v>16453</v>
      </c>
      <c r="B6511" s="2" t="s">
        <v>16454</v>
      </c>
      <c r="C6511" s="2" t="s">
        <v>26</v>
      </c>
      <c r="D6511" s="2" t="s">
        <v>27</v>
      </c>
      <c r="E6511" s="4">
        <v>-32557</v>
      </c>
      <c r="F6511" s="3" t="s">
        <v>837</v>
      </c>
      <c r="G6511" s="3" t="s">
        <v>8451</v>
      </c>
      <c r="H6511" s="2" t="s">
        <v>74</v>
      </c>
      <c r="I6511" s="2" t="s">
        <v>16455</v>
      </c>
      <c r="J6511" s="3" t="str">
        <f>HYPERLINK("https://www.boe.es/gazeta/dias/1810/11/10/pdfs/GEI-1810-93.pdf#page=8","Abrir facsímil")</f>
        <v>Abrir facsímil</v>
      </c>
      <c r="K6511" s="3" t="s">
        <v>76</v>
      </c>
    </row>
    <row r="6512" spans="1:11" ht="42" customHeight="1">
      <c r="A6512" s="2" t="s">
        <v>16456</v>
      </c>
      <c r="B6512" s="2" t="s">
        <v>16457</v>
      </c>
      <c r="C6512" s="2" t="s">
        <v>88</v>
      </c>
      <c r="D6512" s="2" t="s">
        <v>117</v>
      </c>
      <c r="E6512" s="4">
        <v>-32827</v>
      </c>
      <c r="F6512" s="3" t="s">
        <v>290</v>
      </c>
      <c r="G6512" s="3" t="s">
        <v>291</v>
      </c>
      <c r="H6512" s="2" t="s">
        <v>74</v>
      </c>
      <c r="I6512" s="2" t="s">
        <v>16458</v>
      </c>
      <c r="J6512" s="3" t="str">
        <f>HYPERLINK("https://www.boe.es/gazeta/dias/1810/02/13/pdfs/GMD-1810-44.pdf#page=4","Abrir facsímil")</f>
        <v>Abrir facsímil</v>
      </c>
      <c r="K6512" s="3" t="s">
        <v>76</v>
      </c>
    </row>
    <row r="6513" spans="1:11" ht="42" customHeight="1">
      <c r="A6513" s="2" t="s">
        <v>16459</v>
      </c>
      <c r="B6513" s="2" t="s">
        <v>16459</v>
      </c>
      <c r="C6513" s="2" t="s">
        <v>26</v>
      </c>
      <c r="D6513" s="2" t="s">
        <v>27</v>
      </c>
      <c r="E6513" s="4">
        <v>-32826</v>
      </c>
      <c r="F6513" s="3" t="s">
        <v>1252</v>
      </c>
      <c r="G6513" s="3" t="s">
        <v>227</v>
      </c>
      <c r="H6513" s="2" t="s">
        <v>74</v>
      </c>
      <c r="I6513" s="2" t="s">
        <v>16460</v>
      </c>
      <c r="J6513" s="3" t="str">
        <f>HYPERLINK("https://www.boe.es/gazeta/dias/1810/02/14/pdfs/GMD-1810-45.pdf#page=4","Abrir facsímil")</f>
        <v>Abrir facsímil</v>
      </c>
      <c r="K6513" s="3" t="s">
        <v>76</v>
      </c>
    </row>
    <row r="6514" spans="1:11" ht="42" customHeight="1">
      <c r="A6514" s="2" t="s">
        <v>16461</v>
      </c>
      <c r="B6514" s="2" t="s">
        <v>16462</v>
      </c>
      <c r="C6514" s="2" t="s">
        <v>26</v>
      </c>
      <c r="D6514" s="2" t="s">
        <v>27</v>
      </c>
      <c r="E6514" s="4">
        <v>-32710</v>
      </c>
      <c r="F6514" s="3" t="s">
        <v>126</v>
      </c>
      <c r="G6514" s="3" t="s">
        <v>20</v>
      </c>
      <c r="H6514" s="2" t="s">
        <v>74</v>
      </c>
      <c r="I6514" s="2" t="s">
        <v>16463</v>
      </c>
      <c r="J6514" s="3" t="str">
        <f>HYPERLINK("https://www.boe.es/gazeta/dias/1810/06/10/pdfs/GMD-1810-161.pdf#page=4","Abrir facsímil")</f>
        <v>Abrir facsímil</v>
      </c>
      <c r="K6514" s="3" t="s">
        <v>76</v>
      </c>
    </row>
    <row r="6515" spans="1:11" ht="42" customHeight="1">
      <c r="A6515" s="2" t="s">
        <v>16464</v>
      </c>
      <c r="B6515" s="2" t="s">
        <v>16465</v>
      </c>
      <c r="C6515" s="2" t="s">
        <v>88</v>
      </c>
      <c r="D6515" s="2" t="s">
        <v>27</v>
      </c>
      <c r="E6515" s="4">
        <v>-32842</v>
      </c>
      <c r="F6515" s="3" t="s">
        <v>1291</v>
      </c>
      <c r="G6515" s="3" t="s">
        <v>1292</v>
      </c>
      <c r="H6515" s="2" t="s">
        <v>74</v>
      </c>
      <c r="I6515" s="2" t="s">
        <v>16466</v>
      </c>
      <c r="J6515" s="3" t="str">
        <f>HYPERLINK("https://www.boe.es/gazeta/dias/1810/01/29/pdfs/GMD-1810-29.pdf#page=3","Abrir facsímil")</f>
        <v>Abrir facsímil</v>
      </c>
      <c r="K6515" s="3" t="s">
        <v>76</v>
      </c>
    </row>
    <row r="6516" spans="1:11" ht="42" customHeight="1">
      <c r="A6516" s="2" t="s">
        <v>16467</v>
      </c>
      <c r="B6516" s="2" t="s">
        <v>16468</v>
      </c>
      <c r="C6516" s="2" t="s">
        <v>26</v>
      </c>
      <c r="D6516" s="2" t="s">
        <v>27</v>
      </c>
      <c r="E6516" s="4">
        <v>-32710</v>
      </c>
      <c r="F6516" s="3" t="s">
        <v>126</v>
      </c>
      <c r="G6516" s="3" t="s">
        <v>35</v>
      </c>
      <c r="H6516" s="2" t="s">
        <v>74</v>
      </c>
      <c r="I6516" s="2" t="s">
        <v>16469</v>
      </c>
      <c r="J6516" s="3" t="str">
        <f>HYPERLINK("https://www.boe.es/gazeta/dias/1810/06/10/pdfs/GMD-1810-161.pdf#page=2","Abrir facsímil")</f>
        <v>Abrir facsímil</v>
      </c>
      <c r="K6516" s="3" t="s">
        <v>76</v>
      </c>
    </row>
    <row r="6517" spans="1:11" ht="42" customHeight="1">
      <c r="A6517" s="2" t="s">
        <v>16470</v>
      </c>
      <c r="B6517" s="2" t="s">
        <v>16471</v>
      </c>
      <c r="C6517" s="2" t="s">
        <v>26</v>
      </c>
      <c r="D6517" s="2" t="s">
        <v>18</v>
      </c>
      <c r="E6517" s="4">
        <v>-32834</v>
      </c>
      <c r="F6517" s="3" t="s">
        <v>2746</v>
      </c>
      <c r="G6517" s="3" t="s">
        <v>849</v>
      </c>
      <c r="H6517" s="2" t="s">
        <v>74</v>
      </c>
      <c r="I6517" s="2" t="s">
        <v>16472</v>
      </c>
      <c r="J6517" s="3" t="str">
        <f>HYPERLINK("https://www.boe.es/gazeta/dias/1810/02/06/pdfs/GMD-1810-37.pdf#page=1","Abrir facsímil")</f>
        <v>Abrir facsímil</v>
      </c>
      <c r="K6517" s="3" t="s">
        <v>76</v>
      </c>
    </row>
    <row r="6518" spans="1:11" ht="42" customHeight="1">
      <c r="A6518" s="2" t="s">
        <v>16473</v>
      </c>
      <c r="B6518" s="2" t="s">
        <v>16474</v>
      </c>
      <c r="C6518" s="2" t="s">
        <v>88</v>
      </c>
      <c r="D6518" s="2" t="s">
        <v>27</v>
      </c>
      <c r="E6518" s="4">
        <v>-32700</v>
      </c>
      <c r="F6518" s="3" t="s">
        <v>89</v>
      </c>
      <c r="G6518" s="3" t="s">
        <v>29</v>
      </c>
      <c r="H6518" s="2" t="s">
        <v>74</v>
      </c>
      <c r="I6518" s="2" t="s">
        <v>16475</v>
      </c>
      <c r="J6518" s="3" t="str">
        <f>HYPERLINK("https://www.boe.es/gazeta/dias/1810/06/20/pdfs/GMD-1810-171.pdf#page=3","Abrir facsímil")</f>
        <v>Abrir facsímil</v>
      </c>
      <c r="K6518" s="3" t="s">
        <v>76</v>
      </c>
    </row>
    <row r="6519" spans="1:11" ht="42" customHeight="1">
      <c r="A6519" s="2" t="s">
        <v>16476</v>
      </c>
      <c r="B6519" s="2" t="s">
        <v>16477</v>
      </c>
      <c r="C6519" s="2" t="s">
        <v>225</v>
      </c>
      <c r="D6519" s="2" t="s">
        <v>27</v>
      </c>
      <c r="E6519" s="4">
        <v>-32509</v>
      </c>
      <c r="F6519" s="3" t="s">
        <v>212</v>
      </c>
      <c r="G6519" s="3" t="s">
        <v>213</v>
      </c>
      <c r="H6519" s="2" t="s">
        <v>74</v>
      </c>
      <c r="I6519" s="2" t="s">
        <v>16478</v>
      </c>
      <c r="J6519" s="3" t="str">
        <f>HYPERLINK("https://www.boe.es/gazeta/dias/1810/12/28/pdfs/GMD-1810-362.pdf#page=4","Abrir facsímil")</f>
        <v>Abrir facsímil</v>
      </c>
      <c r="K6519" s="3" t="s">
        <v>76</v>
      </c>
    </row>
    <row r="6520" spans="1:11" ht="42" customHeight="1">
      <c r="A6520" s="2" t="s">
        <v>16479</v>
      </c>
      <c r="B6520" s="2" t="s">
        <v>16480</v>
      </c>
      <c r="C6520" s="2" t="s">
        <v>88</v>
      </c>
      <c r="D6520" s="2" t="s">
        <v>27</v>
      </c>
      <c r="E6520" s="4">
        <v>-32550</v>
      </c>
      <c r="F6520" s="3" t="s">
        <v>1472</v>
      </c>
      <c r="G6520" s="3" t="s">
        <v>1473</v>
      </c>
      <c r="H6520" s="2" t="s">
        <v>74</v>
      </c>
      <c r="I6520" s="2" t="s">
        <v>16481</v>
      </c>
      <c r="J6520" s="3" t="str">
        <f>HYPERLINK("https://www.boe.es/gazeta/dias/1810/11/17/pdfs/GEI-1810-96.pdf#page=8","Abrir facsímil")</f>
        <v>Abrir facsímil</v>
      </c>
      <c r="K6520" s="3" t="s">
        <v>76</v>
      </c>
    </row>
    <row r="6521" spans="1:11" ht="42" customHeight="1">
      <c r="A6521" s="2" t="s">
        <v>16482</v>
      </c>
      <c r="B6521" s="2" t="s">
        <v>16482</v>
      </c>
      <c r="C6521" s="2" t="s">
        <v>88</v>
      </c>
      <c r="D6521" s="2" t="s">
        <v>117</v>
      </c>
      <c r="E6521" s="4">
        <v>-32800</v>
      </c>
      <c r="F6521" s="3" t="s">
        <v>388</v>
      </c>
      <c r="G6521" s="3" t="s">
        <v>90</v>
      </c>
      <c r="H6521" s="2" t="s">
        <v>74</v>
      </c>
      <c r="I6521" s="2" t="s">
        <v>16483</v>
      </c>
      <c r="J6521" s="3" t="str">
        <f>HYPERLINK("https://www.boe.es/gazeta/dias/1810/03/12/pdfs/GMD-1810-71.pdf#page=2","Abrir facsímil")</f>
        <v>Abrir facsímil</v>
      </c>
      <c r="K6521" s="3" t="s">
        <v>76</v>
      </c>
    </row>
    <row r="6522" spans="1:11" ht="42" customHeight="1">
      <c r="A6522" s="2" t="s">
        <v>16484</v>
      </c>
      <c r="B6522" s="2" t="s">
        <v>16485</v>
      </c>
      <c r="C6522" s="2" t="s">
        <v>26</v>
      </c>
      <c r="D6522" s="2" t="s">
        <v>27</v>
      </c>
      <c r="E6522" s="4">
        <v>-32799</v>
      </c>
      <c r="F6522" s="3" t="s">
        <v>2252</v>
      </c>
      <c r="G6522" s="3" t="s">
        <v>2253</v>
      </c>
      <c r="H6522" s="2" t="s">
        <v>74</v>
      </c>
      <c r="I6522" s="2" t="s">
        <v>16486</v>
      </c>
      <c r="J6522" s="3" t="str">
        <f>HYPERLINK("https://www.boe.es/gazeta/dias/1810/03/13/pdfs/GMD-1810-72.pdf#page=4","Abrir facsímil")</f>
        <v>Abrir facsímil</v>
      </c>
      <c r="K6522" s="3" t="s">
        <v>76</v>
      </c>
    </row>
    <row r="6523" spans="1:11" ht="42" customHeight="1">
      <c r="A6523" s="2" t="s">
        <v>16487</v>
      </c>
      <c r="B6523" s="2" t="s">
        <v>16488</v>
      </c>
      <c r="C6523" s="2" t="s">
        <v>26</v>
      </c>
      <c r="D6523" s="2" t="s">
        <v>39</v>
      </c>
      <c r="E6523" s="4">
        <v>-32702</v>
      </c>
      <c r="F6523" s="3" t="s">
        <v>179</v>
      </c>
      <c r="G6523" s="3" t="s">
        <v>213</v>
      </c>
      <c r="H6523" s="2" t="s">
        <v>74</v>
      </c>
      <c r="I6523" s="2" t="s">
        <v>16489</v>
      </c>
      <c r="J6523" s="3" t="str">
        <f>HYPERLINK("https://www.boe.es/gazeta/dias/1810/06/18/pdfs/GMD-C-1810-169.pdf#page=4","Abrir facsímil")</f>
        <v>Abrir facsímil</v>
      </c>
      <c r="K6523" s="3" t="s">
        <v>76</v>
      </c>
    </row>
    <row r="6524" spans="1:11" ht="42" customHeight="1">
      <c r="A6524" s="2" t="s">
        <v>16490</v>
      </c>
      <c r="B6524" s="2" t="s">
        <v>16491</v>
      </c>
      <c r="C6524" s="2" t="s">
        <v>26</v>
      </c>
      <c r="D6524" s="2" t="s">
        <v>27</v>
      </c>
      <c r="E6524" s="4">
        <v>-32526</v>
      </c>
      <c r="F6524" s="3" t="s">
        <v>530</v>
      </c>
      <c r="G6524" s="3" t="s">
        <v>531</v>
      </c>
      <c r="H6524" s="2" t="s">
        <v>74</v>
      </c>
      <c r="I6524" s="2" t="s">
        <v>16492</v>
      </c>
      <c r="J6524" s="3" t="str">
        <f>HYPERLINK("https://www.boe.es/gazeta/dias/1810/12/11/pdfs/GEI-1810-106.pdf#page=2","Abrir facsímil")</f>
        <v>Abrir facsímil</v>
      </c>
      <c r="K6524" s="3" t="s">
        <v>76</v>
      </c>
    </row>
    <row r="6525" spans="1:11" ht="42" customHeight="1">
      <c r="A6525" s="2" t="s">
        <v>16493</v>
      </c>
      <c r="B6525" s="2" t="s">
        <v>16494</v>
      </c>
      <c r="C6525" s="2" t="s">
        <v>26</v>
      </c>
      <c r="D6525" s="2" t="s">
        <v>27</v>
      </c>
      <c r="E6525" s="4">
        <v>-32727</v>
      </c>
      <c r="F6525" s="3" t="s">
        <v>1611</v>
      </c>
      <c r="G6525" s="3" t="s">
        <v>227</v>
      </c>
      <c r="H6525" s="2" t="s">
        <v>74</v>
      </c>
      <c r="I6525" s="2" t="s">
        <v>16495</v>
      </c>
      <c r="J6525" s="3" t="str">
        <f>HYPERLINK("https://www.boe.es/gazeta/dias/1810/05/24/pdfs/GMD-1810-144.pdf#page=4","Abrir facsímil")</f>
        <v>Abrir facsímil</v>
      </c>
      <c r="K6525" s="3" t="s">
        <v>76</v>
      </c>
    </row>
    <row r="6526" spans="1:11" ht="42" customHeight="1">
      <c r="A6526" s="2" t="s">
        <v>16496</v>
      </c>
      <c r="B6526" s="2" t="s">
        <v>16497</v>
      </c>
      <c r="C6526" s="2" t="s">
        <v>17</v>
      </c>
      <c r="D6526" s="2" t="s">
        <v>27</v>
      </c>
      <c r="E6526" s="4">
        <v>-32703</v>
      </c>
      <c r="F6526" s="3" t="s">
        <v>1213</v>
      </c>
      <c r="G6526" s="3" t="s">
        <v>1214</v>
      </c>
      <c r="H6526" s="2" t="s">
        <v>74</v>
      </c>
      <c r="I6526" s="2" t="s">
        <v>16498</v>
      </c>
      <c r="J6526" s="3" t="str">
        <f>HYPERLINK("https://www.boe.es/gazeta/dias/1810/06/17/pdfs/GMD-1810-168.pdf#page=4","Abrir facsímil")</f>
        <v>Abrir facsímil</v>
      </c>
      <c r="K6526" s="3" t="s">
        <v>76</v>
      </c>
    </row>
    <row r="6527" spans="1:11" ht="42" customHeight="1">
      <c r="A6527" s="2" t="s">
        <v>16499</v>
      </c>
      <c r="B6527" s="2" t="s">
        <v>16500</v>
      </c>
      <c r="C6527" s="2" t="s">
        <v>88</v>
      </c>
      <c r="D6527" s="2" t="s">
        <v>27</v>
      </c>
      <c r="E6527" s="4">
        <v>-32710</v>
      </c>
      <c r="F6527" s="3" t="s">
        <v>126</v>
      </c>
      <c r="G6527" s="3" t="s">
        <v>35</v>
      </c>
      <c r="H6527" s="2" t="s">
        <v>74</v>
      </c>
      <c r="I6527" s="2" t="s">
        <v>16501</v>
      </c>
      <c r="J6527" s="3" t="str">
        <f>HYPERLINK("https://www.boe.es/gazeta/dias/1810/06/10/pdfs/GMD-1810-161.pdf#page=2","Abrir facsímil")</f>
        <v>Abrir facsímil</v>
      </c>
      <c r="K6527" s="3" t="s">
        <v>76</v>
      </c>
    </row>
    <row r="6528" spans="1:11" ht="42" customHeight="1">
      <c r="A6528" s="2" t="s">
        <v>16499</v>
      </c>
      <c r="B6528" s="2" t="s">
        <v>16500</v>
      </c>
      <c r="C6528" s="2" t="s">
        <v>26</v>
      </c>
      <c r="D6528" s="2" t="s">
        <v>27</v>
      </c>
      <c r="E6528" s="4">
        <v>-32647</v>
      </c>
      <c r="F6528" s="3" t="s">
        <v>118</v>
      </c>
      <c r="G6528" s="3" t="s">
        <v>119</v>
      </c>
      <c r="H6528" s="2" t="s">
        <v>74</v>
      </c>
      <c r="I6528" s="2" t="s">
        <v>16502</v>
      </c>
      <c r="J6528" s="3" t="str">
        <f>HYPERLINK("https://www.boe.es/gazeta/dias/1810/08/12/pdfs/GMD-1810-224.pdf#page=3","Abrir facsímil")</f>
        <v>Abrir facsímil</v>
      </c>
      <c r="K6528" s="3" t="s">
        <v>76</v>
      </c>
    </row>
    <row r="6529" spans="1:11" ht="42" customHeight="1">
      <c r="A6529" s="2" t="s">
        <v>16503</v>
      </c>
      <c r="B6529" s="2" t="s">
        <v>16504</v>
      </c>
      <c r="C6529" s="2" t="s">
        <v>26</v>
      </c>
      <c r="D6529" s="2" t="s">
        <v>27</v>
      </c>
      <c r="E6529" s="4">
        <v>-32569</v>
      </c>
      <c r="F6529" s="3" t="s">
        <v>421</v>
      </c>
      <c r="G6529" s="3" t="s">
        <v>20</v>
      </c>
      <c r="H6529" s="2" t="s">
        <v>74</v>
      </c>
      <c r="I6529" s="2" t="s">
        <v>16505</v>
      </c>
      <c r="J6529" s="3" t="str">
        <f>HYPERLINK("https://www.boe.es/gazeta/dias/1810/10/29/pdfs/GMD-1810-302.pdf#page=4","Abrir facsímil")</f>
        <v>Abrir facsímil</v>
      </c>
      <c r="K6529" s="3" t="s">
        <v>76</v>
      </c>
    </row>
    <row r="6530" spans="1:11" ht="42" customHeight="1">
      <c r="A6530" s="2" t="s">
        <v>16506</v>
      </c>
      <c r="B6530" s="2" t="s">
        <v>16507</v>
      </c>
      <c r="C6530" s="2" t="s">
        <v>26</v>
      </c>
      <c r="D6530" s="2" t="s">
        <v>27</v>
      </c>
      <c r="E6530" s="4">
        <v>-32647</v>
      </c>
      <c r="F6530" s="3" t="s">
        <v>118</v>
      </c>
      <c r="G6530" s="3" t="s">
        <v>140</v>
      </c>
      <c r="H6530" s="2" t="s">
        <v>74</v>
      </c>
      <c r="I6530" s="2" t="s">
        <v>16508</v>
      </c>
      <c r="J6530" s="3" t="str">
        <f>HYPERLINK("https://www.boe.es/gazeta/dias/1810/08/12/pdfs/GMD-1810-224.pdf#page=2","Abrir facsímil")</f>
        <v>Abrir facsímil</v>
      </c>
      <c r="K6530" s="3" t="s">
        <v>76</v>
      </c>
    </row>
    <row r="6531" spans="1:11" ht="42" customHeight="1">
      <c r="A6531" s="2" t="s">
        <v>16509</v>
      </c>
      <c r="B6531" s="2" t="s">
        <v>16510</v>
      </c>
      <c r="C6531" s="2" t="s">
        <v>26</v>
      </c>
      <c r="D6531" s="2" t="s">
        <v>27</v>
      </c>
      <c r="E6531" s="4">
        <v>-32537</v>
      </c>
      <c r="F6531" s="3" t="s">
        <v>1091</v>
      </c>
      <c r="G6531" s="3" t="s">
        <v>20</v>
      </c>
      <c r="H6531" s="2" t="s">
        <v>74</v>
      </c>
      <c r="I6531" s="2" t="s">
        <v>16511</v>
      </c>
      <c r="J6531" s="3" t="str">
        <f>HYPERLINK("https://www.boe.es/gazeta/dias/1810/11/30/pdfs/GMD-1810-334.pdf#page=4","Abrir facsímil")</f>
        <v>Abrir facsímil</v>
      </c>
      <c r="K6531" s="3" t="s">
        <v>76</v>
      </c>
    </row>
    <row r="6532" spans="1:11" ht="42" customHeight="1">
      <c r="A6532" s="2" t="s">
        <v>16512</v>
      </c>
      <c r="B6532" s="2" t="s">
        <v>16513</v>
      </c>
      <c r="C6532" s="2" t="s">
        <v>26</v>
      </c>
      <c r="D6532" s="2" t="s">
        <v>39</v>
      </c>
      <c r="E6532" s="4">
        <v>-32687</v>
      </c>
      <c r="F6532" s="3" t="s">
        <v>304</v>
      </c>
      <c r="G6532" s="3" t="s">
        <v>3237</v>
      </c>
      <c r="H6532" s="2" t="s">
        <v>74</v>
      </c>
      <c r="I6532" s="2" t="s">
        <v>16514</v>
      </c>
      <c r="J6532" s="3" t="str">
        <f>HYPERLINK("https://www.boe.es/gazeta/dias/1810/07/03/pdfs/GMD-C-1810-184.pdf#page=4","Abrir facsímil")</f>
        <v>Abrir facsímil</v>
      </c>
      <c r="K6532" s="3" t="s">
        <v>76</v>
      </c>
    </row>
    <row r="6533" spans="1:11" ht="42" customHeight="1">
      <c r="A6533" s="2" t="s">
        <v>16515</v>
      </c>
      <c r="B6533" s="2" t="s">
        <v>16515</v>
      </c>
      <c r="C6533" s="2" t="s">
        <v>26</v>
      </c>
      <c r="D6533" s="2" t="s">
        <v>18</v>
      </c>
      <c r="E6533" s="4">
        <v>-32663</v>
      </c>
      <c r="F6533" s="3" t="s">
        <v>1615</v>
      </c>
      <c r="G6533" s="3" t="s">
        <v>465</v>
      </c>
      <c r="H6533" s="2" t="s">
        <v>74</v>
      </c>
      <c r="I6533" s="2" t="s">
        <v>16516</v>
      </c>
      <c r="J6533" s="3" t="str">
        <f>HYPERLINK("https://www.boe.es/gazeta/dias/1810/07/27/pdfs/GMD-1810-208.pdf#page=4","Abrir facsímil")</f>
        <v>Abrir facsímil</v>
      </c>
      <c r="K6533" s="3" t="s">
        <v>76</v>
      </c>
    </row>
    <row r="6534" spans="1:11" ht="42" customHeight="1">
      <c r="A6534" s="2" t="s">
        <v>16517</v>
      </c>
      <c r="B6534" s="2" t="s">
        <v>16517</v>
      </c>
      <c r="C6534" s="2" t="s">
        <v>88</v>
      </c>
      <c r="D6534" s="2" t="s">
        <v>117</v>
      </c>
      <c r="E6534" s="4">
        <v>-32617</v>
      </c>
      <c r="F6534" s="3" t="s">
        <v>3861</v>
      </c>
      <c r="G6534" s="3" t="s">
        <v>140</v>
      </c>
      <c r="H6534" s="2" t="s">
        <v>74</v>
      </c>
      <c r="I6534" s="2" t="s">
        <v>16518</v>
      </c>
      <c r="J6534" s="3" t="str">
        <f>HYPERLINK("https://www.boe.es/gazeta/dias/1810/09/11/pdfs/GMD-1810-254.pdf#page=1","Abrir facsímil")</f>
        <v>Abrir facsímil</v>
      </c>
      <c r="K6534" s="3" t="s">
        <v>76</v>
      </c>
    </row>
    <row r="6535" spans="1:11" ht="42" customHeight="1">
      <c r="A6535" s="2" t="s">
        <v>16519</v>
      </c>
      <c r="B6535" s="2" t="s">
        <v>16520</v>
      </c>
      <c r="C6535" s="2" t="s">
        <v>26</v>
      </c>
      <c r="D6535" s="2" t="s">
        <v>18</v>
      </c>
      <c r="E6535" s="4">
        <v>-32601</v>
      </c>
      <c r="F6535" s="3" t="s">
        <v>392</v>
      </c>
      <c r="G6535" s="3" t="s">
        <v>35</v>
      </c>
      <c r="H6535" s="2" t="s">
        <v>74</v>
      </c>
      <c r="I6535" s="2" t="s">
        <v>16521</v>
      </c>
      <c r="J6535" s="3" t="str">
        <f>HYPERLINK("https://www.boe.es/gazeta/dias/1810/09/27/pdfs/GEI-1810-74E.pdf#page=2","Abrir facsímil")</f>
        <v>Abrir facsímil</v>
      </c>
      <c r="K6535" s="3" t="s">
        <v>76</v>
      </c>
    </row>
    <row r="6536" spans="1:11" ht="42" customHeight="1">
      <c r="A6536" s="2" t="s">
        <v>16522</v>
      </c>
      <c r="B6536" s="2" t="s">
        <v>16523</v>
      </c>
      <c r="C6536" s="2" t="s">
        <v>88</v>
      </c>
      <c r="D6536" s="2" t="s">
        <v>27</v>
      </c>
      <c r="E6536" s="4">
        <v>-32517</v>
      </c>
      <c r="F6536" s="3" t="s">
        <v>566</v>
      </c>
      <c r="G6536" s="3" t="s">
        <v>762</v>
      </c>
      <c r="H6536" s="2" t="s">
        <v>74</v>
      </c>
      <c r="I6536" s="2" t="s">
        <v>16524</v>
      </c>
      <c r="J6536" s="3" t="str">
        <f>HYPERLINK("https://www.boe.es/gazeta/dias/1810/12/20/pdfs/GEI-1810-110.pdf#page=8","Abrir facsímil")</f>
        <v>Abrir facsímil</v>
      </c>
      <c r="K6536" s="3" t="s">
        <v>76</v>
      </c>
    </row>
    <row r="6537" spans="1:11" ht="42" customHeight="1">
      <c r="A6537" s="2" t="s">
        <v>16525</v>
      </c>
      <c r="B6537" s="2" t="s">
        <v>16525</v>
      </c>
      <c r="C6537" s="2" t="s">
        <v>88</v>
      </c>
      <c r="D6537" s="2" t="s">
        <v>27</v>
      </c>
      <c r="E6537" s="4">
        <v>-32584</v>
      </c>
      <c r="F6537" s="3" t="s">
        <v>1560</v>
      </c>
      <c r="G6537" s="3" t="s">
        <v>971</v>
      </c>
      <c r="H6537" s="2" t="s">
        <v>74</v>
      </c>
      <c r="I6537" s="2" t="s">
        <v>16526</v>
      </c>
      <c r="J6537" s="3" t="str">
        <f>HYPERLINK("https://www.boe.es/gazeta/dias/1810/10/14/pdfs/GMD-1810-287.pdf#page=3","Abrir facsímil")</f>
        <v>Abrir facsímil</v>
      </c>
      <c r="K6537" s="3" t="s">
        <v>76</v>
      </c>
    </row>
    <row r="6538" spans="1:11" ht="42" customHeight="1">
      <c r="A6538" s="2" t="s">
        <v>16527</v>
      </c>
      <c r="B6538" s="2" t="s">
        <v>16528</v>
      </c>
      <c r="C6538" s="2" t="s">
        <v>26</v>
      </c>
      <c r="D6538" s="2" t="s">
        <v>27</v>
      </c>
      <c r="E6538" s="4">
        <v>-32649</v>
      </c>
      <c r="F6538" s="3" t="s">
        <v>1988</v>
      </c>
      <c r="G6538" s="3" t="s">
        <v>636</v>
      </c>
      <c r="H6538" s="2" t="s">
        <v>74</v>
      </c>
      <c r="I6538" s="2" t="s">
        <v>16529</v>
      </c>
      <c r="J6538" s="3" t="str">
        <f>HYPERLINK("https://www.boe.es/gazeta/dias/1810/08/10/pdfs/GMD-1810-222.pdf#page=1","Abrir facsímil")</f>
        <v>Abrir facsímil</v>
      </c>
      <c r="K6538" s="3" t="s">
        <v>76</v>
      </c>
    </row>
    <row r="6539" spans="1:11" ht="42" customHeight="1">
      <c r="A6539" s="2" t="s">
        <v>16530</v>
      </c>
      <c r="B6539" s="2" t="s">
        <v>16531</v>
      </c>
      <c r="C6539" s="2" t="s">
        <v>26</v>
      </c>
      <c r="D6539" s="2" t="s">
        <v>27</v>
      </c>
      <c r="E6539" s="4">
        <v>-32654</v>
      </c>
      <c r="F6539" s="3" t="s">
        <v>1226</v>
      </c>
      <c r="G6539" s="3" t="s">
        <v>732</v>
      </c>
      <c r="H6539" s="2" t="s">
        <v>74</v>
      </c>
      <c r="I6539" s="2" t="s">
        <v>16532</v>
      </c>
      <c r="J6539" s="3" t="str">
        <f>HYPERLINK("https://www.boe.es/gazeta/dias/1810/08/05/pdfs/GMD-1810-217.pdf#page=3","Abrir facsímil")</f>
        <v>Abrir facsímil</v>
      </c>
      <c r="K6539" s="3" t="s">
        <v>76</v>
      </c>
    </row>
    <row r="6540" spans="1:11" ht="42" customHeight="1">
      <c r="A6540" s="2" t="s">
        <v>16533</v>
      </c>
      <c r="B6540" s="2" t="s">
        <v>16534</v>
      </c>
      <c r="C6540" s="2" t="s">
        <v>33</v>
      </c>
      <c r="D6540" s="2" t="s">
        <v>27</v>
      </c>
      <c r="E6540" s="4">
        <v>-32591</v>
      </c>
      <c r="F6540" s="3" t="s">
        <v>377</v>
      </c>
      <c r="G6540" s="3" t="s">
        <v>136</v>
      </c>
      <c r="H6540" s="2" t="s">
        <v>74</v>
      </c>
      <c r="I6540" s="2" t="s">
        <v>16535</v>
      </c>
      <c r="J6540" s="3" t="str">
        <f>HYPERLINK("https://www.boe.es/gazeta/dias/1810/10/07/pdfs/GMD-1810-280.pdf#page=3","Abrir facsímil")</f>
        <v>Abrir facsímil</v>
      </c>
      <c r="K6540" s="3" t="s">
        <v>76</v>
      </c>
    </row>
    <row r="6541" spans="1:11" ht="42" customHeight="1">
      <c r="A6541" s="2" t="s">
        <v>16536</v>
      </c>
      <c r="B6541" s="2" t="s">
        <v>16537</v>
      </c>
      <c r="C6541" s="2" t="s">
        <v>26</v>
      </c>
      <c r="D6541" s="2" t="s">
        <v>27</v>
      </c>
      <c r="E6541" s="4">
        <v>-32654</v>
      </c>
      <c r="F6541" s="3" t="s">
        <v>1226</v>
      </c>
      <c r="G6541" s="3" t="s">
        <v>732</v>
      </c>
      <c r="H6541" s="2" t="s">
        <v>74</v>
      </c>
      <c r="I6541" s="2" t="s">
        <v>16538</v>
      </c>
      <c r="J6541" s="3" t="str">
        <f>HYPERLINK("https://www.boe.es/gazeta/dias/1810/08/05/pdfs/GMD-1810-217.pdf#page=3","Abrir facsímil")</f>
        <v>Abrir facsímil</v>
      </c>
      <c r="K6541" s="3" t="s">
        <v>76</v>
      </c>
    </row>
    <row r="6542" spans="1:11" ht="42" customHeight="1">
      <c r="A6542" s="2" t="s">
        <v>16539</v>
      </c>
      <c r="B6542" s="2" t="s">
        <v>16540</v>
      </c>
      <c r="C6542" s="2" t="s">
        <v>33</v>
      </c>
      <c r="D6542" s="2" t="s">
        <v>27</v>
      </c>
      <c r="E6542" s="4">
        <v>-32568</v>
      </c>
      <c r="F6542" s="3" t="s">
        <v>1233</v>
      </c>
      <c r="G6542" s="3" t="s">
        <v>140</v>
      </c>
      <c r="H6542" s="2" t="s">
        <v>74</v>
      </c>
      <c r="I6542" s="2" t="s">
        <v>16541</v>
      </c>
      <c r="J6542" s="3" t="str">
        <f>HYPERLINK("https://www.boe.es/gazeta/dias/1810/10/30/pdfs/GMD-1810-303.pdf#page=4","Abrir facsímil")</f>
        <v>Abrir facsímil</v>
      </c>
      <c r="K6542" s="3" t="s">
        <v>76</v>
      </c>
    </row>
    <row r="6543" spans="1:11" ht="42" customHeight="1">
      <c r="A6543" s="2" t="s">
        <v>16542</v>
      </c>
      <c r="B6543" s="2" t="s">
        <v>16543</v>
      </c>
      <c r="C6543" s="2" t="s">
        <v>26</v>
      </c>
      <c r="D6543" s="2" t="s">
        <v>27</v>
      </c>
      <c r="E6543" s="4">
        <v>-32647</v>
      </c>
      <c r="F6543" s="3" t="s">
        <v>118</v>
      </c>
      <c r="G6543" s="3" t="s">
        <v>119</v>
      </c>
      <c r="H6543" s="2" t="s">
        <v>74</v>
      </c>
      <c r="I6543" s="2" t="s">
        <v>16544</v>
      </c>
      <c r="J6543" s="3" t="str">
        <f>HYPERLINK("https://www.boe.es/gazeta/dias/1810/08/12/pdfs/GMD-1810-224.pdf#page=3","Abrir facsímil")</f>
        <v>Abrir facsímil</v>
      </c>
      <c r="K6543" s="3" t="s">
        <v>76</v>
      </c>
    </row>
    <row r="6544" spans="1:11" ht="42" customHeight="1">
      <c r="A6544" s="2" t="s">
        <v>16545</v>
      </c>
      <c r="B6544" s="2" t="s">
        <v>16546</v>
      </c>
      <c r="C6544" s="2" t="s">
        <v>88</v>
      </c>
      <c r="D6544" s="2" t="s">
        <v>27</v>
      </c>
      <c r="E6544" s="4">
        <v>-32716</v>
      </c>
      <c r="F6544" s="3" t="s">
        <v>624</v>
      </c>
      <c r="G6544" s="3" t="s">
        <v>140</v>
      </c>
      <c r="H6544" s="2" t="s">
        <v>74</v>
      </c>
      <c r="I6544" s="2" t="s">
        <v>16547</v>
      </c>
      <c r="J6544" s="3" t="str">
        <f>HYPERLINK("https://www.boe.es/gazeta/dias/1810/06/04/pdfs/GMD-1810-155.pdf#page=1","Abrir facsímil")</f>
        <v>Abrir facsímil</v>
      </c>
      <c r="K6544" s="3" t="s">
        <v>76</v>
      </c>
    </row>
    <row r="6545" spans="1:11" ht="42" customHeight="1">
      <c r="A6545" s="2" t="s">
        <v>16548</v>
      </c>
      <c r="B6545" s="2" t="s">
        <v>16548</v>
      </c>
      <c r="C6545" s="2" t="s">
        <v>26</v>
      </c>
      <c r="D6545" s="2" t="s">
        <v>27</v>
      </c>
      <c r="E6545" s="4">
        <v>-32563</v>
      </c>
      <c r="F6545" s="3" t="s">
        <v>535</v>
      </c>
      <c r="G6545" s="3" t="s">
        <v>131</v>
      </c>
      <c r="H6545" s="2" t="s">
        <v>74</v>
      </c>
      <c r="I6545" s="2" t="s">
        <v>16549</v>
      </c>
      <c r="J6545" s="3" t="str">
        <f>HYPERLINK("https://www.boe.es/gazeta/dias/1810/11/04/pdfs/GMD-1810-308.pdf#page=11","Abrir facsímil")</f>
        <v>Abrir facsímil</v>
      </c>
      <c r="K6545" s="3" t="s">
        <v>76</v>
      </c>
    </row>
    <row r="6546" spans="1:11" ht="42" customHeight="1">
      <c r="A6546" s="2" t="s">
        <v>16550</v>
      </c>
      <c r="B6546" s="2" t="s">
        <v>16551</v>
      </c>
      <c r="C6546" s="2" t="s">
        <v>26</v>
      </c>
      <c r="D6546" s="2" t="s">
        <v>18</v>
      </c>
      <c r="E6546" s="4">
        <v>-32601</v>
      </c>
      <c r="F6546" s="3" t="s">
        <v>392</v>
      </c>
      <c r="G6546" s="3" t="s">
        <v>35</v>
      </c>
      <c r="H6546" s="2" t="s">
        <v>74</v>
      </c>
      <c r="I6546" s="2" t="s">
        <v>16552</v>
      </c>
      <c r="J6546" s="3" t="str">
        <f>HYPERLINK("https://www.boe.es/gazeta/dias/1810/09/27/pdfs/GEI-1810-74E.pdf#page=2","Abrir facsímil")</f>
        <v>Abrir facsímil</v>
      </c>
      <c r="K6546" s="3" t="s">
        <v>76</v>
      </c>
    </row>
    <row r="6547" spans="1:11" ht="42" customHeight="1">
      <c r="A6547" s="2" t="s">
        <v>16553</v>
      </c>
      <c r="B6547" s="2" t="s">
        <v>16554</v>
      </c>
      <c r="C6547" s="2" t="s">
        <v>88</v>
      </c>
      <c r="D6547" s="2" t="s">
        <v>117</v>
      </c>
      <c r="E6547" s="4">
        <v>-32862</v>
      </c>
      <c r="F6547" s="3" t="s">
        <v>694</v>
      </c>
      <c r="G6547" s="3" t="s">
        <v>971</v>
      </c>
      <c r="H6547" s="2" t="s">
        <v>74</v>
      </c>
      <c r="I6547" s="2" t="s">
        <v>16555</v>
      </c>
      <c r="J6547" s="3" t="str">
        <f>HYPERLINK("https://www.boe.es/gazeta/dias/1810/01/09/pdfs/GGB-1810-4.pdf#page=5","Abrir facsímil")</f>
        <v>Abrir facsímil</v>
      </c>
      <c r="K6547" s="3" t="s">
        <v>76</v>
      </c>
    </row>
    <row r="6548" spans="1:11" ht="42" customHeight="1">
      <c r="A6548" s="2" t="s">
        <v>16556</v>
      </c>
      <c r="B6548" s="2" t="s">
        <v>16557</v>
      </c>
      <c r="C6548" s="2" t="s">
        <v>317</v>
      </c>
      <c r="D6548" s="2" t="s">
        <v>39</v>
      </c>
      <c r="E6548" s="4">
        <v>-32667</v>
      </c>
      <c r="F6548" s="3" t="s">
        <v>924</v>
      </c>
      <c r="G6548" s="3" t="s">
        <v>2281</v>
      </c>
      <c r="H6548" s="2" t="s">
        <v>74</v>
      </c>
      <c r="I6548" s="2" t="s">
        <v>16558</v>
      </c>
      <c r="J6548" s="3" t="str">
        <f>HYPERLINK("https://www.boe.es/gazeta/dias/1810/07/23/pdfs/GMD-C-1810-204.pdf#page=3","Abrir facsímil")</f>
        <v>Abrir facsímil</v>
      </c>
      <c r="K6548" s="3" t="s">
        <v>76</v>
      </c>
    </row>
    <row r="6549" spans="1:11" ht="42" customHeight="1">
      <c r="A6549" s="2" t="s">
        <v>16559</v>
      </c>
      <c r="B6549" s="2" t="s">
        <v>16560</v>
      </c>
      <c r="C6549" s="2" t="s">
        <v>88</v>
      </c>
      <c r="D6549" s="2" t="s">
        <v>27</v>
      </c>
      <c r="E6549" s="4">
        <v>-32517</v>
      </c>
      <c r="F6549" s="3" t="s">
        <v>566</v>
      </c>
      <c r="G6549" s="3" t="s">
        <v>762</v>
      </c>
      <c r="H6549" s="2" t="s">
        <v>74</v>
      </c>
      <c r="I6549" s="2" t="s">
        <v>16561</v>
      </c>
      <c r="J6549" s="3" t="str">
        <f>HYPERLINK("https://www.boe.es/gazeta/dias/1810/12/20/pdfs/GEI-1810-110.pdf#page=8","Abrir facsímil")</f>
        <v>Abrir facsímil</v>
      </c>
      <c r="K6549" s="3" t="s">
        <v>76</v>
      </c>
    </row>
    <row r="6550" spans="1:11" ht="42" customHeight="1">
      <c r="A6550" s="2" t="s">
        <v>16562</v>
      </c>
      <c r="B6550" s="2" t="s">
        <v>16563</v>
      </c>
      <c r="C6550" s="2" t="s">
        <v>88</v>
      </c>
      <c r="D6550" s="2" t="s">
        <v>27</v>
      </c>
      <c r="E6550" s="4">
        <v>-32536</v>
      </c>
      <c r="F6550" s="3" t="s">
        <v>9556</v>
      </c>
      <c r="G6550" s="3" t="s">
        <v>16564</v>
      </c>
      <c r="H6550" s="2" t="s">
        <v>74</v>
      </c>
      <c r="I6550" s="2" t="s">
        <v>16565</v>
      </c>
      <c r="J6550" s="3" t="str">
        <f>HYPERLINK("https://www.boe.es/gazeta/dias/1810/12/01/pdfs/GEI-1810-102.pdf#page=4","Abrir facsímil")</f>
        <v>Abrir facsímil</v>
      </c>
      <c r="K6550" s="3" t="s">
        <v>76</v>
      </c>
    </row>
    <row r="6551" spans="1:11" ht="42" customHeight="1">
      <c r="A6551" s="2" t="s">
        <v>16566</v>
      </c>
      <c r="B6551" s="2" t="s">
        <v>16567</v>
      </c>
      <c r="C6551" s="2" t="s">
        <v>33</v>
      </c>
      <c r="D6551" s="2" t="s">
        <v>27</v>
      </c>
      <c r="E6551" s="4">
        <v>-32710</v>
      </c>
      <c r="F6551" s="3" t="s">
        <v>126</v>
      </c>
      <c r="G6551" s="3" t="s">
        <v>184</v>
      </c>
      <c r="H6551" s="2" t="s">
        <v>74</v>
      </c>
      <c r="I6551" s="2" t="s">
        <v>16568</v>
      </c>
      <c r="J6551" s="3" t="str">
        <f>HYPERLINK("https://www.boe.es/gazeta/dias/1810/06/10/pdfs/GMD-1810-161.pdf#page=3","Abrir facsímil")</f>
        <v>Abrir facsímil</v>
      </c>
      <c r="K6551" s="3" t="s">
        <v>76</v>
      </c>
    </row>
    <row r="6552" spans="1:11" ht="42" customHeight="1">
      <c r="A6552" s="2" t="s">
        <v>16569</v>
      </c>
      <c r="B6552" s="2" t="s">
        <v>16570</v>
      </c>
      <c r="C6552" s="2" t="s">
        <v>26</v>
      </c>
      <c r="D6552" s="2" t="s">
        <v>18</v>
      </c>
      <c r="E6552" s="4">
        <v>-32829</v>
      </c>
      <c r="F6552" s="3" t="s">
        <v>1126</v>
      </c>
      <c r="G6552" s="3" t="s">
        <v>29</v>
      </c>
      <c r="H6552" s="2" t="s">
        <v>74</v>
      </c>
      <c r="I6552" s="2" t="s">
        <v>16571</v>
      </c>
      <c r="J6552" s="3" t="str">
        <f>HYPERLINK("https://www.boe.es/gazeta/dias/1810/02/11/pdfs/GMD-1810-42.pdf#page=2","Abrir facsímil")</f>
        <v>Abrir facsímil</v>
      </c>
      <c r="K6552" s="3" t="s">
        <v>76</v>
      </c>
    </row>
    <row r="6553" spans="1:11" ht="42" customHeight="1">
      <c r="A6553" s="2" t="s">
        <v>16572</v>
      </c>
      <c r="B6553" s="2" t="s">
        <v>16573</v>
      </c>
      <c r="C6553" s="2" t="s">
        <v>26</v>
      </c>
      <c r="D6553" s="2" t="s">
        <v>39</v>
      </c>
      <c r="E6553" s="4">
        <v>-32701</v>
      </c>
      <c r="F6553" s="3" t="s">
        <v>40</v>
      </c>
      <c r="G6553" s="3" t="s">
        <v>315</v>
      </c>
      <c r="H6553" s="2" t="s">
        <v>74</v>
      </c>
      <c r="I6553" s="2" t="s">
        <v>16574</v>
      </c>
      <c r="J6553" s="3" t="str">
        <f>HYPERLINK("https://www.boe.es/gazeta/dias/1810/06/19/pdfs/GMD-C-1810-170.pdf#page=2","Abrir facsímil")</f>
        <v>Abrir facsímil</v>
      </c>
      <c r="K6553" s="3" t="s">
        <v>76</v>
      </c>
    </row>
    <row r="6554" spans="1:11" ht="42" customHeight="1">
      <c r="A6554" s="2" t="s">
        <v>16575</v>
      </c>
      <c r="B6554" s="2" t="s">
        <v>16576</v>
      </c>
      <c r="C6554" s="2" t="s">
        <v>33</v>
      </c>
      <c r="D6554" s="2" t="s">
        <v>27</v>
      </c>
      <c r="E6554" s="4">
        <v>-32618</v>
      </c>
      <c r="F6554" s="3" t="s">
        <v>1501</v>
      </c>
      <c r="G6554" s="3" t="s">
        <v>20</v>
      </c>
      <c r="H6554" s="2" t="s">
        <v>74</v>
      </c>
      <c r="I6554" s="2" t="s">
        <v>16577</v>
      </c>
      <c r="J6554" s="3" t="str">
        <f>HYPERLINK("https://www.boe.es/gazeta/dias/1810/09/10/pdfs/GMD-1810-253.pdf#page=4","Abrir facsímil")</f>
        <v>Abrir facsímil</v>
      </c>
      <c r="K6554" s="3" t="s">
        <v>76</v>
      </c>
    </row>
    <row r="6555" spans="1:11" ht="42" customHeight="1">
      <c r="A6555" s="2" t="s">
        <v>16578</v>
      </c>
      <c r="B6555" s="2" t="s">
        <v>16579</v>
      </c>
      <c r="C6555" s="2" t="s">
        <v>88</v>
      </c>
      <c r="D6555" s="2" t="s">
        <v>27</v>
      </c>
      <c r="E6555" s="4">
        <v>-32756</v>
      </c>
      <c r="F6555" s="3" t="s">
        <v>203</v>
      </c>
      <c r="G6555" s="3" t="s">
        <v>180</v>
      </c>
      <c r="H6555" s="2" t="s">
        <v>74</v>
      </c>
      <c r="I6555" s="2" t="s">
        <v>16580</v>
      </c>
      <c r="J6555" s="3" t="str">
        <f>HYPERLINK("https://www.boe.es/gazeta/dias/1810/04/25/pdfs/GMD-1810-115.pdf#page=4","Abrir facsímil")</f>
        <v>Abrir facsímil</v>
      </c>
      <c r="K6555" s="3" t="s">
        <v>76</v>
      </c>
    </row>
    <row r="6556" spans="1:11" ht="42" customHeight="1">
      <c r="A6556" s="2" t="s">
        <v>16581</v>
      </c>
      <c r="B6556" s="2" t="s">
        <v>16582</v>
      </c>
      <c r="C6556" s="2" t="s">
        <v>88</v>
      </c>
      <c r="D6556" s="2" t="s">
        <v>27</v>
      </c>
      <c r="E6556" s="4">
        <v>-32763</v>
      </c>
      <c r="F6556" s="3" t="s">
        <v>1146</v>
      </c>
      <c r="G6556" s="3" t="s">
        <v>140</v>
      </c>
      <c r="H6556" s="2" t="s">
        <v>74</v>
      </c>
      <c r="I6556" s="2" t="s">
        <v>16583</v>
      </c>
      <c r="J6556" s="3" t="str">
        <f>HYPERLINK("https://www.boe.es/gazeta/dias/1810/04/18/pdfs/GMD-1810-108.pdf#page=3","Abrir facsímil")</f>
        <v>Abrir facsímil</v>
      </c>
      <c r="K6556" s="3" t="s">
        <v>76</v>
      </c>
    </row>
    <row r="6557" spans="1:11" ht="42" customHeight="1">
      <c r="A6557" s="2" t="s">
        <v>16584</v>
      </c>
      <c r="B6557" s="2" t="s">
        <v>16584</v>
      </c>
      <c r="C6557" s="2" t="s">
        <v>88</v>
      </c>
      <c r="D6557" s="2" t="s">
        <v>117</v>
      </c>
      <c r="E6557" s="4">
        <v>-32842</v>
      </c>
      <c r="F6557" s="3" t="s">
        <v>1291</v>
      </c>
      <c r="G6557" s="3" t="s">
        <v>1292</v>
      </c>
      <c r="H6557" s="2" t="s">
        <v>74</v>
      </c>
      <c r="I6557" s="2" t="s">
        <v>16585</v>
      </c>
      <c r="J6557" s="3" t="str">
        <f>HYPERLINK("https://www.boe.es/gazeta/dias/1810/01/29/pdfs/GMD-1810-29.pdf#page=3","Abrir facsímil")</f>
        <v>Abrir facsímil</v>
      </c>
      <c r="K6557" s="3" t="s">
        <v>76</v>
      </c>
    </row>
    <row r="6558" spans="1:11" ht="42" customHeight="1">
      <c r="A6558" s="2" t="s">
        <v>16584</v>
      </c>
      <c r="B6558" s="2" t="s">
        <v>16584</v>
      </c>
      <c r="C6558" s="2" t="s">
        <v>88</v>
      </c>
      <c r="D6558" s="2" t="s">
        <v>27</v>
      </c>
      <c r="E6558" s="4">
        <v>-32696</v>
      </c>
      <c r="F6558" s="3" t="s">
        <v>1863</v>
      </c>
      <c r="G6558" s="3" t="s">
        <v>701</v>
      </c>
      <c r="H6558" s="2" t="s">
        <v>74</v>
      </c>
      <c r="I6558" s="2" t="s">
        <v>16586</v>
      </c>
      <c r="J6558" s="3" t="str">
        <f>HYPERLINK("https://www.boe.es/gazeta/dias/1810/06/24/pdfs/GMD-1810-175.pdf#page=4","Abrir facsímil")</f>
        <v>Abrir facsímil</v>
      </c>
      <c r="K6558" s="3" t="s">
        <v>76</v>
      </c>
    </row>
    <row r="6559" spans="1:11" ht="42" customHeight="1">
      <c r="A6559" s="2" t="s">
        <v>16587</v>
      </c>
      <c r="B6559" s="2" t="s">
        <v>16588</v>
      </c>
      <c r="C6559" s="2" t="s">
        <v>88</v>
      </c>
      <c r="D6559" s="2" t="s">
        <v>27</v>
      </c>
      <c r="E6559" s="4">
        <v>-32763</v>
      </c>
      <c r="F6559" s="3" t="s">
        <v>1146</v>
      </c>
      <c r="G6559" s="3" t="s">
        <v>140</v>
      </c>
      <c r="H6559" s="2" t="s">
        <v>74</v>
      </c>
      <c r="I6559" s="2" t="s">
        <v>16589</v>
      </c>
      <c r="J6559" s="3" t="str">
        <f>HYPERLINK("https://www.boe.es/gazeta/dias/1810/04/18/pdfs/GMD-1810-108.pdf#page=3","Abrir facsímil")</f>
        <v>Abrir facsímil</v>
      </c>
      <c r="K6559" s="3" t="s">
        <v>76</v>
      </c>
    </row>
    <row r="6560" spans="1:11" ht="42" customHeight="1">
      <c r="A6560" s="2" t="s">
        <v>16590</v>
      </c>
      <c r="B6560" s="2" t="s">
        <v>16591</v>
      </c>
      <c r="C6560" s="2" t="s">
        <v>26</v>
      </c>
      <c r="D6560" s="2" t="s">
        <v>27</v>
      </c>
      <c r="E6560" s="4">
        <v>-32763</v>
      </c>
      <c r="F6560" s="3" t="s">
        <v>1146</v>
      </c>
      <c r="G6560" s="3" t="s">
        <v>20</v>
      </c>
      <c r="H6560" s="2" t="s">
        <v>74</v>
      </c>
      <c r="I6560" s="2" t="s">
        <v>16592</v>
      </c>
      <c r="J6560" s="3" t="str">
        <f>HYPERLINK("https://www.boe.es/gazeta/dias/1810/04/18/pdfs/GMD-1810-108.pdf#page=4","Abrir facsímil")</f>
        <v>Abrir facsímil</v>
      </c>
      <c r="K6560" s="3" t="s">
        <v>76</v>
      </c>
    </row>
    <row r="6561" spans="1:11" ht="42" customHeight="1">
      <c r="A6561" s="2" t="s">
        <v>16593</v>
      </c>
      <c r="B6561" s="2" t="s">
        <v>16594</v>
      </c>
      <c r="C6561" s="2" t="s">
        <v>26</v>
      </c>
      <c r="D6561" s="2" t="s">
        <v>27</v>
      </c>
      <c r="E6561" s="4">
        <v>-32575</v>
      </c>
      <c r="F6561" s="3" t="s">
        <v>135</v>
      </c>
      <c r="G6561" s="3" t="s">
        <v>7908</v>
      </c>
      <c r="H6561" s="2" t="s">
        <v>74</v>
      </c>
      <c r="I6561" s="2" t="s">
        <v>16595</v>
      </c>
      <c r="J6561" s="3" t="str">
        <f>HYPERLINK("https://www.boe.es/gazeta/dias/1810/10/23/pdfs/GEI-1810-85.pdf#page=7","Abrir facsímil")</f>
        <v>Abrir facsímil</v>
      </c>
      <c r="K6561" s="3" t="s">
        <v>76</v>
      </c>
    </row>
    <row r="6562" spans="1:11" ht="42" customHeight="1">
      <c r="A6562" s="2" t="s">
        <v>16596</v>
      </c>
      <c r="B6562" s="2" t="s">
        <v>16597</v>
      </c>
      <c r="C6562" s="2" t="s">
        <v>26</v>
      </c>
      <c r="D6562" s="2" t="s">
        <v>27</v>
      </c>
      <c r="E6562" s="4">
        <v>-32575</v>
      </c>
      <c r="F6562" s="3" t="s">
        <v>135</v>
      </c>
      <c r="G6562" s="3" t="s">
        <v>140</v>
      </c>
      <c r="H6562" s="2" t="s">
        <v>74</v>
      </c>
      <c r="I6562" s="2" t="s">
        <v>16598</v>
      </c>
      <c r="J6562" s="3" t="str">
        <f>HYPERLINK("https://www.boe.es/gazeta/dias/1810/10/23/pdfs/GEI-1810-85.pdf#page=10","Abrir facsímil")</f>
        <v>Abrir facsímil</v>
      </c>
      <c r="K6562" s="3" t="s">
        <v>76</v>
      </c>
    </row>
    <row r="6563" spans="1:11" ht="42" customHeight="1">
      <c r="A6563" s="2" t="s">
        <v>16599</v>
      </c>
      <c r="B6563" s="2" t="s">
        <v>16599</v>
      </c>
      <c r="C6563" s="2" t="s">
        <v>88</v>
      </c>
      <c r="D6563" s="2" t="s">
        <v>27</v>
      </c>
      <c r="E6563" s="4">
        <v>-32563</v>
      </c>
      <c r="F6563" s="3" t="s">
        <v>535</v>
      </c>
      <c r="G6563" s="3" t="s">
        <v>70</v>
      </c>
      <c r="H6563" s="2" t="s">
        <v>74</v>
      </c>
      <c r="I6563" s="2" t="s">
        <v>16600</v>
      </c>
      <c r="J6563" s="3" t="str">
        <f>HYPERLINK("https://www.boe.es/gazeta/dias/1810/11/04/pdfs/GMD-1810-308.pdf#page=2","Abrir facsímil")</f>
        <v>Abrir facsímil</v>
      </c>
      <c r="K6563" s="3" t="s">
        <v>76</v>
      </c>
    </row>
    <row r="6564" spans="1:11" ht="42" customHeight="1">
      <c r="A6564" s="2" t="s">
        <v>16601</v>
      </c>
      <c r="B6564" s="2" t="s">
        <v>16601</v>
      </c>
      <c r="C6564" s="2" t="s">
        <v>88</v>
      </c>
      <c r="D6564" s="2" t="s">
        <v>27</v>
      </c>
      <c r="E6564" s="4">
        <v>-32644</v>
      </c>
      <c r="F6564" s="3" t="s">
        <v>457</v>
      </c>
      <c r="G6564" s="3" t="s">
        <v>180</v>
      </c>
      <c r="H6564" s="2" t="s">
        <v>74</v>
      </c>
      <c r="I6564" s="2" t="s">
        <v>16602</v>
      </c>
      <c r="J6564" s="3" t="str">
        <f>HYPERLINK("https://www.boe.es/gazeta/dias/1810/08/15/pdfs/GMD-1810-227.pdf#page=3","Abrir facsímil")</f>
        <v>Abrir facsímil</v>
      </c>
      <c r="K6564" s="3" t="s">
        <v>76</v>
      </c>
    </row>
    <row r="6565" spans="1:11" ht="42" customHeight="1">
      <c r="A6565" s="2" t="s">
        <v>16601</v>
      </c>
      <c r="B6565" s="2" t="s">
        <v>16601</v>
      </c>
      <c r="C6565" s="2" t="s">
        <v>88</v>
      </c>
      <c r="D6565" s="2" t="s">
        <v>27</v>
      </c>
      <c r="E6565" s="4">
        <v>-32624</v>
      </c>
      <c r="F6565" s="3" t="s">
        <v>2838</v>
      </c>
      <c r="G6565" s="3" t="s">
        <v>70</v>
      </c>
      <c r="H6565" s="2" t="s">
        <v>74</v>
      </c>
      <c r="I6565" s="2" t="s">
        <v>16603</v>
      </c>
      <c r="J6565" s="3" t="str">
        <f>HYPERLINK("https://www.boe.es/gazeta/dias/1810/09/04/pdfs/GMD-1810-247.pdf#page=3","Abrir facsímil")</f>
        <v>Abrir facsímil</v>
      </c>
      <c r="K6565" s="3" t="s">
        <v>76</v>
      </c>
    </row>
    <row r="6566" spans="1:11" ht="42" customHeight="1">
      <c r="A6566" s="2" t="s">
        <v>16604</v>
      </c>
      <c r="B6566" s="2" t="s">
        <v>16605</v>
      </c>
      <c r="C6566" s="2" t="s">
        <v>26</v>
      </c>
      <c r="D6566" s="2" t="s">
        <v>27</v>
      </c>
      <c r="E6566" s="4">
        <v>-32729</v>
      </c>
      <c r="F6566" s="3" t="s">
        <v>174</v>
      </c>
      <c r="G6566" s="3" t="s">
        <v>175</v>
      </c>
      <c r="H6566" s="2" t="s">
        <v>74</v>
      </c>
      <c r="I6566" s="2" t="s">
        <v>16606</v>
      </c>
      <c r="J6566" s="3" t="str">
        <f>HYPERLINK("https://www.boe.es/gazeta/dias/1810/05/22/pdfs/GEI-1810-28.pdf#page=10","Abrir facsímil")</f>
        <v>Abrir facsímil</v>
      </c>
      <c r="K6566" s="3" t="s">
        <v>76</v>
      </c>
    </row>
    <row r="6567" spans="1:11" ht="42" customHeight="1">
      <c r="A6567" s="2" t="s">
        <v>16607</v>
      </c>
      <c r="B6567" s="2" t="s">
        <v>16608</v>
      </c>
      <c r="C6567" s="2" t="s">
        <v>225</v>
      </c>
      <c r="D6567" s="2" t="s">
        <v>27</v>
      </c>
      <c r="E6567" s="4">
        <v>-32867</v>
      </c>
      <c r="F6567" s="3" t="s">
        <v>3857</v>
      </c>
      <c r="G6567" s="3" t="s">
        <v>140</v>
      </c>
      <c r="H6567" s="2" t="s">
        <v>74</v>
      </c>
      <c r="I6567" s="2" t="s">
        <v>16609</v>
      </c>
      <c r="J6567" s="3" t="str">
        <f>HYPERLINK("https://www.boe.es/gazeta/dias/1810/01/04/pdfs/GMD-1810-4.pdf#page=2","Abrir facsímil")</f>
        <v>Abrir facsímil</v>
      </c>
      <c r="K6567" s="3" t="s">
        <v>76</v>
      </c>
    </row>
    <row r="6568" spans="1:11" ht="42" customHeight="1">
      <c r="A6568" s="2" t="s">
        <v>16610</v>
      </c>
      <c r="B6568" s="2" t="s">
        <v>16611</v>
      </c>
      <c r="C6568" s="2" t="s">
        <v>88</v>
      </c>
      <c r="D6568" s="2" t="s">
        <v>220</v>
      </c>
      <c r="E6568" s="4">
        <v>-32808</v>
      </c>
      <c r="F6568" s="3" t="s">
        <v>2034</v>
      </c>
      <c r="G6568" s="3" t="s">
        <v>2035</v>
      </c>
      <c r="H6568" s="2" t="s">
        <v>21</v>
      </c>
      <c r="I6568" s="2" t="s">
        <v>16612</v>
      </c>
      <c r="J6568" s="3" t="str">
        <f>HYPERLINK("https://www.boe.es/gazeta/dias/1810/03/04/pdfs/GMD-1810-63.pdf#page=1","Abrir facsímil")</f>
        <v>Abrir facsímil</v>
      </c>
      <c r="K6568" s="3" t="s">
        <v>23</v>
      </c>
    </row>
    <row r="6569" spans="1:11" ht="42" customHeight="1">
      <c r="A6569" s="2" t="s">
        <v>16613</v>
      </c>
      <c r="B6569" s="2" t="s">
        <v>16613</v>
      </c>
      <c r="C6569" s="2" t="s">
        <v>225</v>
      </c>
      <c r="D6569" s="2" t="s">
        <v>27</v>
      </c>
      <c r="E6569" s="4">
        <v>-32525</v>
      </c>
      <c r="F6569" s="3" t="s">
        <v>9404</v>
      </c>
      <c r="G6569" s="3" t="s">
        <v>20</v>
      </c>
      <c r="H6569" s="2" t="s">
        <v>74</v>
      </c>
      <c r="I6569" s="2" t="s">
        <v>16614</v>
      </c>
      <c r="J6569" s="3" t="str">
        <f>HYPERLINK("https://www.boe.es/gazeta/dias/1810/12/12/pdfs/GMD-1810-346.pdf#page=4","Abrir facsímil")</f>
        <v>Abrir facsímil</v>
      </c>
      <c r="K6569" s="3" t="s">
        <v>76</v>
      </c>
    </row>
    <row r="6570" spans="1:11" ht="42" customHeight="1">
      <c r="A6570" s="2" t="s">
        <v>16615</v>
      </c>
      <c r="B6570" s="2" t="s">
        <v>16616</v>
      </c>
      <c r="C6570" s="2" t="s">
        <v>26</v>
      </c>
      <c r="D6570" s="2" t="s">
        <v>27</v>
      </c>
      <c r="E6570" s="4">
        <v>-32526</v>
      </c>
      <c r="F6570" s="3" t="s">
        <v>530</v>
      </c>
      <c r="G6570" s="3" t="s">
        <v>531</v>
      </c>
      <c r="H6570" s="2" t="s">
        <v>74</v>
      </c>
      <c r="I6570" s="2" t="s">
        <v>16617</v>
      </c>
      <c r="J6570" s="3" t="str">
        <f>HYPERLINK("https://www.boe.es/gazeta/dias/1810/12/11/pdfs/GEI-1810-106.pdf#page=2","Abrir facsímil")</f>
        <v>Abrir facsímil</v>
      </c>
      <c r="K6570" s="3" t="s">
        <v>76</v>
      </c>
    </row>
    <row r="6571" spans="1:11" ht="42" customHeight="1">
      <c r="A6571" s="2" t="s">
        <v>16618</v>
      </c>
      <c r="B6571" s="2" t="s">
        <v>16619</v>
      </c>
      <c r="C6571" s="2" t="s">
        <v>225</v>
      </c>
      <c r="D6571" s="2" t="s">
        <v>27</v>
      </c>
      <c r="E6571" s="4">
        <v>-32763</v>
      </c>
      <c r="F6571" s="3" t="s">
        <v>1146</v>
      </c>
      <c r="G6571" s="3" t="s">
        <v>20</v>
      </c>
      <c r="H6571" s="2" t="s">
        <v>74</v>
      </c>
      <c r="I6571" s="2" t="s">
        <v>16620</v>
      </c>
      <c r="J6571" s="3" t="str">
        <f>HYPERLINK("https://www.boe.es/gazeta/dias/1810/04/18/pdfs/GMD-1810-108.pdf#page=4","Abrir facsímil")</f>
        <v>Abrir facsímil</v>
      </c>
      <c r="K6571" s="3" t="s">
        <v>76</v>
      </c>
    </row>
    <row r="6572" spans="1:11" ht="42" customHeight="1">
      <c r="A6572" s="2" t="s">
        <v>16621</v>
      </c>
      <c r="B6572" s="2" t="s">
        <v>16622</v>
      </c>
      <c r="C6572" s="2" t="s">
        <v>26</v>
      </c>
      <c r="D6572" s="2" t="s">
        <v>27</v>
      </c>
      <c r="E6572" s="4">
        <v>-32710</v>
      </c>
      <c r="F6572" s="3" t="s">
        <v>126</v>
      </c>
      <c r="G6572" s="3" t="s">
        <v>184</v>
      </c>
      <c r="H6572" s="2" t="s">
        <v>74</v>
      </c>
      <c r="I6572" s="2" t="s">
        <v>16623</v>
      </c>
      <c r="J6572" s="3" t="str">
        <f>HYPERLINK("https://www.boe.es/gazeta/dias/1810/06/10/pdfs/GMD-1810-161.pdf#page=3","Abrir facsímil")</f>
        <v>Abrir facsímil</v>
      </c>
      <c r="K6572" s="3" t="s">
        <v>76</v>
      </c>
    </row>
    <row r="6573" spans="1:11" ht="42" customHeight="1">
      <c r="A6573" s="2" t="s">
        <v>16624</v>
      </c>
      <c r="B6573" s="2" t="s">
        <v>16625</v>
      </c>
      <c r="C6573" s="2" t="s">
        <v>88</v>
      </c>
      <c r="D6573" s="2" t="s">
        <v>27</v>
      </c>
      <c r="E6573" s="4">
        <v>-32842</v>
      </c>
      <c r="F6573" s="3" t="s">
        <v>1291</v>
      </c>
      <c r="G6573" s="3" t="s">
        <v>70</v>
      </c>
      <c r="H6573" s="2" t="s">
        <v>74</v>
      </c>
      <c r="I6573" s="2" t="s">
        <v>16626</v>
      </c>
      <c r="J6573" s="3" t="str">
        <f>HYPERLINK("https://www.boe.es/gazeta/dias/1810/01/29/pdfs/GMD-1810-29.pdf#page=4","Abrir facsímil")</f>
        <v>Abrir facsímil</v>
      </c>
      <c r="K6573" s="3" t="s">
        <v>76</v>
      </c>
    </row>
    <row r="6574" spans="1:11" ht="42" customHeight="1">
      <c r="A6574" s="2" t="s">
        <v>16627</v>
      </c>
      <c r="B6574" s="2" t="s">
        <v>16628</v>
      </c>
      <c r="C6574" s="2" t="s">
        <v>88</v>
      </c>
      <c r="D6574" s="2" t="s">
        <v>27</v>
      </c>
      <c r="E6574" s="4">
        <v>-32587</v>
      </c>
      <c r="F6574" s="3" t="s">
        <v>103</v>
      </c>
      <c r="G6574" s="3" t="s">
        <v>140</v>
      </c>
      <c r="H6574" s="2" t="s">
        <v>74</v>
      </c>
      <c r="I6574" s="2" t="s">
        <v>16629</v>
      </c>
      <c r="J6574" s="3" t="str">
        <f>HYPERLINK("https://www.boe.es/gazeta/dias/1810/10/11/pdfs/GEI-1810-80.pdf#page=6","Abrir facsímil")</f>
        <v>Abrir facsímil</v>
      </c>
      <c r="K6574" s="3" t="s">
        <v>76</v>
      </c>
    </row>
    <row r="6575" spans="1:11" ht="42" customHeight="1">
      <c r="A6575" s="2" t="s">
        <v>16630</v>
      </c>
      <c r="B6575" s="2" t="s">
        <v>16631</v>
      </c>
      <c r="C6575" s="2" t="s">
        <v>26</v>
      </c>
      <c r="D6575" s="2" t="s">
        <v>39</v>
      </c>
      <c r="E6575" s="4">
        <v>-32687</v>
      </c>
      <c r="F6575" s="3" t="s">
        <v>304</v>
      </c>
      <c r="G6575" s="3" t="s">
        <v>213</v>
      </c>
      <c r="H6575" s="2" t="s">
        <v>74</v>
      </c>
      <c r="I6575" s="2" t="s">
        <v>16632</v>
      </c>
      <c r="J6575" s="3" t="str">
        <f>HYPERLINK("https://www.boe.es/gazeta/dias/1810/07/03/pdfs/GMD-C-1810-184.pdf#page=3","Abrir facsímil")</f>
        <v>Abrir facsímil</v>
      </c>
      <c r="K6575" s="3" t="s">
        <v>76</v>
      </c>
    </row>
    <row r="6576" spans="1:11" ht="42" customHeight="1">
      <c r="A6576" s="2" t="s">
        <v>16633</v>
      </c>
      <c r="B6576" s="2" t="s">
        <v>16633</v>
      </c>
      <c r="C6576" s="2" t="s">
        <v>88</v>
      </c>
      <c r="D6576" s="2" t="s">
        <v>27</v>
      </c>
      <c r="E6576" s="4">
        <v>-32599</v>
      </c>
      <c r="F6576" s="3" t="s">
        <v>1586</v>
      </c>
      <c r="G6576" s="3" t="s">
        <v>1638</v>
      </c>
      <c r="H6576" s="2" t="s">
        <v>74</v>
      </c>
      <c r="I6576" s="2" t="s">
        <v>16634</v>
      </c>
      <c r="J6576" s="3" t="str">
        <f>HYPERLINK("https://www.boe.es/gazeta/dias/1810/09/29/pdfs/GMD-1810-272.pdf#page=2","Abrir facsímil")</f>
        <v>Abrir facsímil</v>
      </c>
      <c r="K6576" s="3" t="s">
        <v>76</v>
      </c>
    </row>
    <row r="6577" spans="1:11" ht="42" customHeight="1">
      <c r="A6577" s="2" t="s">
        <v>16635</v>
      </c>
      <c r="B6577" s="2" t="s">
        <v>16635</v>
      </c>
      <c r="C6577" s="2" t="s">
        <v>33</v>
      </c>
      <c r="D6577" s="2" t="s">
        <v>220</v>
      </c>
      <c r="E6577" s="4">
        <v>-32663</v>
      </c>
      <c r="F6577" s="3" t="s">
        <v>1615</v>
      </c>
      <c r="G6577" s="3" t="s">
        <v>5032</v>
      </c>
      <c r="H6577" s="2" t="s">
        <v>74</v>
      </c>
      <c r="I6577" s="2" t="s">
        <v>16636</v>
      </c>
      <c r="J6577" s="3" t="str">
        <f>HYPERLINK("https://www.boe.es/gazeta/dias/1810/07/27/pdfs/GMD-1810-208.pdf#page=3","Abrir facsímil")</f>
        <v>Abrir facsímil</v>
      </c>
      <c r="K6577" s="3" t="s">
        <v>76</v>
      </c>
    </row>
    <row r="6578" spans="1:11" ht="42" customHeight="1">
      <c r="A6578" s="2" t="s">
        <v>16637</v>
      </c>
      <c r="B6578" s="2" t="s">
        <v>16638</v>
      </c>
      <c r="C6578" s="2" t="s">
        <v>17</v>
      </c>
      <c r="D6578" s="2" t="s">
        <v>18</v>
      </c>
      <c r="E6578" s="4">
        <v>-32661</v>
      </c>
      <c r="F6578" s="3" t="s">
        <v>157</v>
      </c>
      <c r="G6578" s="3" t="s">
        <v>158</v>
      </c>
      <c r="H6578" s="2" t="s">
        <v>74</v>
      </c>
      <c r="I6578" s="2" t="s">
        <v>16639</v>
      </c>
      <c r="J6578" s="3" t="str">
        <f>HYPERLINK("https://www.boe.es/gazeta/dias/1810/07/29/pdfs/GMD-C-1810-210.pdf#page=1","Abrir facsímil")</f>
        <v>Abrir facsímil</v>
      </c>
      <c r="K6578" s="3" t="s">
        <v>76</v>
      </c>
    </row>
    <row r="6579" spans="1:11" ht="42" customHeight="1">
      <c r="A6579" s="2" t="s">
        <v>16640</v>
      </c>
      <c r="B6579" s="2" t="s">
        <v>16640</v>
      </c>
      <c r="C6579" s="2" t="s">
        <v>26</v>
      </c>
      <c r="D6579" s="2" t="s">
        <v>39</v>
      </c>
      <c r="E6579" s="4">
        <v>-32687</v>
      </c>
      <c r="F6579" s="3" t="s">
        <v>304</v>
      </c>
      <c r="G6579" s="3" t="s">
        <v>140</v>
      </c>
      <c r="H6579" s="2" t="s">
        <v>74</v>
      </c>
      <c r="I6579" s="2" t="s">
        <v>16641</v>
      </c>
      <c r="J6579" s="3" t="str">
        <f>HYPERLINK("https://www.boe.es/gazeta/dias/1810/07/03/pdfs/GMD-C-1810-184.pdf#page=2","Abrir facsímil")</f>
        <v>Abrir facsímil</v>
      </c>
      <c r="K6579" s="3" t="s">
        <v>76</v>
      </c>
    </row>
    <row r="6580" spans="1:11" ht="42" customHeight="1">
      <c r="A6580" s="2" t="s">
        <v>16640</v>
      </c>
      <c r="B6580" s="2" t="s">
        <v>16640</v>
      </c>
      <c r="C6580" s="2" t="s">
        <v>26</v>
      </c>
      <c r="D6580" s="2" t="s">
        <v>27</v>
      </c>
      <c r="E6580" s="4">
        <v>-32641</v>
      </c>
      <c r="F6580" s="3" t="s">
        <v>10757</v>
      </c>
      <c r="G6580" s="3" t="s">
        <v>213</v>
      </c>
      <c r="H6580" s="2" t="s">
        <v>74</v>
      </c>
      <c r="I6580" s="2" t="s">
        <v>16642</v>
      </c>
      <c r="J6580" s="3" t="str">
        <f>HYPERLINK("https://www.boe.es/gazeta/dias/1810/08/18/pdfs/GMD-1810-230.pdf#page=2","Abrir facsímil")</f>
        <v>Abrir facsímil</v>
      </c>
      <c r="K6580" s="3" t="s">
        <v>76</v>
      </c>
    </row>
    <row r="6581" spans="1:11" ht="42" customHeight="1">
      <c r="A6581" s="2" t="s">
        <v>16643</v>
      </c>
      <c r="B6581" s="2" t="s">
        <v>16643</v>
      </c>
      <c r="C6581" s="2" t="s">
        <v>33</v>
      </c>
      <c r="D6581" s="2" t="s">
        <v>27</v>
      </c>
      <c r="E6581" s="4">
        <v>-32865</v>
      </c>
      <c r="F6581" s="3" t="s">
        <v>1377</v>
      </c>
      <c r="G6581" s="3" t="s">
        <v>29</v>
      </c>
      <c r="H6581" s="2" t="s">
        <v>74</v>
      </c>
      <c r="I6581" s="2" t="s">
        <v>16644</v>
      </c>
      <c r="J6581" s="3" t="str">
        <f>HYPERLINK("https://www.boe.es/gazeta/dias/1810/01/06/pdfs/GMD-1810-6.pdf#page=3","Abrir facsímil")</f>
        <v>Abrir facsímil</v>
      </c>
      <c r="K6581" s="3" t="s">
        <v>76</v>
      </c>
    </row>
    <row r="6582" spans="1:11" ht="42" customHeight="1">
      <c r="A6582" s="2" t="s">
        <v>16643</v>
      </c>
      <c r="B6582" s="2" t="s">
        <v>16643</v>
      </c>
      <c r="C6582" s="2" t="s">
        <v>33</v>
      </c>
      <c r="D6582" s="2" t="s">
        <v>27</v>
      </c>
      <c r="E6582" s="4">
        <v>-32858</v>
      </c>
      <c r="F6582" s="3" t="s">
        <v>4182</v>
      </c>
      <c r="G6582" s="3" t="s">
        <v>99</v>
      </c>
      <c r="H6582" s="2" t="s">
        <v>74</v>
      </c>
      <c r="I6582" s="2" t="s">
        <v>16645</v>
      </c>
      <c r="J6582" s="3" t="str">
        <f>HYPERLINK("https://www.boe.es/gazeta/dias/1810/01/13/pdfs/GGB-1810-6.pdf#page=3","Abrir facsímil")</f>
        <v>Abrir facsímil</v>
      </c>
      <c r="K6582" s="3" t="s">
        <v>76</v>
      </c>
    </row>
    <row r="6583" spans="1:11" ht="42" customHeight="1">
      <c r="A6583" s="2" t="s">
        <v>16643</v>
      </c>
      <c r="B6583" s="2" t="s">
        <v>16643</v>
      </c>
      <c r="C6583" s="2" t="s">
        <v>26</v>
      </c>
      <c r="D6583" s="2" t="s">
        <v>27</v>
      </c>
      <c r="E6583" s="4">
        <v>-32755</v>
      </c>
      <c r="F6583" s="3" t="s">
        <v>1641</v>
      </c>
      <c r="G6583" s="3" t="s">
        <v>99</v>
      </c>
      <c r="H6583" s="2" t="s">
        <v>74</v>
      </c>
      <c r="I6583" s="2" t="s">
        <v>16646</v>
      </c>
      <c r="J6583" s="3" t="str">
        <f>HYPERLINK("https://www.boe.es/gazeta/dias/1810/04/26/pdfs/GMD-1810-116.pdf#page=3","Abrir facsímil")</f>
        <v>Abrir facsímil</v>
      </c>
      <c r="K6583" s="3" t="s">
        <v>76</v>
      </c>
    </row>
    <row r="6584" spans="1:11" ht="42" customHeight="1">
      <c r="A6584" s="2" t="s">
        <v>16643</v>
      </c>
      <c r="B6584" s="2" t="s">
        <v>16643</v>
      </c>
      <c r="C6584" s="2" t="s">
        <v>33</v>
      </c>
      <c r="D6584" s="2" t="s">
        <v>27</v>
      </c>
      <c r="E6584" s="4">
        <v>-32754</v>
      </c>
      <c r="F6584" s="3" t="s">
        <v>34</v>
      </c>
      <c r="G6584" s="3" t="s">
        <v>29</v>
      </c>
      <c r="H6584" s="2" t="s">
        <v>74</v>
      </c>
      <c r="I6584" s="2" t="s">
        <v>16647</v>
      </c>
      <c r="J6584" s="3" t="str">
        <f>HYPERLINK("https://www.boe.es/gazeta/dias/1810/04/27/pdfs/GMD-1810-117.pdf#page=3","Abrir facsímil")</f>
        <v>Abrir facsímil</v>
      </c>
      <c r="K6584" s="3" t="s">
        <v>76</v>
      </c>
    </row>
    <row r="6585" spans="1:11" ht="42" customHeight="1">
      <c r="A6585" s="2" t="s">
        <v>16643</v>
      </c>
      <c r="B6585" s="2" t="s">
        <v>16643</v>
      </c>
      <c r="C6585" s="2" t="s">
        <v>26</v>
      </c>
      <c r="D6585" s="2" t="s">
        <v>27</v>
      </c>
      <c r="E6585" s="4">
        <v>-32679</v>
      </c>
      <c r="F6585" s="3" t="s">
        <v>616</v>
      </c>
      <c r="G6585" s="3" t="s">
        <v>29</v>
      </c>
      <c r="H6585" s="2" t="s">
        <v>74</v>
      </c>
      <c r="I6585" s="2" t="s">
        <v>16648</v>
      </c>
      <c r="J6585" s="3" t="str">
        <f>HYPERLINK("https://www.boe.es/gazeta/dias/1810/07/11/pdfs/GMD-1810-192.pdf#page=4","Abrir facsímil")</f>
        <v>Abrir facsímil</v>
      </c>
      <c r="K6585" s="3" t="s">
        <v>76</v>
      </c>
    </row>
    <row r="6586" spans="1:11" ht="42" customHeight="1">
      <c r="A6586" s="2" t="s">
        <v>16643</v>
      </c>
      <c r="B6586" s="2" t="s">
        <v>16643</v>
      </c>
      <c r="C6586" s="2" t="s">
        <v>26</v>
      </c>
      <c r="D6586" s="2" t="s">
        <v>27</v>
      </c>
      <c r="E6586" s="4">
        <v>-32673</v>
      </c>
      <c r="F6586" s="3" t="s">
        <v>472</v>
      </c>
      <c r="G6586" s="3" t="s">
        <v>20</v>
      </c>
      <c r="H6586" s="2" t="s">
        <v>74</v>
      </c>
      <c r="I6586" s="2" t="s">
        <v>16649</v>
      </c>
      <c r="J6586" s="3" t="str">
        <f>HYPERLINK("https://www.boe.es/gazeta/dias/1810/07/17/pdfs/GMD-1810-198.pdf#page=4","Abrir facsímil")</f>
        <v>Abrir facsímil</v>
      </c>
      <c r="K6586" s="3" t="s">
        <v>76</v>
      </c>
    </row>
    <row r="6587" spans="1:11" ht="42" customHeight="1">
      <c r="A6587" s="2" t="s">
        <v>16643</v>
      </c>
      <c r="B6587" s="2" t="s">
        <v>16643</v>
      </c>
      <c r="C6587" s="2" t="s">
        <v>33</v>
      </c>
      <c r="D6587" s="2" t="s">
        <v>27</v>
      </c>
      <c r="E6587" s="4">
        <v>-32663</v>
      </c>
      <c r="F6587" s="3" t="s">
        <v>1615</v>
      </c>
      <c r="G6587" s="3" t="s">
        <v>465</v>
      </c>
      <c r="H6587" s="2" t="s">
        <v>74</v>
      </c>
      <c r="I6587" s="2" t="s">
        <v>16650</v>
      </c>
      <c r="J6587" s="3" t="str">
        <f>HYPERLINK("https://www.boe.es/gazeta/dias/1810/07/27/pdfs/GMD-1810-208.pdf#page=4","Abrir facsímil")</f>
        <v>Abrir facsímil</v>
      </c>
      <c r="K6587" s="3" t="s">
        <v>76</v>
      </c>
    </row>
    <row r="6588" spans="1:11" ht="42" customHeight="1">
      <c r="A6588" s="2" t="s">
        <v>16643</v>
      </c>
      <c r="B6588" s="2" t="s">
        <v>16643</v>
      </c>
      <c r="C6588" s="2" t="s">
        <v>26</v>
      </c>
      <c r="D6588" s="2" t="s">
        <v>27</v>
      </c>
      <c r="E6588" s="4">
        <v>-32655</v>
      </c>
      <c r="F6588" s="3" t="s">
        <v>1040</v>
      </c>
      <c r="G6588" s="3" t="s">
        <v>180</v>
      </c>
      <c r="H6588" s="2" t="s">
        <v>74</v>
      </c>
      <c r="I6588" s="2" t="s">
        <v>16651</v>
      </c>
      <c r="J6588" s="3" t="str">
        <f>HYPERLINK("https://www.boe.es/gazeta/dias/1810/08/04/pdfs/GMD-1810-216.pdf#page=3","Abrir facsímil")</f>
        <v>Abrir facsímil</v>
      </c>
      <c r="K6588" s="3" t="s">
        <v>76</v>
      </c>
    </row>
    <row r="6589" spans="1:11" ht="42" customHeight="1">
      <c r="A6589" s="2" t="s">
        <v>16643</v>
      </c>
      <c r="B6589" s="2" t="s">
        <v>16643</v>
      </c>
      <c r="C6589" s="2" t="s">
        <v>225</v>
      </c>
      <c r="D6589" s="2" t="s">
        <v>27</v>
      </c>
      <c r="E6589" s="4">
        <v>-32617</v>
      </c>
      <c r="F6589" s="3" t="s">
        <v>3861</v>
      </c>
      <c r="G6589" s="3" t="s">
        <v>70</v>
      </c>
      <c r="H6589" s="2" t="s">
        <v>74</v>
      </c>
      <c r="I6589" s="2" t="s">
        <v>16652</v>
      </c>
      <c r="J6589" s="3" t="str">
        <f>HYPERLINK("https://www.boe.es/gazeta/dias/1810/09/11/pdfs/GMD-1810-254.pdf#page=3","Abrir facsímil")</f>
        <v>Abrir facsímil</v>
      </c>
      <c r="K6589" s="3" t="s">
        <v>76</v>
      </c>
    </row>
    <row r="6590" spans="1:11" ht="42" customHeight="1">
      <c r="A6590" s="2" t="s">
        <v>16643</v>
      </c>
      <c r="B6590" s="2" t="s">
        <v>16643</v>
      </c>
      <c r="C6590" s="2" t="s">
        <v>88</v>
      </c>
      <c r="D6590" s="2" t="s">
        <v>117</v>
      </c>
      <c r="E6590" s="4">
        <v>-32611</v>
      </c>
      <c r="F6590" s="3" t="s">
        <v>604</v>
      </c>
      <c r="G6590" s="3" t="s">
        <v>29</v>
      </c>
      <c r="H6590" s="2" t="s">
        <v>74</v>
      </c>
      <c r="I6590" s="2" t="s">
        <v>16653</v>
      </c>
      <c r="J6590" s="3" t="str">
        <f>HYPERLINK("https://www.boe.es/gazeta/dias/1810/09/17/pdfs/GMD-1810-260.pdf#page=4","Abrir facsímil")</f>
        <v>Abrir facsímil</v>
      </c>
      <c r="K6590" s="3" t="s">
        <v>76</v>
      </c>
    </row>
    <row r="6591" spans="1:11" ht="42" customHeight="1">
      <c r="A6591" s="2" t="s">
        <v>16643</v>
      </c>
      <c r="B6591" s="2" t="s">
        <v>16643</v>
      </c>
      <c r="C6591" s="2" t="s">
        <v>17</v>
      </c>
      <c r="D6591" s="2" t="s">
        <v>27</v>
      </c>
      <c r="E6591" s="4">
        <v>-32603</v>
      </c>
      <c r="F6591" s="3" t="s">
        <v>9233</v>
      </c>
      <c r="G6591" s="3" t="s">
        <v>291</v>
      </c>
      <c r="H6591" s="2" t="s">
        <v>74</v>
      </c>
      <c r="I6591" s="2" t="s">
        <v>16654</v>
      </c>
      <c r="J6591" s="3" t="str">
        <f>HYPERLINK("https://www.boe.es/gazeta/dias/1810/09/25/pdfs/GMD-1810-268.pdf#page=3","Abrir facsímil")</f>
        <v>Abrir facsímil</v>
      </c>
      <c r="K6591" s="3" t="s">
        <v>76</v>
      </c>
    </row>
    <row r="6592" spans="1:11" ht="42" customHeight="1">
      <c r="A6592" s="2" t="s">
        <v>16655</v>
      </c>
      <c r="B6592" s="2" t="s">
        <v>16655</v>
      </c>
      <c r="C6592" s="2" t="s">
        <v>88</v>
      </c>
      <c r="D6592" s="2" t="s">
        <v>27</v>
      </c>
      <c r="E6592" s="4">
        <v>-32676</v>
      </c>
      <c r="F6592" s="3" t="s">
        <v>2863</v>
      </c>
      <c r="G6592" s="3" t="s">
        <v>2864</v>
      </c>
      <c r="H6592" s="2" t="s">
        <v>74</v>
      </c>
      <c r="I6592" s="2" t="s">
        <v>16656</v>
      </c>
      <c r="J6592" s="3" t="str">
        <f>HYPERLINK("https://www.boe.es/gazeta/dias/1810/07/14/pdfs/GMD-1810-195.pdf#page=2","Abrir facsímil")</f>
        <v>Abrir facsímil</v>
      </c>
      <c r="K6592" s="3" t="s">
        <v>76</v>
      </c>
    </row>
    <row r="6593" spans="1:11" ht="42" customHeight="1">
      <c r="A6593" s="2" t="s">
        <v>16657</v>
      </c>
      <c r="B6593" s="2" t="s">
        <v>16657</v>
      </c>
      <c r="C6593" s="2" t="s">
        <v>88</v>
      </c>
      <c r="D6593" s="2" t="s">
        <v>27</v>
      </c>
      <c r="E6593" s="4">
        <v>-32772</v>
      </c>
      <c r="F6593" s="3" t="s">
        <v>398</v>
      </c>
      <c r="G6593" s="3" t="s">
        <v>1638</v>
      </c>
      <c r="H6593" s="2" t="s">
        <v>74</v>
      </c>
      <c r="I6593" s="2" t="s">
        <v>16658</v>
      </c>
      <c r="J6593" s="3" t="str">
        <f>HYPERLINK("https://www.boe.es/gazeta/dias/1810/04/09/pdfs/GMD-1810-99.pdf#page=2","Abrir facsímil")</f>
        <v>Abrir facsímil</v>
      </c>
      <c r="K6593" s="3" t="s">
        <v>76</v>
      </c>
    </row>
    <row r="6594" spans="1:11" ht="42" customHeight="1">
      <c r="A6594" s="2" t="s">
        <v>16659</v>
      </c>
      <c r="B6594" s="2" t="s">
        <v>16660</v>
      </c>
      <c r="C6594" s="2" t="s">
        <v>88</v>
      </c>
      <c r="D6594" s="2" t="s">
        <v>117</v>
      </c>
      <c r="E6594" s="4">
        <v>-32713</v>
      </c>
      <c r="F6594" s="3" t="s">
        <v>959</v>
      </c>
      <c r="G6594" s="3" t="s">
        <v>960</v>
      </c>
      <c r="H6594" s="2" t="s">
        <v>74</v>
      </c>
      <c r="I6594" s="2" t="s">
        <v>16661</v>
      </c>
      <c r="J6594" s="3" t="str">
        <f>HYPERLINK("https://www.boe.es/gazeta/dias/1810/06/07/pdfs/GMD-1810-158.pdf#page=4","Abrir facsímil")</f>
        <v>Abrir facsímil</v>
      </c>
      <c r="K6594" s="3" t="s">
        <v>76</v>
      </c>
    </row>
    <row r="6595" spans="1:11" ht="42" customHeight="1">
      <c r="A6595" s="2" t="s">
        <v>16662</v>
      </c>
      <c r="B6595" s="2" t="s">
        <v>16662</v>
      </c>
      <c r="C6595" s="2" t="s">
        <v>26</v>
      </c>
      <c r="D6595" s="2" t="s">
        <v>220</v>
      </c>
      <c r="E6595" s="4">
        <v>-32623</v>
      </c>
      <c r="F6595" s="3" t="s">
        <v>15821</v>
      </c>
      <c r="G6595" s="3" t="s">
        <v>16663</v>
      </c>
      <c r="H6595" s="2" t="s">
        <v>74</v>
      </c>
      <c r="I6595" s="2" t="s">
        <v>16664</v>
      </c>
      <c r="J6595" s="3" t="str">
        <f>HYPERLINK("https://www.boe.es/gazeta/dias/1810/09/05/pdfs/GMD-1810-248.pdf#page=1","Abrir facsímil")</f>
        <v>Abrir facsímil</v>
      </c>
      <c r="K6595" s="3" t="s">
        <v>76</v>
      </c>
    </row>
    <row r="6596" spans="1:11" ht="42" customHeight="1">
      <c r="A6596" s="2" t="s">
        <v>16665</v>
      </c>
      <c r="B6596" s="2" t="s">
        <v>16666</v>
      </c>
      <c r="C6596" s="2" t="s">
        <v>26</v>
      </c>
      <c r="D6596" s="2" t="s">
        <v>58</v>
      </c>
      <c r="E6596" s="4">
        <v>-32601</v>
      </c>
      <c r="F6596" s="3" t="s">
        <v>392</v>
      </c>
      <c r="G6596" s="3" t="s">
        <v>35</v>
      </c>
      <c r="H6596" s="2" t="s">
        <v>74</v>
      </c>
      <c r="I6596" s="2" t="s">
        <v>16667</v>
      </c>
      <c r="J6596" s="3" t="str">
        <f>HYPERLINK("https://www.boe.es/gazeta/dias/1810/09/27/pdfs/GEI-1810-74E.pdf#page=2","Abrir facsímil")</f>
        <v>Abrir facsímil</v>
      </c>
      <c r="K6596" s="3" t="s">
        <v>76</v>
      </c>
    </row>
    <row r="6597" spans="1:11" ht="42" customHeight="1">
      <c r="A6597" s="2" t="s">
        <v>16668</v>
      </c>
      <c r="B6597" s="2" t="s">
        <v>16669</v>
      </c>
      <c r="C6597" s="2" t="s">
        <v>225</v>
      </c>
      <c r="D6597" s="2" t="s">
        <v>117</v>
      </c>
      <c r="E6597" s="4">
        <v>-32761</v>
      </c>
      <c r="F6597" s="3" t="s">
        <v>811</v>
      </c>
      <c r="G6597" s="3" t="s">
        <v>119</v>
      </c>
      <c r="H6597" s="2" t="s">
        <v>74</v>
      </c>
      <c r="I6597" s="2" t="s">
        <v>16670</v>
      </c>
      <c r="J6597" s="3" t="str">
        <f>HYPERLINK("https://www.boe.es/gazeta/dias/1810/04/20/pdfs/GEI-1810-16.pdf#page=7","Abrir facsímil")</f>
        <v>Abrir facsímil</v>
      </c>
      <c r="K6597" s="3" t="s">
        <v>76</v>
      </c>
    </row>
    <row r="6598" spans="1:11" ht="42" customHeight="1">
      <c r="A6598" s="2" t="s">
        <v>16671</v>
      </c>
      <c r="B6598" s="2" t="s">
        <v>16672</v>
      </c>
      <c r="C6598" s="2" t="s">
        <v>17</v>
      </c>
      <c r="D6598" s="2" t="s">
        <v>27</v>
      </c>
      <c r="E6598" s="4">
        <v>-32582</v>
      </c>
      <c r="F6598" s="3" t="s">
        <v>3849</v>
      </c>
      <c r="G6598" s="3" t="s">
        <v>3850</v>
      </c>
      <c r="H6598" s="2" t="s">
        <v>74</v>
      </c>
      <c r="I6598" s="2" t="s">
        <v>16673</v>
      </c>
      <c r="J6598" s="3" t="str">
        <f>HYPERLINK("https://www.boe.es/gazeta/dias/1810/10/16/pdfs/GEI-1810-82.pdf#page=4","Abrir facsímil")</f>
        <v>Abrir facsímil</v>
      </c>
      <c r="K6598" s="3" t="s">
        <v>76</v>
      </c>
    </row>
    <row r="6599" spans="1:11" ht="42" customHeight="1">
      <c r="A6599" s="2" t="s">
        <v>16674</v>
      </c>
      <c r="B6599" s="2" t="s">
        <v>16675</v>
      </c>
      <c r="C6599" s="2" t="s">
        <v>26</v>
      </c>
      <c r="D6599" s="2" t="s">
        <v>27</v>
      </c>
      <c r="E6599" s="4">
        <v>-32809</v>
      </c>
      <c r="F6599" s="3" t="s">
        <v>1873</v>
      </c>
      <c r="G6599" s="3" t="s">
        <v>70</v>
      </c>
      <c r="H6599" s="2" t="s">
        <v>74</v>
      </c>
      <c r="I6599" s="2" t="s">
        <v>16676</v>
      </c>
      <c r="J6599" s="3" t="str">
        <f>HYPERLINK("https://www.boe.es/gazeta/dias/1810/03/03/pdfs/GMD-1810-62.pdf#page=1","Abrir facsímil")</f>
        <v>Abrir facsímil</v>
      </c>
      <c r="K6599" s="3" t="s">
        <v>76</v>
      </c>
    </row>
    <row r="6600" spans="1:11" ht="42" customHeight="1">
      <c r="A6600" s="2" t="s">
        <v>16674</v>
      </c>
      <c r="B6600" s="2" t="s">
        <v>16675</v>
      </c>
      <c r="C6600" s="2" t="s">
        <v>26</v>
      </c>
      <c r="D6600" s="2" t="s">
        <v>18</v>
      </c>
      <c r="E6600" s="4">
        <v>-32808</v>
      </c>
      <c r="F6600" s="3" t="s">
        <v>2034</v>
      </c>
      <c r="G6600" s="3" t="s">
        <v>2035</v>
      </c>
      <c r="H6600" s="2" t="s">
        <v>74</v>
      </c>
      <c r="I6600" s="2" t="s">
        <v>16677</v>
      </c>
      <c r="J6600" s="3" t="str">
        <f>HYPERLINK("https://www.boe.es/gazeta/dias/1810/03/04/pdfs/GMD-1810-63.pdf#page=1","Abrir facsímil")</f>
        <v>Abrir facsímil</v>
      </c>
      <c r="K6600" s="3" t="s">
        <v>76</v>
      </c>
    </row>
    <row r="6601" spans="1:11" ht="42" customHeight="1">
      <c r="A6601" s="2" t="s">
        <v>16674</v>
      </c>
      <c r="B6601" s="2" t="s">
        <v>16675</v>
      </c>
      <c r="C6601" s="2" t="s">
        <v>26</v>
      </c>
      <c r="D6601" s="2" t="s">
        <v>27</v>
      </c>
      <c r="E6601" s="4">
        <v>-32793</v>
      </c>
      <c r="F6601" s="3" t="s">
        <v>1619</v>
      </c>
      <c r="G6601" s="3" t="s">
        <v>971</v>
      </c>
      <c r="H6601" s="2" t="s">
        <v>74</v>
      </c>
      <c r="I6601" s="2" t="s">
        <v>16678</v>
      </c>
      <c r="J6601" s="3" t="str">
        <f>HYPERLINK("https://www.boe.es/gazeta/dias/1810/03/19/pdfs/GMD-1810-78.pdf#page=4","Abrir facsímil")</f>
        <v>Abrir facsímil</v>
      </c>
      <c r="K6601" s="3" t="s">
        <v>76</v>
      </c>
    </row>
    <row r="6602" spans="1:11" ht="42" customHeight="1">
      <c r="A6602" s="2" t="s">
        <v>16674</v>
      </c>
      <c r="B6602" s="2" t="s">
        <v>16675</v>
      </c>
      <c r="C6602" s="2" t="s">
        <v>26</v>
      </c>
      <c r="D6602" s="2" t="s">
        <v>27</v>
      </c>
      <c r="E6602" s="4">
        <v>-32784</v>
      </c>
      <c r="F6602" s="3" t="s">
        <v>429</v>
      </c>
      <c r="G6602" s="3" t="s">
        <v>119</v>
      </c>
      <c r="H6602" s="2" t="s">
        <v>74</v>
      </c>
      <c r="I6602" s="2" t="s">
        <v>16679</v>
      </c>
      <c r="J6602" s="3" t="str">
        <f>HYPERLINK("https://www.boe.es/gazeta/dias/1810/03/28/pdfs/GMD-1810-87.pdf#page=1","Abrir facsímil")</f>
        <v>Abrir facsímil</v>
      </c>
      <c r="K6602" s="3" t="s">
        <v>76</v>
      </c>
    </row>
    <row r="6603" spans="1:11" ht="42" customHeight="1">
      <c r="A6603" s="2" t="s">
        <v>16674</v>
      </c>
      <c r="B6603" s="2" t="s">
        <v>16675</v>
      </c>
      <c r="C6603" s="2" t="s">
        <v>26</v>
      </c>
      <c r="D6603" s="2" t="s">
        <v>220</v>
      </c>
      <c r="E6603" s="4">
        <v>-32680</v>
      </c>
      <c r="F6603" s="3" t="s">
        <v>509</v>
      </c>
      <c r="G6603" s="3" t="s">
        <v>2577</v>
      </c>
      <c r="H6603" s="2" t="s">
        <v>74</v>
      </c>
      <c r="I6603" s="2" t="s">
        <v>16680</v>
      </c>
      <c r="J6603" s="3" t="str">
        <f>HYPERLINK("https://www.boe.es/gazeta/dias/1810/07/10/pdfs/GMD-1810-191.pdf#page=1","Abrir facsímil")</f>
        <v>Abrir facsímil</v>
      </c>
      <c r="K6603" s="3" t="s">
        <v>76</v>
      </c>
    </row>
    <row r="6604" spans="1:11" ht="42" customHeight="1">
      <c r="A6604" s="2" t="s">
        <v>16674</v>
      </c>
      <c r="B6604" s="2" t="s">
        <v>16675</v>
      </c>
      <c r="C6604" s="2" t="s">
        <v>26</v>
      </c>
      <c r="D6604" s="2" t="s">
        <v>27</v>
      </c>
      <c r="E6604" s="4">
        <v>-32675</v>
      </c>
      <c r="F6604" s="3" t="s">
        <v>729</v>
      </c>
      <c r="G6604" s="3" t="s">
        <v>1851</v>
      </c>
      <c r="H6604" s="2" t="s">
        <v>74</v>
      </c>
      <c r="I6604" s="2" t="s">
        <v>16681</v>
      </c>
      <c r="J6604" s="3" t="str">
        <f>HYPERLINK("https://www.boe.es/gazeta/dias/1810/07/15/pdfs/GMD-1810-196.pdf#page=1","Abrir facsímil")</f>
        <v>Abrir facsímil</v>
      </c>
      <c r="K6604" s="3" t="s">
        <v>76</v>
      </c>
    </row>
    <row r="6605" spans="1:11" ht="42" customHeight="1">
      <c r="A6605" s="2" t="s">
        <v>16682</v>
      </c>
      <c r="B6605" s="2" t="s">
        <v>16683</v>
      </c>
      <c r="C6605" s="2" t="s">
        <v>26</v>
      </c>
      <c r="D6605" s="2" t="s">
        <v>27</v>
      </c>
      <c r="E6605" s="4">
        <v>-32842</v>
      </c>
      <c r="F6605" s="3" t="s">
        <v>1291</v>
      </c>
      <c r="G6605" s="3" t="s">
        <v>70</v>
      </c>
      <c r="H6605" s="2" t="s">
        <v>74</v>
      </c>
      <c r="I6605" s="2" t="s">
        <v>16684</v>
      </c>
      <c r="J6605" s="3" t="str">
        <f>HYPERLINK("https://www.boe.es/gazeta/dias/1810/01/29/pdfs/GMD-1810-29.pdf#page=4","Abrir facsímil")</f>
        <v>Abrir facsímil</v>
      </c>
      <c r="K6605" s="3" t="s">
        <v>76</v>
      </c>
    </row>
    <row r="6606" spans="1:11" ht="42" customHeight="1">
      <c r="A6606" s="2" t="s">
        <v>16685</v>
      </c>
      <c r="B6606" s="2" t="s">
        <v>16685</v>
      </c>
      <c r="C6606" s="2" t="s">
        <v>26</v>
      </c>
      <c r="D6606" s="2" t="s">
        <v>27</v>
      </c>
      <c r="E6606" s="4">
        <v>-32629</v>
      </c>
      <c r="F6606" s="3" t="s">
        <v>1494</v>
      </c>
      <c r="G6606" s="3" t="s">
        <v>213</v>
      </c>
      <c r="H6606" s="2" t="s">
        <v>74</v>
      </c>
      <c r="I6606" s="2" t="s">
        <v>16686</v>
      </c>
      <c r="J6606" s="3" t="str">
        <f>HYPERLINK("https://www.boe.es/gazeta/dias/1810/08/30/pdfs/GMD-1810-242.pdf#page=4","Abrir facsímil")</f>
        <v>Abrir facsímil</v>
      </c>
      <c r="K6606" s="3" t="s">
        <v>76</v>
      </c>
    </row>
    <row r="6607" spans="1:11" ht="42" customHeight="1">
      <c r="A6607" s="2" t="s">
        <v>16687</v>
      </c>
      <c r="B6607" s="2" t="s">
        <v>16688</v>
      </c>
      <c r="C6607" s="2" t="s">
        <v>26</v>
      </c>
      <c r="D6607" s="2" t="s">
        <v>27</v>
      </c>
      <c r="E6607" s="4">
        <v>-32533</v>
      </c>
      <c r="F6607" s="3" t="s">
        <v>1357</v>
      </c>
      <c r="G6607" s="3" t="s">
        <v>1894</v>
      </c>
      <c r="H6607" s="2" t="s">
        <v>74</v>
      </c>
      <c r="I6607" s="2" t="s">
        <v>16689</v>
      </c>
      <c r="J6607" s="3" t="str">
        <f>HYPERLINK("https://www.boe.es/gazeta/dias/1810/12/04/pdfs/GEI-1810-103.pdf#page=7","Abrir facsímil")</f>
        <v>Abrir facsímil</v>
      </c>
      <c r="K6607" s="3" t="s">
        <v>76</v>
      </c>
    </row>
    <row r="6608" spans="1:11" ht="42" customHeight="1">
      <c r="A6608" s="2" t="s">
        <v>16690</v>
      </c>
      <c r="B6608" s="2" t="s">
        <v>16691</v>
      </c>
      <c r="C6608" s="2" t="s">
        <v>88</v>
      </c>
      <c r="D6608" s="2" t="s">
        <v>117</v>
      </c>
      <c r="E6608" s="4">
        <v>-32754</v>
      </c>
      <c r="F6608" s="3" t="s">
        <v>34</v>
      </c>
      <c r="G6608" s="3" t="s">
        <v>13695</v>
      </c>
      <c r="H6608" s="2" t="s">
        <v>74</v>
      </c>
      <c r="I6608" s="2" t="s">
        <v>16692</v>
      </c>
      <c r="J6608" s="3" t="str">
        <f>HYPERLINK("https://www.boe.es/gazeta/dias/1810/04/27/pdfs/GMD-1810-117.pdf#page=1","Abrir facsímil")</f>
        <v>Abrir facsímil</v>
      </c>
      <c r="K6608" s="3" t="s">
        <v>76</v>
      </c>
    </row>
    <row r="6609" spans="1:11" ht="42" customHeight="1">
      <c r="A6609" s="2" t="s">
        <v>16693</v>
      </c>
      <c r="B6609" s="2" t="s">
        <v>16694</v>
      </c>
      <c r="C6609" s="2" t="s">
        <v>88</v>
      </c>
      <c r="D6609" s="2" t="s">
        <v>117</v>
      </c>
      <c r="E6609" s="4">
        <v>-32729</v>
      </c>
      <c r="F6609" s="3" t="s">
        <v>174</v>
      </c>
      <c r="G6609" s="3" t="s">
        <v>70</v>
      </c>
      <c r="H6609" s="2" t="s">
        <v>74</v>
      </c>
      <c r="I6609" s="2" t="s">
        <v>16695</v>
      </c>
      <c r="J6609" s="3" t="str">
        <f>HYPERLINK("https://www.boe.es/gazeta/dias/1810/05/22/pdfs/GEI-1810-28.pdf#page=7","Abrir facsímil")</f>
        <v>Abrir facsímil</v>
      </c>
      <c r="K6609" s="3" t="s">
        <v>76</v>
      </c>
    </row>
    <row r="6610" spans="1:11" ht="42" customHeight="1">
      <c r="A6610" s="2" t="s">
        <v>16696</v>
      </c>
      <c r="B6610" s="2" t="s">
        <v>16697</v>
      </c>
      <c r="C6610" s="2" t="s">
        <v>88</v>
      </c>
      <c r="D6610" s="2" t="s">
        <v>117</v>
      </c>
      <c r="E6610" s="4">
        <v>-32768</v>
      </c>
      <c r="F6610" s="3" t="s">
        <v>1930</v>
      </c>
      <c r="G6610" s="3" t="s">
        <v>1931</v>
      </c>
      <c r="H6610" s="2" t="s">
        <v>74</v>
      </c>
      <c r="I6610" s="2" t="s">
        <v>16698</v>
      </c>
      <c r="J6610" s="3" t="str">
        <f>HYPERLINK("https://www.boe.es/gazeta/dias/1810/04/13/pdfs/GEI-1810-14.pdf#page=11","Abrir facsímil")</f>
        <v>Abrir facsímil</v>
      </c>
      <c r="K6610" s="3" t="s">
        <v>76</v>
      </c>
    </row>
    <row r="6611" spans="1:11" ht="42" customHeight="1">
      <c r="A6611" s="2" t="s">
        <v>16699</v>
      </c>
      <c r="B6611" s="2" t="s">
        <v>16699</v>
      </c>
      <c r="C6611" s="2" t="s">
        <v>26</v>
      </c>
      <c r="D6611" s="2" t="s">
        <v>27</v>
      </c>
      <c r="E6611" s="4">
        <v>-32839</v>
      </c>
      <c r="F6611" s="3" t="s">
        <v>28</v>
      </c>
      <c r="G6611" s="3" t="s">
        <v>29</v>
      </c>
      <c r="H6611" s="2" t="s">
        <v>74</v>
      </c>
      <c r="I6611" s="2" t="s">
        <v>16700</v>
      </c>
      <c r="J6611" s="3" t="str">
        <f>HYPERLINK("https://www.boe.es/gazeta/dias/1810/02/01/pdfs/GMD-1810-32.pdf#page=3","Abrir facsímil")</f>
        <v>Abrir facsímil</v>
      </c>
      <c r="K6611" s="3" t="s">
        <v>76</v>
      </c>
    </row>
    <row r="6612" spans="1:11" ht="42" customHeight="1">
      <c r="A6612" s="2" t="s">
        <v>16699</v>
      </c>
      <c r="B6612" s="2" t="s">
        <v>16699</v>
      </c>
      <c r="C6612" s="2" t="s">
        <v>88</v>
      </c>
      <c r="D6612" s="2" t="s">
        <v>27</v>
      </c>
      <c r="E6612" s="4">
        <v>-32565</v>
      </c>
      <c r="F6612" s="3" t="s">
        <v>743</v>
      </c>
      <c r="G6612" s="3" t="s">
        <v>458</v>
      </c>
      <c r="H6612" s="2" t="s">
        <v>74</v>
      </c>
      <c r="I6612" s="2" t="s">
        <v>16701</v>
      </c>
      <c r="J6612" s="3" t="str">
        <f>HYPERLINK("https://www.boe.es/gazeta/dias/1810/11/02/pdfs/GMD-1810-306.pdf#page=2","Abrir facsímil")</f>
        <v>Abrir facsímil</v>
      </c>
      <c r="K6612" s="3" t="s">
        <v>76</v>
      </c>
    </row>
    <row r="6613" spans="1:11" ht="42" customHeight="1">
      <c r="A6613" s="2" t="s">
        <v>16702</v>
      </c>
      <c r="B6613" s="2" t="s">
        <v>16703</v>
      </c>
      <c r="C6613" s="2" t="s">
        <v>26</v>
      </c>
      <c r="D6613" s="2" t="s">
        <v>39</v>
      </c>
      <c r="E6613" s="4">
        <v>-32702</v>
      </c>
      <c r="F6613" s="3" t="s">
        <v>179</v>
      </c>
      <c r="G6613" s="3" t="s">
        <v>119</v>
      </c>
      <c r="H6613" s="2" t="s">
        <v>74</v>
      </c>
      <c r="I6613" s="2" t="s">
        <v>16704</v>
      </c>
      <c r="J6613" s="3" t="str">
        <f>HYPERLINK("https://www.boe.es/gazeta/dias/1810/06/18/pdfs/GMD-C-1810-169.pdf#page=1","Abrir facsímil")</f>
        <v>Abrir facsímil</v>
      </c>
      <c r="K6613" s="3" t="s">
        <v>76</v>
      </c>
    </row>
    <row r="6614" spans="1:11" ht="42" customHeight="1">
      <c r="A6614" s="2" t="s">
        <v>16705</v>
      </c>
      <c r="B6614" s="2" t="s">
        <v>16705</v>
      </c>
      <c r="C6614" s="2" t="s">
        <v>88</v>
      </c>
      <c r="D6614" s="2" t="s">
        <v>117</v>
      </c>
      <c r="E6614" s="4">
        <v>-32526</v>
      </c>
      <c r="F6614" s="3" t="s">
        <v>530</v>
      </c>
      <c r="G6614" s="3" t="s">
        <v>20</v>
      </c>
      <c r="H6614" s="2" t="s">
        <v>74</v>
      </c>
      <c r="I6614" s="2" t="s">
        <v>16706</v>
      </c>
      <c r="J6614" s="3" t="str">
        <f>HYPERLINK("https://www.boe.es/gazeta/dias/1810/12/11/pdfs/GEI-1810-106.pdf#page=4","Abrir facsímil")</f>
        <v>Abrir facsímil</v>
      </c>
      <c r="K6614" s="3" t="s">
        <v>76</v>
      </c>
    </row>
    <row r="6615" spans="1:11" ht="42" customHeight="1">
      <c r="A6615" s="2" t="s">
        <v>16707</v>
      </c>
      <c r="B6615" s="2" t="s">
        <v>16707</v>
      </c>
      <c r="C6615" s="2" t="s">
        <v>88</v>
      </c>
      <c r="D6615" s="2" t="s">
        <v>18</v>
      </c>
      <c r="E6615" s="4">
        <v>-32713</v>
      </c>
      <c r="F6615" s="3" t="s">
        <v>959</v>
      </c>
      <c r="G6615" s="3" t="s">
        <v>960</v>
      </c>
      <c r="H6615" s="2" t="s">
        <v>74</v>
      </c>
      <c r="I6615" s="2" t="s">
        <v>16708</v>
      </c>
      <c r="J6615" s="3" t="str">
        <f>HYPERLINK("https://www.boe.es/gazeta/dias/1810/06/07/pdfs/GMD-1810-158.pdf#page=4","Abrir facsímil")</f>
        <v>Abrir facsímil</v>
      </c>
      <c r="K6615" s="3" t="s">
        <v>76</v>
      </c>
    </row>
    <row r="6616" spans="1:11" ht="42" customHeight="1">
      <c r="A6616" s="2" t="s">
        <v>16709</v>
      </c>
      <c r="B6616" s="2" t="s">
        <v>16710</v>
      </c>
      <c r="C6616" s="2" t="s">
        <v>88</v>
      </c>
      <c r="D6616" s="2" t="s">
        <v>27</v>
      </c>
      <c r="E6616" s="4">
        <v>-32700</v>
      </c>
      <c r="F6616" s="3" t="s">
        <v>89</v>
      </c>
      <c r="G6616" s="3" t="s">
        <v>29</v>
      </c>
      <c r="H6616" s="2" t="s">
        <v>74</v>
      </c>
      <c r="I6616" s="2" t="s">
        <v>16711</v>
      </c>
      <c r="J6616" s="3" t="str">
        <f>HYPERLINK("https://www.boe.es/gazeta/dias/1810/06/20/pdfs/GMD-1810-171.pdf#page=3","Abrir facsímil")</f>
        <v>Abrir facsímil</v>
      </c>
      <c r="K6616" s="3" t="s">
        <v>76</v>
      </c>
    </row>
    <row r="6617" spans="1:11" ht="42" customHeight="1">
      <c r="A6617" s="2" t="s">
        <v>16712</v>
      </c>
      <c r="B6617" s="2" t="s">
        <v>16713</v>
      </c>
      <c r="C6617" s="2" t="s">
        <v>26</v>
      </c>
      <c r="D6617" s="2" t="s">
        <v>27</v>
      </c>
      <c r="E6617" s="4">
        <v>-32730</v>
      </c>
      <c r="F6617" s="3" t="s">
        <v>50</v>
      </c>
      <c r="G6617" s="3" t="s">
        <v>20</v>
      </c>
      <c r="H6617" s="2" t="s">
        <v>74</v>
      </c>
      <c r="I6617" s="2" t="s">
        <v>16714</v>
      </c>
      <c r="J6617" s="3" t="str">
        <f>HYPERLINK("https://www.boe.es/gazeta/dias/1810/05/21/pdfs/GMD-1810-141.pdf#page=4","Abrir facsímil")</f>
        <v>Abrir facsímil</v>
      </c>
      <c r="K6617" s="3" t="s">
        <v>76</v>
      </c>
    </row>
    <row r="6618" spans="1:11" ht="42" customHeight="1">
      <c r="A6618" s="2" t="s">
        <v>16712</v>
      </c>
      <c r="B6618" s="2" t="s">
        <v>16713</v>
      </c>
      <c r="C6618" s="2" t="s">
        <v>26</v>
      </c>
      <c r="D6618" s="2" t="s">
        <v>27</v>
      </c>
      <c r="E6618" s="4">
        <v>-32647</v>
      </c>
      <c r="F6618" s="3" t="s">
        <v>118</v>
      </c>
      <c r="G6618" s="3" t="s">
        <v>140</v>
      </c>
      <c r="H6618" s="2" t="s">
        <v>74</v>
      </c>
      <c r="I6618" s="2" t="s">
        <v>16715</v>
      </c>
      <c r="J6618" s="3" t="str">
        <f>HYPERLINK("https://www.boe.es/gazeta/dias/1810/08/12/pdfs/GMD-1810-224.pdf#page=2","Abrir facsímil")</f>
        <v>Abrir facsímil</v>
      </c>
      <c r="K6618" s="3" t="s">
        <v>76</v>
      </c>
    </row>
    <row r="6619" spans="1:11" ht="42" customHeight="1">
      <c r="A6619" s="2" t="s">
        <v>16716</v>
      </c>
      <c r="B6619" s="2" t="s">
        <v>16717</v>
      </c>
      <c r="C6619" s="2" t="s">
        <v>26</v>
      </c>
      <c r="D6619" s="2" t="s">
        <v>27</v>
      </c>
      <c r="E6619" s="4">
        <v>-32545</v>
      </c>
      <c r="F6619" s="3" t="s">
        <v>165</v>
      </c>
      <c r="G6619" s="3" t="s">
        <v>166</v>
      </c>
      <c r="H6619" s="2" t="s">
        <v>74</v>
      </c>
      <c r="I6619" s="2" t="s">
        <v>16718</v>
      </c>
      <c r="J6619" s="3" t="str">
        <f>HYPERLINK("https://www.boe.es/gazeta/dias/1810/11/22/pdfs/GEI-1810-98.pdf#page=8","Abrir facsímil")</f>
        <v>Abrir facsímil</v>
      </c>
      <c r="K6619" s="3" t="s">
        <v>76</v>
      </c>
    </row>
    <row r="6620" spans="1:11" ht="42" customHeight="1">
      <c r="A6620" s="2" t="s">
        <v>16719</v>
      </c>
      <c r="B6620" s="2" t="s">
        <v>16719</v>
      </c>
      <c r="C6620" s="2" t="s">
        <v>26</v>
      </c>
      <c r="D6620" s="2" t="s">
        <v>27</v>
      </c>
      <c r="E6620" s="4">
        <v>-32568</v>
      </c>
      <c r="F6620" s="3" t="s">
        <v>1233</v>
      </c>
      <c r="G6620" s="3" t="s">
        <v>140</v>
      </c>
      <c r="H6620" s="2" t="s">
        <v>74</v>
      </c>
      <c r="I6620" s="2" t="s">
        <v>16720</v>
      </c>
      <c r="J6620" s="3" t="str">
        <f>HYPERLINK("https://www.boe.es/gazeta/dias/1810/10/30/pdfs/GMD-1810-303.pdf#page=4","Abrir facsímil")</f>
        <v>Abrir facsímil</v>
      </c>
      <c r="K6620" s="3" t="s">
        <v>76</v>
      </c>
    </row>
    <row r="6621" spans="1:11" ht="42" customHeight="1">
      <c r="A6621" s="2" t="s">
        <v>16721</v>
      </c>
      <c r="B6621" s="2" t="s">
        <v>16721</v>
      </c>
      <c r="C6621" s="2" t="s">
        <v>88</v>
      </c>
      <c r="D6621" s="2" t="s">
        <v>27</v>
      </c>
      <c r="E6621" s="4">
        <v>-32861</v>
      </c>
      <c r="F6621" s="3" t="s">
        <v>796</v>
      </c>
      <c r="G6621" s="3" t="s">
        <v>29</v>
      </c>
      <c r="H6621" s="2" t="s">
        <v>74</v>
      </c>
      <c r="I6621" s="2" t="s">
        <v>16722</v>
      </c>
      <c r="J6621" s="3" t="str">
        <f>HYPERLINK("https://www.boe.es/gazeta/dias/1810/01/10/pdfs/GMD-1810-10.pdf#page=2","Abrir facsímil")</f>
        <v>Abrir facsímil</v>
      </c>
      <c r="K6621" s="3" t="s">
        <v>76</v>
      </c>
    </row>
    <row r="6622" spans="1:11" ht="42" customHeight="1">
      <c r="A6622" s="2" t="s">
        <v>16721</v>
      </c>
      <c r="B6622" s="2" t="s">
        <v>16721</v>
      </c>
      <c r="C6622" s="2" t="s">
        <v>88</v>
      </c>
      <c r="D6622" s="2" t="s">
        <v>117</v>
      </c>
      <c r="E6622" s="4">
        <v>-32861</v>
      </c>
      <c r="F6622" s="3" t="s">
        <v>796</v>
      </c>
      <c r="G6622" s="3" t="s">
        <v>99</v>
      </c>
      <c r="H6622" s="2" t="s">
        <v>74</v>
      </c>
      <c r="I6622" s="2" t="s">
        <v>16723</v>
      </c>
      <c r="J6622" s="3" t="str">
        <f>HYPERLINK("https://www.boe.es/gazeta/dias/1810/01/10/pdfs/GMD-1810-10.pdf#page=3","Abrir facsímil")</f>
        <v>Abrir facsímil</v>
      </c>
      <c r="K6622" s="3" t="s">
        <v>76</v>
      </c>
    </row>
    <row r="6623" spans="1:11" ht="42" customHeight="1">
      <c r="A6623" s="2" t="s">
        <v>16721</v>
      </c>
      <c r="B6623" s="2" t="s">
        <v>16721</v>
      </c>
      <c r="C6623" s="2" t="s">
        <v>225</v>
      </c>
      <c r="D6623" s="2" t="s">
        <v>27</v>
      </c>
      <c r="E6623" s="4">
        <v>-32855</v>
      </c>
      <c r="F6623" s="3" t="s">
        <v>3911</v>
      </c>
      <c r="G6623" s="3" t="s">
        <v>80</v>
      </c>
      <c r="H6623" s="2" t="s">
        <v>74</v>
      </c>
      <c r="I6623" s="2" t="s">
        <v>16724</v>
      </c>
      <c r="J6623" s="3" t="str">
        <f>HYPERLINK("https://www.boe.es/gazeta/dias/1810/01/16/pdfs/GGB-1810-7.pdf#page=5","Abrir facsímil")</f>
        <v>Abrir facsímil</v>
      </c>
      <c r="K6623" s="3" t="s">
        <v>76</v>
      </c>
    </row>
    <row r="6624" spans="1:11" ht="42" customHeight="1">
      <c r="A6624" s="2" t="s">
        <v>16721</v>
      </c>
      <c r="B6624" s="2" t="s">
        <v>16721</v>
      </c>
      <c r="C6624" s="2" t="s">
        <v>111</v>
      </c>
      <c r="D6624" s="2" t="s">
        <v>27</v>
      </c>
      <c r="E6624" s="4">
        <v>-32815</v>
      </c>
      <c r="F6624" s="3" t="s">
        <v>1201</v>
      </c>
      <c r="G6624" s="3" t="s">
        <v>90</v>
      </c>
      <c r="H6624" s="2" t="s">
        <v>74</v>
      </c>
      <c r="I6624" s="2" t="s">
        <v>16725</v>
      </c>
      <c r="J6624" s="3" t="str">
        <f>HYPERLINK("https://www.boe.es/gazeta/dias/1810/02/25/pdfs/GMD-1810-56.pdf#page=2","Abrir facsímil")</f>
        <v>Abrir facsímil</v>
      </c>
      <c r="K6624" s="3" t="s">
        <v>76</v>
      </c>
    </row>
    <row r="6625" spans="1:11" ht="42" customHeight="1">
      <c r="A6625" s="2" t="s">
        <v>16721</v>
      </c>
      <c r="B6625" s="2" t="s">
        <v>16721</v>
      </c>
      <c r="C6625" s="2" t="s">
        <v>111</v>
      </c>
      <c r="D6625" s="2" t="s">
        <v>27</v>
      </c>
      <c r="E6625" s="4">
        <v>-32815</v>
      </c>
      <c r="F6625" s="3" t="s">
        <v>1201</v>
      </c>
      <c r="G6625" s="3" t="s">
        <v>227</v>
      </c>
      <c r="H6625" s="2" t="s">
        <v>74</v>
      </c>
      <c r="I6625" s="2" t="s">
        <v>16726</v>
      </c>
      <c r="J6625" s="3" t="str">
        <f>HYPERLINK("https://www.boe.es/gazeta/dias/1810/02/25/pdfs/GMD-1810-56.pdf#page=4","Abrir facsímil")</f>
        <v>Abrir facsímil</v>
      </c>
      <c r="K6625" s="3" t="s">
        <v>76</v>
      </c>
    </row>
    <row r="6626" spans="1:11" ht="42" customHeight="1">
      <c r="A6626" s="2" t="s">
        <v>16721</v>
      </c>
      <c r="B6626" s="2" t="s">
        <v>16721</v>
      </c>
      <c r="C6626" s="2" t="s">
        <v>26</v>
      </c>
      <c r="D6626" s="2" t="s">
        <v>27</v>
      </c>
      <c r="E6626" s="4">
        <v>-32798</v>
      </c>
      <c r="F6626" s="3" t="s">
        <v>2002</v>
      </c>
      <c r="G6626" s="3" t="s">
        <v>90</v>
      </c>
      <c r="H6626" s="2" t="s">
        <v>74</v>
      </c>
      <c r="I6626" s="2" t="s">
        <v>16727</v>
      </c>
      <c r="J6626" s="3" t="str">
        <f>HYPERLINK("https://www.boe.es/gazeta/dias/1810/03/14/pdfs/GMD-1810-73.pdf#page=4","Abrir facsímil")</f>
        <v>Abrir facsímil</v>
      </c>
      <c r="K6626" s="3" t="s">
        <v>76</v>
      </c>
    </row>
    <row r="6627" spans="1:11" ht="42" customHeight="1">
      <c r="A6627" s="2" t="s">
        <v>16721</v>
      </c>
      <c r="B6627" s="2" t="s">
        <v>16721</v>
      </c>
      <c r="C6627" s="2" t="s">
        <v>26</v>
      </c>
      <c r="D6627" s="2" t="s">
        <v>27</v>
      </c>
      <c r="E6627" s="4">
        <v>-32797</v>
      </c>
      <c r="F6627" s="3" t="s">
        <v>3666</v>
      </c>
      <c r="G6627" s="3" t="s">
        <v>9004</v>
      </c>
      <c r="H6627" s="2" t="s">
        <v>74</v>
      </c>
      <c r="I6627" s="2" t="s">
        <v>16728</v>
      </c>
      <c r="J6627" s="3" t="str">
        <f>HYPERLINK("https://www.boe.es/gazeta/dias/1810/03/15/pdfs/GMD-1810-74.pdf#page=4","Abrir facsímil")</f>
        <v>Abrir facsímil</v>
      </c>
      <c r="K6627" s="3" t="s">
        <v>76</v>
      </c>
    </row>
    <row r="6628" spans="1:11" ht="42" customHeight="1">
      <c r="A6628" s="2" t="s">
        <v>16721</v>
      </c>
      <c r="B6628" s="2" t="s">
        <v>16721</v>
      </c>
      <c r="C6628" s="2" t="s">
        <v>88</v>
      </c>
      <c r="D6628" s="2" t="s">
        <v>117</v>
      </c>
      <c r="E6628" s="4">
        <v>-32767</v>
      </c>
      <c r="F6628" s="3" t="s">
        <v>1265</v>
      </c>
      <c r="G6628" s="3" t="s">
        <v>1266</v>
      </c>
      <c r="H6628" s="2" t="s">
        <v>74</v>
      </c>
      <c r="I6628" s="2" t="s">
        <v>16729</v>
      </c>
      <c r="J6628" s="3" t="str">
        <f>HYPERLINK("https://www.boe.es/gazeta/dias/1810/04/14/pdfs/GMD-1810-104.pdf#page=4","Abrir facsímil")</f>
        <v>Abrir facsímil</v>
      </c>
      <c r="K6628" s="3" t="s">
        <v>76</v>
      </c>
    </row>
    <row r="6629" spans="1:11" ht="42" customHeight="1">
      <c r="A6629" s="2" t="s">
        <v>16721</v>
      </c>
      <c r="B6629" s="2" t="s">
        <v>16721</v>
      </c>
      <c r="C6629" s="2" t="s">
        <v>88</v>
      </c>
      <c r="D6629" s="2" t="s">
        <v>27</v>
      </c>
      <c r="E6629" s="4">
        <v>-32763</v>
      </c>
      <c r="F6629" s="3" t="s">
        <v>1146</v>
      </c>
      <c r="G6629" s="3" t="s">
        <v>140</v>
      </c>
      <c r="H6629" s="2" t="s">
        <v>74</v>
      </c>
      <c r="I6629" s="2" t="s">
        <v>16730</v>
      </c>
      <c r="J6629" s="3" t="str">
        <f>HYPERLINK("https://www.boe.es/gazeta/dias/1810/04/18/pdfs/GMD-1810-108.pdf#page=3","Abrir facsímil")</f>
        <v>Abrir facsímil</v>
      </c>
      <c r="K6629" s="3" t="s">
        <v>76</v>
      </c>
    </row>
    <row r="6630" spans="1:11" ht="42" customHeight="1">
      <c r="A6630" s="2" t="s">
        <v>16721</v>
      </c>
      <c r="B6630" s="2" t="s">
        <v>16721</v>
      </c>
      <c r="C6630" s="2" t="s">
        <v>26</v>
      </c>
      <c r="D6630" s="2" t="s">
        <v>27</v>
      </c>
      <c r="E6630" s="4">
        <v>-32762</v>
      </c>
      <c r="F6630" s="3" t="s">
        <v>231</v>
      </c>
      <c r="G6630" s="3" t="s">
        <v>29</v>
      </c>
      <c r="H6630" s="2" t="s">
        <v>74</v>
      </c>
      <c r="I6630" s="2" t="s">
        <v>16731</v>
      </c>
      <c r="J6630" s="3" t="str">
        <f>HYPERLINK("https://www.boe.es/gazeta/dias/1810/04/19/pdfs/GMD-1810-109.pdf#page=2","Abrir facsímil")</f>
        <v>Abrir facsímil</v>
      </c>
      <c r="K6630" s="3" t="s">
        <v>76</v>
      </c>
    </row>
    <row r="6631" spans="1:11" ht="42" customHeight="1">
      <c r="A6631" s="2" t="s">
        <v>16721</v>
      </c>
      <c r="B6631" s="2" t="s">
        <v>16721</v>
      </c>
      <c r="C6631" s="2" t="s">
        <v>88</v>
      </c>
      <c r="D6631" s="2" t="s">
        <v>27</v>
      </c>
      <c r="E6631" s="4">
        <v>-32751</v>
      </c>
      <c r="F6631" s="3" t="s">
        <v>1205</v>
      </c>
      <c r="G6631" s="3" t="s">
        <v>191</v>
      </c>
      <c r="H6631" s="2" t="s">
        <v>74</v>
      </c>
      <c r="I6631" s="2" t="s">
        <v>16732</v>
      </c>
      <c r="J6631" s="3" t="str">
        <f>HYPERLINK("https://www.boe.es/gazeta/dias/1810/04/30/pdfs/GMD-1810-120.pdf#page=3","Abrir facsímil")</f>
        <v>Abrir facsímil</v>
      </c>
      <c r="K6631" s="3" t="s">
        <v>76</v>
      </c>
    </row>
    <row r="6632" spans="1:11" ht="42" customHeight="1">
      <c r="A6632" s="2" t="s">
        <v>16721</v>
      </c>
      <c r="B6632" s="2" t="s">
        <v>16721</v>
      </c>
      <c r="C6632" s="2" t="s">
        <v>26</v>
      </c>
      <c r="D6632" s="2" t="s">
        <v>27</v>
      </c>
      <c r="E6632" s="4">
        <v>-32736</v>
      </c>
      <c r="F6632" s="3" t="s">
        <v>400</v>
      </c>
      <c r="G6632" s="3" t="s">
        <v>401</v>
      </c>
      <c r="H6632" s="2" t="s">
        <v>74</v>
      </c>
      <c r="I6632" s="2" t="s">
        <v>16733</v>
      </c>
      <c r="J6632" s="3" t="str">
        <f>HYPERLINK("https://www.boe.es/gazeta/dias/1810/05/15/pdfs/GMD-1810-135.pdf#page=4","Abrir facsímil")</f>
        <v>Abrir facsímil</v>
      </c>
      <c r="K6632" s="3" t="s">
        <v>76</v>
      </c>
    </row>
    <row r="6633" spans="1:11" ht="42" customHeight="1">
      <c r="A6633" s="2" t="s">
        <v>16721</v>
      </c>
      <c r="B6633" s="2" t="s">
        <v>16721</v>
      </c>
      <c r="C6633" s="2" t="s">
        <v>88</v>
      </c>
      <c r="D6633" s="2" t="s">
        <v>27</v>
      </c>
      <c r="E6633" s="4">
        <v>-32728</v>
      </c>
      <c r="F6633" s="3" t="s">
        <v>269</v>
      </c>
      <c r="G6633" s="3" t="s">
        <v>119</v>
      </c>
      <c r="H6633" s="2" t="s">
        <v>74</v>
      </c>
      <c r="I6633" s="2" t="s">
        <v>16734</v>
      </c>
      <c r="J6633" s="3" t="str">
        <f>HYPERLINK("https://www.boe.es/gazeta/dias/1810/05/23/pdfs/GMD-1810-143.pdf#page=3","Abrir facsímil")</f>
        <v>Abrir facsímil</v>
      </c>
      <c r="K6633" s="3" t="s">
        <v>76</v>
      </c>
    </row>
    <row r="6634" spans="1:11" ht="42" customHeight="1">
      <c r="A6634" s="2" t="s">
        <v>16721</v>
      </c>
      <c r="B6634" s="2" t="s">
        <v>16721</v>
      </c>
      <c r="C6634" s="2" t="s">
        <v>88</v>
      </c>
      <c r="D6634" s="2" t="s">
        <v>117</v>
      </c>
      <c r="E6634" s="4">
        <v>-32725</v>
      </c>
      <c r="F6634" s="3" t="s">
        <v>417</v>
      </c>
      <c r="G6634" s="3" t="s">
        <v>140</v>
      </c>
      <c r="H6634" s="2" t="s">
        <v>74</v>
      </c>
      <c r="I6634" s="2" t="s">
        <v>16735</v>
      </c>
      <c r="J6634" s="3" t="str">
        <f>HYPERLINK("https://www.boe.es/gazeta/dias/1810/05/26/pdfs/GMD-1810-146.pdf#page=4","Abrir facsímil")</f>
        <v>Abrir facsímil</v>
      </c>
      <c r="K6634" s="3" t="s">
        <v>76</v>
      </c>
    </row>
    <row r="6635" spans="1:11" ht="42" customHeight="1">
      <c r="A6635" s="2" t="s">
        <v>16721</v>
      </c>
      <c r="B6635" s="2" t="s">
        <v>16721</v>
      </c>
      <c r="C6635" s="2" t="s">
        <v>26</v>
      </c>
      <c r="D6635" s="2" t="s">
        <v>220</v>
      </c>
      <c r="E6635" s="4">
        <v>-32716</v>
      </c>
      <c r="F6635" s="3" t="s">
        <v>624</v>
      </c>
      <c r="G6635" s="3" t="s">
        <v>90</v>
      </c>
      <c r="H6635" s="2" t="s">
        <v>74</v>
      </c>
      <c r="I6635" s="2" t="s">
        <v>16736</v>
      </c>
      <c r="J6635" s="3" t="str">
        <f>HYPERLINK("https://www.boe.es/gazeta/dias/1810/06/04/pdfs/GMD-1810-155.pdf#page=3","Abrir facsímil")</f>
        <v>Abrir facsímil</v>
      </c>
      <c r="K6635" s="3" t="s">
        <v>76</v>
      </c>
    </row>
    <row r="6636" spans="1:11" ht="42" customHeight="1">
      <c r="A6636" s="2" t="s">
        <v>16721</v>
      </c>
      <c r="B6636" s="2" t="s">
        <v>16721</v>
      </c>
      <c r="C6636" s="2" t="s">
        <v>26</v>
      </c>
      <c r="D6636" s="2" t="s">
        <v>27</v>
      </c>
      <c r="E6636" s="4">
        <v>-32713</v>
      </c>
      <c r="F6636" s="3" t="s">
        <v>959</v>
      </c>
      <c r="G6636" s="3" t="s">
        <v>632</v>
      </c>
      <c r="H6636" s="2" t="s">
        <v>74</v>
      </c>
      <c r="I6636" s="2" t="s">
        <v>16737</v>
      </c>
      <c r="J6636" s="3" t="str">
        <f>HYPERLINK("https://www.boe.es/gazeta/dias/1810/06/07/pdfs/GMD-1810-158.pdf#page=2","Abrir facsímil")</f>
        <v>Abrir facsímil</v>
      </c>
      <c r="K6636" s="3" t="s">
        <v>76</v>
      </c>
    </row>
    <row r="6637" spans="1:11" ht="42" customHeight="1">
      <c r="A6637" s="2" t="s">
        <v>16721</v>
      </c>
      <c r="B6637" s="2" t="s">
        <v>16721</v>
      </c>
      <c r="C6637" s="2" t="s">
        <v>26</v>
      </c>
      <c r="D6637" s="2" t="s">
        <v>27</v>
      </c>
      <c r="E6637" s="4">
        <v>-32713</v>
      </c>
      <c r="F6637" s="3" t="s">
        <v>959</v>
      </c>
      <c r="G6637" s="3" t="s">
        <v>960</v>
      </c>
      <c r="H6637" s="2" t="s">
        <v>74</v>
      </c>
      <c r="I6637" s="2" t="s">
        <v>16738</v>
      </c>
      <c r="J6637" s="3" t="str">
        <f>HYPERLINK("https://www.boe.es/gazeta/dias/1810/06/07/pdfs/GMD-1810-158.pdf#page=4","Abrir facsímil")</f>
        <v>Abrir facsímil</v>
      </c>
      <c r="K6637" s="3" t="s">
        <v>76</v>
      </c>
    </row>
    <row r="6638" spans="1:11" ht="42" customHeight="1">
      <c r="A6638" s="2" t="s">
        <v>16721</v>
      </c>
      <c r="B6638" s="2" t="s">
        <v>16721</v>
      </c>
      <c r="C6638" s="2" t="s">
        <v>26</v>
      </c>
      <c r="D6638" s="2" t="s">
        <v>27</v>
      </c>
      <c r="E6638" s="4">
        <v>-32705</v>
      </c>
      <c r="F6638" s="3" t="s">
        <v>1158</v>
      </c>
      <c r="G6638" s="3" t="s">
        <v>35</v>
      </c>
      <c r="H6638" s="2" t="s">
        <v>74</v>
      </c>
      <c r="I6638" s="2" t="s">
        <v>16739</v>
      </c>
      <c r="J6638" s="3" t="str">
        <f>HYPERLINK("https://www.boe.es/gazeta/dias/1810/06/15/pdfs/GMD-1810-166.pdf#page=2","Abrir facsímil")</f>
        <v>Abrir facsímil</v>
      </c>
      <c r="K6638" s="3" t="s">
        <v>76</v>
      </c>
    </row>
    <row r="6639" spans="1:11" ht="42" customHeight="1">
      <c r="A6639" s="2" t="s">
        <v>16721</v>
      </c>
      <c r="B6639" s="2" t="s">
        <v>16721</v>
      </c>
      <c r="C6639" s="2" t="s">
        <v>225</v>
      </c>
      <c r="D6639" s="2" t="s">
        <v>18</v>
      </c>
      <c r="E6639" s="4">
        <v>-32705</v>
      </c>
      <c r="F6639" s="3" t="s">
        <v>1158</v>
      </c>
      <c r="G6639" s="3" t="s">
        <v>1711</v>
      </c>
      <c r="H6639" s="2" t="s">
        <v>74</v>
      </c>
      <c r="I6639" s="2" t="s">
        <v>16740</v>
      </c>
      <c r="J6639" s="3" t="str">
        <f>HYPERLINK("https://www.boe.es/gazeta/dias/1810/06/15/pdfs/GMD-1810-166.pdf#page=4","Abrir facsímil")</f>
        <v>Abrir facsímil</v>
      </c>
      <c r="K6639" s="3" t="s">
        <v>76</v>
      </c>
    </row>
    <row r="6640" spans="1:11" ht="42" customHeight="1">
      <c r="A6640" s="2" t="s">
        <v>16721</v>
      </c>
      <c r="B6640" s="2" t="s">
        <v>16721</v>
      </c>
      <c r="C6640" s="2" t="s">
        <v>26</v>
      </c>
      <c r="D6640" s="2" t="s">
        <v>39</v>
      </c>
      <c r="E6640" s="4">
        <v>-32702</v>
      </c>
      <c r="F6640" s="3" t="s">
        <v>179</v>
      </c>
      <c r="G6640" s="3" t="s">
        <v>119</v>
      </c>
      <c r="H6640" s="2" t="s">
        <v>74</v>
      </c>
      <c r="I6640" s="2" t="s">
        <v>16741</v>
      </c>
      <c r="J6640" s="3" t="str">
        <f>HYPERLINK("https://www.boe.es/gazeta/dias/1810/06/18/pdfs/GMD-C-1810-169.pdf#page=1","Abrir facsímil")</f>
        <v>Abrir facsímil</v>
      </c>
      <c r="K6640" s="3" t="s">
        <v>76</v>
      </c>
    </row>
    <row r="6641" spans="1:11" ht="42" customHeight="1">
      <c r="A6641" s="2" t="s">
        <v>16721</v>
      </c>
      <c r="B6641" s="2" t="s">
        <v>16721</v>
      </c>
      <c r="C6641" s="2" t="s">
        <v>26</v>
      </c>
      <c r="D6641" s="2" t="s">
        <v>39</v>
      </c>
      <c r="E6641" s="4">
        <v>-32702</v>
      </c>
      <c r="F6641" s="3" t="s">
        <v>179</v>
      </c>
      <c r="G6641" s="3" t="s">
        <v>517</v>
      </c>
      <c r="H6641" s="2" t="s">
        <v>74</v>
      </c>
      <c r="I6641" s="2" t="s">
        <v>16742</v>
      </c>
      <c r="J6641" s="3" t="str">
        <f>HYPERLINK("https://www.boe.es/gazeta/dias/1810/06/18/pdfs/GMD-C-1810-169.pdf#page=3","Abrir facsímil")</f>
        <v>Abrir facsímil</v>
      </c>
      <c r="K6641" s="3" t="s">
        <v>76</v>
      </c>
    </row>
    <row r="6642" spans="1:11" ht="42" customHeight="1">
      <c r="A6642" s="2" t="s">
        <v>16721</v>
      </c>
      <c r="B6642" s="2" t="s">
        <v>16721</v>
      </c>
      <c r="C6642" s="2" t="s">
        <v>26</v>
      </c>
      <c r="D6642" s="2" t="s">
        <v>39</v>
      </c>
      <c r="E6642" s="4">
        <v>-32702</v>
      </c>
      <c r="F6642" s="3" t="s">
        <v>179</v>
      </c>
      <c r="G6642" s="3" t="s">
        <v>213</v>
      </c>
      <c r="H6642" s="2" t="s">
        <v>74</v>
      </c>
      <c r="I6642" s="2" t="s">
        <v>16743</v>
      </c>
      <c r="J6642" s="3" t="str">
        <f>HYPERLINK("https://www.boe.es/gazeta/dias/1810/06/18/pdfs/GMD-C-1810-169.pdf#page=4","Abrir facsímil")</f>
        <v>Abrir facsímil</v>
      </c>
      <c r="K6642" s="3" t="s">
        <v>76</v>
      </c>
    </row>
    <row r="6643" spans="1:11" ht="42" customHeight="1">
      <c r="A6643" s="2" t="s">
        <v>16721</v>
      </c>
      <c r="B6643" s="2" t="s">
        <v>16721</v>
      </c>
      <c r="C6643" s="2" t="s">
        <v>26</v>
      </c>
      <c r="D6643" s="2" t="s">
        <v>27</v>
      </c>
      <c r="E6643" s="4">
        <v>-32701</v>
      </c>
      <c r="F6643" s="3" t="s">
        <v>1019</v>
      </c>
      <c r="G6643" s="3" t="s">
        <v>465</v>
      </c>
      <c r="H6643" s="2" t="s">
        <v>74</v>
      </c>
      <c r="I6643" s="2" t="s">
        <v>16744</v>
      </c>
      <c r="J6643" s="3" t="str">
        <f>HYPERLINK("https://www.boe.es/gazeta/dias/1810/06/19/pdfs/GMD-1810-170.pdf#page=3","Abrir facsímil")</f>
        <v>Abrir facsímil</v>
      </c>
      <c r="K6643" s="3" t="s">
        <v>76</v>
      </c>
    </row>
    <row r="6644" spans="1:11" ht="42" customHeight="1">
      <c r="A6644" s="2" t="s">
        <v>16721</v>
      </c>
      <c r="B6644" s="2" t="s">
        <v>16721</v>
      </c>
      <c r="C6644" s="2" t="s">
        <v>26</v>
      </c>
      <c r="D6644" s="2" t="s">
        <v>39</v>
      </c>
      <c r="E6644" s="4">
        <v>-32701</v>
      </c>
      <c r="F6644" s="3" t="s">
        <v>40</v>
      </c>
      <c r="G6644" s="3" t="s">
        <v>41</v>
      </c>
      <c r="H6644" s="2" t="s">
        <v>74</v>
      </c>
      <c r="I6644" s="2" t="s">
        <v>16745</v>
      </c>
      <c r="J6644" s="3" t="str">
        <f>HYPERLINK("https://www.boe.es/gazeta/dias/1810/06/19/pdfs/GMD-C-1810-170.pdf#page=3","Abrir facsímil")</f>
        <v>Abrir facsímil</v>
      </c>
      <c r="K6644" s="3" t="s">
        <v>76</v>
      </c>
    </row>
    <row r="6645" spans="1:11" ht="42" customHeight="1">
      <c r="A6645" s="2" t="s">
        <v>16721</v>
      </c>
      <c r="B6645" s="2" t="s">
        <v>16721</v>
      </c>
      <c r="C6645" s="2" t="s">
        <v>26</v>
      </c>
      <c r="D6645" s="2" t="s">
        <v>18</v>
      </c>
      <c r="E6645" s="4">
        <v>-32701</v>
      </c>
      <c r="F6645" s="3" t="s">
        <v>40</v>
      </c>
      <c r="G6645" s="3" t="s">
        <v>333</v>
      </c>
      <c r="H6645" s="2" t="s">
        <v>74</v>
      </c>
      <c r="I6645" s="2" t="s">
        <v>16746</v>
      </c>
      <c r="J6645" s="3" t="str">
        <f>HYPERLINK("https://www.boe.es/gazeta/dias/1810/06/19/pdfs/GMD-C-1810-170.pdf#page=4","Abrir facsímil")</f>
        <v>Abrir facsímil</v>
      </c>
      <c r="K6645" s="3" t="s">
        <v>76</v>
      </c>
    </row>
    <row r="6646" spans="1:11" ht="42" customHeight="1">
      <c r="A6646" s="2" t="s">
        <v>16721</v>
      </c>
      <c r="B6646" s="2" t="s">
        <v>16721</v>
      </c>
      <c r="C6646" s="2" t="s">
        <v>88</v>
      </c>
      <c r="D6646" s="2" t="s">
        <v>18</v>
      </c>
      <c r="E6646" s="4">
        <v>-32700</v>
      </c>
      <c r="F6646" s="3" t="s">
        <v>89</v>
      </c>
      <c r="G6646" s="3" t="s">
        <v>90</v>
      </c>
      <c r="H6646" s="2" t="s">
        <v>74</v>
      </c>
      <c r="I6646" s="2" t="s">
        <v>16747</v>
      </c>
      <c r="J6646" s="3" t="str">
        <f>HYPERLINK("https://www.boe.es/gazeta/dias/1810/06/20/pdfs/GMD-1810-171.pdf#page=2","Abrir facsímil")</f>
        <v>Abrir facsímil</v>
      </c>
      <c r="K6646" s="3" t="s">
        <v>76</v>
      </c>
    </row>
    <row r="6647" spans="1:11" ht="42" customHeight="1">
      <c r="A6647" s="2" t="s">
        <v>16721</v>
      </c>
      <c r="B6647" s="2" t="s">
        <v>16721</v>
      </c>
      <c r="C6647" s="2" t="s">
        <v>26</v>
      </c>
      <c r="D6647" s="2" t="s">
        <v>27</v>
      </c>
      <c r="E6647" s="4">
        <v>-32700</v>
      </c>
      <c r="F6647" s="3" t="s">
        <v>89</v>
      </c>
      <c r="G6647" s="3" t="s">
        <v>29</v>
      </c>
      <c r="H6647" s="2" t="s">
        <v>74</v>
      </c>
      <c r="I6647" s="2" t="s">
        <v>16748</v>
      </c>
      <c r="J6647" s="3" t="str">
        <f>HYPERLINK("https://www.boe.es/gazeta/dias/1810/06/20/pdfs/GMD-1810-171.pdf#page=3","Abrir facsímil")</f>
        <v>Abrir facsímil</v>
      </c>
      <c r="K6647" s="3" t="s">
        <v>76</v>
      </c>
    </row>
    <row r="6648" spans="1:11" ht="42" customHeight="1">
      <c r="A6648" s="2" t="s">
        <v>16721</v>
      </c>
      <c r="B6648" s="2" t="s">
        <v>16721</v>
      </c>
      <c r="C6648" s="2" t="s">
        <v>26</v>
      </c>
      <c r="D6648" s="2" t="s">
        <v>27</v>
      </c>
      <c r="E6648" s="4">
        <v>-32698</v>
      </c>
      <c r="F6648" s="3" t="s">
        <v>1721</v>
      </c>
      <c r="G6648" s="3" t="s">
        <v>668</v>
      </c>
      <c r="H6648" s="2" t="s">
        <v>74</v>
      </c>
      <c r="I6648" s="2" t="s">
        <v>16749</v>
      </c>
      <c r="J6648" s="3" t="str">
        <f>HYPERLINK("https://www.boe.es/gazeta/dias/1810/06/22/pdfs/GMD-1810-173.pdf#page=3","Abrir facsímil")</f>
        <v>Abrir facsímil</v>
      </c>
      <c r="K6648" s="3" t="s">
        <v>76</v>
      </c>
    </row>
    <row r="6649" spans="1:11" ht="42" customHeight="1">
      <c r="A6649" s="2" t="s">
        <v>16721</v>
      </c>
      <c r="B6649" s="2" t="s">
        <v>16721</v>
      </c>
      <c r="C6649" s="2" t="s">
        <v>26</v>
      </c>
      <c r="D6649" s="2" t="s">
        <v>27</v>
      </c>
      <c r="E6649" s="4">
        <v>-32698</v>
      </c>
      <c r="F6649" s="3" t="s">
        <v>1721</v>
      </c>
      <c r="G6649" s="3" t="s">
        <v>632</v>
      </c>
      <c r="H6649" s="2" t="s">
        <v>74</v>
      </c>
      <c r="I6649" s="2" t="s">
        <v>16750</v>
      </c>
      <c r="J6649" s="3" t="str">
        <f>HYPERLINK("https://www.boe.es/gazeta/dias/1810/06/22/pdfs/GMD-1810-173.pdf#page=4","Abrir facsímil")</f>
        <v>Abrir facsímil</v>
      </c>
      <c r="K6649" s="3" t="s">
        <v>76</v>
      </c>
    </row>
    <row r="6650" spans="1:11" ht="42" customHeight="1">
      <c r="A6650" s="2" t="s">
        <v>16721</v>
      </c>
      <c r="B6650" s="2" t="s">
        <v>16721</v>
      </c>
      <c r="C6650" s="2" t="s">
        <v>26</v>
      </c>
      <c r="D6650" s="2" t="s">
        <v>18</v>
      </c>
      <c r="E6650" s="4">
        <v>-32661</v>
      </c>
      <c r="F6650" s="3" t="s">
        <v>157</v>
      </c>
      <c r="G6650" s="3" t="s">
        <v>158</v>
      </c>
      <c r="H6650" s="2" t="s">
        <v>74</v>
      </c>
      <c r="I6650" s="2" t="s">
        <v>16751</v>
      </c>
      <c r="J6650" s="3" t="str">
        <f>HYPERLINK("https://www.boe.es/gazeta/dias/1810/07/29/pdfs/GMD-C-1810-210.pdf#page=1","Abrir facsímil")</f>
        <v>Abrir facsímil</v>
      </c>
      <c r="K6650" s="3" t="s">
        <v>76</v>
      </c>
    </row>
    <row r="6651" spans="1:11" ht="42" customHeight="1">
      <c r="A6651" s="2" t="s">
        <v>16721</v>
      </c>
      <c r="B6651" s="2" t="s">
        <v>16721</v>
      </c>
      <c r="C6651" s="2" t="s">
        <v>111</v>
      </c>
      <c r="D6651" s="2" t="s">
        <v>27</v>
      </c>
      <c r="E6651" s="4">
        <v>-32647</v>
      </c>
      <c r="F6651" s="3" t="s">
        <v>118</v>
      </c>
      <c r="G6651" s="3" t="s">
        <v>119</v>
      </c>
      <c r="H6651" s="2" t="s">
        <v>74</v>
      </c>
      <c r="I6651" s="2" t="s">
        <v>16752</v>
      </c>
      <c r="J6651" s="3" t="str">
        <f>HYPERLINK("https://www.boe.es/gazeta/dias/1810/08/12/pdfs/GMD-1810-224.pdf#page=3","Abrir facsímil")</f>
        <v>Abrir facsímil</v>
      </c>
      <c r="K6651" s="3" t="s">
        <v>76</v>
      </c>
    </row>
    <row r="6652" spans="1:11" ht="42" customHeight="1">
      <c r="A6652" s="2" t="s">
        <v>16721</v>
      </c>
      <c r="B6652" s="2" t="s">
        <v>16721</v>
      </c>
      <c r="C6652" s="2" t="s">
        <v>88</v>
      </c>
      <c r="D6652" s="2" t="s">
        <v>27</v>
      </c>
      <c r="E6652" s="4">
        <v>-32603</v>
      </c>
      <c r="F6652" s="3" t="s">
        <v>2163</v>
      </c>
      <c r="G6652" s="3" t="s">
        <v>4601</v>
      </c>
      <c r="H6652" s="2" t="s">
        <v>74</v>
      </c>
      <c r="I6652" s="2" t="s">
        <v>16753</v>
      </c>
      <c r="J6652" s="3" t="str">
        <f>HYPERLINK("https://www.boe.es/gazeta/dias/1810/09/25/pdfs/GEI-1810-72.pdf#page=7","Abrir facsímil")</f>
        <v>Abrir facsímil</v>
      </c>
      <c r="K6652" s="3" t="s">
        <v>76</v>
      </c>
    </row>
    <row r="6653" spans="1:11" ht="42" customHeight="1">
      <c r="A6653" s="2" t="s">
        <v>16721</v>
      </c>
      <c r="B6653" s="2" t="s">
        <v>16721</v>
      </c>
      <c r="C6653" s="2" t="s">
        <v>26</v>
      </c>
      <c r="D6653" s="2" t="s">
        <v>27</v>
      </c>
      <c r="E6653" s="4">
        <v>-32591</v>
      </c>
      <c r="F6653" s="3" t="s">
        <v>377</v>
      </c>
      <c r="G6653" s="3" t="s">
        <v>886</v>
      </c>
      <c r="H6653" s="2" t="s">
        <v>74</v>
      </c>
      <c r="I6653" s="2" t="s">
        <v>16754</v>
      </c>
      <c r="J6653" s="3" t="str">
        <f>HYPERLINK("https://www.boe.es/gazeta/dias/1810/10/07/pdfs/GMD-1810-280.pdf#page=1","Abrir facsímil")</f>
        <v>Abrir facsímil</v>
      </c>
      <c r="K6653" s="3" t="s">
        <v>76</v>
      </c>
    </row>
    <row r="6654" spans="1:11" ht="42" customHeight="1">
      <c r="A6654" s="2" t="s">
        <v>16721</v>
      </c>
      <c r="B6654" s="2" t="s">
        <v>16721</v>
      </c>
      <c r="C6654" s="2" t="s">
        <v>26</v>
      </c>
      <c r="D6654" s="2" t="s">
        <v>27</v>
      </c>
      <c r="E6654" s="4">
        <v>-32591</v>
      </c>
      <c r="F6654" s="3" t="s">
        <v>377</v>
      </c>
      <c r="G6654" s="3" t="s">
        <v>35</v>
      </c>
      <c r="H6654" s="2" t="s">
        <v>74</v>
      </c>
      <c r="I6654" s="2" t="s">
        <v>16755</v>
      </c>
      <c r="J6654" s="3" t="str">
        <f>HYPERLINK("https://www.boe.es/gazeta/dias/1810/10/07/pdfs/GMD-1810-280.pdf#page=2","Abrir facsímil")</f>
        <v>Abrir facsímil</v>
      </c>
      <c r="K6654" s="3" t="s">
        <v>76</v>
      </c>
    </row>
    <row r="6655" spans="1:11" ht="42" customHeight="1">
      <c r="A6655" s="2" t="s">
        <v>16721</v>
      </c>
      <c r="B6655" s="2" t="s">
        <v>16721</v>
      </c>
      <c r="C6655" s="2" t="s">
        <v>26</v>
      </c>
      <c r="D6655" s="2" t="s">
        <v>27</v>
      </c>
      <c r="E6655" s="4">
        <v>-32591</v>
      </c>
      <c r="F6655" s="3" t="s">
        <v>377</v>
      </c>
      <c r="G6655" s="3" t="s">
        <v>136</v>
      </c>
      <c r="H6655" s="2" t="s">
        <v>74</v>
      </c>
      <c r="I6655" s="2" t="s">
        <v>16756</v>
      </c>
      <c r="J6655" s="3" t="str">
        <f>HYPERLINK("https://www.boe.es/gazeta/dias/1810/10/07/pdfs/GMD-1810-280.pdf#page=3","Abrir facsímil")</f>
        <v>Abrir facsímil</v>
      </c>
      <c r="K6655" s="3" t="s">
        <v>76</v>
      </c>
    </row>
    <row r="6656" spans="1:11" ht="42" customHeight="1">
      <c r="A6656" s="2" t="s">
        <v>16721</v>
      </c>
      <c r="B6656" s="2" t="s">
        <v>16721</v>
      </c>
      <c r="C6656" s="2" t="s">
        <v>26</v>
      </c>
      <c r="D6656" s="2" t="s">
        <v>27</v>
      </c>
      <c r="E6656" s="4">
        <v>-32591</v>
      </c>
      <c r="F6656" s="3" t="s">
        <v>377</v>
      </c>
      <c r="G6656" s="3" t="s">
        <v>140</v>
      </c>
      <c r="H6656" s="2" t="s">
        <v>74</v>
      </c>
      <c r="I6656" s="2" t="s">
        <v>16757</v>
      </c>
      <c r="J6656" s="3" t="str">
        <f>HYPERLINK("https://www.boe.es/gazeta/dias/1810/10/07/pdfs/GMD-1810-280.pdf#page=4","Abrir facsímil")</f>
        <v>Abrir facsímil</v>
      </c>
      <c r="K6656" s="3" t="s">
        <v>76</v>
      </c>
    </row>
    <row r="6657" spans="1:11" ht="42" customHeight="1">
      <c r="A6657" s="2" t="s">
        <v>16721</v>
      </c>
      <c r="B6657" s="2" t="s">
        <v>16721</v>
      </c>
      <c r="C6657" s="2" t="s">
        <v>88</v>
      </c>
      <c r="D6657" s="2" t="s">
        <v>117</v>
      </c>
      <c r="E6657" s="4">
        <v>-32584</v>
      </c>
      <c r="F6657" s="3" t="s">
        <v>1560</v>
      </c>
      <c r="G6657" s="3" t="s">
        <v>971</v>
      </c>
      <c r="H6657" s="2" t="s">
        <v>74</v>
      </c>
      <c r="I6657" s="2" t="s">
        <v>16758</v>
      </c>
      <c r="J6657" s="3" t="str">
        <f>HYPERLINK("https://www.boe.es/gazeta/dias/1810/10/14/pdfs/GMD-1810-287.pdf#page=3","Abrir facsímil")</f>
        <v>Abrir facsímil</v>
      </c>
      <c r="K6657" s="3" t="s">
        <v>76</v>
      </c>
    </row>
    <row r="6658" spans="1:11" ht="42" customHeight="1">
      <c r="A6658" s="2" t="s">
        <v>16721</v>
      </c>
      <c r="B6658" s="2" t="s">
        <v>16721</v>
      </c>
      <c r="C6658" s="2" t="s">
        <v>26</v>
      </c>
      <c r="D6658" s="2" t="s">
        <v>27</v>
      </c>
      <c r="E6658" s="4">
        <v>-32578</v>
      </c>
      <c r="F6658" s="3" t="s">
        <v>7073</v>
      </c>
      <c r="G6658" s="3" t="s">
        <v>7074</v>
      </c>
      <c r="H6658" s="2" t="s">
        <v>74</v>
      </c>
      <c r="I6658" s="2" t="s">
        <v>16759</v>
      </c>
      <c r="J6658" s="3" t="str">
        <f>HYPERLINK("https://www.boe.es/gazeta/dias/1810/10/20/pdfs/GMD-1810-293.pdf#page=4","Abrir facsímil")</f>
        <v>Abrir facsímil</v>
      </c>
      <c r="K6658" s="3" t="s">
        <v>76</v>
      </c>
    </row>
    <row r="6659" spans="1:11" ht="42" customHeight="1">
      <c r="A6659" s="2" t="s">
        <v>16721</v>
      </c>
      <c r="B6659" s="2" t="s">
        <v>16721</v>
      </c>
      <c r="C6659" s="2" t="s">
        <v>26</v>
      </c>
      <c r="D6659" s="2" t="s">
        <v>27</v>
      </c>
      <c r="E6659" s="4">
        <v>-32573</v>
      </c>
      <c r="F6659" s="3" t="s">
        <v>3120</v>
      </c>
      <c r="G6659" s="3" t="s">
        <v>16760</v>
      </c>
      <c r="H6659" s="2" t="s">
        <v>74</v>
      </c>
      <c r="I6659" s="2" t="s">
        <v>16761</v>
      </c>
      <c r="J6659" s="3" t="str">
        <f>HYPERLINK("https://www.boe.es/gazeta/dias/1810/10/25/pdfs/GEI-1810-86.pdf#page=8","Abrir facsímil")</f>
        <v>Abrir facsímil</v>
      </c>
      <c r="K6659" s="3" t="s">
        <v>76</v>
      </c>
    </row>
    <row r="6660" spans="1:11" ht="42" customHeight="1">
      <c r="A6660" s="2" t="s">
        <v>16721</v>
      </c>
      <c r="B6660" s="2" t="s">
        <v>16721</v>
      </c>
      <c r="C6660" s="2" t="s">
        <v>88</v>
      </c>
      <c r="D6660" s="2" t="s">
        <v>27</v>
      </c>
      <c r="E6660" s="4">
        <v>-32566</v>
      </c>
      <c r="F6660" s="3" t="s">
        <v>405</v>
      </c>
      <c r="G6660" s="3" t="s">
        <v>469</v>
      </c>
      <c r="H6660" s="2" t="s">
        <v>74</v>
      </c>
      <c r="I6660" s="2" t="s">
        <v>16762</v>
      </c>
      <c r="J6660" s="3" t="str">
        <f>HYPERLINK("https://www.boe.es/gazeta/dias/1810/11/01/pdfs/GMD-1810-305.pdf#page=2","Abrir facsímil")</f>
        <v>Abrir facsímil</v>
      </c>
      <c r="K6660" s="3" t="s">
        <v>76</v>
      </c>
    </row>
    <row r="6661" spans="1:11" ht="42" customHeight="1">
      <c r="A6661" s="2" t="s">
        <v>16721</v>
      </c>
      <c r="B6661" s="2" t="s">
        <v>16721</v>
      </c>
      <c r="C6661" s="2" t="s">
        <v>88</v>
      </c>
      <c r="D6661" s="2" t="s">
        <v>27</v>
      </c>
      <c r="E6661" s="4">
        <v>-32566</v>
      </c>
      <c r="F6661" s="3" t="s">
        <v>405</v>
      </c>
      <c r="G6661" s="3" t="s">
        <v>99</v>
      </c>
      <c r="H6661" s="2" t="s">
        <v>74</v>
      </c>
      <c r="I6661" s="2" t="s">
        <v>16763</v>
      </c>
      <c r="J6661" s="3" t="str">
        <f>HYPERLINK("https://www.boe.es/gazeta/dias/1810/11/01/pdfs/GMD-1810-305.pdf#page=3","Abrir facsímil")</f>
        <v>Abrir facsímil</v>
      </c>
      <c r="K6661" s="3" t="s">
        <v>76</v>
      </c>
    </row>
    <row r="6662" spans="1:11" ht="42" customHeight="1">
      <c r="A6662" s="2" t="s">
        <v>16721</v>
      </c>
      <c r="B6662" s="2" t="s">
        <v>16721</v>
      </c>
      <c r="C6662" s="2" t="s">
        <v>88</v>
      </c>
      <c r="D6662" s="2" t="s">
        <v>117</v>
      </c>
      <c r="E6662" s="4">
        <v>-32564</v>
      </c>
      <c r="F6662" s="3" t="s">
        <v>1604</v>
      </c>
      <c r="G6662" s="3" t="s">
        <v>1605</v>
      </c>
      <c r="H6662" s="2" t="s">
        <v>74</v>
      </c>
      <c r="I6662" s="2" t="s">
        <v>16764</v>
      </c>
      <c r="J6662" s="3" t="str">
        <f>HYPERLINK("https://www.boe.es/gazeta/dias/1810/11/03/pdfs/GMD-1810-307.pdf#page=2","Abrir facsímil")</f>
        <v>Abrir facsímil</v>
      </c>
      <c r="K6662" s="3" t="s">
        <v>76</v>
      </c>
    </row>
    <row r="6663" spans="1:11" ht="42" customHeight="1">
      <c r="A6663" s="2" t="s">
        <v>16721</v>
      </c>
      <c r="B6663" s="2" t="s">
        <v>16721</v>
      </c>
      <c r="C6663" s="2" t="s">
        <v>111</v>
      </c>
      <c r="D6663" s="2" t="s">
        <v>27</v>
      </c>
      <c r="E6663" s="4">
        <v>-32556</v>
      </c>
      <c r="F6663" s="3" t="s">
        <v>799</v>
      </c>
      <c r="G6663" s="3" t="s">
        <v>70</v>
      </c>
      <c r="H6663" s="2" t="s">
        <v>74</v>
      </c>
      <c r="I6663" s="2" t="s">
        <v>16765</v>
      </c>
      <c r="J6663" s="3" t="str">
        <f>HYPERLINK("https://www.boe.es/gazeta/dias/1810/11/11/pdfs/GMD-1810-315.pdf#page=4","Abrir facsímil")</f>
        <v>Abrir facsímil</v>
      </c>
      <c r="K6663" s="3" t="s">
        <v>76</v>
      </c>
    </row>
    <row r="6664" spans="1:11" ht="42" customHeight="1">
      <c r="A6664" s="2" t="s">
        <v>16721</v>
      </c>
      <c r="B6664" s="2" t="s">
        <v>16721</v>
      </c>
      <c r="C6664" s="2" t="s">
        <v>26</v>
      </c>
      <c r="D6664" s="2" t="s">
        <v>27</v>
      </c>
      <c r="E6664" s="4">
        <v>-32547</v>
      </c>
      <c r="F6664" s="3" t="s">
        <v>407</v>
      </c>
      <c r="G6664" s="3" t="s">
        <v>408</v>
      </c>
      <c r="H6664" s="2" t="s">
        <v>74</v>
      </c>
      <c r="I6664" s="2" t="s">
        <v>16766</v>
      </c>
      <c r="J6664" s="3" t="str">
        <f>HYPERLINK("https://www.boe.es/gazeta/dias/1810/11/20/pdfs/GEI-1810-97.pdf#page=8","Abrir facsímil")</f>
        <v>Abrir facsímil</v>
      </c>
      <c r="K6664" s="3" t="s">
        <v>76</v>
      </c>
    </row>
    <row r="6665" spans="1:11" ht="42" customHeight="1">
      <c r="A6665" s="2" t="s">
        <v>16721</v>
      </c>
      <c r="B6665" s="2" t="s">
        <v>16721</v>
      </c>
      <c r="C6665" s="2" t="s">
        <v>88</v>
      </c>
      <c r="D6665" s="2" t="s">
        <v>117</v>
      </c>
      <c r="E6665" s="4">
        <v>-32533</v>
      </c>
      <c r="F6665" s="3" t="s">
        <v>1357</v>
      </c>
      <c r="G6665" s="3" t="s">
        <v>1894</v>
      </c>
      <c r="H6665" s="2" t="s">
        <v>74</v>
      </c>
      <c r="I6665" s="2" t="s">
        <v>16767</v>
      </c>
      <c r="J6665" s="3" t="str">
        <f>HYPERLINK("https://www.boe.es/gazeta/dias/1810/12/04/pdfs/GEI-1810-103.pdf#page=7","Abrir facsímil")</f>
        <v>Abrir facsímil</v>
      </c>
      <c r="K6665" s="3" t="s">
        <v>76</v>
      </c>
    </row>
    <row r="6666" spans="1:11" ht="42" customHeight="1">
      <c r="A6666" s="2" t="s">
        <v>16721</v>
      </c>
      <c r="B6666" s="2" t="s">
        <v>16721</v>
      </c>
      <c r="C6666" s="2" t="s">
        <v>26</v>
      </c>
      <c r="D6666" s="2" t="s">
        <v>27</v>
      </c>
      <c r="E6666" s="4">
        <v>-32508</v>
      </c>
      <c r="F6666" s="3" t="s">
        <v>864</v>
      </c>
      <c r="G6666" s="3" t="s">
        <v>691</v>
      </c>
      <c r="H6666" s="2" t="s">
        <v>74</v>
      </c>
      <c r="I6666" s="2" t="s">
        <v>16768</v>
      </c>
      <c r="J6666" s="3" t="str">
        <f>HYPERLINK("https://www.boe.es/gazeta/dias/1810/12/29/pdfs/GEI-1810-114.pdf#page=8","Abrir facsímil")</f>
        <v>Abrir facsímil</v>
      </c>
      <c r="K6666" s="3" t="s">
        <v>76</v>
      </c>
    </row>
    <row r="6667" spans="1:11" ht="42" customHeight="1">
      <c r="A6667" s="2" t="s">
        <v>16769</v>
      </c>
      <c r="B6667" s="2" t="s">
        <v>16770</v>
      </c>
      <c r="C6667" s="2" t="s">
        <v>26</v>
      </c>
      <c r="D6667" s="2" t="s">
        <v>27</v>
      </c>
      <c r="E6667" s="4">
        <v>-32761</v>
      </c>
      <c r="F6667" s="3" t="s">
        <v>811</v>
      </c>
      <c r="G6667" s="3" t="s">
        <v>140</v>
      </c>
      <c r="H6667" s="2" t="s">
        <v>74</v>
      </c>
      <c r="I6667" s="2" t="s">
        <v>16771</v>
      </c>
      <c r="J6667" s="3" t="str">
        <f>HYPERLINK("https://www.boe.es/gazeta/dias/1810/04/20/pdfs/GEI-1810-16.pdf#page=8","Abrir facsímil")</f>
        <v>Abrir facsímil</v>
      </c>
      <c r="K6667" s="3" t="s">
        <v>76</v>
      </c>
    </row>
    <row r="6668" spans="1:11" ht="42" customHeight="1">
      <c r="A6668" s="2" t="s">
        <v>16772</v>
      </c>
      <c r="B6668" s="2" t="s">
        <v>16773</v>
      </c>
      <c r="C6668" s="2" t="s">
        <v>195</v>
      </c>
      <c r="D6668" s="2" t="s">
        <v>27</v>
      </c>
      <c r="E6668" s="4">
        <v>-32783</v>
      </c>
      <c r="F6668" s="3" t="s">
        <v>896</v>
      </c>
      <c r="G6668" s="3" t="s">
        <v>20</v>
      </c>
      <c r="H6668" s="2" t="s">
        <v>74</v>
      </c>
      <c r="I6668" s="2" t="s">
        <v>16774</v>
      </c>
      <c r="J6668" s="3" t="str">
        <f>HYPERLINK("https://www.boe.es/gazeta/dias/1810/03/29/pdfs/GMD-1810-88.pdf#page=4","Abrir facsímil")</f>
        <v>Abrir facsímil</v>
      </c>
      <c r="K6668" s="3" t="s">
        <v>76</v>
      </c>
    </row>
    <row r="6669" spans="1:11" ht="42" customHeight="1">
      <c r="A6669" s="2" t="s">
        <v>16775</v>
      </c>
      <c r="B6669" s="2" t="s">
        <v>16775</v>
      </c>
      <c r="C6669" s="2" t="s">
        <v>26</v>
      </c>
      <c r="D6669" s="2" t="s">
        <v>27</v>
      </c>
      <c r="E6669" s="4">
        <v>-32713</v>
      </c>
      <c r="F6669" s="3" t="s">
        <v>959</v>
      </c>
      <c r="G6669" s="3" t="s">
        <v>12439</v>
      </c>
      <c r="H6669" s="2" t="s">
        <v>74</v>
      </c>
      <c r="I6669" s="2" t="s">
        <v>16776</v>
      </c>
      <c r="J6669" s="3" t="str">
        <f>HYPERLINK("https://www.boe.es/gazeta/dias/1810/06/07/pdfs/GMD-1810-158.pdf#page=1","Abrir facsímil")</f>
        <v>Abrir facsímil</v>
      </c>
      <c r="K6669" s="3" t="s">
        <v>76</v>
      </c>
    </row>
    <row r="6670" spans="1:11" ht="42" customHeight="1">
      <c r="A6670" s="2" t="s">
        <v>16777</v>
      </c>
      <c r="B6670" s="2" t="s">
        <v>16778</v>
      </c>
      <c r="C6670" s="2" t="s">
        <v>26</v>
      </c>
      <c r="D6670" s="2" t="s">
        <v>27</v>
      </c>
      <c r="E6670" s="4">
        <v>-32705</v>
      </c>
      <c r="F6670" s="3" t="s">
        <v>678</v>
      </c>
      <c r="G6670" s="3" t="s">
        <v>691</v>
      </c>
      <c r="H6670" s="2" t="s">
        <v>74</v>
      </c>
      <c r="I6670" s="2" t="s">
        <v>16779</v>
      </c>
      <c r="J6670" s="3" t="str">
        <f>HYPERLINK("https://www.boe.es/gazeta/dias/1810/06/15/pdfs/GEI-1810-36.pdf#page=8","Abrir facsímil")</f>
        <v>Abrir facsímil</v>
      </c>
      <c r="K6670" s="3" t="s">
        <v>76</v>
      </c>
    </row>
    <row r="6671" spans="1:11" ht="42" customHeight="1">
      <c r="A6671" s="2" t="s">
        <v>16780</v>
      </c>
      <c r="B6671" s="2" t="s">
        <v>16781</v>
      </c>
      <c r="C6671" s="2" t="s">
        <v>225</v>
      </c>
      <c r="D6671" s="2" t="s">
        <v>27</v>
      </c>
      <c r="E6671" s="4">
        <v>-32509</v>
      </c>
      <c r="F6671" s="3" t="s">
        <v>212</v>
      </c>
      <c r="G6671" s="3" t="s">
        <v>213</v>
      </c>
      <c r="H6671" s="2" t="s">
        <v>74</v>
      </c>
      <c r="I6671" s="2" t="s">
        <v>16782</v>
      </c>
      <c r="J6671" s="3" t="str">
        <f>HYPERLINK("https://www.boe.es/gazeta/dias/1810/12/28/pdfs/GMD-1810-362.pdf#page=4","Abrir facsímil")</f>
        <v>Abrir facsímil</v>
      </c>
      <c r="K6671" s="3" t="s">
        <v>76</v>
      </c>
    </row>
    <row r="6672" spans="1:11" ht="42" customHeight="1">
      <c r="A6672" s="2" t="s">
        <v>16783</v>
      </c>
      <c r="B6672" s="2" t="s">
        <v>16784</v>
      </c>
      <c r="C6672" s="2" t="s">
        <v>26</v>
      </c>
      <c r="D6672" s="2" t="s">
        <v>39</v>
      </c>
      <c r="E6672" s="4">
        <v>-32702</v>
      </c>
      <c r="F6672" s="3" t="s">
        <v>179</v>
      </c>
      <c r="G6672" s="3" t="s">
        <v>517</v>
      </c>
      <c r="H6672" s="2" t="s">
        <v>74</v>
      </c>
      <c r="I6672" s="2" t="s">
        <v>16785</v>
      </c>
      <c r="J6672" s="3" t="str">
        <f>HYPERLINK("https://www.boe.es/gazeta/dias/1810/06/18/pdfs/GMD-C-1810-169.pdf#page=3","Abrir facsímil")</f>
        <v>Abrir facsímil</v>
      </c>
      <c r="K6672" s="3" t="s">
        <v>76</v>
      </c>
    </row>
    <row r="6673" spans="1:11" ht="42" customHeight="1">
      <c r="A6673" s="2" t="s">
        <v>16786</v>
      </c>
      <c r="B6673" s="2" t="s">
        <v>16787</v>
      </c>
      <c r="C6673" s="2" t="s">
        <v>88</v>
      </c>
      <c r="D6673" s="2" t="s">
        <v>27</v>
      </c>
      <c r="E6673" s="4">
        <v>-32645</v>
      </c>
      <c r="F6673" s="3" t="s">
        <v>122</v>
      </c>
      <c r="G6673" s="3" t="s">
        <v>588</v>
      </c>
      <c r="H6673" s="2" t="s">
        <v>74</v>
      </c>
      <c r="I6673" s="2" t="s">
        <v>16788</v>
      </c>
      <c r="J6673" s="3" t="str">
        <f>HYPERLINK("https://www.boe.es/gazeta/dias/1810/08/14/pdfs/GEI-1810-56.pdf#page=15","Abrir facsímil")</f>
        <v>Abrir facsímil</v>
      </c>
      <c r="K6673" s="3" t="s">
        <v>76</v>
      </c>
    </row>
    <row r="6674" spans="1:11" ht="42" customHeight="1">
      <c r="A6674" s="2" t="s">
        <v>16789</v>
      </c>
      <c r="B6674" s="2" t="s">
        <v>16790</v>
      </c>
      <c r="C6674" s="2" t="s">
        <v>195</v>
      </c>
      <c r="D6674" s="2" t="s">
        <v>27</v>
      </c>
      <c r="E6674" s="4">
        <v>-32545</v>
      </c>
      <c r="F6674" s="3" t="s">
        <v>165</v>
      </c>
      <c r="G6674" s="3" t="s">
        <v>166</v>
      </c>
      <c r="H6674" s="2" t="s">
        <v>74</v>
      </c>
      <c r="I6674" s="2" t="s">
        <v>16791</v>
      </c>
      <c r="J6674" s="3" t="str">
        <f>HYPERLINK("https://www.boe.es/gazeta/dias/1810/11/22/pdfs/GEI-1810-98.pdf#page=8","Abrir facsímil")</f>
        <v>Abrir facsímil</v>
      </c>
      <c r="K6674" s="3" t="s">
        <v>76</v>
      </c>
    </row>
    <row r="6675" spans="1:11" ht="42" customHeight="1">
      <c r="A6675" s="2" t="s">
        <v>16792</v>
      </c>
      <c r="B6675" s="2" t="s">
        <v>16793</v>
      </c>
      <c r="C6675" s="2" t="s">
        <v>33</v>
      </c>
      <c r="D6675" s="2" t="s">
        <v>27</v>
      </c>
      <c r="E6675" s="4">
        <v>-32761</v>
      </c>
      <c r="F6675" s="3" t="s">
        <v>811</v>
      </c>
      <c r="G6675" s="3" t="s">
        <v>140</v>
      </c>
      <c r="H6675" s="2" t="s">
        <v>74</v>
      </c>
      <c r="I6675" s="2" t="s">
        <v>16794</v>
      </c>
      <c r="J6675" s="3" t="str">
        <f>HYPERLINK("https://www.boe.es/gazeta/dias/1810/04/20/pdfs/GEI-1810-16.pdf#page=8","Abrir facsímil")</f>
        <v>Abrir facsímil</v>
      </c>
      <c r="K6675" s="3" t="s">
        <v>76</v>
      </c>
    </row>
    <row r="6676" spans="1:11" ht="42" customHeight="1">
      <c r="A6676" s="2" t="s">
        <v>16792</v>
      </c>
      <c r="B6676" s="2" t="s">
        <v>16793</v>
      </c>
      <c r="C6676" s="2" t="s">
        <v>88</v>
      </c>
      <c r="D6676" s="2" t="s">
        <v>117</v>
      </c>
      <c r="E6676" s="4">
        <v>-32656</v>
      </c>
      <c r="F6676" s="3" t="s">
        <v>1909</v>
      </c>
      <c r="G6676" s="3" t="s">
        <v>227</v>
      </c>
      <c r="H6676" s="2" t="s">
        <v>74</v>
      </c>
      <c r="I6676" s="2" t="s">
        <v>16795</v>
      </c>
      <c r="J6676" s="3" t="str">
        <f>HYPERLINK("https://www.boe.es/gazeta/dias/1810/08/03/pdfs/GEI-1810-50.pdf#page=8","Abrir facsímil")</f>
        <v>Abrir facsímil</v>
      </c>
      <c r="K6676" s="3" t="s">
        <v>76</v>
      </c>
    </row>
    <row r="6677" spans="1:11" ht="42" customHeight="1">
      <c r="A6677" s="2" t="s">
        <v>16796</v>
      </c>
      <c r="B6677" s="2" t="s">
        <v>16796</v>
      </c>
      <c r="C6677" s="2" t="s">
        <v>88</v>
      </c>
      <c r="D6677" s="2" t="s">
        <v>27</v>
      </c>
      <c r="E6677" s="4">
        <v>-32762</v>
      </c>
      <c r="F6677" s="3" t="s">
        <v>231</v>
      </c>
      <c r="G6677" s="3" t="s">
        <v>29</v>
      </c>
      <c r="H6677" s="2" t="s">
        <v>74</v>
      </c>
      <c r="I6677" s="2" t="s">
        <v>16797</v>
      </c>
      <c r="J6677" s="3" t="str">
        <f>HYPERLINK("https://www.boe.es/gazeta/dias/1810/04/19/pdfs/GMD-1810-109.pdf#page=2","Abrir facsímil")</f>
        <v>Abrir facsímil</v>
      </c>
      <c r="K6677" s="3" t="s">
        <v>76</v>
      </c>
    </row>
    <row r="6678" spans="1:11" ht="42" customHeight="1">
      <c r="A6678" s="2" t="s">
        <v>16798</v>
      </c>
      <c r="B6678" s="2" t="s">
        <v>16798</v>
      </c>
      <c r="C6678" s="2" t="s">
        <v>88</v>
      </c>
      <c r="D6678" s="2" t="s">
        <v>117</v>
      </c>
      <c r="E6678" s="4">
        <v>-32732</v>
      </c>
      <c r="F6678" s="3" t="s">
        <v>545</v>
      </c>
      <c r="G6678" s="3" t="s">
        <v>140</v>
      </c>
      <c r="H6678" s="2" t="s">
        <v>74</v>
      </c>
      <c r="I6678" s="2" t="s">
        <v>16799</v>
      </c>
      <c r="J6678" s="3" t="str">
        <f>HYPERLINK("https://www.boe.es/gazeta/dias/1810/05/19/pdfs/GMD-1810-139.pdf#page=3","Abrir facsímil")</f>
        <v>Abrir facsímil</v>
      </c>
      <c r="K6678" s="3" t="s">
        <v>76</v>
      </c>
    </row>
    <row r="6679" spans="1:11" ht="42" customHeight="1">
      <c r="A6679" s="2" t="s">
        <v>16800</v>
      </c>
      <c r="B6679" s="2" t="s">
        <v>16801</v>
      </c>
      <c r="C6679" s="2" t="s">
        <v>26</v>
      </c>
      <c r="D6679" s="2" t="s">
        <v>39</v>
      </c>
      <c r="E6679" s="4">
        <v>-32661</v>
      </c>
      <c r="F6679" s="3" t="s">
        <v>157</v>
      </c>
      <c r="G6679" s="3" t="s">
        <v>158</v>
      </c>
      <c r="H6679" s="2" t="s">
        <v>74</v>
      </c>
      <c r="I6679" s="2" t="s">
        <v>16802</v>
      </c>
      <c r="J6679" s="3" t="str">
        <f>HYPERLINK("https://www.boe.es/gazeta/dias/1810/07/29/pdfs/GMD-C-1810-210.pdf#page=1","Abrir facsímil")</f>
        <v>Abrir facsímil</v>
      </c>
      <c r="K6679" s="3" t="s">
        <v>76</v>
      </c>
    </row>
    <row r="6680" spans="1:11" ht="42" customHeight="1">
      <c r="A6680" s="2" t="s">
        <v>16803</v>
      </c>
      <c r="B6680" s="2" t="s">
        <v>16804</v>
      </c>
      <c r="C6680" s="2" t="s">
        <v>26</v>
      </c>
      <c r="D6680" s="2" t="s">
        <v>39</v>
      </c>
      <c r="E6680" s="4">
        <v>-32661</v>
      </c>
      <c r="F6680" s="3" t="s">
        <v>157</v>
      </c>
      <c r="G6680" s="3" t="s">
        <v>592</v>
      </c>
      <c r="H6680" s="2" t="s">
        <v>74</v>
      </c>
      <c r="I6680" s="2" t="s">
        <v>16805</v>
      </c>
      <c r="J6680" s="3" t="str">
        <f>HYPERLINK("https://www.boe.es/gazeta/dias/1810/07/29/pdfs/GMD-C-1810-210.pdf#page=2","Abrir facsímil")</f>
        <v>Abrir facsímil</v>
      </c>
      <c r="K6680" s="3" t="s">
        <v>76</v>
      </c>
    </row>
    <row r="6681" spans="1:11" ht="42" customHeight="1">
      <c r="A6681" s="2" t="s">
        <v>16806</v>
      </c>
      <c r="B6681" s="2" t="s">
        <v>16807</v>
      </c>
      <c r="C6681" s="2" t="s">
        <v>930</v>
      </c>
      <c r="D6681" s="2" t="s">
        <v>27</v>
      </c>
      <c r="E6681" s="4">
        <v>-32722</v>
      </c>
      <c r="F6681" s="3" t="s">
        <v>856</v>
      </c>
      <c r="G6681" s="3" t="s">
        <v>857</v>
      </c>
      <c r="H6681" s="2" t="s">
        <v>74</v>
      </c>
      <c r="I6681" s="2" t="s">
        <v>16808</v>
      </c>
      <c r="J6681" s="3" t="str">
        <f>HYPERLINK("https://www.boe.es/gazeta/dias/1810/05/29/pdfs/GEI-1810-31.pdf#page=11","Abrir facsímil")</f>
        <v>Abrir facsímil</v>
      </c>
      <c r="K6681" s="3" t="s">
        <v>76</v>
      </c>
    </row>
    <row r="6682" spans="1:11" ht="42" customHeight="1">
      <c r="A6682" s="2" t="s">
        <v>16809</v>
      </c>
      <c r="B6682" s="2" t="s">
        <v>16810</v>
      </c>
      <c r="C6682" s="2" t="s">
        <v>26</v>
      </c>
      <c r="D6682" s="2" t="s">
        <v>39</v>
      </c>
      <c r="E6682" s="4">
        <v>-32702</v>
      </c>
      <c r="F6682" s="3" t="s">
        <v>179</v>
      </c>
      <c r="G6682" s="3" t="s">
        <v>119</v>
      </c>
      <c r="H6682" s="2" t="s">
        <v>74</v>
      </c>
      <c r="I6682" s="2" t="s">
        <v>16811</v>
      </c>
      <c r="J6682" s="3" t="str">
        <f>HYPERLINK("https://www.boe.es/gazeta/dias/1810/06/18/pdfs/GMD-C-1810-169.pdf#page=1","Abrir facsímil")</f>
        <v>Abrir facsímil</v>
      </c>
      <c r="K6682" s="3" t="s">
        <v>76</v>
      </c>
    </row>
    <row r="6683" spans="1:11" ht="42" customHeight="1">
      <c r="A6683" s="2" t="s">
        <v>16809</v>
      </c>
      <c r="B6683" s="2" t="s">
        <v>16810</v>
      </c>
      <c r="C6683" s="2" t="s">
        <v>26</v>
      </c>
      <c r="D6683" s="2" t="s">
        <v>39</v>
      </c>
      <c r="E6683" s="4">
        <v>-32701</v>
      </c>
      <c r="F6683" s="3" t="s">
        <v>40</v>
      </c>
      <c r="G6683" s="3" t="s">
        <v>170</v>
      </c>
      <c r="H6683" s="2" t="s">
        <v>74</v>
      </c>
      <c r="I6683" s="2" t="s">
        <v>16812</v>
      </c>
      <c r="J6683" s="3" t="str">
        <f>HYPERLINK("https://www.boe.es/gazeta/dias/1810/06/19/pdfs/GMD-C-1810-170.pdf#page=1","Abrir facsímil")</f>
        <v>Abrir facsímil</v>
      </c>
      <c r="K6683" s="3" t="s">
        <v>76</v>
      </c>
    </row>
    <row r="6684" spans="1:11" ht="42" customHeight="1">
      <c r="A6684" s="2" t="s">
        <v>16809</v>
      </c>
      <c r="B6684" s="2" t="s">
        <v>16810</v>
      </c>
      <c r="C6684" s="2" t="s">
        <v>26</v>
      </c>
      <c r="D6684" s="2" t="s">
        <v>39</v>
      </c>
      <c r="E6684" s="4">
        <v>-32701</v>
      </c>
      <c r="F6684" s="3" t="s">
        <v>40</v>
      </c>
      <c r="G6684" s="3" t="s">
        <v>315</v>
      </c>
      <c r="H6684" s="2" t="s">
        <v>74</v>
      </c>
      <c r="I6684" s="2" t="s">
        <v>16813</v>
      </c>
      <c r="J6684" s="3" t="str">
        <f>HYPERLINK("https://www.boe.es/gazeta/dias/1810/06/19/pdfs/GMD-C-1810-170.pdf#page=2","Abrir facsímil")</f>
        <v>Abrir facsímil</v>
      </c>
      <c r="K6684" s="3" t="s">
        <v>76</v>
      </c>
    </row>
    <row r="6685" spans="1:11" ht="42" customHeight="1">
      <c r="A6685" s="2" t="s">
        <v>16809</v>
      </c>
      <c r="B6685" s="2" t="s">
        <v>16810</v>
      </c>
      <c r="C6685" s="2" t="s">
        <v>26</v>
      </c>
      <c r="D6685" s="2" t="s">
        <v>39</v>
      </c>
      <c r="E6685" s="4">
        <v>-32661</v>
      </c>
      <c r="F6685" s="3" t="s">
        <v>157</v>
      </c>
      <c r="G6685" s="3" t="s">
        <v>158</v>
      </c>
      <c r="H6685" s="2" t="s">
        <v>74</v>
      </c>
      <c r="I6685" s="2" t="s">
        <v>16814</v>
      </c>
      <c r="J6685" s="3" t="str">
        <f>HYPERLINK("https://www.boe.es/gazeta/dias/1810/07/29/pdfs/GMD-C-1810-210.pdf#page=1","Abrir facsímil")</f>
        <v>Abrir facsímil</v>
      </c>
      <c r="K6685" s="3" t="s">
        <v>76</v>
      </c>
    </row>
    <row r="6686" spans="1:11" ht="42" customHeight="1">
      <c r="A6686" s="2" t="s">
        <v>16815</v>
      </c>
      <c r="B6686" s="2" t="s">
        <v>16816</v>
      </c>
      <c r="C6686" s="2" t="s">
        <v>26</v>
      </c>
      <c r="D6686" s="2" t="s">
        <v>27</v>
      </c>
      <c r="E6686" s="4">
        <v>-32575</v>
      </c>
      <c r="F6686" s="3" t="s">
        <v>135</v>
      </c>
      <c r="G6686" s="3" t="s">
        <v>7908</v>
      </c>
      <c r="H6686" s="2" t="s">
        <v>74</v>
      </c>
      <c r="I6686" s="2" t="s">
        <v>16817</v>
      </c>
      <c r="J6686" s="3" t="str">
        <f>HYPERLINK("https://www.boe.es/gazeta/dias/1810/10/23/pdfs/GEI-1810-85.pdf#page=7","Abrir facsímil")</f>
        <v>Abrir facsímil</v>
      </c>
      <c r="K6686" s="3" t="s">
        <v>76</v>
      </c>
    </row>
    <row r="6687" spans="1:11" ht="42" customHeight="1">
      <c r="A6687" s="2" t="s">
        <v>16818</v>
      </c>
      <c r="B6687" s="2" t="s">
        <v>16819</v>
      </c>
      <c r="C6687" s="2" t="s">
        <v>26</v>
      </c>
      <c r="D6687" s="2" t="s">
        <v>27</v>
      </c>
      <c r="E6687" s="4">
        <v>-32517</v>
      </c>
      <c r="F6687" s="3" t="s">
        <v>566</v>
      </c>
      <c r="G6687" s="3" t="s">
        <v>762</v>
      </c>
      <c r="H6687" s="2" t="s">
        <v>74</v>
      </c>
      <c r="I6687" s="2" t="s">
        <v>16820</v>
      </c>
      <c r="J6687" s="3" t="str">
        <f>HYPERLINK("https://www.boe.es/gazeta/dias/1810/12/20/pdfs/GEI-1810-110.pdf#page=8","Abrir facsímil")</f>
        <v>Abrir facsímil</v>
      </c>
      <c r="K6687" s="3" t="s">
        <v>76</v>
      </c>
    </row>
    <row r="6688" spans="1:11" ht="42" customHeight="1">
      <c r="A6688" s="2" t="s">
        <v>16821</v>
      </c>
      <c r="B6688" s="2" t="s">
        <v>16822</v>
      </c>
      <c r="C6688" s="2" t="s">
        <v>317</v>
      </c>
      <c r="D6688" s="2" t="s">
        <v>27</v>
      </c>
      <c r="E6688" s="4">
        <v>-32693</v>
      </c>
      <c r="F6688" s="3" t="s">
        <v>54</v>
      </c>
      <c r="G6688" s="3" t="s">
        <v>20</v>
      </c>
      <c r="H6688" s="2" t="s">
        <v>74</v>
      </c>
      <c r="I6688" s="2" t="s">
        <v>16823</v>
      </c>
      <c r="J6688" s="3" t="str">
        <f>HYPERLINK("https://www.boe.es/gazeta/dias/1810/06/27/pdfs/GMD-1810-178.pdf#page=4","Abrir facsímil")</f>
        <v>Abrir facsímil</v>
      </c>
      <c r="K6688" s="3" t="s">
        <v>76</v>
      </c>
    </row>
    <row r="6689" spans="1:11" ht="42" customHeight="1">
      <c r="A6689" s="2" t="s">
        <v>16824</v>
      </c>
      <c r="B6689" s="2" t="s">
        <v>16825</v>
      </c>
      <c r="C6689" s="2" t="s">
        <v>88</v>
      </c>
      <c r="D6689" s="2" t="s">
        <v>27</v>
      </c>
      <c r="E6689" s="4">
        <v>-32716</v>
      </c>
      <c r="F6689" s="3" t="s">
        <v>624</v>
      </c>
      <c r="G6689" s="3" t="s">
        <v>140</v>
      </c>
      <c r="H6689" s="2" t="s">
        <v>74</v>
      </c>
      <c r="I6689" s="2" t="s">
        <v>16826</v>
      </c>
      <c r="J6689" s="3" t="str">
        <f>HYPERLINK("https://www.boe.es/gazeta/dias/1810/06/04/pdfs/GMD-1810-155.pdf#page=4","Abrir facsímil")</f>
        <v>Abrir facsímil</v>
      </c>
      <c r="K6689" s="3" t="s">
        <v>76</v>
      </c>
    </row>
    <row r="6690" spans="1:11" ht="42" customHeight="1">
      <c r="A6690" s="2" t="s">
        <v>16827</v>
      </c>
      <c r="B6690" s="2" t="s">
        <v>16827</v>
      </c>
      <c r="C6690" s="2" t="s">
        <v>88</v>
      </c>
      <c r="D6690" s="2" t="s">
        <v>18</v>
      </c>
      <c r="E6690" s="4">
        <v>-32855</v>
      </c>
      <c r="F6690" s="3" t="s">
        <v>4239</v>
      </c>
      <c r="G6690" s="3" t="s">
        <v>227</v>
      </c>
      <c r="H6690" s="2" t="s">
        <v>74</v>
      </c>
      <c r="I6690" s="2" t="s">
        <v>16828</v>
      </c>
      <c r="J6690" s="3" t="str">
        <f>HYPERLINK("https://www.boe.es/gazeta/dias/1810/01/16/pdfs/GMD-1810-16.pdf#page=3","Abrir facsímil")</f>
        <v>Abrir facsímil</v>
      </c>
      <c r="K6690" s="3" t="s">
        <v>76</v>
      </c>
    </row>
    <row r="6691" spans="1:11" ht="42" customHeight="1">
      <c r="A6691" s="2" t="s">
        <v>16829</v>
      </c>
      <c r="B6691" s="2" t="s">
        <v>16830</v>
      </c>
      <c r="C6691" s="2" t="s">
        <v>26</v>
      </c>
      <c r="D6691" s="2" t="s">
        <v>39</v>
      </c>
      <c r="E6691" s="4">
        <v>-32702</v>
      </c>
      <c r="F6691" s="3" t="s">
        <v>179</v>
      </c>
      <c r="G6691" s="3" t="s">
        <v>180</v>
      </c>
      <c r="H6691" s="2" t="s">
        <v>74</v>
      </c>
      <c r="I6691" s="2" t="s">
        <v>16831</v>
      </c>
      <c r="J6691" s="3" t="str">
        <f>HYPERLINK("https://www.boe.es/gazeta/dias/1810/06/18/pdfs/GMD-C-1810-169.pdf#page=2","Abrir facsímil")</f>
        <v>Abrir facsímil</v>
      </c>
      <c r="K6691" s="3" t="s">
        <v>76</v>
      </c>
    </row>
    <row r="6692" spans="1:11" ht="42" customHeight="1">
      <c r="A6692" s="2" t="s">
        <v>16832</v>
      </c>
      <c r="B6692" s="2" t="s">
        <v>16833</v>
      </c>
      <c r="C6692" s="2" t="s">
        <v>88</v>
      </c>
      <c r="D6692" s="2" t="s">
        <v>27</v>
      </c>
      <c r="E6692" s="4">
        <v>-32533</v>
      </c>
      <c r="F6692" s="3" t="s">
        <v>1357</v>
      </c>
      <c r="G6692" s="3" t="s">
        <v>701</v>
      </c>
      <c r="H6692" s="2" t="s">
        <v>74</v>
      </c>
      <c r="I6692" s="2" t="s">
        <v>16834</v>
      </c>
      <c r="J6692" s="3" t="str">
        <f>HYPERLINK("https://www.boe.es/gazeta/dias/1810/12/04/pdfs/GEI-1810-103.pdf#page=8","Abrir facsímil")</f>
        <v>Abrir facsímil</v>
      </c>
      <c r="K6692" s="3" t="s">
        <v>76</v>
      </c>
    </row>
    <row r="6693" spans="1:11" ht="42" customHeight="1">
      <c r="A6693" s="2" t="s">
        <v>16835</v>
      </c>
      <c r="B6693" s="2" t="s">
        <v>16836</v>
      </c>
      <c r="C6693" s="2" t="s">
        <v>26</v>
      </c>
      <c r="D6693" s="2" t="s">
        <v>27</v>
      </c>
      <c r="E6693" s="4">
        <v>-32528</v>
      </c>
      <c r="F6693" s="3" t="s">
        <v>3058</v>
      </c>
      <c r="G6693" s="3" t="s">
        <v>359</v>
      </c>
      <c r="H6693" s="2" t="s">
        <v>74</v>
      </c>
      <c r="I6693" s="2" t="s">
        <v>16837</v>
      </c>
      <c r="J6693" s="3" t="str">
        <f>HYPERLINK("https://www.boe.es/gazeta/dias/1810/12/09/pdfs/GMD-1810-343.pdf#page=3","Abrir facsímil")</f>
        <v>Abrir facsímil</v>
      </c>
      <c r="K6693" s="3" t="s">
        <v>76</v>
      </c>
    </row>
    <row r="6694" spans="1:11" ht="42" customHeight="1">
      <c r="A6694" s="2" t="s">
        <v>16838</v>
      </c>
      <c r="B6694" s="2" t="s">
        <v>16839</v>
      </c>
      <c r="C6694" s="2" t="s">
        <v>26</v>
      </c>
      <c r="D6694" s="2" t="s">
        <v>39</v>
      </c>
      <c r="E6694" s="4">
        <v>-32701</v>
      </c>
      <c r="F6694" s="3" t="s">
        <v>40</v>
      </c>
      <c r="G6694" s="3" t="s">
        <v>315</v>
      </c>
      <c r="H6694" s="2" t="s">
        <v>74</v>
      </c>
      <c r="I6694" s="2" t="s">
        <v>16840</v>
      </c>
      <c r="J6694" s="3" t="str">
        <f>HYPERLINK("https://www.boe.es/gazeta/dias/1810/06/19/pdfs/GMD-C-1810-170.pdf#page=2","Abrir facsímil")</f>
        <v>Abrir facsímil</v>
      </c>
      <c r="K6694" s="3" t="s">
        <v>76</v>
      </c>
    </row>
    <row r="6695" spans="1:11" ht="42" customHeight="1">
      <c r="A6695" s="2" t="s">
        <v>16838</v>
      </c>
      <c r="B6695" s="2" t="s">
        <v>16839</v>
      </c>
      <c r="C6695" s="2" t="s">
        <v>26</v>
      </c>
      <c r="D6695" s="2" t="s">
        <v>27</v>
      </c>
      <c r="E6695" s="4">
        <v>-32522</v>
      </c>
      <c r="F6695" s="3" t="s">
        <v>1168</v>
      </c>
      <c r="G6695" s="3" t="s">
        <v>90</v>
      </c>
      <c r="H6695" s="2" t="s">
        <v>74</v>
      </c>
      <c r="I6695" s="2" t="s">
        <v>16841</v>
      </c>
      <c r="J6695" s="3" t="str">
        <f>HYPERLINK("https://www.boe.es/gazeta/dias/1810/12/15/pdfs/GMD-1810-349.pdf#page=3","Abrir facsímil")</f>
        <v>Abrir facsímil</v>
      </c>
      <c r="K6695" s="3" t="s">
        <v>76</v>
      </c>
    </row>
    <row r="6696" spans="1:11" ht="42" customHeight="1">
      <c r="A6696" s="2" t="s">
        <v>16842</v>
      </c>
      <c r="B6696" s="2" t="s">
        <v>16843</v>
      </c>
      <c r="C6696" s="2" t="s">
        <v>225</v>
      </c>
      <c r="D6696" s="2" t="s">
        <v>27</v>
      </c>
      <c r="E6696" s="4">
        <v>-32509</v>
      </c>
      <c r="F6696" s="3" t="s">
        <v>212</v>
      </c>
      <c r="G6696" s="3" t="s">
        <v>213</v>
      </c>
      <c r="H6696" s="2" t="s">
        <v>74</v>
      </c>
      <c r="I6696" s="2" t="s">
        <v>16844</v>
      </c>
      <c r="J6696" s="3" t="str">
        <f>HYPERLINK("https://www.boe.es/gazeta/dias/1810/12/28/pdfs/GMD-1810-362.pdf#page=4","Abrir facsímil")</f>
        <v>Abrir facsímil</v>
      </c>
      <c r="K6696" s="3" t="s">
        <v>76</v>
      </c>
    </row>
    <row r="6697" spans="1:11" ht="42" customHeight="1">
      <c r="A6697" s="2" t="s">
        <v>16845</v>
      </c>
      <c r="B6697" s="2" t="s">
        <v>16846</v>
      </c>
      <c r="C6697" s="2" t="s">
        <v>26</v>
      </c>
      <c r="D6697" s="2" t="s">
        <v>27</v>
      </c>
      <c r="E6697" s="4">
        <v>-32728</v>
      </c>
      <c r="F6697" s="3" t="s">
        <v>269</v>
      </c>
      <c r="G6697" s="3" t="s">
        <v>70</v>
      </c>
      <c r="H6697" s="2" t="s">
        <v>74</v>
      </c>
      <c r="I6697" s="2" t="s">
        <v>16847</v>
      </c>
      <c r="J6697" s="3" t="str">
        <f>HYPERLINK("https://www.boe.es/gazeta/dias/1810/05/23/pdfs/GMD-1810-143.pdf#page=4","Abrir facsímil")</f>
        <v>Abrir facsímil</v>
      </c>
      <c r="K6697" s="3" t="s">
        <v>76</v>
      </c>
    </row>
    <row r="6698" spans="1:11" ht="42" customHeight="1">
      <c r="A6698" s="2" t="s">
        <v>16848</v>
      </c>
      <c r="B6698" s="2" t="s">
        <v>16848</v>
      </c>
      <c r="C6698" s="2" t="s">
        <v>88</v>
      </c>
      <c r="D6698" s="2" t="s">
        <v>27</v>
      </c>
      <c r="E6698" s="4">
        <v>-32664</v>
      </c>
      <c r="F6698" s="3" t="s">
        <v>618</v>
      </c>
      <c r="G6698" s="3" t="s">
        <v>1985</v>
      </c>
      <c r="H6698" s="2" t="s">
        <v>74</v>
      </c>
      <c r="I6698" s="2" t="s">
        <v>16849</v>
      </c>
      <c r="J6698" s="3" t="str">
        <f>HYPERLINK("https://www.boe.es/gazeta/dias/1810/07/26/pdfs/GMD-1810-207.pdf#page=4","Abrir facsímil")</f>
        <v>Abrir facsímil</v>
      </c>
      <c r="K6698" s="3" t="s">
        <v>76</v>
      </c>
    </row>
    <row r="6699" spans="1:11" ht="42" customHeight="1">
      <c r="A6699" s="2" t="s">
        <v>16850</v>
      </c>
      <c r="B6699" s="2" t="s">
        <v>16851</v>
      </c>
      <c r="C6699" s="2" t="s">
        <v>111</v>
      </c>
      <c r="D6699" s="2" t="s">
        <v>39</v>
      </c>
      <c r="E6699" s="4">
        <v>-32621</v>
      </c>
      <c r="F6699" s="3" t="s">
        <v>6491</v>
      </c>
      <c r="G6699" s="3" t="s">
        <v>465</v>
      </c>
      <c r="H6699" s="2" t="s">
        <v>74</v>
      </c>
      <c r="I6699" s="2" t="s">
        <v>16852</v>
      </c>
      <c r="J6699" s="3" t="str">
        <f>HYPERLINK("https://www.boe.es/gazeta/dias/1810/09/07/pdfs/GEI-D-1810-65.pdf#page=3","Abrir facsímil")</f>
        <v>Abrir facsímil</v>
      </c>
      <c r="K6699" s="3" t="s">
        <v>76</v>
      </c>
    </row>
    <row r="6700" spans="1:11" ht="42" customHeight="1">
      <c r="A6700" s="2" t="s">
        <v>16850</v>
      </c>
      <c r="B6700" s="2" t="s">
        <v>16851</v>
      </c>
      <c r="C6700" s="2" t="s">
        <v>26</v>
      </c>
      <c r="D6700" s="2" t="s">
        <v>39</v>
      </c>
      <c r="E6700" s="4">
        <v>-32621</v>
      </c>
      <c r="F6700" s="3" t="s">
        <v>6491</v>
      </c>
      <c r="G6700" s="3" t="s">
        <v>6492</v>
      </c>
      <c r="H6700" s="2" t="s">
        <v>74</v>
      </c>
      <c r="I6700" s="2" t="s">
        <v>16853</v>
      </c>
      <c r="J6700" s="3" t="str">
        <f>HYPERLINK("https://www.boe.es/gazeta/dias/1810/09/07/pdfs/GEI-D-1810-65.pdf#page=4","Abrir facsímil")</f>
        <v>Abrir facsímil</v>
      </c>
      <c r="K6700" s="3" t="s">
        <v>76</v>
      </c>
    </row>
    <row r="6701" spans="1:11" ht="42" customHeight="1">
      <c r="A6701" s="2" t="s">
        <v>16854</v>
      </c>
      <c r="B6701" s="2" t="s">
        <v>16854</v>
      </c>
      <c r="C6701" s="2" t="s">
        <v>88</v>
      </c>
      <c r="D6701" s="2" t="s">
        <v>117</v>
      </c>
      <c r="E6701" s="4">
        <v>-32749</v>
      </c>
      <c r="F6701" s="3" t="s">
        <v>2451</v>
      </c>
      <c r="G6701" s="3" t="s">
        <v>113</v>
      </c>
      <c r="H6701" s="2" t="s">
        <v>74</v>
      </c>
      <c r="I6701" s="2" t="s">
        <v>16855</v>
      </c>
      <c r="J6701" s="3" t="str">
        <f>HYPERLINK("https://www.boe.es/gazeta/dias/1810/05/02/pdfs/GEI-1810-20E.pdf#page=5","Abrir facsímil")</f>
        <v>Abrir facsímil</v>
      </c>
      <c r="K6701" s="3" t="s">
        <v>76</v>
      </c>
    </row>
    <row r="6702" spans="1:11" ht="42" customHeight="1">
      <c r="A6702" s="2" t="s">
        <v>16856</v>
      </c>
      <c r="B6702" s="2" t="s">
        <v>16856</v>
      </c>
      <c r="C6702" s="2" t="s">
        <v>88</v>
      </c>
      <c r="D6702" s="2" t="s">
        <v>117</v>
      </c>
      <c r="E6702" s="4">
        <v>-32615</v>
      </c>
      <c r="F6702" s="3" t="s">
        <v>4119</v>
      </c>
      <c r="G6702" s="3" t="s">
        <v>1292</v>
      </c>
      <c r="H6702" s="2" t="s">
        <v>74</v>
      </c>
      <c r="I6702" s="2" t="s">
        <v>16857</v>
      </c>
      <c r="J6702" s="3" t="str">
        <f>HYPERLINK("https://www.boe.es/gazeta/dias/1810/09/13/pdfs/GMD-1810-256.pdf#page=3","Abrir facsímil")</f>
        <v>Abrir facsímil</v>
      </c>
      <c r="K6702" s="3" t="s">
        <v>76</v>
      </c>
    </row>
    <row r="6703" spans="1:11" ht="42" customHeight="1">
      <c r="A6703" s="2" t="s">
        <v>16858</v>
      </c>
      <c r="B6703" s="2" t="s">
        <v>16859</v>
      </c>
      <c r="C6703" s="2" t="s">
        <v>26</v>
      </c>
      <c r="D6703" s="2" t="s">
        <v>27</v>
      </c>
      <c r="E6703" s="4">
        <v>-32520</v>
      </c>
      <c r="F6703" s="3" t="s">
        <v>2109</v>
      </c>
      <c r="G6703" s="3" t="s">
        <v>2110</v>
      </c>
      <c r="H6703" s="2" t="s">
        <v>74</v>
      </c>
      <c r="I6703" s="2" t="s">
        <v>16860</v>
      </c>
      <c r="J6703" s="3" t="str">
        <f>HYPERLINK("https://www.boe.es/gazeta/dias/1810/12/17/pdfs/GMD-1810-351.pdf#page=2","Abrir facsímil")</f>
        <v>Abrir facsímil</v>
      </c>
      <c r="K6703" s="3" t="s">
        <v>76</v>
      </c>
    </row>
    <row r="6704" spans="1:11" ht="42" customHeight="1">
      <c r="A6704" s="2" t="s">
        <v>16861</v>
      </c>
      <c r="B6704" s="2" t="s">
        <v>16862</v>
      </c>
      <c r="C6704" s="2" t="s">
        <v>88</v>
      </c>
      <c r="D6704" s="2" t="s">
        <v>117</v>
      </c>
      <c r="E6704" s="4">
        <v>-32638</v>
      </c>
      <c r="F6704" s="3" t="s">
        <v>2498</v>
      </c>
      <c r="G6704" s="3" t="s">
        <v>119</v>
      </c>
      <c r="H6704" s="2" t="s">
        <v>74</v>
      </c>
      <c r="I6704" s="2" t="s">
        <v>16863</v>
      </c>
      <c r="J6704" s="3" t="str">
        <f>HYPERLINK("https://www.boe.es/gazeta/dias/1810/08/21/pdfs/GEI-1810-58.pdf#page=2","Abrir facsímil")</f>
        <v>Abrir facsímil</v>
      </c>
      <c r="K6704" s="3" t="s">
        <v>76</v>
      </c>
    </row>
    <row r="6705" spans="1:11" ht="42" customHeight="1">
      <c r="A6705" s="2" t="s">
        <v>16861</v>
      </c>
      <c r="B6705" s="2" t="s">
        <v>16862</v>
      </c>
      <c r="C6705" s="2" t="s">
        <v>88</v>
      </c>
      <c r="D6705" s="2" t="s">
        <v>117</v>
      </c>
      <c r="E6705" s="4">
        <v>-32566</v>
      </c>
      <c r="F6705" s="3" t="s">
        <v>649</v>
      </c>
      <c r="G6705" s="3" t="s">
        <v>3311</v>
      </c>
      <c r="H6705" s="2" t="s">
        <v>74</v>
      </c>
      <c r="I6705" s="2" t="s">
        <v>16864</v>
      </c>
      <c r="J6705" s="3" t="str">
        <f>HYPERLINK("https://www.boe.es/gazeta/dias/1810/11/01/pdfs/GEI-1810-89.pdf#page=1","Abrir facsímil")</f>
        <v>Abrir facsímil</v>
      </c>
      <c r="K6705" s="3" t="s">
        <v>76</v>
      </c>
    </row>
    <row r="6706" spans="1:11" ht="42" customHeight="1">
      <c r="A6706" s="2" t="s">
        <v>16865</v>
      </c>
      <c r="B6706" s="2" t="s">
        <v>16866</v>
      </c>
      <c r="C6706" s="2" t="s">
        <v>26</v>
      </c>
      <c r="D6706" s="2" t="s">
        <v>27</v>
      </c>
      <c r="E6706" s="4">
        <v>-32710</v>
      </c>
      <c r="F6706" s="3" t="s">
        <v>126</v>
      </c>
      <c r="G6706" s="3" t="s">
        <v>35</v>
      </c>
      <c r="H6706" s="2" t="s">
        <v>74</v>
      </c>
      <c r="I6706" s="2" t="s">
        <v>16867</v>
      </c>
      <c r="J6706" s="3" t="str">
        <f>HYPERLINK("https://www.boe.es/gazeta/dias/1810/06/10/pdfs/GMD-1810-161.pdf#page=2","Abrir facsímil")</f>
        <v>Abrir facsímil</v>
      </c>
      <c r="K6706" s="3" t="s">
        <v>76</v>
      </c>
    </row>
    <row r="6707" spans="1:11" ht="42" customHeight="1">
      <c r="A6707" s="2" t="s">
        <v>16868</v>
      </c>
      <c r="B6707" s="2" t="s">
        <v>16869</v>
      </c>
      <c r="C6707" s="2" t="s">
        <v>26</v>
      </c>
      <c r="D6707" s="2" t="s">
        <v>39</v>
      </c>
      <c r="E6707" s="4">
        <v>-32701</v>
      </c>
      <c r="F6707" s="3" t="s">
        <v>40</v>
      </c>
      <c r="G6707" s="3" t="s">
        <v>315</v>
      </c>
      <c r="H6707" s="2" t="s">
        <v>74</v>
      </c>
      <c r="I6707" s="2" t="s">
        <v>16870</v>
      </c>
      <c r="J6707" s="3" t="str">
        <f>HYPERLINK("https://www.boe.es/gazeta/dias/1810/06/19/pdfs/GMD-C-1810-170.pdf#page=2","Abrir facsímil")</f>
        <v>Abrir facsímil</v>
      </c>
      <c r="K6707" s="3" t="s">
        <v>76</v>
      </c>
    </row>
    <row r="6708" spans="1:11" ht="42" customHeight="1">
      <c r="A6708" s="2" t="s">
        <v>16871</v>
      </c>
      <c r="B6708" s="2" t="s">
        <v>16872</v>
      </c>
      <c r="C6708" s="2" t="s">
        <v>26</v>
      </c>
      <c r="D6708" s="2" t="s">
        <v>27</v>
      </c>
      <c r="E6708" s="4">
        <v>-32756</v>
      </c>
      <c r="F6708" s="3" t="s">
        <v>203</v>
      </c>
      <c r="G6708" s="3" t="s">
        <v>180</v>
      </c>
      <c r="H6708" s="2" t="s">
        <v>74</v>
      </c>
      <c r="I6708" s="2" t="s">
        <v>16873</v>
      </c>
      <c r="J6708" s="3" t="str">
        <f>HYPERLINK("https://www.boe.es/gazeta/dias/1810/04/25/pdfs/GMD-1810-115.pdf#page=4","Abrir facsímil")</f>
        <v>Abrir facsímil</v>
      </c>
      <c r="K6708" s="3" t="s">
        <v>76</v>
      </c>
    </row>
    <row r="6709" spans="1:11" ht="42" customHeight="1">
      <c r="A6709" s="2" t="s">
        <v>16874</v>
      </c>
      <c r="B6709" s="2" t="s">
        <v>16875</v>
      </c>
      <c r="C6709" s="2" t="s">
        <v>26</v>
      </c>
      <c r="D6709" s="2" t="s">
        <v>27</v>
      </c>
      <c r="E6709" s="4">
        <v>-32710</v>
      </c>
      <c r="F6709" s="3" t="s">
        <v>126</v>
      </c>
      <c r="G6709" s="3" t="s">
        <v>20</v>
      </c>
      <c r="H6709" s="2" t="s">
        <v>74</v>
      </c>
      <c r="I6709" s="2" t="s">
        <v>16876</v>
      </c>
      <c r="J6709" s="3" t="str">
        <f>HYPERLINK("https://www.boe.es/gazeta/dias/1810/06/10/pdfs/GMD-1810-161.pdf#page=4","Abrir facsímil")</f>
        <v>Abrir facsímil</v>
      </c>
      <c r="K6709" s="3" t="s">
        <v>76</v>
      </c>
    </row>
    <row r="6710" spans="1:11" ht="42" customHeight="1">
      <c r="A6710" s="2" t="s">
        <v>16877</v>
      </c>
      <c r="B6710" s="2" t="s">
        <v>16878</v>
      </c>
      <c r="C6710" s="2" t="s">
        <v>17</v>
      </c>
      <c r="D6710" s="2" t="s">
        <v>27</v>
      </c>
      <c r="E6710" s="4">
        <v>-32816</v>
      </c>
      <c r="F6710" s="3" t="s">
        <v>10608</v>
      </c>
      <c r="G6710" s="3" t="s">
        <v>451</v>
      </c>
      <c r="H6710" s="2" t="s">
        <v>74</v>
      </c>
      <c r="I6710" s="2" t="s">
        <v>16879</v>
      </c>
      <c r="J6710" s="3" t="str">
        <f>HYPERLINK("https://www.boe.es/gazeta/dias/1810/02/24/pdfs/GMD-1810-55.pdf#page=3","Abrir facsímil")</f>
        <v>Abrir facsímil</v>
      </c>
      <c r="K6710" s="3" t="s">
        <v>76</v>
      </c>
    </row>
    <row r="6711" spans="1:11" ht="42" customHeight="1">
      <c r="A6711" s="2" t="s">
        <v>16880</v>
      </c>
      <c r="B6711" s="2" t="s">
        <v>16881</v>
      </c>
      <c r="C6711" s="2" t="s">
        <v>33</v>
      </c>
      <c r="D6711" s="2" t="s">
        <v>27</v>
      </c>
      <c r="E6711" s="4">
        <v>-32618</v>
      </c>
      <c r="F6711" s="3" t="s">
        <v>1501</v>
      </c>
      <c r="G6711" s="3" t="s">
        <v>20</v>
      </c>
      <c r="H6711" s="2" t="s">
        <v>74</v>
      </c>
      <c r="I6711" s="2" t="s">
        <v>16882</v>
      </c>
      <c r="J6711" s="3" t="str">
        <f>HYPERLINK("https://www.boe.es/gazeta/dias/1810/09/10/pdfs/GMD-1810-253.pdf#page=4","Abrir facsímil")</f>
        <v>Abrir facsímil</v>
      </c>
      <c r="K6711" s="3" t="s">
        <v>76</v>
      </c>
    </row>
    <row r="6712" spans="1:11" ht="42" customHeight="1">
      <c r="A6712" s="2" t="s">
        <v>16883</v>
      </c>
      <c r="B6712" s="2" t="s">
        <v>16884</v>
      </c>
      <c r="C6712" s="2" t="s">
        <v>17</v>
      </c>
      <c r="D6712" s="2" t="s">
        <v>18</v>
      </c>
      <c r="E6712" s="4">
        <v>-32661</v>
      </c>
      <c r="F6712" s="3" t="s">
        <v>157</v>
      </c>
      <c r="G6712" s="3" t="s">
        <v>158</v>
      </c>
      <c r="H6712" s="2" t="s">
        <v>74</v>
      </c>
      <c r="I6712" s="2" t="s">
        <v>16885</v>
      </c>
      <c r="J6712" s="3" t="str">
        <f>HYPERLINK("https://www.boe.es/gazeta/dias/1810/07/29/pdfs/GMD-C-1810-210.pdf#page=1","Abrir facsímil")</f>
        <v>Abrir facsímil</v>
      </c>
      <c r="K6712" s="3" t="s">
        <v>76</v>
      </c>
    </row>
    <row r="6713" spans="1:11" ht="42" customHeight="1">
      <c r="A6713" s="2" t="s">
        <v>16886</v>
      </c>
      <c r="B6713" s="2" t="s">
        <v>16887</v>
      </c>
      <c r="C6713" s="2" t="s">
        <v>88</v>
      </c>
      <c r="D6713" s="2" t="s">
        <v>27</v>
      </c>
      <c r="E6713" s="4">
        <v>-32782</v>
      </c>
      <c r="F6713" s="3" t="s">
        <v>79</v>
      </c>
      <c r="G6713" s="3" t="s">
        <v>274</v>
      </c>
      <c r="H6713" s="2" t="s">
        <v>74</v>
      </c>
      <c r="I6713" s="2" t="s">
        <v>16888</v>
      </c>
      <c r="J6713" s="3" t="str">
        <f>HYPERLINK("https://www.boe.es/gazeta/dias/1810/03/30/pdfs/GEI-1810-9.pdf#page=8","Abrir facsímil")</f>
        <v>Abrir facsímil</v>
      </c>
      <c r="K6713" s="3" t="s">
        <v>76</v>
      </c>
    </row>
    <row r="6714" spans="1:11" ht="42" customHeight="1">
      <c r="A6714" s="2" t="s">
        <v>16889</v>
      </c>
      <c r="B6714" s="2" t="s">
        <v>16890</v>
      </c>
      <c r="C6714" s="2" t="s">
        <v>26</v>
      </c>
      <c r="D6714" s="2" t="s">
        <v>27</v>
      </c>
      <c r="E6714" s="4">
        <v>-32775</v>
      </c>
      <c r="F6714" s="3" t="s">
        <v>553</v>
      </c>
      <c r="G6714" s="3" t="s">
        <v>1464</v>
      </c>
      <c r="H6714" s="2" t="s">
        <v>74</v>
      </c>
      <c r="I6714" s="2" t="s">
        <v>16891</v>
      </c>
      <c r="J6714" s="3" t="str">
        <f>HYPERLINK("https://www.boe.es/gazeta/dias/1810/04/06/pdfs/GEI-1810-12.pdf#page=1","Abrir facsímil")</f>
        <v>Abrir facsímil</v>
      </c>
      <c r="K6714" s="3" t="s">
        <v>76</v>
      </c>
    </row>
    <row r="6715" spans="1:11" ht="42" customHeight="1">
      <c r="A6715" s="2" t="s">
        <v>16892</v>
      </c>
      <c r="B6715" s="2" t="s">
        <v>16893</v>
      </c>
      <c r="C6715" s="2" t="s">
        <v>17</v>
      </c>
      <c r="D6715" s="2" t="s">
        <v>18</v>
      </c>
      <c r="E6715" s="4">
        <v>-32826</v>
      </c>
      <c r="F6715" s="3" t="s">
        <v>1252</v>
      </c>
      <c r="G6715" s="3" t="s">
        <v>227</v>
      </c>
      <c r="H6715" s="2" t="s">
        <v>74</v>
      </c>
      <c r="I6715" s="2" t="s">
        <v>16894</v>
      </c>
      <c r="J6715" s="3" t="str">
        <f>HYPERLINK("https://www.boe.es/gazeta/dias/1810/02/14/pdfs/GMD-1810-45.pdf#page=4","Abrir facsímil")</f>
        <v>Abrir facsímil</v>
      </c>
      <c r="K6715" s="3" t="s">
        <v>76</v>
      </c>
    </row>
    <row r="6716" spans="1:11" ht="42" customHeight="1">
      <c r="A6716" s="2" t="s">
        <v>16895</v>
      </c>
      <c r="B6716" s="2" t="s">
        <v>16896</v>
      </c>
      <c r="C6716" s="2" t="s">
        <v>33</v>
      </c>
      <c r="D6716" s="2" t="s">
        <v>27</v>
      </c>
      <c r="E6716" s="4">
        <v>-32543</v>
      </c>
      <c r="F6716" s="3" t="s">
        <v>69</v>
      </c>
      <c r="G6716" s="3" t="s">
        <v>70</v>
      </c>
      <c r="H6716" s="2" t="s">
        <v>74</v>
      </c>
      <c r="I6716" s="2" t="s">
        <v>16897</v>
      </c>
      <c r="J6716" s="3" t="str">
        <f>HYPERLINK("https://www.boe.es/gazeta/dias/1810/11/24/pdfs/GEI-1810-99.pdf#page=8","Abrir facsímil")</f>
        <v>Abrir facsímil</v>
      </c>
      <c r="K6716" s="3" t="s">
        <v>76</v>
      </c>
    </row>
    <row r="6717" spans="1:11" ht="42" customHeight="1">
      <c r="A6717" s="2" t="s">
        <v>16898</v>
      </c>
      <c r="B6717" s="2" t="s">
        <v>16899</v>
      </c>
      <c r="C6717" s="2" t="s">
        <v>33</v>
      </c>
      <c r="D6717" s="2" t="s">
        <v>27</v>
      </c>
      <c r="E6717" s="4">
        <v>-32761</v>
      </c>
      <c r="F6717" s="3" t="s">
        <v>811</v>
      </c>
      <c r="G6717" s="3" t="s">
        <v>140</v>
      </c>
      <c r="H6717" s="2" t="s">
        <v>74</v>
      </c>
      <c r="I6717" s="2" t="s">
        <v>16900</v>
      </c>
      <c r="J6717" s="3" t="str">
        <f>HYPERLINK("https://www.boe.es/gazeta/dias/1810/04/20/pdfs/GEI-1810-16.pdf#page=8","Abrir facsímil")</f>
        <v>Abrir facsímil</v>
      </c>
      <c r="K6717" s="3" t="s">
        <v>76</v>
      </c>
    </row>
    <row r="6718" spans="1:11" ht="42" customHeight="1">
      <c r="A6718" s="2" t="s">
        <v>16901</v>
      </c>
      <c r="B6718" s="2" t="s">
        <v>16902</v>
      </c>
      <c r="C6718" s="2" t="s">
        <v>33</v>
      </c>
      <c r="D6718" s="2" t="s">
        <v>39</v>
      </c>
      <c r="E6718" s="4">
        <v>-32614</v>
      </c>
      <c r="F6718" s="3" t="s">
        <v>5016</v>
      </c>
      <c r="G6718" s="3" t="s">
        <v>99</v>
      </c>
      <c r="H6718" s="2" t="s">
        <v>74</v>
      </c>
      <c r="I6718" s="2" t="s">
        <v>16903</v>
      </c>
      <c r="J6718" s="3" t="str">
        <f>HYPERLINK("https://www.boe.es/gazeta/dias/1810/09/14/pdfs/GEI-D-1810-67.pdf#page=3","Abrir facsímil")</f>
        <v>Abrir facsímil</v>
      </c>
      <c r="K6718" s="3" t="s">
        <v>76</v>
      </c>
    </row>
    <row r="6719" spans="1:11" ht="42" customHeight="1">
      <c r="A6719" s="2" t="s">
        <v>16904</v>
      </c>
      <c r="B6719" s="2" t="s">
        <v>16905</v>
      </c>
      <c r="C6719" s="2" t="s">
        <v>33</v>
      </c>
      <c r="D6719" s="2" t="s">
        <v>39</v>
      </c>
      <c r="E6719" s="4">
        <v>-32614</v>
      </c>
      <c r="F6719" s="3" t="s">
        <v>5016</v>
      </c>
      <c r="G6719" s="3" t="s">
        <v>99</v>
      </c>
      <c r="H6719" s="2" t="s">
        <v>74</v>
      </c>
      <c r="I6719" s="2" t="s">
        <v>16906</v>
      </c>
      <c r="J6719" s="3" t="str">
        <f>HYPERLINK("https://www.boe.es/gazeta/dias/1810/09/14/pdfs/GEI-D-1810-67.pdf#page=3","Abrir facsímil")</f>
        <v>Abrir facsímil</v>
      </c>
      <c r="K6719" s="3" t="s">
        <v>76</v>
      </c>
    </row>
    <row r="6720" spans="1:11" ht="42" customHeight="1">
      <c r="A6720" s="2" t="s">
        <v>16904</v>
      </c>
      <c r="B6720" s="2" t="s">
        <v>16905</v>
      </c>
      <c r="C6720" s="2" t="s">
        <v>33</v>
      </c>
      <c r="D6720" s="2" t="s">
        <v>39</v>
      </c>
      <c r="E6720" s="4">
        <v>-32614</v>
      </c>
      <c r="F6720" s="3" t="s">
        <v>5016</v>
      </c>
      <c r="G6720" s="3" t="s">
        <v>16907</v>
      </c>
      <c r="H6720" s="2" t="s">
        <v>74</v>
      </c>
      <c r="I6720" s="2" t="s">
        <v>16908</v>
      </c>
      <c r="J6720" s="3" t="str">
        <f>HYPERLINK("https://www.boe.es/gazeta/dias/1810/09/14/pdfs/GEI-D-1810-67.pdf#page=4","Abrir facsímil")</f>
        <v>Abrir facsímil</v>
      </c>
      <c r="K6720" s="3" t="s">
        <v>76</v>
      </c>
    </row>
    <row r="6721" spans="1:11" ht="42" customHeight="1">
      <c r="A6721" s="2" t="s">
        <v>16909</v>
      </c>
      <c r="B6721" s="2" t="s">
        <v>16910</v>
      </c>
      <c r="C6721" s="2" t="s">
        <v>88</v>
      </c>
      <c r="D6721" s="2" t="s">
        <v>27</v>
      </c>
      <c r="E6721" s="4">
        <v>-32614</v>
      </c>
      <c r="F6721" s="3" t="s">
        <v>1083</v>
      </c>
      <c r="G6721" s="3" t="s">
        <v>1084</v>
      </c>
      <c r="H6721" s="2" t="s">
        <v>74</v>
      </c>
      <c r="I6721" s="2" t="s">
        <v>16911</v>
      </c>
      <c r="J6721" s="3" t="str">
        <f>HYPERLINK("https://www.boe.es/gazeta/dias/1810/09/14/pdfs/GEI-1810-67.pdf#page=10","Abrir facsímil")</f>
        <v>Abrir facsímil</v>
      </c>
      <c r="K6721" s="3" t="s">
        <v>76</v>
      </c>
    </row>
    <row r="6722" spans="1:11" ht="42" customHeight="1">
      <c r="A6722" s="2" t="s">
        <v>16912</v>
      </c>
      <c r="B6722" s="2" t="s">
        <v>16912</v>
      </c>
      <c r="C6722" s="2" t="s">
        <v>26</v>
      </c>
      <c r="D6722" s="2" t="s">
        <v>39</v>
      </c>
      <c r="E6722" s="4">
        <v>-32599</v>
      </c>
      <c r="F6722" s="3" t="s">
        <v>662</v>
      </c>
      <c r="G6722" s="3" t="s">
        <v>227</v>
      </c>
      <c r="H6722" s="2" t="s">
        <v>74</v>
      </c>
      <c r="I6722" s="2" t="s">
        <v>16913</v>
      </c>
      <c r="J6722" s="3" t="str">
        <f>HYPERLINK("https://www.boe.es/gazeta/dias/1810/09/29/pdfs/GMD-C-1810-272.pdf#page=6","Abrir facsímil")</f>
        <v>Abrir facsímil</v>
      </c>
      <c r="K6722" s="3" t="s">
        <v>76</v>
      </c>
    </row>
    <row r="6723" spans="1:11" ht="42" customHeight="1">
      <c r="A6723" s="2" t="s">
        <v>16914</v>
      </c>
      <c r="B6723" s="2" t="s">
        <v>16915</v>
      </c>
      <c r="C6723" s="2" t="s">
        <v>26</v>
      </c>
      <c r="D6723" s="2" t="s">
        <v>39</v>
      </c>
      <c r="E6723" s="4">
        <v>-32702</v>
      </c>
      <c r="F6723" s="3" t="s">
        <v>179</v>
      </c>
      <c r="G6723" s="3" t="s">
        <v>517</v>
      </c>
      <c r="H6723" s="2" t="s">
        <v>74</v>
      </c>
      <c r="I6723" s="2" t="s">
        <v>16916</v>
      </c>
      <c r="J6723" s="3" t="str">
        <f>HYPERLINK("https://www.boe.es/gazeta/dias/1810/06/18/pdfs/GMD-C-1810-169.pdf#page=3","Abrir facsímil")</f>
        <v>Abrir facsímil</v>
      </c>
      <c r="K6723" s="3" t="s">
        <v>76</v>
      </c>
    </row>
    <row r="6724" spans="1:11" ht="42" customHeight="1">
      <c r="A6724" s="2" t="s">
        <v>16917</v>
      </c>
      <c r="B6724" s="2" t="s">
        <v>16918</v>
      </c>
      <c r="C6724" s="2" t="s">
        <v>88</v>
      </c>
      <c r="D6724" s="2" t="s">
        <v>117</v>
      </c>
      <c r="E6724" s="4">
        <v>-32705</v>
      </c>
      <c r="F6724" s="3" t="s">
        <v>1158</v>
      </c>
      <c r="G6724" s="3" t="s">
        <v>1711</v>
      </c>
      <c r="H6724" s="2" t="s">
        <v>74</v>
      </c>
      <c r="I6724" s="2" t="s">
        <v>16919</v>
      </c>
      <c r="J6724" s="3" t="str">
        <f>HYPERLINK("https://www.boe.es/gazeta/dias/1810/06/15/pdfs/GMD-1810-166.pdf#page=4","Abrir facsímil")</f>
        <v>Abrir facsímil</v>
      </c>
      <c r="K6724" s="3" t="s">
        <v>76</v>
      </c>
    </row>
    <row r="6725" spans="1:11" ht="42" customHeight="1">
      <c r="A6725" s="2" t="s">
        <v>16920</v>
      </c>
      <c r="B6725" s="2" t="s">
        <v>16921</v>
      </c>
      <c r="C6725" s="2" t="s">
        <v>88</v>
      </c>
      <c r="D6725" s="2" t="s">
        <v>27</v>
      </c>
      <c r="E6725" s="4">
        <v>-32710</v>
      </c>
      <c r="F6725" s="3" t="s">
        <v>126</v>
      </c>
      <c r="G6725" s="3" t="s">
        <v>20</v>
      </c>
      <c r="H6725" s="2" t="s">
        <v>74</v>
      </c>
      <c r="I6725" s="2" t="s">
        <v>16922</v>
      </c>
      <c r="J6725" s="3" t="str">
        <f>HYPERLINK("https://www.boe.es/gazeta/dias/1810/06/10/pdfs/GMD-1810-161.pdf#page=4","Abrir facsímil")</f>
        <v>Abrir facsímil</v>
      </c>
      <c r="K6725" s="3" t="s">
        <v>76</v>
      </c>
    </row>
    <row r="6726" spans="1:11" ht="42" customHeight="1">
      <c r="A6726" s="2" t="s">
        <v>16923</v>
      </c>
      <c r="B6726" s="2" t="s">
        <v>16924</v>
      </c>
      <c r="C6726" s="2" t="s">
        <v>17</v>
      </c>
      <c r="D6726" s="2" t="s">
        <v>27</v>
      </c>
      <c r="E6726" s="4">
        <v>-32775</v>
      </c>
      <c r="F6726" s="3" t="s">
        <v>308</v>
      </c>
      <c r="G6726" s="3" t="s">
        <v>140</v>
      </c>
      <c r="H6726" s="2" t="s">
        <v>74</v>
      </c>
      <c r="I6726" s="2" t="s">
        <v>16925</v>
      </c>
      <c r="J6726" s="3" t="str">
        <f>HYPERLINK("https://www.boe.es/gazeta/dias/1810/04/06/pdfs/GMD-1810-96.pdf#page=3","Abrir facsímil")</f>
        <v>Abrir facsímil</v>
      </c>
      <c r="K6726" s="3" t="s">
        <v>76</v>
      </c>
    </row>
    <row r="6727" spans="1:11" ht="42" customHeight="1">
      <c r="A6727" s="2" t="s">
        <v>16926</v>
      </c>
      <c r="B6727" s="2" t="s">
        <v>16927</v>
      </c>
      <c r="C6727" s="2" t="s">
        <v>26</v>
      </c>
      <c r="D6727" s="2" t="s">
        <v>39</v>
      </c>
      <c r="E6727" s="4">
        <v>-32701</v>
      </c>
      <c r="F6727" s="3" t="s">
        <v>40</v>
      </c>
      <c r="G6727" s="3" t="s">
        <v>315</v>
      </c>
      <c r="H6727" s="2" t="s">
        <v>74</v>
      </c>
      <c r="I6727" s="2" t="s">
        <v>16928</v>
      </c>
      <c r="J6727" s="3" t="str">
        <f>HYPERLINK("https://www.boe.es/gazeta/dias/1810/06/19/pdfs/GMD-C-1810-170.pdf#page=2","Abrir facsímil")</f>
        <v>Abrir facsímil</v>
      </c>
      <c r="K6727" s="3" t="s">
        <v>76</v>
      </c>
    </row>
    <row r="6728" spans="1:11" ht="42" customHeight="1">
      <c r="A6728" s="2" t="s">
        <v>16929</v>
      </c>
      <c r="B6728" s="2" t="s">
        <v>16930</v>
      </c>
      <c r="C6728" s="2" t="s">
        <v>26</v>
      </c>
      <c r="D6728" s="2" t="s">
        <v>27</v>
      </c>
      <c r="E6728" s="4">
        <v>-32545</v>
      </c>
      <c r="F6728" s="3" t="s">
        <v>165</v>
      </c>
      <c r="G6728" s="3" t="s">
        <v>166</v>
      </c>
      <c r="H6728" s="2" t="s">
        <v>74</v>
      </c>
      <c r="I6728" s="2" t="s">
        <v>16931</v>
      </c>
      <c r="J6728" s="3" t="str">
        <f>HYPERLINK("https://www.boe.es/gazeta/dias/1810/11/22/pdfs/GEI-1810-98.pdf#page=8","Abrir facsímil")</f>
        <v>Abrir facsímil</v>
      </c>
      <c r="K6728" s="3" t="s">
        <v>76</v>
      </c>
    </row>
    <row r="6729" spans="1:11" ht="42" customHeight="1">
      <c r="A6729" s="2" t="s">
        <v>16932</v>
      </c>
      <c r="B6729" s="2" t="s">
        <v>16933</v>
      </c>
      <c r="C6729" s="2" t="s">
        <v>317</v>
      </c>
      <c r="D6729" s="2" t="s">
        <v>39</v>
      </c>
      <c r="E6729" s="4">
        <v>-32702</v>
      </c>
      <c r="F6729" s="3" t="s">
        <v>179</v>
      </c>
      <c r="G6729" s="3" t="s">
        <v>180</v>
      </c>
      <c r="H6729" s="2" t="s">
        <v>74</v>
      </c>
      <c r="I6729" s="2" t="s">
        <v>16934</v>
      </c>
      <c r="J6729" s="3" t="str">
        <f>HYPERLINK("https://www.boe.es/gazeta/dias/1810/06/18/pdfs/GMD-C-1810-169.pdf#page=2","Abrir facsímil")</f>
        <v>Abrir facsímil</v>
      </c>
      <c r="K6729" s="3" t="s">
        <v>76</v>
      </c>
    </row>
    <row r="6730" spans="1:11" ht="42" customHeight="1">
      <c r="A6730" s="2" t="s">
        <v>16935</v>
      </c>
      <c r="B6730" s="2" t="s">
        <v>16936</v>
      </c>
      <c r="C6730" s="2" t="s">
        <v>26</v>
      </c>
      <c r="D6730" s="2" t="s">
        <v>39</v>
      </c>
      <c r="E6730" s="4">
        <v>-32702</v>
      </c>
      <c r="F6730" s="3" t="s">
        <v>179</v>
      </c>
      <c r="G6730" s="3" t="s">
        <v>119</v>
      </c>
      <c r="H6730" s="2" t="s">
        <v>74</v>
      </c>
      <c r="I6730" s="2" t="s">
        <v>16937</v>
      </c>
      <c r="J6730" s="3" t="str">
        <f>HYPERLINK("https://www.boe.es/gazeta/dias/1810/06/18/pdfs/GMD-C-1810-169.pdf#page=1","Abrir facsímil")</f>
        <v>Abrir facsímil</v>
      </c>
      <c r="K6730" s="3" t="s">
        <v>76</v>
      </c>
    </row>
    <row r="6731" spans="1:11" ht="42" customHeight="1">
      <c r="A6731" s="2" t="s">
        <v>16938</v>
      </c>
      <c r="B6731" s="2" t="s">
        <v>16939</v>
      </c>
      <c r="C6731" s="2" t="s">
        <v>88</v>
      </c>
      <c r="D6731" s="2" t="s">
        <v>27</v>
      </c>
      <c r="E6731" s="4">
        <v>-32693</v>
      </c>
      <c r="F6731" s="3" t="s">
        <v>54</v>
      </c>
      <c r="G6731" s="3" t="s">
        <v>20</v>
      </c>
      <c r="H6731" s="2" t="s">
        <v>74</v>
      </c>
      <c r="I6731" s="2" t="s">
        <v>16940</v>
      </c>
      <c r="J6731" s="3" t="str">
        <f>HYPERLINK("https://www.boe.es/gazeta/dias/1810/06/27/pdfs/GMD-1810-178.pdf#page=4","Abrir facsímil")</f>
        <v>Abrir facsímil</v>
      </c>
      <c r="K6731" s="3" t="s">
        <v>76</v>
      </c>
    </row>
    <row r="6732" spans="1:11" ht="42" customHeight="1">
      <c r="A6732" s="2" t="s">
        <v>16941</v>
      </c>
      <c r="B6732" s="2" t="s">
        <v>16942</v>
      </c>
      <c r="C6732" s="2" t="s">
        <v>26</v>
      </c>
      <c r="D6732" s="2" t="s">
        <v>27</v>
      </c>
      <c r="E6732" s="4">
        <v>-32543</v>
      </c>
      <c r="F6732" s="3" t="s">
        <v>69</v>
      </c>
      <c r="G6732" s="3" t="s">
        <v>84</v>
      </c>
      <c r="H6732" s="2" t="s">
        <v>74</v>
      </c>
      <c r="I6732" s="2" t="s">
        <v>16943</v>
      </c>
      <c r="J6732" s="3" t="str">
        <f>HYPERLINK("https://www.boe.es/gazeta/dias/1810/11/24/pdfs/GEI-1810-99.pdf#page=7","Abrir facsímil")</f>
        <v>Abrir facsímil</v>
      </c>
      <c r="K6732" s="3" t="s">
        <v>76</v>
      </c>
    </row>
    <row r="6733" spans="1:11" ht="42" customHeight="1">
      <c r="A6733" s="2" t="s">
        <v>16944</v>
      </c>
      <c r="B6733" s="2" t="s">
        <v>16945</v>
      </c>
      <c r="C6733" s="2" t="s">
        <v>26</v>
      </c>
      <c r="D6733" s="2" t="s">
        <v>27</v>
      </c>
      <c r="E6733" s="4">
        <v>-32517</v>
      </c>
      <c r="F6733" s="3" t="s">
        <v>566</v>
      </c>
      <c r="G6733" s="3" t="s">
        <v>762</v>
      </c>
      <c r="H6733" s="2" t="s">
        <v>74</v>
      </c>
      <c r="I6733" s="2" t="s">
        <v>16946</v>
      </c>
      <c r="J6733" s="3" t="str">
        <f>HYPERLINK("https://www.boe.es/gazeta/dias/1810/12/20/pdfs/GEI-1810-110.pdf#page=8","Abrir facsímil")</f>
        <v>Abrir facsímil</v>
      </c>
      <c r="K6733" s="3" t="s">
        <v>76</v>
      </c>
    </row>
    <row r="6734" spans="1:11" ht="42" customHeight="1">
      <c r="A6734" s="2" t="s">
        <v>16947</v>
      </c>
      <c r="B6734" s="2" t="s">
        <v>16948</v>
      </c>
      <c r="C6734" s="2" t="s">
        <v>33</v>
      </c>
      <c r="D6734" s="2" t="s">
        <v>27</v>
      </c>
      <c r="E6734" s="4">
        <v>-32543</v>
      </c>
      <c r="F6734" s="3" t="s">
        <v>69</v>
      </c>
      <c r="G6734" s="3" t="s">
        <v>70</v>
      </c>
      <c r="H6734" s="2" t="s">
        <v>74</v>
      </c>
      <c r="I6734" s="2" t="s">
        <v>16949</v>
      </c>
      <c r="J6734" s="3" t="str">
        <f>HYPERLINK("https://www.boe.es/gazeta/dias/1810/11/24/pdfs/GEI-1810-99.pdf#page=8","Abrir facsímil")</f>
        <v>Abrir facsímil</v>
      </c>
      <c r="K6734" s="3" t="s">
        <v>76</v>
      </c>
    </row>
    <row r="6735" spans="1:11" ht="42" customHeight="1">
      <c r="A6735" s="2" t="s">
        <v>16950</v>
      </c>
      <c r="B6735" s="2" t="s">
        <v>16951</v>
      </c>
      <c r="C6735" s="2" t="s">
        <v>26</v>
      </c>
      <c r="D6735" s="2" t="s">
        <v>27</v>
      </c>
      <c r="E6735" s="4">
        <v>-32618</v>
      </c>
      <c r="F6735" s="3" t="s">
        <v>1501</v>
      </c>
      <c r="G6735" s="3" t="s">
        <v>20</v>
      </c>
      <c r="H6735" s="2" t="s">
        <v>74</v>
      </c>
      <c r="I6735" s="2" t="s">
        <v>16952</v>
      </c>
      <c r="J6735" s="3" t="str">
        <f>HYPERLINK("https://www.boe.es/gazeta/dias/1810/09/10/pdfs/GMD-1810-253.pdf#page=4","Abrir facsímil")</f>
        <v>Abrir facsímil</v>
      </c>
      <c r="K6735" s="3" t="s">
        <v>76</v>
      </c>
    </row>
    <row r="6736" spans="1:11" ht="42" customHeight="1">
      <c r="A6736" s="2" t="s">
        <v>16953</v>
      </c>
      <c r="B6736" s="2" t="s">
        <v>16954</v>
      </c>
      <c r="C6736" s="2" t="s">
        <v>26</v>
      </c>
      <c r="D6736" s="2" t="s">
        <v>27</v>
      </c>
      <c r="E6736" s="4">
        <v>-32842</v>
      </c>
      <c r="F6736" s="3" t="s">
        <v>1291</v>
      </c>
      <c r="G6736" s="3" t="s">
        <v>70</v>
      </c>
      <c r="H6736" s="2" t="s">
        <v>74</v>
      </c>
      <c r="I6736" s="2" t="s">
        <v>16955</v>
      </c>
      <c r="J6736" s="3" t="str">
        <f>HYPERLINK("https://www.boe.es/gazeta/dias/1810/01/29/pdfs/GMD-1810-29.pdf#page=4","Abrir facsímil")</f>
        <v>Abrir facsímil</v>
      </c>
      <c r="K6736" s="3" t="s">
        <v>76</v>
      </c>
    </row>
    <row r="6737" spans="1:11" ht="42" customHeight="1">
      <c r="A6737" s="2" t="s">
        <v>16956</v>
      </c>
      <c r="B6737" s="2" t="s">
        <v>16957</v>
      </c>
      <c r="C6737" s="2" t="s">
        <v>26</v>
      </c>
      <c r="D6737" s="2" t="s">
        <v>27</v>
      </c>
      <c r="E6737" s="4">
        <v>-32775</v>
      </c>
      <c r="F6737" s="3" t="s">
        <v>308</v>
      </c>
      <c r="G6737" s="3" t="s">
        <v>140</v>
      </c>
      <c r="H6737" s="2" t="s">
        <v>74</v>
      </c>
      <c r="I6737" s="2" t="s">
        <v>16958</v>
      </c>
      <c r="J6737" s="3" t="str">
        <f>HYPERLINK("https://www.boe.es/gazeta/dias/1810/04/06/pdfs/GMD-1810-96.pdf#page=3","Abrir facsímil")</f>
        <v>Abrir facsímil</v>
      </c>
      <c r="K6737" s="3" t="s">
        <v>76</v>
      </c>
    </row>
    <row r="6738" spans="1:11" ht="42" customHeight="1">
      <c r="A6738" s="2" t="s">
        <v>16959</v>
      </c>
      <c r="B6738" s="2" t="s">
        <v>16960</v>
      </c>
      <c r="C6738" s="2" t="s">
        <v>111</v>
      </c>
      <c r="D6738" s="2" t="s">
        <v>27</v>
      </c>
      <c r="E6738" s="4">
        <v>-32608</v>
      </c>
      <c r="F6738" s="3" t="s">
        <v>781</v>
      </c>
      <c r="G6738" s="3" t="s">
        <v>213</v>
      </c>
      <c r="H6738" s="2" t="s">
        <v>74</v>
      </c>
      <c r="I6738" s="2" t="s">
        <v>16961</v>
      </c>
      <c r="J6738" s="3" t="str">
        <f>HYPERLINK("https://www.boe.es/gazeta/dias/1810/09/20/pdfs/GEI-1810-70.pdf#page=8","Abrir facsímil")</f>
        <v>Abrir facsímil</v>
      </c>
      <c r="K6738" s="3" t="s">
        <v>76</v>
      </c>
    </row>
    <row r="6739" spans="1:11" ht="42" customHeight="1">
      <c r="A6739" s="2" t="s">
        <v>16962</v>
      </c>
      <c r="B6739" s="2" t="s">
        <v>16963</v>
      </c>
      <c r="C6739" s="2" t="s">
        <v>88</v>
      </c>
      <c r="D6739" s="2" t="s">
        <v>27</v>
      </c>
      <c r="E6739" s="4">
        <v>-32703</v>
      </c>
      <c r="F6739" s="3" t="s">
        <v>1213</v>
      </c>
      <c r="G6739" s="3" t="s">
        <v>1214</v>
      </c>
      <c r="H6739" s="2" t="s">
        <v>74</v>
      </c>
      <c r="I6739" s="2" t="s">
        <v>16964</v>
      </c>
      <c r="J6739" s="3" t="str">
        <f>HYPERLINK("https://www.boe.es/gazeta/dias/1810/06/17/pdfs/GMD-1810-168.pdf#page=4","Abrir facsímil")</f>
        <v>Abrir facsímil</v>
      </c>
      <c r="K6739" s="3" t="s">
        <v>76</v>
      </c>
    </row>
    <row r="6740" spans="1:11" ht="42" customHeight="1">
      <c r="A6740" s="2" t="s">
        <v>16965</v>
      </c>
      <c r="B6740" s="2" t="s">
        <v>16966</v>
      </c>
      <c r="C6740" s="2" t="s">
        <v>26</v>
      </c>
      <c r="D6740" s="2" t="s">
        <v>27</v>
      </c>
      <c r="E6740" s="4">
        <v>-32771</v>
      </c>
      <c r="F6740" s="3" t="s">
        <v>543</v>
      </c>
      <c r="G6740" s="3" t="s">
        <v>65</v>
      </c>
      <c r="H6740" s="2" t="s">
        <v>74</v>
      </c>
      <c r="I6740" s="2" t="s">
        <v>16967</v>
      </c>
      <c r="J6740" s="3" t="str">
        <f>HYPERLINK("https://www.boe.es/gazeta/dias/1810/04/10/pdfs/GEI-1810-13.pdf#page=7","Abrir facsímil")</f>
        <v>Abrir facsímil</v>
      </c>
      <c r="K6740" s="3" t="s">
        <v>76</v>
      </c>
    </row>
    <row r="6741" spans="1:11" ht="42" customHeight="1">
      <c r="A6741" s="2" t="s">
        <v>16968</v>
      </c>
      <c r="B6741" s="2" t="s">
        <v>16969</v>
      </c>
      <c r="C6741" s="2" t="s">
        <v>33</v>
      </c>
      <c r="D6741" s="2" t="s">
        <v>27</v>
      </c>
      <c r="E6741" s="4">
        <v>-32761</v>
      </c>
      <c r="F6741" s="3" t="s">
        <v>811</v>
      </c>
      <c r="G6741" s="3" t="s">
        <v>140</v>
      </c>
      <c r="H6741" s="2" t="s">
        <v>74</v>
      </c>
      <c r="I6741" s="2" t="s">
        <v>16970</v>
      </c>
      <c r="J6741" s="3" t="str">
        <f>HYPERLINK("https://www.boe.es/gazeta/dias/1810/04/20/pdfs/GEI-1810-16.pdf#page=8","Abrir facsímil")</f>
        <v>Abrir facsímil</v>
      </c>
      <c r="K6741" s="3" t="s">
        <v>76</v>
      </c>
    </row>
    <row r="6742" spans="1:11" ht="42" customHeight="1">
      <c r="A6742" s="2" t="s">
        <v>16971</v>
      </c>
      <c r="B6742" s="2" t="s">
        <v>16972</v>
      </c>
      <c r="C6742" s="2" t="s">
        <v>26</v>
      </c>
      <c r="D6742" s="2" t="s">
        <v>27</v>
      </c>
      <c r="E6742" s="4">
        <v>-32729</v>
      </c>
      <c r="F6742" s="3" t="s">
        <v>174</v>
      </c>
      <c r="G6742" s="3" t="s">
        <v>151</v>
      </c>
      <c r="H6742" s="2" t="s">
        <v>74</v>
      </c>
      <c r="I6742" s="2" t="s">
        <v>16973</v>
      </c>
      <c r="J6742" s="3" t="str">
        <f>HYPERLINK("https://www.boe.es/gazeta/dias/1810/05/22/pdfs/GEI-1810-28.pdf#page=12","Abrir facsímil")</f>
        <v>Abrir facsímil</v>
      </c>
      <c r="K6742" s="3" t="s">
        <v>76</v>
      </c>
    </row>
    <row r="6743" spans="1:11" ht="42" customHeight="1">
      <c r="A6743" s="2" t="s">
        <v>16974</v>
      </c>
      <c r="B6743" s="2" t="s">
        <v>16975</v>
      </c>
      <c r="C6743" s="2" t="s">
        <v>88</v>
      </c>
      <c r="D6743" s="2" t="s">
        <v>27</v>
      </c>
      <c r="E6743" s="4">
        <v>-32631</v>
      </c>
      <c r="F6743" s="3" t="s">
        <v>497</v>
      </c>
      <c r="G6743" s="3" t="s">
        <v>498</v>
      </c>
      <c r="H6743" s="2" t="s">
        <v>74</v>
      </c>
      <c r="I6743" s="2" t="s">
        <v>16976</v>
      </c>
      <c r="J6743" s="3" t="str">
        <f>HYPERLINK("https://www.boe.es/gazeta/dias/1810/08/28/pdfs/GMD-1810-240.pdf#page=2","Abrir facsímil")</f>
        <v>Abrir facsímil</v>
      </c>
      <c r="K6743" s="3" t="s">
        <v>76</v>
      </c>
    </row>
    <row r="6744" spans="1:11" ht="42" customHeight="1">
      <c r="A6744" s="2" t="s">
        <v>16977</v>
      </c>
      <c r="B6744" s="2" t="s">
        <v>16978</v>
      </c>
      <c r="C6744" s="2" t="s">
        <v>26</v>
      </c>
      <c r="D6744" s="2" t="s">
        <v>27</v>
      </c>
      <c r="E6744" s="4">
        <v>-32680</v>
      </c>
      <c r="F6744" s="3" t="s">
        <v>509</v>
      </c>
      <c r="G6744" s="3" t="s">
        <v>213</v>
      </c>
      <c r="H6744" s="2" t="s">
        <v>74</v>
      </c>
      <c r="I6744" s="2" t="s">
        <v>16979</v>
      </c>
      <c r="J6744" s="3" t="str">
        <f>HYPERLINK("https://www.boe.es/gazeta/dias/1810/07/10/pdfs/GMD-1810-191.pdf#page=4","Abrir facsímil")</f>
        <v>Abrir facsímil</v>
      </c>
      <c r="K6744" s="3" t="s">
        <v>76</v>
      </c>
    </row>
    <row r="6745" spans="1:11" ht="42" customHeight="1">
      <c r="A6745" s="2" t="s">
        <v>16980</v>
      </c>
      <c r="B6745" s="2" t="s">
        <v>16981</v>
      </c>
      <c r="C6745" s="2" t="s">
        <v>26</v>
      </c>
      <c r="D6745" s="2" t="s">
        <v>39</v>
      </c>
      <c r="E6745" s="4">
        <v>-32701</v>
      </c>
      <c r="F6745" s="3" t="s">
        <v>40</v>
      </c>
      <c r="G6745" s="3" t="s">
        <v>41</v>
      </c>
      <c r="H6745" s="2" t="s">
        <v>74</v>
      </c>
      <c r="I6745" s="2" t="s">
        <v>16982</v>
      </c>
      <c r="J6745" s="3" t="str">
        <f>HYPERLINK("https://www.boe.es/gazeta/dias/1810/06/19/pdfs/GMD-C-1810-170.pdf#page=3","Abrir facsímil")</f>
        <v>Abrir facsímil</v>
      </c>
      <c r="K6745" s="3" t="s">
        <v>76</v>
      </c>
    </row>
    <row r="6746" spans="1:11" ht="42" customHeight="1">
      <c r="A6746" s="2" t="s">
        <v>16983</v>
      </c>
      <c r="B6746" s="2" t="s">
        <v>16984</v>
      </c>
      <c r="C6746" s="2" t="s">
        <v>26</v>
      </c>
      <c r="D6746" s="2" t="s">
        <v>27</v>
      </c>
      <c r="E6746" s="4">
        <v>-32618</v>
      </c>
      <c r="F6746" s="3" t="s">
        <v>1501</v>
      </c>
      <c r="G6746" s="3" t="s">
        <v>20</v>
      </c>
      <c r="H6746" s="2" t="s">
        <v>74</v>
      </c>
      <c r="I6746" s="2" t="s">
        <v>16985</v>
      </c>
      <c r="J6746" s="3" t="str">
        <f>HYPERLINK("https://www.boe.es/gazeta/dias/1810/09/10/pdfs/GMD-1810-253.pdf#page=4","Abrir facsímil")</f>
        <v>Abrir facsímil</v>
      </c>
      <c r="K6746" s="3" t="s">
        <v>76</v>
      </c>
    </row>
    <row r="6747" spans="1:11" ht="42" customHeight="1">
      <c r="A6747" s="2" t="s">
        <v>16986</v>
      </c>
      <c r="B6747" s="2" t="s">
        <v>16987</v>
      </c>
      <c r="C6747" s="2" t="s">
        <v>88</v>
      </c>
      <c r="D6747" s="2" t="s">
        <v>27</v>
      </c>
      <c r="E6747" s="4">
        <v>-32837</v>
      </c>
      <c r="F6747" s="3" t="s">
        <v>196</v>
      </c>
      <c r="G6747" s="3" t="s">
        <v>140</v>
      </c>
      <c r="H6747" s="2" t="s">
        <v>74</v>
      </c>
      <c r="I6747" s="2" t="s">
        <v>16988</v>
      </c>
      <c r="J6747" s="3" t="str">
        <f>HYPERLINK("https://www.boe.es/gazeta/dias/1810/02/03/pdfs/GMD-1810-34.pdf#page=4","Abrir facsímil")</f>
        <v>Abrir facsímil</v>
      </c>
      <c r="K6747" s="3" t="s">
        <v>76</v>
      </c>
    </row>
    <row r="6748" spans="1:11" ht="42" customHeight="1">
      <c r="A6748" s="2" t="s">
        <v>16989</v>
      </c>
      <c r="B6748" s="2" t="s">
        <v>16990</v>
      </c>
      <c r="C6748" s="2" t="s">
        <v>33</v>
      </c>
      <c r="D6748" s="2" t="s">
        <v>27</v>
      </c>
      <c r="E6748" s="4">
        <v>-32595</v>
      </c>
      <c r="F6748" s="3" t="s">
        <v>700</v>
      </c>
      <c r="G6748" s="3" t="s">
        <v>701</v>
      </c>
      <c r="H6748" s="2" t="s">
        <v>74</v>
      </c>
      <c r="I6748" s="2" t="s">
        <v>16991</v>
      </c>
      <c r="J6748" s="3" t="str">
        <f>HYPERLINK("https://www.boe.es/gazeta/dias/1810/10/03/pdfs/GMD-1810-276.pdf#page=3","Abrir facsímil")</f>
        <v>Abrir facsímil</v>
      </c>
      <c r="K6748" s="3" t="s">
        <v>76</v>
      </c>
    </row>
    <row r="6749" spans="1:11" ht="42" customHeight="1">
      <c r="A6749" s="2" t="s">
        <v>16992</v>
      </c>
      <c r="B6749" s="2" t="s">
        <v>16993</v>
      </c>
      <c r="C6749" s="2" t="s">
        <v>88</v>
      </c>
      <c r="D6749" s="2" t="s">
        <v>27</v>
      </c>
      <c r="E6749" s="4">
        <v>-32710</v>
      </c>
      <c r="F6749" s="3" t="s">
        <v>126</v>
      </c>
      <c r="G6749" s="3" t="s">
        <v>20</v>
      </c>
      <c r="H6749" s="2" t="s">
        <v>74</v>
      </c>
      <c r="I6749" s="2" t="s">
        <v>16994</v>
      </c>
      <c r="J6749" s="3" t="str">
        <f>HYPERLINK("https://www.boe.es/gazeta/dias/1810/06/10/pdfs/GMD-1810-161.pdf#page=4","Abrir facsímil")</f>
        <v>Abrir facsímil</v>
      </c>
      <c r="K6749" s="3" t="s">
        <v>76</v>
      </c>
    </row>
    <row r="6750" spans="1:11" ht="42" customHeight="1">
      <c r="A6750" s="2" t="s">
        <v>16995</v>
      </c>
      <c r="B6750" s="2" t="s">
        <v>16995</v>
      </c>
      <c r="C6750" s="2" t="s">
        <v>88</v>
      </c>
      <c r="D6750" s="2" t="s">
        <v>117</v>
      </c>
      <c r="E6750" s="4">
        <v>-32719</v>
      </c>
      <c r="F6750" s="3" t="s">
        <v>965</v>
      </c>
      <c r="G6750" s="3" t="s">
        <v>180</v>
      </c>
      <c r="H6750" s="2" t="s">
        <v>74</v>
      </c>
      <c r="I6750" s="2" t="s">
        <v>16996</v>
      </c>
      <c r="J6750" s="3" t="str">
        <f>HYPERLINK("https://www.boe.es/gazeta/dias/1810/06/01/pdfs/GMD-1810-152.pdf#page=3","Abrir facsímil")</f>
        <v>Abrir facsímil</v>
      </c>
      <c r="K6750" s="3" t="s">
        <v>76</v>
      </c>
    </row>
    <row r="6751" spans="1:11" ht="42" customHeight="1">
      <c r="A6751" s="2" t="s">
        <v>16995</v>
      </c>
      <c r="B6751" s="2" t="s">
        <v>16995</v>
      </c>
      <c r="C6751" s="2" t="s">
        <v>88</v>
      </c>
      <c r="D6751" s="2" t="s">
        <v>117</v>
      </c>
      <c r="E6751" s="4">
        <v>-32624</v>
      </c>
      <c r="F6751" s="3" t="s">
        <v>2838</v>
      </c>
      <c r="G6751" s="3" t="s">
        <v>1667</v>
      </c>
      <c r="H6751" s="2" t="s">
        <v>74</v>
      </c>
      <c r="I6751" s="2" t="s">
        <v>16997</v>
      </c>
      <c r="J6751" s="3" t="str">
        <f>HYPERLINK("https://www.boe.es/gazeta/dias/1810/09/04/pdfs/GMD-1810-247.pdf#page=2","Abrir facsímil")</f>
        <v>Abrir facsímil</v>
      </c>
      <c r="K6751" s="3" t="s">
        <v>76</v>
      </c>
    </row>
    <row r="6752" spans="1:11" ht="42" customHeight="1">
      <c r="A6752" s="2" t="s">
        <v>16998</v>
      </c>
      <c r="B6752" s="2" t="s">
        <v>16999</v>
      </c>
      <c r="C6752" s="2" t="s">
        <v>26</v>
      </c>
      <c r="D6752" s="2" t="s">
        <v>27</v>
      </c>
      <c r="E6752" s="4">
        <v>-32761</v>
      </c>
      <c r="F6752" s="3" t="s">
        <v>811</v>
      </c>
      <c r="G6752" s="3" t="s">
        <v>140</v>
      </c>
      <c r="H6752" s="2" t="s">
        <v>74</v>
      </c>
      <c r="I6752" s="2" t="s">
        <v>17000</v>
      </c>
      <c r="J6752" s="3" t="str">
        <f>HYPERLINK("https://www.boe.es/gazeta/dias/1810/04/20/pdfs/GEI-1810-16.pdf#page=8","Abrir facsímil")</f>
        <v>Abrir facsímil</v>
      </c>
      <c r="K6752" s="3" t="s">
        <v>76</v>
      </c>
    </row>
    <row r="6753" spans="1:11" ht="42" customHeight="1">
      <c r="A6753" s="2" t="s">
        <v>17001</v>
      </c>
      <c r="B6753" s="2" t="s">
        <v>17001</v>
      </c>
      <c r="C6753" s="2" t="s">
        <v>88</v>
      </c>
      <c r="D6753" s="2" t="s">
        <v>27</v>
      </c>
      <c r="E6753" s="4">
        <v>-32584</v>
      </c>
      <c r="F6753" s="3" t="s">
        <v>1560</v>
      </c>
      <c r="G6753" s="3" t="s">
        <v>971</v>
      </c>
      <c r="H6753" s="2" t="s">
        <v>74</v>
      </c>
      <c r="I6753" s="2" t="s">
        <v>17002</v>
      </c>
      <c r="J6753" s="3" t="str">
        <f>HYPERLINK("https://www.boe.es/gazeta/dias/1810/10/14/pdfs/GMD-1810-287.pdf#page=3","Abrir facsímil")</f>
        <v>Abrir facsímil</v>
      </c>
      <c r="K6753" s="3" t="s">
        <v>76</v>
      </c>
    </row>
    <row r="6754" spans="1:11" ht="42" customHeight="1">
      <c r="A6754" s="2" t="s">
        <v>17003</v>
      </c>
      <c r="B6754" s="2" t="s">
        <v>17004</v>
      </c>
      <c r="C6754" s="2" t="s">
        <v>88</v>
      </c>
      <c r="D6754" s="2" t="s">
        <v>27</v>
      </c>
      <c r="E6754" s="4">
        <v>-32533</v>
      </c>
      <c r="F6754" s="3" t="s">
        <v>1357</v>
      </c>
      <c r="G6754" s="3" t="s">
        <v>701</v>
      </c>
      <c r="H6754" s="2" t="s">
        <v>74</v>
      </c>
      <c r="I6754" s="2" t="s">
        <v>17005</v>
      </c>
      <c r="J6754" s="3" t="str">
        <f>HYPERLINK("https://www.boe.es/gazeta/dias/1810/12/04/pdfs/GEI-1810-103.pdf#page=8","Abrir facsímil")</f>
        <v>Abrir facsímil</v>
      </c>
      <c r="K6754" s="3" t="s">
        <v>76</v>
      </c>
    </row>
    <row r="6755" spans="1:11" ht="42" customHeight="1">
      <c r="A6755" s="2" t="s">
        <v>17006</v>
      </c>
      <c r="B6755" s="2" t="s">
        <v>17007</v>
      </c>
      <c r="C6755" s="2" t="s">
        <v>26</v>
      </c>
      <c r="D6755" s="2" t="s">
        <v>27</v>
      </c>
      <c r="E6755" s="4">
        <v>-32762</v>
      </c>
      <c r="F6755" s="3" t="s">
        <v>231</v>
      </c>
      <c r="G6755" s="3" t="s">
        <v>140</v>
      </c>
      <c r="H6755" s="2" t="s">
        <v>74</v>
      </c>
      <c r="I6755" s="2" t="s">
        <v>17008</v>
      </c>
      <c r="J6755" s="3" t="str">
        <f>HYPERLINK("https://www.boe.es/gazeta/dias/1810/04/19/pdfs/GMD-1810-109.pdf#page=3","Abrir facsímil")</f>
        <v>Abrir facsímil</v>
      </c>
      <c r="K6755" s="3" t="s">
        <v>76</v>
      </c>
    </row>
    <row r="6756" spans="1:11" ht="42" customHeight="1">
      <c r="A6756" s="2" t="s">
        <v>17009</v>
      </c>
      <c r="B6756" s="2" t="s">
        <v>17010</v>
      </c>
      <c r="C6756" s="2" t="s">
        <v>26</v>
      </c>
      <c r="D6756" s="2" t="s">
        <v>39</v>
      </c>
      <c r="E6756" s="4">
        <v>-32701</v>
      </c>
      <c r="F6756" s="3" t="s">
        <v>40</v>
      </c>
      <c r="G6756" s="3" t="s">
        <v>170</v>
      </c>
      <c r="H6756" s="2" t="s">
        <v>21</v>
      </c>
      <c r="I6756" s="2" t="s">
        <v>17011</v>
      </c>
      <c r="J6756" s="3" t="str">
        <f>HYPERLINK("https://www.boe.es/gazeta/dias/1810/06/19/pdfs/GMD-C-1810-170.pdf#page=1","Abrir facsímil")</f>
        <v>Abrir facsímil</v>
      </c>
      <c r="K6756" s="3" t="s">
        <v>23</v>
      </c>
    </row>
    <row r="6757" spans="1:11" ht="42" customHeight="1">
      <c r="A6757" s="2" t="s">
        <v>17012</v>
      </c>
      <c r="B6757" s="2" t="s">
        <v>17013</v>
      </c>
      <c r="C6757" s="2" t="s">
        <v>88</v>
      </c>
      <c r="D6757" s="2" t="s">
        <v>27</v>
      </c>
      <c r="E6757" s="4">
        <v>-32547</v>
      </c>
      <c r="F6757" s="3" t="s">
        <v>407</v>
      </c>
      <c r="G6757" s="3" t="s">
        <v>408</v>
      </c>
      <c r="H6757" s="2" t="s">
        <v>74</v>
      </c>
      <c r="I6757" s="2" t="s">
        <v>17014</v>
      </c>
      <c r="J6757" s="3" t="str">
        <f>HYPERLINK("https://www.boe.es/gazeta/dias/1810/11/20/pdfs/GEI-1810-97.pdf#page=8","Abrir facsímil")</f>
        <v>Abrir facsímil</v>
      </c>
      <c r="K6757" s="3" t="s">
        <v>76</v>
      </c>
    </row>
    <row r="6758" spans="1:11" ht="42" customHeight="1">
      <c r="A6758" s="2" t="s">
        <v>17015</v>
      </c>
      <c r="B6758" s="2" t="s">
        <v>17016</v>
      </c>
      <c r="C6758" s="2" t="s">
        <v>930</v>
      </c>
      <c r="D6758" s="2" t="s">
        <v>27</v>
      </c>
      <c r="E6758" s="4">
        <v>-32545</v>
      </c>
      <c r="F6758" s="3" t="s">
        <v>165</v>
      </c>
      <c r="G6758" s="3" t="s">
        <v>166</v>
      </c>
      <c r="H6758" s="2" t="s">
        <v>74</v>
      </c>
      <c r="I6758" s="2" t="s">
        <v>17017</v>
      </c>
      <c r="J6758" s="3" t="str">
        <f>HYPERLINK("https://www.boe.es/gazeta/dias/1810/11/22/pdfs/GEI-1810-98.pdf#page=8","Abrir facsímil")</f>
        <v>Abrir facsímil</v>
      </c>
      <c r="K6758" s="3" t="s">
        <v>76</v>
      </c>
    </row>
    <row r="6759" spans="1:11" ht="42" customHeight="1">
      <c r="A6759" s="2" t="s">
        <v>17018</v>
      </c>
      <c r="B6759" s="2" t="s">
        <v>17019</v>
      </c>
      <c r="C6759" s="2" t="s">
        <v>26</v>
      </c>
      <c r="D6759" s="2" t="s">
        <v>27</v>
      </c>
      <c r="E6759" s="4">
        <v>-32515</v>
      </c>
      <c r="F6759" s="3" t="s">
        <v>351</v>
      </c>
      <c r="G6759" s="3" t="s">
        <v>352</v>
      </c>
      <c r="H6759" s="2" t="s">
        <v>74</v>
      </c>
      <c r="I6759" s="2" t="s">
        <v>17020</v>
      </c>
      <c r="J6759" s="3" t="str">
        <f>HYPERLINK("https://www.boe.es/gazeta/dias/1810/12/22/pdfs/GEI-1810-111.pdf#page=8","Abrir facsímil")</f>
        <v>Abrir facsímil</v>
      </c>
      <c r="K6759" s="3" t="s">
        <v>76</v>
      </c>
    </row>
    <row r="6760" spans="1:11" ht="42" customHeight="1">
      <c r="A6760" s="2" t="s">
        <v>17021</v>
      </c>
      <c r="B6760" s="2" t="s">
        <v>17022</v>
      </c>
      <c r="C6760" s="2" t="s">
        <v>88</v>
      </c>
      <c r="D6760" s="2" t="s">
        <v>117</v>
      </c>
      <c r="E6760" s="4">
        <v>-32713</v>
      </c>
      <c r="F6760" s="3" t="s">
        <v>959</v>
      </c>
      <c r="G6760" s="3" t="s">
        <v>960</v>
      </c>
      <c r="H6760" s="2" t="s">
        <v>74</v>
      </c>
      <c r="I6760" s="2" t="s">
        <v>17023</v>
      </c>
      <c r="J6760" s="3" t="str">
        <f>HYPERLINK("https://www.boe.es/gazeta/dias/1810/06/07/pdfs/GMD-1810-158.pdf#page=4","Abrir facsímil")</f>
        <v>Abrir facsímil</v>
      </c>
      <c r="K6760" s="3" t="s">
        <v>76</v>
      </c>
    </row>
    <row r="6761" spans="1:11" ht="42" customHeight="1">
      <c r="A6761" s="2" t="s">
        <v>17024</v>
      </c>
      <c r="B6761" s="2" t="s">
        <v>17025</v>
      </c>
      <c r="C6761" s="2" t="s">
        <v>26</v>
      </c>
      <c r="D6761" s="2" t="s">
        <v>27</v>
      </c>
      <c r="E6761" s="4">
        <v>-32526</v>
      </c>
      <c r="F6761" s="3" t="s">
        <v>530</v>
      </c>
      <c r="G6761" s="3" t="s">
        <v>531</v>
      </c>
      <c r="H6761" s="2" t="s">
        <v>74</v>
      </c>
      <c r="I6761" s="2" t="s">
        <v>17026</v>
      </c>
      <c r="J6761" s="3" t="str">
        <f>HYPERLINK("https://www.boe.es/gazeta/dias/1810/12/11/pdfs/GEI-1810-106.pdf#page=2","Abrir facsímil")</f>
        <v>Abrir facsímil</v>
      </c>
      <c r="K6761" s="3" t="s">
        <v>76</v>
      </c>
    </row>
    <row r="6762" spans="1:11" ht="42" customHeight="1">
      <c r="A6762" s="2" t="s">
        <v>17027</v>
      </c>
      <c r="B6762" s="2" t="s">
        <v>17027</v>
      </c>
      <c r="C6762" s="2" t="s">
        <v>26</v>
      </c>
      <c r="D6762" s="2" t="s">
        <v>18</v>
      </c>
      <c r="E6762" s="4">
        <v>-32857</v>
      </c>
      <c r="F6762" s="3" t="s">
        <v>1100</v>
      </c>
      <c r="G6762" s="3" t="s">
        <v>180</v>
      </c>
      <c r="H6762" s="2" t="s">
        <v>74</v>
      </c>
      <c r="I6762" s="2" t="s">
        <v>17028</v>
      </c>
      <c r="J6762" s="3" t="str">
        <f>HYPERLINK("https://www.boe.es/gazeta/dias/1810/01/14/pdfs/GMD-1810-14.pdf#page=1","Abrir facsímil")</f>
        <v>Abrir facsímil</v>
      </c>
      <c r="K6762" s="3" t="s">
        <v>76</v>
      </c>
    </row>
    <row r="6763" spans="1:11" ht="42" customHeight="1">
      <c r="A6763" s="2" t="s">
        <v>17029</v>
      </c>
      <c r="B6763" s="2" t="s">
        <v>17030</v>
      </c>
      <c r="C6763" s="2" t="s">
        <v>88</v>
      </c>
      <c r="D6763" s="2" t="s">
        <v>27</v>
      </c>
      <c r="E6763" s="4">
        <v>-32842</v>
      </c>
      <c r="F6763" s="3" t="s">
        <v>1291</v>
      </c>
      <c r="G6763" s="3" t="s">
        <v>1292</v>
      </c>
      <c r="H6763" s="2" t="s">
        <v>74</v>
      </c>
      <c r="I6763" s="2" t="s">
        <v>17031</v>
      </c>
      <c r="J6763" s="3" t="str">
        <f>HYPERLINK("https://www.boe.es/gazeta/dias/1810/01/29/pdfs/GMD-1810-29.pdf#page=3","Abrir facsímil")</f>
        <v>Abrir facsímil</v>
      </c>
      <c r="K6763" s="3" t="s">
        <v>76</v>
      </c>
    </row>
    <row r="6764" spans="1:11" ht="42" customHeight="1">
      <c r="A6764" s="2" t="s">
        <v>17032</v>
      </c>
      <c r="B6764" s="2" t="s">
        <v>17032</v>
      </c>
      <c r="C6764" s="2" t="s">
        <v>317</v>
      </c>
      <c r="D6764" s="2" t="s">
        <v>117</v>
      </c>
      <c r="E6764" s="4">
        <v>-32701</v>
      </c>
      <c r="F6764" s="3" t="s">
        <v>671</v>
      </c>
      <c r="G6764" s="3" t="s">
        <v>151</v>
      </c>
      <c r="H6764" s="2" t="s">
        <v>74</v>
      </c>
      <c r="I6764" s="2" t="s">
        <v>17033</v>
      </c>
      <c r="J6764" s="3" t="str">
        <f>HYPERLINK("https://www.boe.es/gazeta/dias/1810/06/19/pdfs/GEI-1810-37.pdf#page=5","Abrir facsímil")</f>
        <v>Abrir facsímil</v>
      </c>
      <c r="K6764" s="3" t="s">
        <v>76</v>
      </c>
    </row>
    <row r="6765" spans="1:11" ht="42" customHeight="1">
      <c r="A6765" s="2" t="s">
        <v>17034</v>
      </c>
      <c r="B6765" s="2" t="s">
        <v>17035</v>
      </c>
      <c r="C6765" s="2" t="s">
        <v>26</v>
      </c>
      <c r="D6765" s="2" t="s">
        <v>27</v>
      </c>
      <c r="E6765" s="4">
        <v>-32582</v>
      </c>
      <c r="F6765" s="3" t="s">
        <v>3849</v>
      </c>
      <c r="G6765" s="3" t="s">
        <v>1347</v>
      </c>
      <c r="H6765" s="2" t="s">
        <v>74</v>
      </c>
      <c r="I6765" s="2" t="s">
        <v>17036</v>
      </c>
      <c r="J6765" s="3" t="str">
        <f>HYPERLINK("https://www.boe.es/gazeta/dias/1810/10/16/pdfs/GEI-1810-82.pdf#page=7","Abrir facsímil")</f>
        <v>Abrir facsímil</v>
      </c>
      <c r="K6765" s="3" t="s">
        <v>76</v>
      </c>
    </row>
    <row r="6766" spans="1:11" ht="42" customHeight="1">
      <c r="A6766" s="2" t="s">
        <v>17037</v>
      </c>
      <c r="B6766" s="2" t="s">
        <v>17038</v>
      </c>
      <c r="C6766" s="2" t="s">
        <v>26</v>
      </c>
      <c r="D6766" s="2" t="s">
        <v>27</v>
      </c>
      <c r="E6766" s="4">
        <v>-32543</v>
      </c>
      <c r="F6766" s="3" t="s">
        <v>69</v>
      </c>
      <c r="G6766" s="3" t="s">
        <v>70</v>
      </c>
      <c r="H6766" s="2" t="s">
        <v>74</v>
      </c>
      <c r="I6766" s="2" t="s">
        <v>17039</v>
      </c>
      <c r="J6766" s="3" t="str">
        <f>HYPERLINK("https://www.boe.es/gazeta/dias/1810/11/24/pdfs/GEI-1810-99.pdf#page=8","Abrir facsímil")</f>
        <v>Abrir facsímil</v>
      </c>
      <c r="K6766" s="3" t="s">
        <v>76</v>
      </c>
    </row>
    <row r="6767" spans="1:11" ht="42" customHeight="1">
      <c r="A6767" s="2" t="s">
        <v>17040</v>
      </c>
      <c r="B6767" s="2" t="s">
        <v>17041</v>
      </c>
      <c r="C6767" s="2" t="s">
        <v>26</v>
      </c>
      <c r="D6767" s="2" t="s">
        <v>27</v>
      </c>
      <c r="E6767" s="4">
        <v>-32543</v>
      </c>
      <c r="F6767" s="3" t="s">
        <v>69</v>
      </c>
      <c r="G6767" s="3" t="s">
        <v>70</v>
      </c>
      <c r="H6767" s="2" t="s">
        <v>74</v>
      </c>
      <c r="I6767" s="2" t="s">
        <v>17042</v>
      </c>
      <c r="J6767" s="3" t="str">
        <f>HYPERLINK("https://www.boe.es/gazeta/dias/1810/11/24/pdfs/GEI-1810-99.pdf#page=8","Abrir facsímil")</f>
        <v>Abrir facsímil</v>
      </c>
      <c r="K6767" s="3" t="s">
        <v>76</v>
      </c>
    </row>
    <row r="6768" spans="1:11" ht="42" customHeight="1">
      <c r="A6768" s="2" t="s">
        <v>17043</v>
      </c>
      <c r="B6768" s="2" t="s">
        <v>17044</v>
      </c>
      <c r="C6768" s="2" t="s">
        <v>88</v>
      </c>
      <c r="D6768" s="2" t="s">
        <v>27</v>
      </c>
      <c r="E6768" s="4">
        <v>-32867</v>
      </c>
      <c r="F6768" s="3" t="s">
        <v>712</v>
      </c>
      <c r="G6768" s="3" t="s">
        <v>291</v>
      </c>
      <c r="H6768" s="2" t="s">
        <v>74</v>
      </c>
      <c r="I6768" s="2" t="s">
        <v>17045</v>
      </c>
      <c r="J6768" s="3" t="str">
        <f>HYPERLINK("https://www.boe.es/gazeta/dias/1810/01/04/pdfs/GGB-1810-2.pdf#page=8","Abrir facsímil")</f>
        <v>Abrir facsímil</v>
      </c>
      <c r="K6768" s="3" t="s">
        <v>76</v>
      </c>
    </row>
    <row r="6769" spans="1:11" ht="42" customHeight="1">
      <c r="A6769" s="2" t="s">
        <v>17046</v>
      </c>
      <c r="B6769" s="2" t="s">
        <v>17046</v>
      </c>
      <c r="C6769" s="2" t="s">
        <v>88</v>
      </c>
      <c r="D6769" s="2" t="s">
        <v>117</v>
      </c>
      <c r="E6769" s="4">
        <v>-32818</v>
      </c>
      <c r="F6769" s="3" t="s">
        <v>936</v>
      </c>
      <c r="G6769" s="3" t="s">
        <v>937</v>
      </c>
      <c r="H6769" s="2" t="s">
        <v>74</v>
      </c>
      <c r="I6769" s="2" t="s">
        <v>17047</v>
      </c>
      <c r="J6769" s="3" t="str">
        <f>HYPERLINK("https://www.boe.es/gazeta/dias/1810/02/22/pdfs/GMD-1810-53.pdf#page=1","Abrir facsímil")</f>
        <v>Abrir facsímil</v>
      </c>
      <c r="K6769" s="3" t="s">
        <v>76</v>
      </c>
    </row>
    <row r="6770" spans="1:11" ht="42" customHeight="1">
      <c r="A6770" s="2" t="s">
        <v>17048</v>
      </c>
      <c r="B6770" s="2" t="s">
        <v>17048</v>
      </c>
      <c r="C6770" s="2" t="s">
        <v>88</v>
      </c>
      <c r="D6770" s="2" t="s">
        <v>27</v>
      </c>
      <c r="E6770" s="4">
        <v>-32781</v>
      </c>
      <c r="F6770" s="3" t="s">
        <v>5673</v>
      </c>
      <c r="G6770" s="3" t="s">
        <v>1656</v>
      </c>
      <c r="H6770" s="2" t="s">
        <v>74</v>
      </c>
      <c r="I6770" s="2" t="s">
        <v>17049</v>
      </c>
      <c r="J6770" s="3" t="str">
        <f>HYPERLINK("https://www.boe.es/gazeta/dias/1810/03/31/pdfs/GMD-1810-90.pdf#page=2","Abrir facsímil")</f>
        <v>Abrir facsímil</v>
      </c>
      <c r="K6770" s="3" t="s">
        <v>76</v>
      </c>
    </row>
    <row r="6771" spans="1:11" ht="42" customHeight="1">
      <c r="A6771" s="2" t="s">
        <v>17050</v>
      </c>
      <c r="B6771" s="2" t="s">
        <v>17051</v>
      </c>
      <c r="C6771" s="2" t="s">
        <v>17</v>
      </c>
      <c r="D6771" s="2" t="s">
        <v>27</v>
      </c>
      <c r="E6771" s="4">
        <v>-32775</v>
      </c>
      <c r="F6771" s="3" t="s">
        <v>308</v>
      </c>
      <c r="G6771" s="3" t="s">
        <v>140</v>
      </c>
      <c r="H6771" s="2" t="s">
        <v>74</v>
      </c>
      <c r="I6771" s="2" t="s">
        <v>17052</v>
      </c>
      <c r="J6771" s="3" t="str">
        <f>HYPERLINK("https://www.boe.es/gazeta/dias/1810/04/06/pdfs/GMD-1810-96.pdf#page=3","Abrir facsímil")</f>
        <v>Abrir facsímil</v>
      </c>
      <c r="K6771" s="3" t="s">
        <v>76</v>
      </c>
    </row>
    <row r="6772" spans="1:11" ht="42" customHeight="1">
      <c r="A6772" s="2" t="s">
        <v>17053</v>
      </c>
      <c r="B6772" s="2" t="s">
        <v>17054</v>
      </c>
      <c r="C6772" s="2" t="s">
        <v>26</v>
      </c>
      <c r="D6772" s="2" t="s">
        <v>27</v>
      </c>
      <c r="E6772" s="4">
        <v>-32729</v>
      </c>
      <c r="F6772" s="3" t="s">
        <v>174</v>
      </c>
      <c r="G6772" s="3" t="s">
        <v>886</v>
      </c>
      <c r="H6772" s="2" t="s">
        <v>74</v>
      </c>
      <c r="I6772" s="2" t="s">
        <v>17055</v>
      </c>
      <c r="J6772" s="3" t="str">
        <f>HYPERLINK("https://www.boe.es/gazeta/dias/1810/05/22/pdfs/GEI-1810-28.pdf#page=11","Abrir facsímil")</f>
        <v>Abrir facsímil</v>
      </c>
      <c r="K6772" s="3" t="s">
        <v>76</v>
      </c>
    </row>
    <row r="6773" spans="1:11" ht="42" customHeight="1">
      <c r="A6773" s="2" t="s">
        <v>17056</v>
      </c>
      <c r="B6773" s="2" t="s">
        <v>17057</v>
      </c>
      <c r="C6773" s="2" t="s">
        <v>111</v>
      </c>
      <c r="D6773" s="2" t="s">
        <v>18</v>
      </c>
      <c r="E6773" s="4">
        <v>-32757</v>
      </c>
      <c r="F6773" s="3" t="s">
        <v>1136</v>
      </c>
      <c r="G6773" s="3" t="s">
        <v>1901</v>
      </c>
      <c r="H6773" s="2" t="s">
        <v>74</v>
      </c>
      <c r="I6773" s="2" t="s">
        <v>17058</v>
      </c>
      <c r="J6773" s="3" t="str">
        <f>HYPERLINK("https://www.boe.es/gazeta/dias/1810/04/24/pdfs/GEI-1810-17.pdf#page=8","Abrir facsímil")</f>
        <v>Abrir facsímil</v>
      </c>
      <c r="K6773" s="3" t="s">
        <v>76</v>
      </c>
    </row>
    <row r="6774" spans="1:11" ht="42" customHeight="1">
      <c r="A6774" s="2" t="s">
        <v>17059</v>
      </c>
      <c r="B6774" s="2" t="s">
        <v>17059</v>
      </c>
      <c r="C6774" s="2" t="s">
        <v>88</v>
      </c>
      <c r="D6774" s="2" t="s">
        <v>27</v>
      </c>
      <c r="E6774" s="4">
        <v>-32541</v>
      </c>
      <c r="F6774" s="3" t="s">
        <v>748</v>
      </c>
      <c r="G6774" s="3" t="s">
        <v>3125</v>
      </c>
      <c r="H6774" s="2" t="s">
        <v>74</v>
      </c>
      <c r="I6774" s="2" t="s">
        <v>17060</v>
      </c>
      <c r="J6774" s="3" t="str">
        <f>HYPERLINK("https://www.boe.es/gazeta/dias/1810/11/26/pdfs/GMD-1810-330.pdf#page=3","Abrir facsímil")</f>
        <v>Abrir facsímil</v>
      </c>
      <c r="K6774" s="3" t="s">
        <v>76</v>
      </c>
    </row>
    <row r="6775" spans="1:11" ht="42" customHeight="1">
      <c r="A6775" s="2" t="s">
        <v>17061</v>
      </c>
      <c r="B6775" s="2" t="s">
        <v>17061</v>
      </c>
      <c r="C6775" s="2" t="s">
        <v>88</v>
      </c>
      <c r="D6775" s="2" t="s">
        <v>27</v>
      </c>
      <c r="E6775" s="4">
        <v>-32597</v>
      </c>
      <c r="F6775" s="3" t="s">
        <v>2506</v>
      </c>
      <c r="G6775" s="3" t="s">
        <v>35</v>
      </c>
      <c r="H6775" s="2" t="s">
        <v>74</v>
      </c>
      <c r="I6775" s="2" t="s">
        <v>17062</v>
      </c>
      <c r="J6775" s="3" t="str">
        <f>HYPERLINK("https://www.boe.es/gazeta/dias/1810/10/01/pdfs/GMD-1810-274.pdf#page=2","Abrir facsímil")</f>
        <v>Abrir facsímil</v>
      </c>
      <c r="K6775" s="3" t="s">
        <v>76</v>
      </c>
    </row>
    <row r="6776" spans="1:11" ht="42" customHeight="1">
      <c r="A6776" s="2" t="s">
        <v>17061</v>
      </c>
      <c r="B6776" s="2" t="s">
        <v>17061</v>
      </c>
      <c r="C6776" s="2" t="s">
        <v>88</v>
      </c>
      <c r="D6776" s="2" t="s">
        <v>117</v>
      </c>
      <c r="E6776" s="4">
        <v>-32578</v>
      </c>
      <c r="F6776" s="3" t="s">
        <v>2333</v>
      </c>
      <c r="G6776" s="3" t="s">
        <v>4095</v>
      </c>
      <c r="H6776" s="2" t="s">
        <v>74</v>
      </c>
      <c r="I6776" s="2" t="s">
        <v>17063</v>
      </c>
      <c r="J6776" s="3" t="str">
        <f>HYPERLINK("https://www.boe.es/gazeta/dias/1810/10/20/pdfs/GEI-1810-84.pdf#page=3","Abrir facsímil")</f>
        <v>Abrir facsímil</v>
      </c>
      <c r="K6776" s="3" t="s">
        <v>76</v>
      </c>
    </row>
    <row r="6777" spans="1:11" ht="42" customHeight="1">
      <c r="A6777" s="2" t="s">
        <v>17061</v>
      </c>
      <c r="B6777" s="2" t="s">
        <v>17061</v>
      </c>
      <c r="C6777" s="2" t="s">
        <v>88</v>
      </c>
      <c r="D6777" s="2" t="s">
        <v>117</v>
      </c>
      <c r="E6777" s="4">
        <v>-32578</v>
      </c>
      <c r="F6777" s="3" t="s">
        <v>2333</v>
      </c>
      <c r="G6777" s="3" t="s">
        <v>2334</v>
      </c>
      <c r="H6777" s="2" t="s">
        <v>74</v>
      </c>
      <c r="I6777" s="2" t="s">
        <v>17064</v>
      </c>
      <c r="J6777" s="3" t="str">
        <f>HYPERLINK("https://www.boe.es/gazeta/dias/1810/10/20/pdfs/GEI-1810-84.pdf#page=4","Abrir facsímil")</f>
        <v>Abrir facsímil</v>
      </c>
      <c r="K6777" s="3" t="s">
        <v>76</v>
      </c>
    </row>
    <row r="6778" spans="1:11" ht="42" customHeight="1">
      <c r="A6778" s="2" t="s">
        <v>17065</v>
      </c>
      <c r="B6778" s="2" t="s">
        <v>17066</v>
      </c>
      <c r="C6778" s="2" t="s">
        <v>88</v>
      </c>
      <c r="D6778" s="2" t="s">
        <v>117</v>
      </c>
      <c r="E6778" s="4">
        <v>-32691</v>
      </c>
      <c r="F6778" s="3" t="s">
        <v>3021</v>
      </c>
      <c r="G6778" s="3" t="s">
        <v>136</v>
      </c>
      <c r="H6778" s="2" t="s">
        <v>74</v>
      </c>
      <c r="I6778" s="2" t="s">
        <v>17067</v>
      </c>
      <c r="J6778" s="3" t="str">
        <f>HYPERLINK("https://www.boe.es/gazeta/dias/1810/06/29/pdfs/GEI-1810-40.pdf#page=4","Abrir facsímil")</f>
        <v>Abrir facsímil</v>
      </c>
      <c r="K6778" s="3" t="s">
        <v>76</v>
      </c>
    </row>
    <row r="6779" spans="1:11" ht="42" customHeight="1">
      <c r="A6779" s="2" t="s">
        <v>17068</v>
      </c>
      <c r="B6779" s="2" t="s">
        <v>17069</v>
      </c>
      <c r="C6779" s="2" t="s">
        <v>26</v>
      </c>
      <c r="D6779" s="2" t="s">
        <v>39</v>
      </c>
      <c r="E6779" s="4">
        <v>-32701</v>
      </c>
      <c r="F6779" s="3" t="s">
        <v>40</v>
      </c>
      <c r="G6779" s="3" t="s">
        <v>41</v>
      </c>
      <c r="H6779" s="2" t="s">
        <v>74</v>
      </c>
      <c r="I6779" s="2" t="s">
        <v>17070</v>
      </c>
      <c r="J6779" s="3" t="str">
        <f>HYPERLINK("https://www.boe.es/gazeta/dias/1810/06/19/pdfs/GMD-C-1810-170.pdf#page=3","Abrir facsímil")</f>
        <v>Abrir facsímil</v>
      </c>
      <c r="K6779" s="3" t="s">
        <v>76</v>
      </c>
    </row>
    <row r="6780" spans="1:11" ht="42" customHeight="1">
      <c r="A6780" s="2" t="s">
        <v>17071</v>
      </c>
      <c r="B6780" s="2" t="s">
        <v>17072</v>
      </c>
      <c r="C6780" s="2" t="s">
        <v>26</v>
      </c>
      <c r="D6780" s="2" t="s">
        <v>39</v>
      </c>
      <c r="E6780" s="4">
        <v>-32702</v>
      </c>
      <c r="F6780" s="3" t="s">
        <v>179</v>
      </c>
      <c r="G6780" s="3" t="s">
        <v>517</v>
      </c>
      <c r="H6780" s="2" t="s">
        <v>74</v>
      </c>
      <c r="I6780" s="2" t="s">
        <v>17073</v>
      </c>
      <c r="J6780" s="3" t="str">
        <f>HYPERLINK("https://www.boe.es/gazeta/dias/1810/06/18/pdfs/GMD-C-1810-169.pdf#page=3","Abrir facsímil")</f>
        <v>Abrir facsímil</v>
      </c>
      <c r="K6780" s="3" t="s">
        <v>76</v>
      </c>
    </row>
    <row r="6781" spans="1:11" ht="42" customHeight="1">
      <c r="A6781" s="2" t="s">
        <v>17074</v>
      </c>
      <c r="B6781" s="2" t="s">
        <v>17074</v>
      </c>
      <c r="C6781" s="2" t="s">
        <v>33</v>
      </c>
      <c r="D6781" s="2" t="s">
        <v>27</v>
      </c>
      <c r="E6781" s="4">
        <v>-32692</v>
      </c>
      <c r="F6781" s="3" t="s">
        <v>3698</v>
      </c>
      <c r="G6781" s="3" t="s">
        <v>1590</v>
      </c>
      <c r="H6781" s="2" t="s">
        <v>74</v>
      </c>
      <c r="I6781" s="2" t="s">
        <v>17075</v>
      </c>
      <c r="J6781" s="3" t="str">
        <f>HYPERLINK("https://www.boe.es/gazeta/dias/1810/06/28/pdfs/GMD-1810-179.pdf#page=3","Abrir facsímil")</f>
        <v>Abrir facsímil</v>
      </c>
      <c r="K6781" s="3" t="s">
        <v>76</v>
      </c>
    </row>
    <row r="6782" spans="1:11" ht="42" customHeight="1">
      <c r="A6782" s="2" t="s">
        <v>17076</v>
      </c>
      <c r="B6782" s="2" t="s">
        <v>17076</v>
      </c>
      <c r="C6782" s="2" t="s">
        <v>88</v>
      </c>
      <c r="D6782" s="2" t="s">
        <v>27</v>
      </c>
      <c r="E6782" s="4">
        <v>-32705</v>
      </c>
      <c r="F6782" s="3" t="s">
        <v>1158</v>
      </c>
      <c r="G6782" s="3" t="s">
        <v>119</v>
      </c>
      <c r="H6782" s="2" t="s">
        <v>74</v>
      </c>
      <c r="I6782" s="2" t="s">
        <v>17077</v>
      </c>
      <c r="J6782" s="3" t="str">
        <f>HYPERLINK("https://www.boe.es/gazeta/dias/1810/06/15/pdfs/GMD-1810-166.pdf#page=3","Abrir facsímil")</f>
        <v>Abrir facsímil</v>
      </c>
      <c r="K6782" s="3" t="s">
        <v>76</v>
      </c>
    </row>
    <row r="6783" spans="1:11" ht="42" customHeight="1">
      <c r="A6783" s="2" t="s">
        <v>17078</v>
      </c>
      <c r="B6783" s="2" t="s">
        <v>17079</v>
      </c>
      <c r="C6783" s="2" t="s">
        <v>88</v>
      </c>
      <c r="D6783" s="2" t="s">
        <v>117</v>
      </c>
      <c r="E6783" s="4">
        <v>-32545</v>
      </c>
      <c r="F6783" s="3" t="s">
        <v>165</v>
      </c>
      <c r="G6783" s="3" t="s">
        <v>1516</v>
      </c>
      <c r="H6783" s="2" t="s">
        <v>74</v>
      </c>
      <c r="I6783" s="2" t="s">
        <v>17080</v>
      </c>
      <c r="J6783" s="3" t="str">
        <f>HYPERLINK("https://www.boe.es/gazeta/dias/1810/11/22/pdfs/GEI-1810-98.pdf#page=7","Abrir facsímil")</f>
        <v>Abrir facsímil</v>
      </c>
      <c r="K6783" s="3" t="s">
        <v>76</v>
      </c>
    </row>
    <row r="6784" spans="1:11" ht="42" customHeight="1">
      <c r="A6784" s="2" t="s">
        <v>17081</v>
      </c>
      <c r="B6784" s="2" t="s">
        <v>17081</v>
      </c>
      <c r="C6784" s="2" t="s">
        <v>88</v>
      </c>
      <c r="D6784" s="2" t="s">
        <v>27</v>
      </c>
      <c r="E6784" s="4">
        <v>-32842</v>
      </c>
      <c r="F6784" s="3" t="s">
        <v>1291</v>
      </c>
      <c r="G6784" s="3" t="s">
        <v>1292</v>
      </c>
      <c r="H6784" s="2" t="s">
        <v>74</v>
      </c>
      <c r="I6784" s="2" t="s">
        <v>17082</v>
      </c>
      <c r="J6784" s="3" t="str">
        <f>HYPERLINK("https://www.boe.es/gazeta/dias/1810/01/29/pdfs/GMD-1810-29.pdf#page=3","Abrir facsímil")</f>
        <v>Abrir facsímil</v>
      </c>
      <c r="K6784" s="3" t="s">
        <v>76</v>
      </c>
    </row>
    <row r="6785" spans="1:11" ht="42" customHeight="1">
      <c r="A6785" s="2" t="s">
        <v>17083</v>
      </c>
      <c r="B6785" s="2" t="s">
        <v>17083</v>
      </c>
      <c r="C6785" s="2" t="s">
        <v>88</v>
      </c>
      <c r="D6785" s="2" t="s">
        <v>27</v>
      </c>
      <c r="E6785" s="4">
        <v>-32621</v>
      </c>
      <c r="F6785" s="3" t="s">
        <v>674</v>
      </c>
      <c r="G6785" s="3" t="s">
        <v>20</v>
      </c>
      <c r="H6785" s="2" t="s">
        <v>74</v>
      </c>
      <c r="I6785" s="2" t="s">
        <v>17084</v>
      </c>
      <c r="J6785" s="3" t="str">
        <f>HYPERLINK("https://www.boe.es/gazeta/dias/1810/09/07/pdfs/GEI-1810-65.pdf#page=4","Abrir facsímil")</f>
        <v>Abrir facsímil</v>
      </c>
      <c r="K6785" s="3" t="s">
        <v>76</v>
      </c>
    </row>
    <row r="6786" spans="1:11" ht="42" customHeight="1">
      <c r="A6786" s="2" t="s">
        <v>17085</v>
      </c>
      <c r="B6786" s="2" t="s">
        <v>17086</v>
      </c>
      <c r="C6786" s="2" t="s">
        <v>26</v>
      </c>
      <c r="D6786" s="2" t="s">
        <v>39</v>
      </c>
      <c r="E6786" s="4">
        <v>-32687</v>
      </c>
      <c r="F6786" s="3" t="s">
        <v>304</v>
      </c>
      <c r="G6786" s="3" t="s">
        <v>3237</v>
      </c>
      <c r="H6786" s="2" t="s">
        <v>74</v>
      </c>
      <c r="I6786" s="2" t="s">
        <v>17087</v>
      </c>
      <c r="J6786" s="3" t="str">
        <f>HYPERLINK("https://www.boe.es/gazeta/dias/1810/07/03/pdfs/GMD-C-1810-184.pdf#page=4","Abrir facsímil")</f>
        <v>Abrir facsímil</v>
      </c>
      <c r="K6786" s="3" t="s">
        <v>76</v>
      </c>
    </row>
    <row r="6787" spans="1:11" ht="42" customHeight="1">
      <c r="A6787" s="2" t="s">
        <v>17088</v>
      </c>
      <c r="B6787" s="2" t="s">
        <v>17088</v>
      </c>
      <c r="C6787" s="2" t="s">
        <v>88</v>
      </c>
      <c r="D6787" s="2" t="s">
        <v>27</v>
      </c>
      <c r="E6787" s="4">
        <v>-32601</v>
      </c>
      <c r="F6787" s="3" t="s">
        <v>2181</v>
      </c>
      <c r="G6787" s="3" t="s">
        <v>180</v>
      </c>
      <c r="H6787" s="2" t="s">
        <v>74</v>
      </c>
      <c r="I6787" s="2" t="s">
        <v>17089</v>
      </c>
      <c r="J6787" s="3" t="str">
        <f>HYPERLINK("https://www.boe.es/gazeta/dias/1810/09/27/pdfs/GEI-1810-73.pdf#page=5","Abrir facsímil")</f>
        <v>Abrir facsímil</v>
      </c>
      <c r="K6787" s="3" t="s">
        <v>76</v>
      </c>
    </row>
    <row r="6788" spans="1:11" ht="42" customHeight="1">
      <c r="A6788" s="2" t="s">
        <v>17090</v>
      </c>
      <c r="B6788" s="2" t="s">
        <v>17091</v>
      </c>
      <c r="C6788" s="2" t="s">
        <v>26</v>
      </c>
      <c r="D6788" s="2" t="s">
        <v>27</v>
      </c>
      <c r="E6788" s="4">
        <v>-32756</v>
      </c>
      <c r="F6788" s="3" t="s">
        <v>203</v>
      </c>
      <c r="G6788" s="3" t="s">
        <v>180</v>
      </c>
      <c r="H6788" s="2" t="s">
        <v>74</v>
      </c>
      <c r="I6788" s="2" t="s">
        <v>17092</v>
      </c>
      <c r="J6788" s="3" t="str">
        <f>HYPERLINK("https://www.boe.es/gazeta/dias/1810/04/25/pdfs/GMD-1810-115.pdf#page=4","Abrir facsímil")</f>
        <v>Abrir facsímil</v>
      </c>
      <c r="K6788" s="3" t="s">
        <v>76</v>
      </c>
    </row>
    <row r="6789" spans="1:11" ht="42" customHeight="1">
      <c r="A6789" s="2" t="s">
        <v>17093</v>
      </c>
      <c r="B6789" s="2" t="s">
        <v>17094</v>
      </c>
      <c r="C6789" s="2" t="s">
        <v>26</v>
      </c>
      <c r="D6789" s="2" t="s">
        <v>27</v>
      </c>
      <c r="E6789" s="4">
        <v>-32508</v>
      </c>
      <c r="F6789" s="3" t="s">
        <v>864</v>
      </c>
      <c r="G6789" s="3" t="s">
        <v>691</v>
      </c>
      <c r="H6789" s="2" t="s">
        <v>74</v>
      </c>
      <c r="I6789" s="2" t="s">
        <v>17095</v>
      </c>
      <c r="J6789" s="3" t="str">
        <f>HYPERLINK("https://www.boe.es/gazeta/dias/1810/12/29/pdfs/GEI-1810-114.pdf#page=8","Abrir facsímil")</f>
        <v>Abrir facsímil</v>
      </c>
      <c r="K6789" s="3" t="s">
        <v>76</v>
      </c>
    </row>
    <row r="6790" spans="1:11" ht="42" customHeight="1">
      <c r="A6790" s="2" t="s">
        <v>17096</v>
      </c>
      <c r="B6790" s="2" t="s">
        <v>17097</v>
      </c>
      <c r="C6790" s="2" t="s">
        <v>88</v>
      </c>
      <c r="D6790" s="2" t="s">
        <v>18</v>
      </c>
      <c r="E6790" s="4">
        <v>-32764</v>
      </c>
      <c r="F6790" s="3" t="s">
        <v>640</v>
      </c>
      <c r="G6790" s="3" t="s">
        <v>641</v>
      </c>
      <c r="H6790" s="2" t="s">
        <v>74</v>
      </c>
      <c r="I6790" s="2" t="s">
        <v>17098</v>
      </c>
      <c r="J6790" s="3" t="str">
        <f>HYPERLINK("https://www.boe.es/gazeta/dias/1810/04/17/pdfs/GEI-1810-15.pdf#page=8","Abrir facsímil")</f>
        <v>Abrir facsímil</v>
      </c>
      <c r="K6790" s="3" t="s">
        <v>76</v>
      </c>
    </row>
    <row r="6791" spans="1:11" ht="42" customHeight="1">
      <c r="A6791" s="2" t="s">
        <v>17099</v>
      </c>
      <c r="B6791" s="2" t="s">
        <v>17100</v>
      </c>
      <c r="C6791" s="2" t="s">
        <v>26</v>
      </c>
      <c r="D6791" s="2" t="s">
        <v>39</v>
      </c>
      <c r="E6791" s="4">
        <v>-32687</v>
      </c>
      <c r="F6791" s="3" t="s">
        <v>304</v>
      </c>
      <c r="G6791" s="3" t="s">
        <v>213</v>
      </c>
      <c r="H6791" s="2" t="s">
        <v>74</v>
      </c>
      <c r="I6791" s="2" t="s">
        <v>17101</v>
      </c>
      <c r="J6791" s="3" t="str">
        <f>HYPERLINK("https://www.boe.es/gazeta/dias/1810/07/03/pdfs/GMD-C-1810-184.pdf#page=3","Abrir facsímil")</f>
        <v>Abrir facsímil</v>
      </c>
      <c r="K6791" s="3" t="s">
        <v>76</v>
      </c>
    </row>
    <row r="6792" spans="1:11" ht="42" customHeight="1">
      <c r="A6792" s="2" t="s">
        <v>17102</v>
      </c>
      <c r="B6792" s="2" t="s">
        <v>17103</v>
      </c>
      <c r="C6792" s="2" t="s">
        <v>26</v>
      </c>
      <c r="D6792" s="2" t="s">
        <v>27</v>
      </c>
      <c r="E6792" s="4">
        <v>-32547</v>
      </c>
      <c r="F6792" s="3" t="s">
        <v>407</v>
      </c>
      <c r="G6792" s="3" t="s">
        <v>408</v>
      </c>
      <c r="H6792" s="2" t="s">
        <v>74</v>
      </c>
      <c r="I6792" s="2" t="s">
        <v>17104</v>
      </c>
      <c r="J6792" s="3" t="str">
        <f>HYPERLINK("https://www.boe.es/gazeta/dias/1810/11/20/pdfs/GEI-1810-97.pdf#page=8","Abrir facsímil")</f>
        <v>Abrir facsímil</v>
      </c>
      <c r="K6792" s="3" t="s">
        <v>76</v>
      </c>
    </row>
    <row r="6793" spans="1:11" ht="42" customHeight="1">
      <c r="A6793" s="2" t="s">
        <v>17105</v>
      </c>
      <c r="B6793" s="2" t="s">
        <v>17106</v>
      </c>
      <c r="C6793" s="2" t="s">
        <v>88</v>
      </c>
      <c r="D6793" s="2" t="s">
        <v>27</v>
      </c>
      <c r="E6793" s="4">
        <v>-32729</v>
      </c>
      <c r="F6793" s="3" t="s">
        <v>174</v>
      </c>
      <c r="G6793" s="3" t="s">
        <v>70</v>
      </c>
      <c r="H6793" s="2" t="s">
        <v>74</v>
      </c>
      <c r="I6793" s="2" t="s">
        <v>17107</v>
      </c>
      <c r="J6793" s="3" t="str">
        <f>HYPERLINK("https://www.boe.es/gazeta/dias/1810/05/22/pdfs/GEI-1810-28.pdf#page=7","Abrir facsímil")</f>
        <v>Abrir facsímil</v>
      </c>
      <c r="K6793" s="3" t="s">
        <v>76</v>
      </c>
    </row>
    <row r="6794" spans="1:11" ht="42" customHeight="1">
      <c r="A6794" s="2" t="s">
        <v>17108</v>
      </c>
      <c r="B6794" s="2" t="s">
        <v>17108</v>
      </c>
      <c r="C6794" s="2" t="s">
        <v>26</v>
      </c>
      <c r="D6794" s="2" t="s">
        <v>27</v>
      </c>
      <c r="E6794" s="4">
        <v>-32744</v>
      </c>
      <c r="F6794" s="3" t="s">
        <v>1570</v>
      </c>
      <c r="G6794" s="3" t="s">
        <v>35</v>
      </c>
      <c r="H6794" s="2" t="s">
        <v>74</v>
      </c>
      <c r="I6794" s="2" t="s">
        <v>17109</v>
      </c>
      <c r="J6794" s="3" t="str">
        <f>HYPERLINK("https://www.boe.es/gazeta/dias/1810/05/07/pdfs/GMD-1810-127.pdf#page=2","Abrir facsímil")</f>
        <v>Abrir facsímil</v>
      </c>
      <c r="K6794" s="3" t="s">
        <v>76</v>
      </c>
    </row>
    <row r="6795" spans="1:11" ht="42" customHeight="1">
      <c r="A6795" s="2" t="s">
        <v>17110</v>
      </c>
      <c r="B6795" s="2" t="s">
        <v>17110</v>
      </c>
      <c r="C6795" s="2" t="s">
        <v>88</v>
      </c>
      <c r="D6795" s="2" t="s">
        <v>27</v>
      </c>
      <c r="E6795" s="4">
        <v>-32841</v>
      </c>
      <c r="F6795" s="3" t="s">
        <v>4274</v>
      </c>
      <c r="G6795" s="3" t="s">
        <v>29</v>
      </c>
      <c r="H6795" s="2" t="s">
        <v>74</v>
      </c>
      <c r="I6795" s="2" t="s">
        <v>17111</v>
      </c>
      <c r="J6795" s="3" t="str">
        <f>HYPERLINK("https://www.boe.es/gazeta/dias/1810/01/30/pdfs/GMD-1810-30.pdf#page=2","Abrir facsímil")</f>
        <v>Abrir facsímil</v>
      </c>
      <c r="K6795" s="3" t="s">
        <v>76</v>
      </c>
    </row>
    <row r="6796" spans="1:11" ht="42" customHeight="1">
      <c r="A6796" s="2" t="s">
        <v>17110</v>
      </c>
      <c r="B6796" s="2" t="s">
        <v>17110</v>
      </c>
      <c r="C6796" s="2" t="s">
        <v>88</v>
      </c>
      <c r="D6796" s="2" t="s">
        <v>27</v>
      </c>
      <c r="E6796" s="4">
        <v>-32750</v>
      </c>
      <c r="F6796" s="3" t="s">
        <v>10042</v>
      </c>
      <c r="G6796" s="3" t="s">
        <v>35</v>
      </c>
      <c r="H6796" s="2" t="s">
        <v>74</v>
      </c>
      <c r="I6796" s="2" t="s">
        <v>17112</v>
      </c>
      <c r="J6796" s="3" t="str">
        <f>HYPERLINK("https://www.boe.es/gazeta/dias/1810/05/01/pdfs/GEI-1810-19.pdf#page=2","Abrir facsímil")</f>
        <v>Abrir facsímil</v>
      </c>
      <c r="K6796" s="3" t="s">
        <v>76</v>
      </c>
    </row>
    <row r="6797" spans="1:11" ht="42" customHeight="1">
      <c r="A6797" s="2" t="s">
        <v>17113</v>
      </c>
      <c r="B6797" s="2" t="s">
        <v>17114</v>
      </c>
      <c r="C6797" s="2" t="s">
        <v>26</v>
      </c>
      <c r="D6797" s="2" t="s">
        <v>27</v>
      </c>
      <c r="E6797" s="4">
        <v>-32595</v>
      </c>
      <c r="F6797" s="3" t="s">
        <v>700</v>
      </c>
      <c r="G6797" s="3" t="s">
        <v>701</v>
      </c>
      <c r="H6797" s="2" t="s">
        <v>74</v>
      </c>
      <c r="I6797" s="2" t="s">
        <v>17115</v>
      </c>
      <c r="J6797" s="3" t="str">
        <f>HYPERLINK("https://www.boe.es/gazeta/dias/1810/10/03/pdfs/GMD-1810-276.pdf#page=3","Abrir facsímil")</f>
        <v>Abrir facsímil</v>
      </c>
      <c r="K6797" s="3" t="s">
        <v>76</v>
      </c>
    </row>
    <row r="6798" spans="1:11" ht="42" customHeight="1">
      <c r="A6798" s="2" t="s">
        <v>17116</v>
      </c>
      <c r="B6798" s="2" t="s">
        <v>17117</v>
      </c>
      <c r="C6798" s="2" t="s">
        <v>26</v>
      </c>
      <c r="D6798" s="2" t="s">
        <v>27</v>
      </c>
      <c r="E6798" s="4">
        <v>-32595</v>
      </c>
      <c r="F6798" s="3" t="s">
        <v>700</v>
      </c>
      <c r="G6798" s="3" t="s">
        <v>701</v>
      </c>
      <c r="H6798" s="2" t="s">
        <v>74</v>
      </c>
      <c r="I6798" s="2" t="s">
        <v>17118</v>
      </c>
      <c r="J6798" s="3" t="str">
        <f>HYPERLINK("https://www.boe.es/gazeta/dias/1810/10/03/pdfs/GMD-1810-276.pdf#page=3","Abrir facsímil")</f>
        <v>Abrir facsímil</v>
      </c>
      <c r="K6798" s="3" t="s">
        <v>76</v>
      </c>
    </row>
    <row r="6799" spans="1:11" ht="42" customHeight="1">
      <c r="A6799" s="2" t="s">
        <v>17119</v>
      </c>
      <c r="B6799" s="2" t="s">
        <v>17120</v>
      </c>
      <c r="C6799" s="2" t="s">
        <v>33</v>
      </c>
      <c r="D6799" s="2" t="s">
        <v>27</v>
      </c>
      <c r="E6799" s="4">
        <v>-32757</v>
      </c>
      <c r="F6799" s="3" t="s">
        <v>1136</v>
      </c>
      <c r="G6799" s="3" t="s">
        <v>1901</v>
      </c>
      <c r="H6799" s="2" t="s">
        <v>74</v>
      </c>
      <c r="I6799" s="2" t="s">
        <v>17121</v>
      </c>
      <c r="J6799" s="3" t="str">
        <f>HYPERLINK("https://www.boe.es/gazeta/dias/1810/04/24/pdfs/GEI-1810-17.pdf#page=8","Abrir facsímil")</f>
        <v>Abrir facsímil</v>
      </c>
      <c r="K6799" s="3" t="s">
        <v>76</v>
      </c>
    </row>
    <row r="6800" spans="1:11" ht="42" customHeight="1">
      <c r="A6800" s="2" t="s">
        <v>17122</v>
      </c>
      <c r="B6800" s="2" t="s">
        <v>17123</v>
      </c>
      <c r="C6800" s="2" t="s">
        <v>26</v>
      </c>
      <c r="D6800" s="2" t="s">
        <v>27</v>
      </c>
      <c r="E6800" s="4">
        <v>-32537</v>
      </c>
      <c r="F6800" s="3" t="s">
        <v>1091</v>
      </c>
      <c r="G6800" s="3" t="s">
        <v>20</v>
      </c>
      <c r="H6800" s="2" t="s">
        <v>74</v>
      </c>
      <c r="I6800" s="2" t="s">
        <v>17124</v>
      </c>
      <c r="J6800" s="3" t="str">
        <f>HYPERLINK("https://www.boe.es/gazeta/dias/1810/11/30/pdfs/GMD-1810-334.pdf#page=4","Abrir facsímil")</f>
        <v>Abrir facsímil</v>
      </c>
      <c r="K6800" s="3" t="s">
        <v>76</v>
      </c>
    </row>
    <row r="6801" spans="1:11" ht="42" customHeight="1">
      <c r="A6801" s="2" t="s">
        <v>17125</v>
      </c>
      <c r="B6801" s="2" t="s">
        <v>17126</v>
      </c>
      <c r="C6801" s="2" t="s">
        <v>88</v>
      </c>
      <c r="D6801" s="2" t="s">
        <v>117</v>
      </c>
      <c r="E6801" s="4">
        <v>-32617</v>
      </c>
      <c r="F6801" s="3" t="s">
        <v>1459</v>
      </c>
      <c r="G6801" s="3" t="s">
        <v>17127</v>
      </c>
      <c r="H6801" s="2" t="s">
        <v>74</v>
      </c>
      <c r="I6801" s="2" t="s">
        <v>17128</v>
      </c>
      <c r="J6801" s="3" t="str">
        <f>HYPERLINK("https://www.boe.es/gazeta/dias/1810/09/11/pdfs/GEI-1810-66.pdf#page=1","Abrir facsímil")</f>
        <v>Abrir facsímil</v>
      </c>
      <c r="K6801" s="3" t="s">
        <v>76</v>
      </c>
    </row>
    <row r="6802" spans="1:11" ht="42" customHeight="1">
      <c r="A6802" s="2" t="s">
        <v>17129</v>
      </c>
      <c r="B6802" s="2" t="s">
        <v>17130</v>
      </c>
      <c r="C6802" s="2" t="s">
        <v>225</v>
      </c>
      <c r="D6802" s="2" t="s">
        <v>27</v>
      </c>
      <c r="E6802" s="4">
        <v>-32782</v>
      </c>
      <c r="F6802" s="3" t="s">
        <v>79</v>
      </c>
      <c r="G6802" s="3" t="s">
        <v>80</v>
      </c>
      <c r="H6802" s="2" t="s">
        <v>74</v>
      </c>
      <c r="I6802" s="2" t="s">
        <v>17131</v>
      </c>
      <c r="J6802" s="3" t="str">
        <f>HYPERLINK("https://www.boe.es/gazeta/dias/1810/03/30/pdfs/GEI-1810-9.pdf#page=7","Abrir facsímil")</f>
        <v>Abrir facsímil</v>
      </c>
      <c r="K6802" s="3" t="s">
        <v>76</v>
      </c>
    </row>
    <row r="6803" spans="1:11" ht="42" customHeight="1">
      <c r="A6803" s="2" t="s">
        <v>17132</v>
      </c>
      <c r="B6803" s="2" t="s">
        <v>17133</v>
      </c>
      <c r="C6803" s="2" t="s">
        <v>26</v>
      </c>
      <c r="D6803" s="2" t="s">
        <v>39</v>
      </c>
      <c r="E6803" s="4">
        <v>-32661</v>
      </c>
      <c r="F6803" s="3" t="s">
        <v>157</v>
      </c>
      <c r="G6803" s="3" t="s">
        <v>158</v>
      </c>
      <c r="H6803" s="2" t="s">
        <v>74</v>
      </c>
      <c r="I6803" s="2" t="s">
        <v>17134</v>
      </c>
      <c r="J6803" s="3" t="str">
        <f>HYPERLINK("https://www.boe.es/gazeta/dias/1810/07/29/pdfs/GMD-C-1810-210.pdf#page=1","Abrir facsímil")</f>
        <v>Abrir facsímil</v>
      </c>
      <c r="K6803" s="3" t="s">
        <v>76</v>
      </c>
    </row>
    <row r="6804" spans="1:11" ht="42" customHeight="1">
      <c r="A6804" s="2" t="s">
        <v>17135</v>
      </c>
      <c r="B6804" s="2" t="s">
        <v>17136</v>
      </c>
      <c r="C6804" s="2" t="s">
        <v>26</v>
      </c>
      <c r="D6804" s="2" t="s">
        <v>27</v>
      </c>
      <c r="E6804" s="4">
        <v>-32578</v>
      </c>
      <c r="F6804" s="3" t="s">
        <v>7073</v>
      </c>
      <c r="G6804" s="3" t="s">
        <v>7074</v>
      </c>
      <c r="H6804" s="2" t="s">
        <v>74</v>
      </c>
      <c r="I6804" s="2" t="s">
        <v>17137</v>
      </c>
      <c r="J6804" s="3" t="str">
        <f>HYPERLINK("https://www.boe.es/gazeta/dias/1810/10/20/pdfs/GMD-1810-293.pdf#page=4","Abrir facsímil")</f>
        <v>Abrir facsímil</v>
      </c>
      <c r="K6804" s="3" t="s">
        <v>76</v>
      </c>
    </row>
    <row r="6805" spans="1:11" ht="42" customHeight="1">
      <c r="A6805" s="2" t="s">
        <v>17138</v>
      </c>
      <c r="B6805" s="2" t="s">
        <v>17139</v>
      </c>
      <c r="C6805" s="2" t="s">
        <v>26</v>
      </c>
      <c r="D6805" s="2" t="s">
        <v>27</v>
      </c>
      <c r="E6805" s="4">
        <v>-32547</v>
      </c>
      <c r="F6805" s="3" t="s">
        <v>407</v>
      </c>
      <c r="G6805" s="3" t="s">
        <v>408</v>
      </c>
      <c r="H6805" s="2" t="s">
        <v>74</v>
      </c>
      <c r="I6805" s="2" t="s">
        <v>17140</v>
      </c>
      <c r="J6805" s="3" t="str">
        <f>HYPERLINK("https://www.boe.es/gazeta/dias/1810/11/20/pdfs/GEI-1810-97.pdf#page=8","Abrir facsímil")</f>
        <v>Abrir facsímil</v>
      </c>
      <c r="K6805" s="3" t="s">
        <v>76</v>
      </c>
    </row>
    <row r="6806" spans="1:11" ht="42" customHeight="1">
      <c r="A6806" s="2" t="s">
        <v>17141</v>
      </c>
      <c r="B6806" s="2" t="s">
        <v>17142</v>
      </c>
      <c r="C6806" s="2" t="s">
        <v>26</v>
      </c>
      <c r="D6806" s="2" t="s">
        <v>27</v>
      </c>
      <c r="E6806" s="4">
        <v>-32591</v>
      </c>
      <c r="F6806" s="3" t="s">
        <v>377</v>
      </c>
      <c r="G6806" s="3" t="s">
        <v>140</v>
      </c>
      <c r="H6806" s="2" t="s">
        <v>74</v>
      </c>
      <c r="I6806" s="2" t="s">
        <v>17143</v>
      </c>
      <c r="J6806" s="3" t="str">
        <f>HYPERLINK("https://www.boe.es/gazeta/dias/1810/10/07/pdfs/GMD-1810-280.pdf#page=4","Abrir facsímil")</f>
        <v>Abrir facsímil</v>
      </c>
      <c r="K6806" s="3" t="s">
        <v>76</v>
      </c>
    </row>
    <row r="6807" spans="1:11" ht="42" customHeight="1">
      <c r="A6807" s="2" t="s">
        <v>17144</v>
      </c>
      <c r="B6807" s="2" t="s">
        <v>17144</v>
      </c>
      <c r="C6807" s="2" t="s">
        <v>17</v>
      </c>
      <c r="D6807" s="2" t="s">
        <v>27</v>
      </c>
      <c r="E6807" s="4">
        <v>-32644</v>
      </c>
      <c r="F6807" s="3" t="s">
        <v>457</v>
      </c>
      <c r="G6807" s="3" t="s">
        <v>458</v>
      </c>
      <c r="H6807" s="2" t="s">
        <v>74</v>
      </c>
      <c r="I6807" s="2" t="s">
        <v>17145</v>
      </c>
      <c r="J6807" s="3" t="str">
        <f>HYPERLINK("https://www.boe.es/gazeta/dias/1810/08/15/pdfs/GMD-1810-227.pdf#page=1","Abrir facsímil")</f>
        <v>Abrir facsímil</v>
      </c>
      <c r="K6807" s="3" t="s">
        <v>76</v>
      </c>
    </row>
    <row r="6808" spans="1:11" ht="42" customHeight="1">
      <c r="A6808" s="2" t="s">
        <v>17146</v>
      </c>
      <c r="B6808" s="2" t="s">
        <v>17146</v>
      </c>
      <c r="C6808" s="2" t="s">
        <v>88</v>
      </c>
      <c r="D6808" s="2" t="s">
        <v>117</v>
      </c>
      <c r="E6808" s="4">
        <v>-32655</v>
      </c>
      <c r="F6808" s="3" t="s">
        <v>1040</v>
      </c>
      <c r="G6808" s="3" t="s">
        <v>104</v>
      </c>
      <c r="H6808" s="2" t="s">
        <v>74</v>
      </c>
      <c r="I6808" s="2" t="s">
        <v>17147</v>
      </c>
      <c r="J6808" s="3" t="str">
        <f>HYPERLINK("https://www.boe.es/gazeta/dias/1810/08/04/pdfs/GMD-1810-216.pdf#page=2","Abrir facsímil")</f>
        <v>Abrir facsímil</v>
      </c>
      <c r="K6808" s="3" t="s">
        <v>76</v>
      </c>
    </row>
    <row r="6809" spans="1:11" ht="42" customHeight="1">
      <c r="A6809" s="2" t="s">
        <v>17148</v>
      </c>
      <c r="B6809" s="2" t="s">
        <v>17148</v>
      </c>
      <c r="C6809" s="2" t="s">
        <v>88</v>
      </c>
      <c r="D6809" s="2" t="s">
        <v>117</v>
      </c>
      <c r="E6809" s="4">
        <v>-32652</v>
      </c>
      <c r="F6809" s="3" t="s">
        <v>3295</v>
      </c>
      <c r="G6809" s="3" t="s">
        <v>5985</v>
      </c>
      <c r="H6809" s="2" t="s">
        <v>74</v>
      </c>
      <c r="I6809" s="2" t="s">
        <v>17149</v>
      </c>
      <c r="J6809" s="3" t="str">
        <f>HYPERLINK("https://www.boe.es/gazeta/dias/1810/08/07/pdfs/GEI-1810-52.pdf#page=1","Abrir facsímil")</f>
        <v>Abrir facsímil</v>
      </c>
      <c r="K6809" s="3" t="s">
        <v>76</v>
      </c>
    </row>
    <row r="6810" spans="1:11" ht="42" customHeight="1">
      <c r="A6810" s="2" t="s">
        <v>17146</v>
      </c>
      <c r="B6810" s="2" t="s">
        <v>17146</v>
      </c>
      <c r="C6810" s="2" t="s">
        <v>88</v>
      </c>
      <c r="D6810" s="2" t="s">
        <v>18</v>
      </c>
      <c r="E6810" s="4">
        <v>-32635</v>
      </c>
      <c r="F6810" s="3" t="s">
        <v>8979</v>
      </c>
      <c r="G6810" s="3" t="s">
        <v>90</v>
      </c>
      <c r="H6810" s="2" t="s">
        <v>74</v>
      </c>
      <c r="I6810" s="2" t="s">
        <v>17150</v>
      </c>
      <c r="J6810" s="3" t="str">
        <f>HYPERLINK("https://www.boe.es/gazeta/dias/1810/08/24/pdfs/GMD-1810-236.pdf#page=1","Abrir facsímil")</f>
        <v>Abrir facsímil</v>
      </c>
      <c r="K6810" s="3" t="s">
        <v>76</v>
      </c>
    </row>
    <row r="6811" spans="1:11" ht="42" customHeight="1">
      <c r="A6811" s="2" t="s">
        <v>17146</v>
      </c>
      <c r="B6811" s="2" t="s">
        <v>17146</v>
      </c>
      <c r="C6811" s="2" t="s">
        <v>225</v>
      </c>
      <c r="D6811" s="2" t="s">
        <v>27</v>
      </c>
      <c r="E6811" s="4">
        <v>-32610</v>
      </c>
      <c r="F6811" s="3" t="s">
        <v>7879</v>
      </c>
      <c r="G6811" s="3" t="s">
        <v>213</v>
      </c>
      <c r="H6811" s="2" t="s">
        <v>74</v>
      </c>
      <c r="I6811" s="2" t="s">
        <v>17151</v>
      </c>
      <c r="J6811" s="3" t="str">
        <f>HYPERLINK("https://www.boe.es/gazeta/dias/1810/09/18/pdfs/GMD-1810-261.pdf#page=2","Abrir facsímil")</f>
        <v>Abrir facsímil</v>
      </c>
      <c r="K6811" s="3" t="s">
        <v>76</v>
      </c>
    </row>
    <row r="6812" spans="1:11" ht="42" customHeight="1">
      <c r="A6812" s="2" t="s">
        <v>17152</v>
      </c>
      <c r="B6812" s="2" t="s">
        <v>17153</v>
      </c>
      <c r="C6812" s="2" t="s">
        <v>88</v>
      </c>
      <c r="D6812" s="2" t="s">
        <v>117</v>
      </c>
      <c r="E6812" s="4">
        <v>-32757</v>
      </c>
      <c r="F6812" s="3" t="s">
        <v>1136</v>
      </c>
      <c r="G6812" s="3" t="s">
        <v>592</v>
      </c>
      <c r="H6812" s="2" t="s">
        <v>74</v>
      </c>
      <c r="I6812" s="2" t="s">
        <v>17154</v>
      </c>
      <c r="J6812" s="3" t="str">
        <f>HYPERLINK("https://www.boe.es/gazeta/dias/1810/04/24/pdfs/GEI-1810-17.pdf#page=7","Abrir facsímil")</f>
        <v>Abrir facsímil</v>
      </c>
      <c r="K6812" s="3" t="s">
        <v>76</v>
      </c>
    </row>
    <row r="6813" spans="1:11" ht="42" customHeight="1">
      <c r="A6813" s="2" t="s">
        <v>17155</v>
      </c>
      <c r="B6813" s="2" t="s">
        <v>17156</v>
      </c>
      <c r="C6813" s="2" t="s">
        <v>26</v>
      </c>
      <c r="D6813" s="2" t="s">
        <v>27</v>
      </c>
      <c r="E6813" s="4">
        <v>-32595</v>
      </c>
      <c r="F6813" s="3" t="s">
        <v>700</v>
      </c>
      <c r="G6813" s="3" t="s">
        <v>701</v>
      </c>
      <c r="H6813" s="2" t="s">
        <v>74</v>
      </c>
      <c r="I6813" s="2" t="s">
        <v>17157</v>
      </c>
      <c r="J6813" s="3" t="str">
        <f>HYPERLINK("https://www.boe.es/gazeta/dias/1810/10/03/pdfs/GMD-1810-276.pdf#page=3","Abrir facsímil")</f>
        <v>Abrir facsímil</v>
      </c>
      <c r="K6813" s="3" t="s">
        <v>76</v>
      </c>
    </row>
    <row r="6814" spans="1:11" ht="42" customHeight="1">
      <c r="A6814" s="2" t="s">
        <v>17158</v>
      </c>
      <c r="B6814" s="2" t="s">
        <v>17158</v>
      </c>
      <c r="C6814" s="2" t="s">
        <v>26</v>
      </c>
      <c r="D6814" s="2" t="s">
        <v>220</v>
      </c>
      <c r="E6814" s="4">
        <v>-32741</v>
      </c>
      <c r="F6814" s="3" t="s">
        <v>98</v>
      </c>
      <c r="G6814" s="3" t="s">
        <v>505</v>
      </c>
      <c r="H6814" s="2" t="s">
        <v>74</v>
      </c>
      <c r="I6814" s="2" t="s">
        <v>17159</v>
      </c>
      <c r="J6814" s="3" t="str">
        <f>HYPERLINK("https://www.boe.es/gazeta/dias/1810/05/10/pdfs/GMD-1810-130.pdf#page=1","Abrir facsímil")</f>
        <v>Abrir facsímil</v>
      </c>
      <c r="K6814" s="3" t="s">
        <v>76</v>
      </c>
    </row>
    <row r="6815" spans="1:11" ht="42" customHeight="1">
      <c r="A6815" s="2" t="s">
        <v>17160</v>
      </c>
      <c r="B6815" s="2" t="s">
        <v>17161</v>
      </c>
      <c r="C6815" s="2" t="s">
        <v>26</v>
      </c>
      <c r="D6815" s="2" t="s">
        <v>39</v>
      </c>
      <c r="E6815" s="4">
        <v>-32749</v>
      </c>
      <c r="F6815" s="3" t="s">
        <v>803</v>
      </c>
      <c r="G6815" s="3" t="s">
        <v>213</v>
      </c>
      <c r="H6815" s="2" t="s">
        <v>74</v>
      </c>
      <c r="I6815" s="2" t="s">
        <v>17162</v>
      </c>
      <c r="J6815" s="3" t="str">
        <f>HYPERLINK("https://www.boe.es/gazeta/dias/1810/05/02/pdfs/GMD-C-1810-122.pdf#page=1","Abrir facsímil")</f>
        <v>Abrir facsímil</v>
      </c>
      <c r="K6815" s="3" t="s">
        <v>76</v>
      </c>
    </row>
    <row r="6816" spans="1:11" ht="42" customHeight="1">
      <c r="A6816" s="2" t="s">
        <v>17163</v>
      </c>
      <c r="B6816" s="2" t="s">
        <v>17164</v>
      </c>
      <c r="C6816" s="2" t="s">
        <v>26</v>
      </c>
      <c r="D6816" s="2" t="s">
        <v>27</v>
      </c>
      <c r="E6816" s="4">
        <v>-32842</v>
      </c>
      <c r="F6816" s="3" t="s">
        <v>1291</v>
      </c>
      <c r="G6816" s="3" t="s">
        <v>70</v>
      </c>
      <c r="H6816" s="2" t="s">
        <v>74</v>
      </c>
      <c r="I6816" s="2" t="s">
        <v>17165</v>
      </c>
      <c r="J6816" s="3" t="str">
        <f>HYPERLINK("https://www.boe.es/gazeta/dias/1810/01/29/pdfs/GMD-1810-29.pdf#page=4","Abrir facsímil")</f>
        <v>Abrir facsímil</v>
      </c>
      <c r="K6816" s="3" t="s">
        <v>76</v>
      </c>
    </row>
    <row r="6817" spans="1:11" ht="42" customHeight="1">
      <c r="A6817" s="2" t="s">
        <v>17166</v>
      </c>
      <c r="B6817" s="2" t="s">
        <v>17166</v>
      </c>
      <c r="C6817" s="2" t="s">
        <v>88</v>
      </c>
      <c r="D6817" s="2" t="s">
        <v>27</v>
      </c>
      <c r="E6817" s="4">
        <v>-32601</v>
      </c>
      <c r="F6817" s="3" t="s">
        <v>2181</v>
      </c>
      <c r="G6817" s="3" t="s">
        <v>180</v>
      </c>
      <c r="H6817" s="2" t="s">
        <v>74</v>
      </c>
      <c r="I6817" s="2" t="s">
        <v>17167</v>
      </c>
      <c r="J6817" s="3" t="str">
        <f>HYPERLINK("https://www.boe.es/gazeta/dias/1810/09/27/pdfs/GEI-1810-73.pdf#page=5","Abrir facsímil")</f>
        <v>Abrir facsímil</v>
      </c>
      <c r="K6817" s="3" t="s">
        <v>76</v>
      </c>
    </row>
    <row r="6818" spans="1:11" ht="42" customHeight="1">
      <c r="A6818" s="2" t="s">
        <v>17168</v>
      </c>
      <c r="B6818" s="2" t="s">
        <v>17169</v>
      </c>
      <c r="C6818" s="2" t="s">
        <v>26</v>
      </c>
      <c r="D6818" s="2" t="s">
        <v>27</v>
      </c>
      <c r="E6818" s="4">
        <v>-32771</v>
      </c>
      <c r="F6818" s="3" t="s">
        <v>543</v>
      </c>
      <c r="G6818" s="3" t="s">
        <v>65</v>
      </c>
      <c r="H6818" s="2" t="s">
        <v>74</v>
      </c>
      <c r="I6818" s="2" t="s">
        <v>17170</v>
      </c>
      <c r="J6818" s="3" t="str">
        <f>HYPERLINK("https://www.boe.es/gazeta/dias/1810/04/10/pdfs/GEI-1810-13.pdf#page=7","Abrir facsímil")</f>
        <v>Abrir facsímil</v>
      </c>
      <c r="K6818" s="3" t="s">
        <v>76</v>
      </c>
    </row>
    <row r="6819" spans="1:11" ht="42" customHeight="1">
      <c r="A6819" s="2" t="s">
        <v>17171</v>
      </c>
      <c r="B6819" s="2" t="s">
        <v>17172</v>
      </c>
      <c r="C6819" s="2" t="s">
        <v>88</v>
      </c>
      <c r="D6819" s="2" t="s">
        <v>27</v>
      </c>
      <c r="E6819" s="4">
        <v>-32812</v>
      </c>
      <c r="F6819" s="3" t="s">
        <v>627</v>
      </c>
      <c r="G6819" s="3" t="s">
        <v>29</v>
      </c>
      <c r="H6819" s="2" t="s">
        <v>74</v>
      </c>
      <c r="I6819" s="2" t="s">
        <v>17173</v>
      </c>
      <c r="J6819" s="3" t="str">
        <f>HYPERLINK("https://www.boe.es/gazeta/dias/1810/02/28/pdfs/GMD-1810-59.pdf#page=2","Abrir facsímil")</f>
        <v>Abrir facsímil</v>
      </c>
      <c r="K6819" s="3" t="s">
        <v>76</v>
      </c>
    </row>
    <row r="6820" spans="1:11" ht="42" customHeight="1">
      <c r="A6820" s="2" t="s">
        <v>17174</v>
      </c>
      <c r="B6820" s="2" t="s">
        <v>17174</v>
      </c>
      <c r="C6820" s="2" t="s">
        <v>317</v>
      </c>
      <c r="D6820" s="2" t="s">
        <v>117</v>
      </c>
      <c r="E6820" s="4">
        <v>-32776</v>
      </c>
      <c r="F6820" s="3" t="s">
        <v>752</v>
      </c>
      <c r="G6820" s="3" t="s">
        <v>732</v>
      </c>
      <c r="H6820" s="2" t="s">
        <v>74</v>
      </c>
      <c r="I6820" s="2" t="s">
        <v>17175</v>
      </c>
      <c r="J6820" s="3" t="str">
        <f>HYPERLINK("https://www.boe.es/gazeta/dias/1810/04/05/pdfs/GMD-1810-95.pdf#page=1","Abrir facsímil")</f>
        <v>Abrir facsímil</v>
      </c>
      <c r="K6820" s="3" t="s">
        <v>76</v>
      </c>
    </row>
    <row r="6821" spans="1:11" ht="42" customHeight="1">
      <c r="A6821" s="2" t="s">
        <v>17176</v>
      </c>
      <c r="B6821" s="2" t="s">
        <v>17177</v>
      </c>
      <c r="C6821" s="2" t="s">
        <v>26</v>
      </c>
      <c r="D6821" s="2" t="s">
        <v>27</v>
      </c>
      <c r="E6821" s="4">
        <v>-32761</v>
      </c>
      <c r="F6821" s="3" t="s">
        <v>2093</v>
      </c>
      <c r="G6821" s="3" t="s">
        <v>2094</v>
      </c>
      <c r="H6821" s="2" t="s">
        <v>74</v>
      </c>
      <c r="I6821" s="2" t="s">
        <v>17178</v>
      </c>
      <c r="J6821" s="3" t="str">
        <f>HYPERLINK("https://www.boe.es/gazeta/dias/1810/04/20/pdfs/GMD-1810-110.pdf#page=2","Abrir facsímil")</f>
        <v>Abrir facsímil</v>
      </c>
      <c r="K6821" s="3" t="s">
        <v>76</v>
      </c>
    </row>
    <row r="6822" spans="1:11" ht="42" customHeight="1">
      <c r="A6822" s="2" t="s">
        <v>17179</v>
      </c>
      <c r="B6822" s="2" t="s">
        <v>17180</v>
      </c>
      <c r="C6822" s="2" t="s">
        <v>26</v>
      </c>
      <c r="D6822" s="2" t="s">
        <v>27</v>
      </c>
      <c r="E6822" s="4">
        <v>-32641</v>
      </c>
      <c r="F6822" s="3" t="s">
        <v>10757</v>
      </c>
      <c r="G6822" s="3" t="s">
        <v>119</v>
      </c>
      <c r="H6822" s="2" t="s">
        <v>74</v>
      </c>
      <c r="I6822" s="2" t="s">
        <v>17181</v>
      </c>
      <c r="J6822" s="3" t="str">
        <f>HYPERLINK("https://www.boe.es/gazeta/dias/1810/08/18/pdfs/GMD-1810-230.pdf#page=4","Abrir facsímil")</f>
        <v>Abrir facsímil</v>
      </c>
      <c r="K6822" s="3" t="s">
        <v>76</v>
      </c>
    </row>
    <row r="6823" spans="1:11" ht="42" customHeight="1">
      <c r="A6823" s="2" t="s">
        <v>17182</v>
      </c>
      <c r="B6823" s="2" t="s">
        <v>17183</v>
      </c>
      <c r="C6823" s="2" t="s">
        <v>88</v>
      </c>
      <c r="D6823" s="2" t="s">
        <v>117</v>
      </c>
      <c r="E6823" s="4">
        <v>-32705</v>
      </c>
      <c r="F6823" s="3" t="s">
        <v>678</v>
      </c>
      <c r="G6823" s="3" t="s">
        <v>90</v>
      </c>
      <c r="H6823" s="2" t="s">
        <v>74</v>
      </c>
      <c r="I6823" s="2" t="s">
        <v>17184</v>
      </c>
      <c r="J6823" s="3" t="str">
        <f>HYPERLINK("https://www.boe.es/gazeta/dias/1810/06/15/pdfs/GEI-1810-36.pdf#page=2","Abrir facsímil")</f>
        <v>Abrir facsímil</v>
      </c>
      <c r="K6823" s="3" t="s">
        <v>76</v>
      </c>
    </row>
    <row r="6824" spans="1:11" ht="42" customHeight="1">
      <c r="A6824" s="2" t="s">
        <v>17185</v>
      </c>
      <c r="B6824" s="2" t="s">
        <v>17186</v>
      </c>
      <c r="C6824" s="2" t="s">
        <v>26</v>
      </c>
      <c r="D6824" s="2" t="s">
        <v>27</v>
      </c>
      <c r="E6824" s="4">
        <v>-32575</v>
      </c>
      <c r="F6824" s="3" t="s">
        <v>135</v>
      </c>
      <c r="G6824" s="3" t="s">
        <v>136</v>
      </c>
      <c r="H6824" s="2" t="s">
        <v>74</v>
      </c>
      <c r="I6824" s="2" t="s">
        <v>17187</v>
      </c>
      <c r="J6824" s="3" t="str">
        <f>HYPERLINK("https://www.boe.es/gazeta/dias/1810/10/23/pdfs/GEI-1810-85.pdf#page=11","Abrir facsímil")</f>
        <v>Abrir facsímil</v>
      </c>
      <c r="K6824" s="3" t="s">
        <v>76</v>
      </c>
    </row>
    <row r="6825" spans="1:11" ht="42" customHeight="1">
      <c r="A6825" s="2" t="s">
        <v>17188</v>
      </c>
      <c r="B6825" s="2" t="s">
        <v>17188</v>
      </c>
      <c r="C6825" s="2" t="s">
        <v>26</v>
      </c>
      <c r="D6825" s="2" t="s">
        <v>27</v>
      </c>
      <c r="E6825" s="4">
        <v>-32728</v>
      </c>
      <c r="F6825" s="3" t="s">
        <v>269</v>
      </c>
      <c r="G6825" s="3" t="s">
        <v>227</v>
      </c>
      <c r="H6825" s="2" t="s">
        <v>74</v>
      </c>
      <c r="I6825" s="2" t="s">
        <v>17189</v>
      </c>
      <c r="J6825" s="3" t="str">
        <f>HYPERLINK("https://www.boe.es/gazeta/dias/1810/05/23/pdfs/GMD-1810-143.pdf#page=2","Abrir facsímil")</f>
        <v>Abrir facsímil</v>
      </c>
      <c r="K6825" s="3" t="s">
        <v>76</v>
      </c>
    </row>
    <row r="6826" spans="1:11" ht="42" customHeight="1">
      <c r="A6826" s="2" t="s">
        <v>17190</v>
      </c>
      <c r="B6826" s="2" t="s">
        <v>17191</v>
      </c>
      <c r="C6826" s="2" t="s">
        <v>26</v>
      </c>
      <c r="D6826" s="2" t="s">
        <v>39</v>
      </c>
      <c r="E6826" s="4">
        <v>-32701</v>
      </c>
      <c r="F6826" s="3" t="s">
        <v>40</v>
      </c>
      <c r="G6826" s="3" t="s">
        <v>170</v>
      </c>
      <c r="H6826" s="2" t="s">
        <v>21</v>
      </c>
      <c r="I6826" s="2" t="s">
        <v>17192</v>
      </c>
      <c r="J6826" s="3" t="str">
        <f>HYPERLINK("https://www.boe.es/gazeta/dias/1810/06/19/pdfs/GMD-C-1810-170.pdf#page=1","Abrir facsímil")</f>
        <v>Abrir facsímil</v>
      </c>
      <c r="K6826" s="3" t="s">
        <v>23</v>
      </c>
    </row>
    <row r="6827" spans="1:11" ht="42" customHeight="1">
      <c r="A6827" s="2" t="s">
        <v>17193</v>
      </c>
      <c r="B6827" s="2" t="s">
        <v>17193</v>
      </c>
      <c r="C6827" s="2" t="s">
        <v>26</v>
      </c>
      <c r="D6827" s="2" t="s">
        <v>39</v>
      </c>
      <c r="E6827" s="4">
        <v>-32702</v>
      </c>
      <c r="F6827" s="3" t="s">
        <v>179</v>
      </c>
      <c r="G6827" s="3" t="s">
        <v>213</v>
      </c>
      <c r="H6827" s="2" t="s">
        <v>74</v>
      </c>
      <c r="I6827" s="2" t="s">
        <v>17194</v>
      </c>
      <c r="J6827" s="3" t="str">
        <f>HYPERLINK("https://www.boe.es/gazeta/dias/1810/06/18/pdfs/GMD-C-1810-169.pdf#page=4","Abrir facsímil")</f>
        <v>Abrir facsímil</v>
      </c>
      <c r="K6827" s="3" t="s">
        <v>76</v>
      </c>
    </row>
    <row r="6828" spans="1:11" ht="42" customHeight="1">
      <c r="A6828" s="2" t="s">
        <v>17195</v>
      </c>
      <c r="B6828" s="2" t="s">
        <v>17196</v>
      </c>
      <c r="C6828" s="2" t="s">
        <v>26</v>
      </c>
      <c r="D6828" s="2" t="s">
        <v>27</v>
      </c>
      <c r="E6828" s="4">
        <v>-32861</v>
      </c>
      <c r="F6828" s="3" t="s">
        <v>796</v>
      </c>
      <c r="G6828" s="3" t="s">
        <v>99</v>
      </c>
      <c r="H6828" s="2" t="s">
        <v>74</v>
      </c>
      <c r="I6828" s="2" t="s">
        <v>17197</v>
      </c>
      <c r="J6828" s="3" t="str">
        <f>HYPERLINK("https://www.boe.es/gazeta/dias/1810/01/10/pdfs/GMD-1810-10.pdf#page=3","Abrir facsímil")</f>
        <v>Abrir facsímil</v>
      </c>
      <c r="K6828" s="3" t="s">
        <v>76</v>
      </c>
    </row>
    <row r="6829" spans="1:11" ht="42" customHeight="1">
      <c r="A6829" s="2" t="s">
        <v>17198</v>
      </c>
      <c r="B6829" s="2" t="s">
        <v>17199</v>
      </c>
      <c r="C6829" s="2" t="s">
        <v>26</v>
      </c>
      <c r="D6829" s="2" t="s">
        <v>39</v>
      </c>
      <c r="E6829" s="4">
        <v>-32701</v>
      </c>
      <c r="F6829" s="3" t="s">
        <v>40</v>
      </c>
      <c r="G6829" s="3" t="s">
        <v>315</v>
      </c>
      <c r="H6829" s="2" t="s">
        <v>74</v>
      </c>
      <c r="I6829" s="2" t="s">
        <v>17200</v>
      </c>
      <c r="J6829" s="3" t="str">
        <f>HYPERLINK("https://www.boe.es/gazeta/dias/1810/06/19/pdfs/GMD-C-1810-170.pdf#page=2","Abrir facsímil")</f>
        <v>Abrir facsímil</v>
      </c>
      <c r="K6829" s="3" t="s">
        <v>76</v>
      </c>
    </row>
    <row r="6830" spans="1:11" ht="42" customHeight="1">
      <c r="A6830" s="2" t="s">
        <v>17201</v>
      </c>
      <c r="B6830" s="2" t="s">
        <v>17202</v>
      </c>
      <c r="C6830" s="2" t="s">
        <v>26</v>
      </c>
      <c r="D6830" s="2" t="s">
        <v>27</v>
      </c>
      <c r="E6830" s="4">
        <v>-32645</v>
      </c>
      <c r="F6830" s="3" t="s">
        <v>122</v>
      </c>
      <c r="G6830" s="3" t="s">
        <v>147</v>
      </c>
      <c r="H6830" s="2" t="s">
        <v>74</v>
      </c>
      <c r="I6830" s="2" t="s">
        <v>17203</v>
      </c>
      <c r="J6830" s="3" t="str">
        <f>HYPERLINK("https://www.boe.es/gazeta/dias/1810/08/14/pdfs/GEI-1810-56.pdf#page=16","Abrir facsímil")</f>
        <v>Abrir facsímil</v>
      </c>
      <c r="K6830" s="3" t="s">
        <v>76</v>
      </c>
    </row>
    <row r="6831" spans="1:11" ht="42" customHeight="1">
      <c r="A6831" s="2" t="s">
        <v>17204</v>
      </c>
      <c r="B6831" s="2" t="s">
        <v>17205</v>
      </c>
      <c r="C6831" s="2" t="s">
        <v>88</v>
      </c>
      <c r="D6831" s="2" t="s">
        <v>27</v>
      </c>
      <c r="E6831" s="4">
        <v>-32775</v>
      </c>
      <c r="F6831" s="3" t="s">
        <v>553</v>
      </c>
      <c r="G6831" s="3" t="s">
        <v>554</v>
      </c>
      <c r="H6831" s="2" t="s">
        <v>74</v>
      </c>
      <c r="I6831" s="2" t="s">
        <v>17206</v>
      </c>
      <c r="J6831" s="3" t="str">
        <f>HYPERLINK("https://www.boe.es/gazeta/dias/1810/04/06/pdfs/GEI-1810-12.pdf#page=12","Abrir facsímil")</f>
        <v>Abrir facsímil</v>
      </c>
      <c r="K6831" s="3" t="s">
        <v>76</v>
      </c>
    </row>
    <row r="6832" spans="1:11" ht="42" customHeight="1">
      <c r="A6832" s="2" t="s">
        <v>17207</v>
      </c>
      <c r="B6832" s="2" t="s">
        <v>17207</v>
      </c>
      <c r="C6832" s="2" t="s">
        <v>17</v>
      </c>
      <c r="D6832" s="2" t="s">
        <v>27</v>
      </c>
      <c r="E6832" s="4">
        <v>-32542</v>
      </c>
      <c r="F6832" s="3" t="s">
        <v>6175</v>
      </c>
      <c r="G6832" s="3" t="s">
        <v>17208</v>
      </c>
      <c r="H6832" s="2" t="s">
        <v>74</v>
      </c>
      <c r="I6832" s="2" t="s">
        <v>17209</v>
      </c>
      <c r="J6832" s="3" t="str">
        <f>HYPERLINK("https://www.boe.es/gazeta/dias/1810/11/25/pdfs/GMD-1810-329.pdf#page=1","Abrir facsímil")</f>
        <v>Abrir facsímil</v>
      </c>
      <c r="K6832" s="3" t="s">
        <v>76</v>
      </c>
    </row>
    <row r="6833" spans="1:11" ht="42" customHeight="1">
      <c r="A6833" s="2" t="s">
        <v>17210</v>
      </c>
      <c r="B6833" s="2" t="s">
        <v>17211</v>
      </c>
      <c r="C6833" s="2" t="s">
        <v>195</v>
      </c>
      <c r="D6833" s="2" t="s">
        <v>27</v>
      </c>
      <c r="E6833" s="4">
        <v>-32729</v>
      </c>
      <c r="F6833" s="3" t="s">
        <v>174</v>
      </c>
      <c r="G6833" s="3" t="s">
        <v>151</v>
      </c>
      <c r="H6833" s="2" t="s">
        <v>74</v>
      </c>
      <c r="I6833" s="2" t="s">
        <v>17212</v>
      </c>
      <c r="J6833" s="3" t="str">
        <f>HYPERLINK("https://www.boe.es/gazeta/dias/1810/05/22/pdfs/GEI-1810-28.pdf#page=12","Abrir facsímil")</f>
        <v>Abrir facsímil</v>
      </c>
      <c r="K6833" s="3" t="s">
        <v>76</v>
      </c>
    </row>
    <row r="6834" spans="1:11" ht="42" customHeight="1">
      <c r="A6834" s="2" t="s">
        <v>17213</v>
      </c>
      <c r="B6834" s="2" t="s">
        <v>17214</v>
      </c>
      <c r="C6834" s="2" t="s">
        <v>88</v>
      </c>
      <c r="D6834" s="2" t="s">
        <v>27</v>
      </c>
      <c r="E6834" s="4">
        <v>-32710</v>
      </c>
      <c r="F6834" s="3" t="s">
        <v>126</v>
      </c>
      <c r="G6834" s="3" t="s">
        <v>20</v>
      </c>
      <c r="H6834" s="2" t="s">
        <v>74</v>
      </c>
      <c r="I6834" s="2" t="s">
        <v>17215</v>
      </c>
      <c r="J6834" s="3" t="str">
        <f>HYPERLINK("https://www.boe.es/gazeta/dias/1810/06/10/pdfs/GMD-1810-161.pdf#page=4","Abrir facsímil")</f>
        <v>Abrir facsímil</v>
      </c>
      <c r="K6834" s="3" t="s">
        <v>76</v>
      </c>
    </row>
    <row r="6835" spans="1:11" ht="42" customHeight="1">
      <c r="A6835" s="2" t="s">
        <v>17216</v>
      </c>
      <c r="B6835" s="2" t="s">
        <v>17217</v>
      </c>
      <c r="C6835" s="2" t="s">
        <v>17</v>
      </c>
      <c r="D6835" s="2" t="s">
        <v>27</v>
      </c>
      <c r="E6835" s="4">
        <v>-32704</v>
      </c>
      <c r="F6835" s="3" t="s">
        <v>94</v>
      </c>
      <c r="G6835" s="3" t="s">
        <v>20</v>
      </c>
      <c r="H6835" s="2" t="s">
        <v>74</v>
      </c>
      <c r="I6835" s="2" t="s">
        <v>17218</v>
      </c>
      <c r="J6835" s="3" t="str">
        <f>HYPERLINK("https://www.boe.es/gazeta/dias/1810/06/16/pdfs/GMD-1810-167.pdf#page=4","Abrir facsímil")</f>
        <v>Abrir facsímil</v>
      </c>
      <c r="K6835" s="3" t="s">
        <v>76</v>
      </c>
    </row>
    <row r="6836" spans="1:11" ht="42" customHeight="1">
      <c r="A6836" s="2" t="s">
        <v>17219</v>
      </c>
      <c r="B6836" s="2" t="s">
        <v>17219</v>
      </c>
      <c r="C6836" s="2" t="s">
        <v>225</v>
      </c>
      <c r="D6836" s="2" t="s">
        <v>27</v>
      </c>
      <c r="E6836" s="4">
        <v>-32509</v>
      </c>
      <c r="F6836" s="3" t="s">
        <v>212</v>
      </c>
      <c r="G6836" s="3" t="s">
        <v>213</v>
      </c>
      <c r="H6836" s="2" t="s">
        <v>74</v>
      </c>
      <c r="I6836" s="2" t="s">
        <v>17220</v>
      </c>
      <c r="J6836" s="3" t="str">
        <f>HYPERLINK("https://www.boe.es/gazeta/dias/1810/12/28/pdfs/GMD-1810-362.pdf#page=4","Abrir facsímil")</f>
        <v>Abrir facsímil</v>
      </c>
      <c r="K6836" s="3" t="s">
        <v>76</v>
      </c>
    </row>
    <row r="6837" spans="1:11" ht="42" customHeight="1">
      <c r="A6837" s="2" t="s">
        <v>17221</v>
      </c>
      <c r="B6837" s="2" t="s">
        <v>17222</v>
      </c>
      <c r="C6837" s="2" t="s">
        <v>33</v>
      </c>
      <c r="D6837" s="2" t="s">
        <v>27</v>
      </c>
      <c r="E6837" s="4">
        <v>-32610</v>
      </c>
      <c r="F6837" s="3" t="s">
        <v>4991</v>
      </c>
      <c r="G6837" s="3" t="s">
        <v>6139</v>
      </c>
      <c r="H6837" s="2" t="s">
        <v>74</v>
      </c>
      <c r="I6837" s="2" t="s">
        <v>17223</v>
      </c>
      <c r="J6837" s="3" t="str">
        <f>HYPERLINK("https://www.boe.es/gazeta/dias/1810/09/18/pdfs/GEI-1810-69.pdf#page=11","Abrir facsímil")</f>
        <v>Abrir facsímil</v>
      </c>
      <c r="K6837" s="3" t="s">
        <v>76</v>
      </c>
    </row>
    <row r="6838" spans="1:11" ht="42" customHeight="1">
      <c r="A6838" s="2" t="s">
        <v>17224</v>
      </c>
      <c r="B6838" s="2" t="s">
        <v>17225</v>
      </c>
      <c r="C6838" s="2" t="s">
        <v>88</v>
      </c>
      <c r="D6838" s="2" t="s">
        <v>27</v>
      </c>
      <c r="E6838" s="4">
        <v>-32754</v>
      </c>
      <c r="F6838" s="3" t="s">
        <v>1057</v>
      </c>
      <c r="G6838" s="3" t="s">
        <v>1477</v>
      </c>
      <c r="H6838" s="2" t="s">
        <v>74</v>
      </c>
      <c r="I6838" s="2" t="s">
        <v>17226</v>
      </c>
      <c r="J6838" s="3" t="str">
        <f>HYPERLINK("https://www.boe.es/gazeta/dias/1810/04/27/pdfs/GEI-1810-18.pdf#page=5","Abrir facsímil")</f>
        <v>Abrir facsímil</v>
      </c>
      <c r="K6838" s="3" t="s">
        <v>76</v>
      </c>
    </row>
    <row r="6839" spans="1:11" ht="42" customHeight="1">
      <c r="A6839" s="2" t="s">
        <v>17227</v>
      </c>
      <c r="B6839" s="2" t="s">
        <v>17228</v>
      </c>
      <c r="C6839" s="2" t="s">
        <v>88</v>
      </c>
      <c r="D6839" s="2" t="s">
        <v>117</v>
      </c>
      <c r="E6839" s="4">
        <v>-32789</v>
      </c>
      <c r="F6839" s="3" t="s">
        <v>2531</v>
      </c>
      <c r="G6839" s="3" t="s">
        <v>505</v>
      </c>
      <c r="H6839" s="2" t="s">
        <v>74</v>
      </c>
      <c r="I6839" s="2" t="s">
        <v>17229</v>
      </c>
      <c r="J6839" s="3" t="str">
        <f>HYPERLINK("https://www.boe.es/gazeta/dias/1810/03/23/pdfs/GEI-1810-6E.pdf#page=1","Abrir facsímil")</f>
        <v>Abrir facsímil</v>
      </c>
      <c r="K6839" s="3" t="s">
        <v>76</v>
      </c>
    </row>
    <row r="6840" spans="1:11" ht="42" customHeight="1">
      <c r="A6840" s="2" t="s">
        <v>17230</v>
      </c>
      <c r="B6840" s="2" t="s">
        <v>17231</v>
      </c>
      <c r="C6840" s="2" t="s">
        <v>88</v>
      </c>
      <c r="D6840" s="2" t="s">
        <v>27</v>
      </c>
      <c r="E6840" s="4">
        <v>-32562</v>
      </c>
      <c r="F6840" s="3" t="s">
        <v>1186</v>
      </c>
      <c r="G6840" s="3" t="s">
        <v>29</v>
      </c>
      <c r="H6840" s="2" t="s">
        <v>74</v>
      </c>
      <c r="I6840" s="2" t="s">
        <v>17232</v>
      </c>
      <c r="J6840" s="3" t="str">
        <f>HYPERLINK("https://www.boe.es/gazeta/dias/1810/11/05/pdfs/GMD-1810-309.pdf#page=2","Abrir facsímil")</f>
        <v>Abrir facsímil</v>
      </c>
      <c r="K6840" s="3" t="s">
        <v>76</v>
      </c>
    </row>
    <row r="6841" spans="1:11" ht="42" customHeight="1">
      <c r="A6841" s="2" t="s">
        <v>17233</v>
      </c>
      <c r="B6841" s="2" t="s">
        <v>17234</v>
      </c>
      <c r="C6841" s="2" t="s">
        <v>88</v>
      </c>
      <c r="D6841" s="2" t="s">
        <v>117</v>
      </c>
      <c r="E6841" s="4">
        <v>-32789</v>
      </c>
      <c r="F6841" s="3" t="s">
        <v>1468</v>
      </c>
      <c r="G6841" s="3" t="s">
        <v>140</v>
      </c>
      <c r="H6841" s="2" t="s">
        <v>74</v>
      </c>
      <c r="I6841" s="2" t="s">
        <v>17235</v>
      </c>
      <c r="J6841" s="3" t="str">
        <f>HYPERLINK("https://www.boe.es/gazeta/dias/1810/03/23/pdfs/GEI-1810-5.pdf#page=8","Abrir facsímil")</f>
        <v>Abrir facsímil</v>
      </c>
      <c r="K6841" s="3" t="s">
        <v>76</v>
      </c>
    </row>
    <row r="6842" spans="1:11" ht="42" customHeight="1">
      <c r="A6842" s="2" t="s">
        <v>17236</v>
      </c>
      <c r="B6842" s="2" t="s">
        <v>17237</v>
      </c>
      <c r="C6842" s="2" t="s">
        <v>26</v>
      </c>
      <c r="D6842" s="2" t="s">
        <v>27</v>
      </c>
      <c r="E6842" s="4">
        <v>-32520</v>
      </c>
      <c r="F6842" s="3" t="s">
        <v>2109</v>
      </c>
      <c r="G6842" s="3" t="s">
        <v>2110</v>
      </c>
      <c r="H6842" s="2" t="s">
        <v>74</v>
      </c>
      <c r="I6842" s="2" t="s">
        <v>17238</v>
      </c>
      <c r="J6842" s="3" t="str">
        <f>HYPERLINK("https://www.boe.es/gazeta/dias/1810/12/17/pdfs/GMD-1810-351.pdf#page=2","Abrir facsímil")</f>
        <v>Abrir facsímil</v>
      </c>
      <c r="K6842" s="3" t="s">
        <v>76</v>
      </c>
    </row>
    <row r="6843" spans="1:11" ht="42" customHeight="1">
      <c r="A6843" s="2" t="s">
        <v>17239</v>
      </c>
      <c r="B6843" s="2" t="s">
        <v>17239</v>
      </c>
      <c r="C6843" s="2" t="s">
        <v>225</v>
      </c>
      <c r="D6843" s="2" t="s">
        <v>220</v>
      </c>
      <c r="E6843" s="4">
        <v>-32528</v>
      </c>
      <c r="F6843" s="3" t="s">
        <v>3058</v>
      </c>
      <c r="G6843" s="3" t="s">
        <v>2334</v>
      </c>
      <c r="H6843" s="2" t="s">
        <v>74</v>
      </c>
      <c r="I6843" s="2" t="s">
        <v>17240</v>
      </c>
      <c r="J6843" s="3" t="str">
        <f>HYPERLINK("https://www.boe.es/gazeta/dias/1810/12/09/pdfs/GMD-1810-343.pdf#page=1","Abrir facsímil")</f>
        <v>Abrir facsímil</v>
      </c>
      <c r="K6843" s="3" t="s">
        <v>76</v>
      </c>
    </row>
    <row r="6844" spans="1:11" ht="42" customHeight="1">
      <c r="A6844" s="2" t="s">
        <v>17241</v>
      </c>
      <c r="B6844" s="2" t="s">
        <v>17241</v>
      </c>
      <c r="C6844" s="2" t="s">
        <v>26</v>
      </c>
      <c r="D6844" s="2" t="s">
        <v>27</v>
      </c>
      <c r="E6844" s="4">
        <v>-32725</v>
      </c>
      <c r="F6844" s="3" t="s">
        <v>417</v>
      </c>
      <c r="G6844" s="3" t="s">
        <v>1656</v>
      </c>
      <c r="H6844" s="2" t="s">
        <v>74</v>
      </c>
      <c r="I6844" s="2" t="s">
        <v>17242</v>
      </c>
      <c r="J6844" s="3" t="str">
        <f>HYPERLINK("https://www.boe.es/gazeta/dias/1810/05/26/pdfs/GMD-1810-146.pdf#page=1","Abrir facsímil")</f>
        <v>Abrir facsímil</v>
      </c>
      <c r="K6844" s="3" t="s">
        <v>76</v>
      </c>
    </row>
    <row r="6845" spans="1:11" ht="42" customHeight="1">
      <c r="A6845" s="2" t="s">
        <v>17243</v>
      </c>
      <c r="B6845" s="2" t="s">
        <v>17243</v>
      </c>
      <c r="C6845" s="2" t="s">
        <v>26</v>
      </c>
      <c r="D6845" s="2" t="s">
        <v>27</v>
      </c>
      <c r="E6845" s="4">
        <v>-32722</v>
      </c>
      <c r="F6845" s="3" t="s">
        <v>2619</v>
      </c>
      <c r="G6845" s="3" t="s">
        <v>886</v>
      </c>
      <c r="H6845" s="2" t="s">
        <v>74</v>
      </c>
      <c r="I6845" s="2" t="s">
        <v>17244</v>
      </c>
      <c r="J6845" s="3" t="str">
        <f>HYPERLINK("https://www.boe.es/gazeta/dias/1810/05/29/pdfs/GMD-1810-149.pdf#page=2","Abrir facsímil")</f>
        <v>Abrir facsímil</v>
      </c>
      <c r="K6845" s="3" t="s">
        <v>76</v>
      </c>
    </row>
    <row r="6846" spans="1:11" ht="42" customHeight="1">
      <c r="A6846" s="2" t="s">
        <v>17245</v>
      </c>
      <c r="B6846" s="2" t="s">
        <v>17245</v>
      </c>
      <c r="C6846" s="2" t="s">
        <v>88</v>
      </c>
      <c r="D6846" s="2" t="s">
        <v>117</v>
      </c>
      <c r="E6846" s="4">
        <v>-32735</v>
      </c>
      <c r="F6846" s="3" t="s">
        <v>612</v>
      </c>
      <c r="G6846" s="3" t="s">
        <v>2045</v>
      </c>
      <c r="H6846" s="2" t="s">
        <v>74</v>
      </c>
      <c r="I6846" s="2" t="s">
        <v>17246</v>
      </c>
      <c r="J6846" s="3" t="str">
        <f>HYPERLINK("https://www.boe.es/gazeta/dias/1810/05/16/pdfs/GMD-1810-136.pdf#page=2","Abrir facsímil")</f>
        <v>Abrir facsímil</v>
      </c>
      <c r="K6846" s="3" t="s">
        <v>76</v>
      </c>
    </row>
    <row r="6847" spans="1:11" ht="42" customHeight="1">
      <c r="A6847" s="2" t="s">
        <v>17247</v>
      </c>
      <c r="B6847" s="2" t="s">
        <v>17247</v>
      </c>
      <c r="C6847" s="2" t="s">
        <v>26</v>
      </c>
      <c r="D6847" s="2" t="s">
        <v>27</v>
      </c>
      <c r="E6847" s="4">
        <v>-32855</v>
      </c>
      <c r="F6847" s="3" t="s">
        <v>4239</v>
      </c>
      <c r="G6847" s="3" t="s">
        <v>291</v>
      </c>
      <c r="H6847" s="2" t="s">
        <v>74</v>
      </c>
      <c r="I6847" s="2" t="s">
        <v>17248</v>
      </c>
      <c r="J6847" s="3" t="str">
        <f>HYPERLINK("https://www.boe.es/gazeta/dias/1810/01/16/pdfs/GMD-1810-16.pdf#page=1","Abrir facsímil")</f>
        <v>Abrir facsímil</v>
      </c>
      <c r="K6847" s="3" t="s">
        <v>76</v>
      </c>
    </row>
    <row r="6848" spans="1:11" ht="42" customHeight="1">
      <c r="A6848" s="2" t="s">
        <v>17247</v>
      </c>
      <c r="B6848" s="2" t="s">
        <v>17247</v>
      </c>
      <c r="C6848" s="2" t="s">
        <v>33</v>
      </c>
      <c r="D6848" s="2" t="s">
        <v>27</v>
      </c>
      <c r="E6848" s="4">
        <v>-32852</v>
      </c>
      <c r="F6848" s="3" t="s">
        <v>1625</v>
      </c>
      <c r="G6848" s="3" t="s">
        <v>749</v>
      </c>
      <c r="H6848" s="2" t="s">
        <v>74</v>
      </c>
      <c r="I6848" s="2" t="s">
        <v>17249</v>
      </c>
      <c r="J6848" s="3" t="str">
        <f>HYPERLINK("https://www.boe.es/gazeta/dias/1810/01/19/pdfs/GMD-1810-19.pdf#page=1","Abrir facsímil")</f>
        <v>Abrir facsímil</v>
      </c>
      <c r="K6848" s="3" t="s">
        <v>76</v>
      </c>
    </row>
    <row r="6849" spans="1:11" ht="42" customHeight="1">
      <c r="A6849" s="2" t="s">
        <v>17250</v>
      </c>
      <c r="B6849" s="2" t="s">
        <v>17250</v>
      </c>
      <c r="C6849" s="2" t="s">
        <v>26</v>
      </c>
      <c r="D6849" s="2" t="s">
        <v>27</v>
      </c>
      <c r="E6849" s="4">
        <v>-32807</v>
      </c>
      <c r="F6849" s="3" t="s">
        <v>1338</v>
      </c>
      <c r="G6849" s="3" t="s">
        <v>99</v>
      </c>
      <c r="H6849" s="2" t="s">
        <v>74</v>
      </c>
      <c r="I6849" s="2" t="s">
        <v>17251</v>
      </c>
      <c r="J6849" s="3" t="str">
        <f>HYPERLINK("https://www.boe.es/gazeta/dias/1810/03/05/pdfs/GMD-1810-64.pdf#page=3","Abrir facsímil")</f>
        <v>Abrir facsímil</v>
      </c>
      <c r="K6849" s="3" t="s">
        <v>76</v>
      </c>
    </row>
    <row r="6850" spans="1:11" ht="42" customHeight="1">
      <c r="A6850" s="2" t="s">
        <v>17247</v>
      </c>
      <c r="B6850" s="2" t="s">
        <v>17247</v>
      </c>
      <c r="C6850" s="2" t="s">
        <v>26</v>
      </c>
      <c r="D6850" s="2" t="s">
        <v>27</v>
      </c>
      <c r="E6850" s="4">
        <v>-32706</v>
      </c>
      <c r="F6850" s="3" t="s">
        <v>1210</v>
      </c>
      <c r="G6850" s="3" t="s">
        <v>1211</v>
      </c>
      <c r="H6850" s="2" t="s">
        <v>74</v>
      </c>
      <c r="I6850" s="2" t="s">
        <v>17252</v>
      </c>
      <c r="J6850" s="3" t="str">
        <f>HYPERLINK("https://www.boe.es/gazeta/dias/1810/06/14/pdfs/GMD-1810-165.pdf#page=1","Abrir facsímil")</f>
        <v>Abrir facsímil</v>
      </c>
      <c r="K6850" s="3" t="s">
        <v>76</v>
      </c>
    </row>
    <row r="6851" spans="1:11" ht="42" customHeight="1">
      <c r="A6851" s="2" t="s">
        <v>17247</v>
      </c>
      <c r="B6851" s="2" t="s">
        <v>17247</v>
      </c>
      <c r="C6851" s="2" t="s">
        <v>225</v>
      </c>
      <c r="D6851" s="2" t="s">
        <v>27</v>
      </c>
      <c r="E6851" s="4">
        <v>-32695</v>
      </c>
      <c r="F6851" s="3" t="s">
        <v>1646</v>
      </c>
      <c r="G6851" s="3" t="s">
        <v>1647</v>
      </c>
      <c r="H6851" s="2" t="s">
        <v>74</v>
      </c>
      <c r="I6851" s="2" t="s">
        <v>17253</v>
      </c>
      <c r="J6851" s="3" t="str">
        <f>HYPERLINK("https://www.boe.es/gazeta/dias/1810/06/25/pdfs/GMD-1810-176.pdf#page=1","Abrir facsímil")</f>
        <v>Abrir facsímil</v>
      </c>
      <c r="K6851" s="3" t="s">
        <v>76</v>
      </c>
    </row>
    <row r="6852" spans="1:11" ht="42" customHeight="1">
      <c r="A6852" s="2" t="s">
        <v>17247</v>
      </c>
      <c r="B6852" s="2" t="s">
        <v>17247</v>
      </c>
      <c r="C6852" s="2" t="s">
        <v>26</v>
      </c>
      <c r="D6852" s="2" t="s">
        <v>27</v>
      </c>
      <c r="E6852" s="4">
        <v>-32657</v>
      </c>
      <c r="F6852" s="3" t="s">
        <v>7977</v>
      </c>
      <c r="G6852" s="3" t="s">
        <v>465</v>
      </c>
      <c r="H6852" s="2" t="s">
        <v>74</v>
      </c>
      <c r="I6852" s="2" t="s">
        <v>17254</v>
      </c>
      <c r="J6852" s="3" t="str">
        <f>HYPERLINK("https://www.boe.es/gazeta/dias/1810/08/02/pdfs/GMD-1810-214.pdf#page=1","Abrir facsímil")</f>
        <v>Abrir facsímil</v>
      </c>
      <c r="K6852" s="3" t="s">
        <v>76</v>
      </c>
    </row>
    <row r="6853" spans="1:11" ht="42" customHeight="1">
      <c r="A6853" s="2" t="s">
        <v>17255</v>
      </c>
      <c r="B6853" s="2" t="s">
        <v>17255</v>
      </c>
      <c r="C6853" s="2" t="s">
        <v>26</v>
      </c>
      <c r="D6853" s="2" t="s">
        <v>18</v>
      </c>
      <c r="E6853" s="4">
        <v>-32561</v>
      </c>
      <c r="F6853" s="3" t="s">
        <v>3469</v>
      </c>
      <c r="G6853" s="3" t="s">
        <v>10962</v>
      </c>
      <c r="H6853" s="2" t="s">
        <v>74</v>
      </c>
      <c r="I6853" s="2" t="s">
        <v>17256</v>
      </c>
      <c r="J6853" s="3" t="str">
        <f>HYPERLINK("https://www.boe.es/gazeta/dias/1810/11/06/pdfs/GMD-1810-310.pdf#page=1","Abrir facsímil")</f>
        <v>Abrir facsímil</v>
      </c>
      <c r="K6853" s="3" t="s">
        <v>76</v>
      </c>
    </row>
    <row r="6854" spans="1:11" ht="42" customHeight="1">
      <c r="A6854" s="2" t="s">
        <v>17257</v>
      </c>
      <c r="B6854" s="2" t="s">
        <v>17258</v>
      </c>
      <c r="C6854" s="2" t="s">
        <v>88</v>
      </c>
      <c r="D6854" s="2" t="s">
        <v>117</v>
      </c>
      <c r="E6854" s="4">
        <v>-32775</v>
      </c>
      <c r="F6854" s="3" t="s">
        <v>308</v>
      </c>
      <c r="G6854" s="3" t="s">
        <v>227</v>
      </c>
      <c r="H6854" s="2" t="s">
        <v>74</v>
      </c>
      <c r="I6854" s="2" t="s">
        <v>17259</v>
      </c>
      <c r="J6854" s="3" t="str">
        <f>HYPERLINK("https://www.boe.es/gazeta/dias/1810/04/06/pdfs/GMD-1810-96.pdf#page=1","Abrir facsímil")</f>
        <v>Abrir facsímil</v>
      </c>
      <c r="K6854" s="3" t="s">
        <v>76</v>
      </c>
    </row>
    <row r="6855" spans="1:11" ht="42" customHeight="1">
      <c r="A6855" s="2" t="s">
        <v>17257</v>
      </c>
      <c r="B6855" s="2" t="s">
        <v>17258</v>
      </c>
      <c r="C6855" s="2" t="s">
        <v>26</v>
      </c>
      <c r="D6855" s="2" t="s">
        <v>27</v>
      </c>
      <c r="E6855" s="4">
        <v>-32772</v>
      </c>
      <c r="F6855" s="3" t="s">
        <v>398</v>
      </c>
      <c r="G6855" s="3" t="s">
        <v>90</v>
      </c>
      <c r="H6855" s="2" t="s">
        <v>74</v>
      </c>
      <c r="I6855" s="2" t="s">
        <v>17260</v>
      </c>
      <c r="J6855" s="3" t="str">
        <f>HYPERLINK("https://www.boe.es/gazeta/dias/1810/04/09/pdfs/GMD-1810-99.pdf#page=1","Abrir facsímil")</f>
        <v>Abrir facsímil</v>
      </c>
      <c r="K6855" s="3" t="s">
        <v>76</v>
      </c>
    </row>
    <row r="6856" spans="1:11" ht="42" customHeight="1">
      <c r="A6856" s="2" t="s">
        <v>17261</v>
      </c>
      <c r="B6856" s="2" t="s">
        <v>17261</v>
      </c>
      <c r="C6856" s="2" t="s">
        <v>88</v>
      </c>
      <c r="D6856" s="2" t="s">
        <v>27</v>
      </c>
      <c r="E6856" s="4">
        <v>-32529</v>
      </c>
      <c r="F6856" s="3" t="s">
        <v>3700</v>
      </c>
      <c r="G6856" s="3" t="s">
        <v>29</v>
      </c>
      <c r="H6856" s="2" t="s">
        <v>74</v>
      </c>
      <c r="I6856" s="2" t="s">
        <v>17262</v>
      </c>
      <c r="J6856" s="3" t="str">
        <f>HYPERLINK("https://www.boe.es/gazeta/dias/1810/12/08/pdfs/GMD-1810-342.pdf#page=2","Abrir facsímil")</f>
        <v>Abrir facsímil</v>
      </c>
      <c r="K6856" s="3" t="s">
        <v>76</v>
      </c>
    </row>
    <row r="6857" spans="1:11" ht="42" customHeight="1">
      <c r="A6857" s="2" t="s">
        <v>17263</v>
      </c>
      <c r="B6857" s="2" t="s">
        <v>17263</v>
      </c>
      <c r="C6857" s="2" t="s">
        <v>33</v>
      </c>
      <c r="D6857" s="2" t="s">
        <v>27</v>
      </c>
      <c r="E6857" s="4">
        <v>-32657</v>
      </c>
      <c r="F6857" s="3" t="s">
        <v>7977</v>
      </c>
      <c r="G6857" s="3" t="s">
        <v>465</v>
      </c>
      <c r="H6857" s="2" t="s">
        <v>74</v>
      </c>
      <c r="I6857" s="2" t="s">
        <v>17264</v>
      </c>
      <c r="J6857" s="3" t="str">
        <f>HYPERLINK("https://www.boe.es/gazeta/dias/1810/08/02/pdfs/GMD-1810-214.pdf#page=1","Abrir facsímil")</f>
        <v>Abrir facsímil</v>
      </c>
      <c r="K6857" s="3" t="s">
        <v>76</v>
      </c>
    </row>
    <row r="6858" spans="1:11" ht="42" customHeight="1">
      <c r="A6858" s="2" t="s">
        <v>17265</v>
      </c>
      <c r="B6858" s="2" t="s">
        <v>17265</v>
      </c>
      <c r="C6858" s="2" t="s">
        <v>88</v>
      </c>
      <c r="D6858" s="2" t="s">
        <v>117</v>
      </c>
      <c r="E6858" s="4">
        <v>-32533</v>
      </c>
      <c r="F6858" s="3" t="s">
        <v>4294</v>
      </c>
      <c r="G6858" s="3" t="s">
        <v>17266</v>
      </c>
      <c r="H6858" s="2" t="s">
        <v>74</v>
      </c>
      <c r="I6858" s="2" t="s">
        <v>17267</v>
      </c>
      <c r="J6858" s="3" t="str">
        <f>HYPERLINK("https://www.boe.es/gazeta/dias/1810/12/04/pdfs/GMD-1810-338.pdf#page=1","Abrir facsímil")</f>
        <v>Abrir facsímil</v>
      </c>
      <c r="K6858" s="3" t="s">
        <v>76</v>
      </c>
    </row>
    <row r="6859" spans="1:11" ht="42" customHeight="1">
      <c r="A6859" s="2" t="s">
        <v>17268</v>
      </c>
      <c r="B6859" s="2" t="s">
        <v>17268</v>
      </c>
      <c r="C6859" s="2" t="s">
        <v>88</v>
      </c>
      <c r="D6859" s="2" t="s">
        <v>117</v>
      </c>
      <c r="E6859" s="4">
        <v>-32729</v>
      </c>
      <c r="F6859" s="3" t="s">
        <v>174</v>
      </c>
      <c r="G6859" s="3" t="s">
        <v>2005</v>
      </c>
      <c r="H6859" s="2" t="s">
        <v>74</v>
      </c>
      <c r="I6859" s="2" t="s">
        <v>17269</v>
      </c>
      <c r="J6859" s="3" t="str">
        <f>HYPERLINK("https://www.boe.es/gazeta/dias/1810/05/22/pdfs/GEI-1810-28.pdf#page=3","Abrir facsímil")</f>
        <v>Abrir facsímil</v>
      </c>
      <c r="K6859" s="3" t="s">
        <v>76</v>
      </c>
    </row>
    <row r="6860" spans="1:11" ht="42" customHeight="1">
      <c r="A6860" s="2" t="s">
        <v>17270</v>
      </c>
      <c r="B6860" s="2" t="s">
        <v>17271</v>
      </c>
      <c r="C6860" s="2" t="s">
        <v>88</v>
      </c>
      <c r="D6860" s="2" t="s">
        <v>117</v>
      </c>
      <c r="E6860" s="4">
        <v>-32815</v>
      </c>
      <c r="F6860" s="3" t="s">
        <v>1201</v>
      </c>
      <c r="G6860" s="3" t="s">
        <v>70</v>
      </c>
      <c r="H6860" s="2" t="s">
        <v>74</v>
      </c>
      <c r="I6860" s="2" t="s">
        <v>17272</v>
      </c>
      <c r="J6860" s="3" t="str">
        <f>HYPERLINK("https://www.boe.es/gazeta/dias/1810/02/25/pdfs/GMD-1810-56.pdf#page=3","Abrir facsímil")</f>
        <v>Abrir facsímil</v>
      </c>
      <c r="K6860" s="3" t="s">
        <v>76</v>
      </c>
    </row>
    <row r="6861" spans="1:11" ht="42" customHeight="1">
      <c r="A6861" s="2" t="s">
        <v>17273</v>
      </c>
      <c r="B6861" s="2" t="s">
        <v>17274</v>
      </c>
      <c r="C6861" s="2" t="s">
        <v>88</v>
      </c>
      <c r="D6861" s="2" t="s">
        <v>58</v>
      </c>
      <c r="E6861" s="4">
        <v>-32651</v>
      </c>
      <c r="F6861" s="3" t="s">
        <v>59</v>
      </c>
      <c r="G6861" s="3" t="s">
        <v>60</v>
      </c>
      <c r="H6861" s="2" t="s">
        <v>74</v>
      </c>
      <c r="I6861" s="2" t="s">
        <v>17275</v>
      </c>
      <c r="J6861" s="3" t="str">
        <f>HYPERLINK("https://www.boe.es/gazeta/dias/1810/08/08/pdfs/GEI-1810-53E.pdf#page=3","Abrir facsímil")</f>
        <v>Abrir facsímil</v>
      </c>
      <c r="K6861" s="3" t="s">
        <v>76</v>
      </c>
    </row>
    <row r="6862" spans="1:11" ht="42" customHeight="1">
      <c r="A6862" s="2" t="s">
        <v>17276</v>
      </c>
      <c r="B6862" s="2" t="s">
        <v>17277</v>
      </c>
      <c r="C6862" s="2" t="s">
        <v>26</v>
      </c>
      <c r="D6862" s="2" t="s">
        <v>39</v>
      </c>
      <c r="E6862" s="4">
        <v>-32702</v>
      </c>
      <c r="F6862" s="3" t="s">
        <v>179</v>
      </c>
      <c r="G6862" s="3" t="s">
        <v>119</v>
      </c>
      <c r="H6862" s="2" t="s">
        <v>74</v>
      </c>
      <c r="I6862" s="2" t="s">
        <v>17278</v>
      </c>
      <c r="J6862" s="3" t="str">
        <f>HYPERLINK("https://www.boe.es/gazeta/dias/1810/06/18/pdfs/GMD-C-1810-169.pdf#page=1","Abrir facsímil")</f>
        <v>Abrir facsímil</v>
      </c>
      <c r="K6862" s="3" t="s">
        <v>76</v>
      </c>
    </row>
    <row r="6863" spans="1:11" ht="42" customHeight="1">
      <c r="A6863" s="2" t="s">
        <v>17276</v>
      </c>
      <c r="B6863" s="2" t="s">
        <v>17277</v>
      </c>
      <c r="C6863" s="2" t="s">
        <v>26</v>
      </c>
      <c r="D6863" s="2" t="s">
        <v>39</v>
      </c>
      <c r="E6863" s="4">
        <v>-32702</v>
      </c>
      <c r="F6863" s="3" t="s">
        <v>179</v>
      </c>
      <c r="G6863" s="3" t="s">
        <v>517</v>
      </c>
      <c r="H6863" s="2" t="s">
        <v>74</v>
      </c>
      <c r="I6863" s="2" t="s">
        <v>17279</v>
      </c>
      <c r="J6863" s="3" t="str">
        <f>HYPERLINK("https://www.boe.es/gazeta/dias/1810/06/18/pdfs/GMD-C-1810-169.pdf#page=3","Abrir facsímil")</f>
        <v>Abrir facsímil</v>
      </c>
      <c r="K6863" s="3" t="s">
        <v>76</v>
      </c>
    </row>
    <row r="6864" spans="1:11" ht="42" customHeight="1">
      <c r="A6864" s="2" t="s">
        <v>17280</v>
      </c>
      <c r="B6864" s="2" t="s">
        <v>17281</v>
      </c>
      <c r="C6864" s="2" t="s">
        <v>26</v>
      </c>
      <c r="D6864" s="2" t="s">
        <v>39</v>
      </c>
      <c r="E6864" s="4">
        <v>-32702</v>
      </c>
      <c r="F6864" s="3" t="s">
        <v>179</v>
      </c>
      <c r="G6864" s="3" t="s">
        <v>119</v>
      </c>
      <c r="H6864" s="2" t="s">
        <v>74</v>
      </c>
      <c r="I6864" s="2" t="s">
        <v>17282</v>
      </c>
      <c r="J6864" s="3" t="str">
        <f>HYPERLINK("https://www.boe.es/gazeta/dias/1810/06/18/pdfs/GMD-C-1810-169.pdf#page=1","Abrir facsímil")</f>
        <v>Abrir facsímil</v>
      </c>
      <c r="K6864" s="3" t="s">
        <v>76</v>
      </c>
    </row>
    <row r="6865" spans="1:11" ht="42" customHeight="1">
      <c r="A6865" s="2" t="s">
        <v>17283</v>
      </c>
      <c r="B6865" s="2" t="s">
        <v>17283</v>
      </c>
      <c r="C6865" s="2" t="s">
        <v>88</v>
      </c>
      <c r="D6865" s="2" t="s">
        <v>27</v>
      </c>
      <c r="E6865" s="4">
        <v>-32610</v>
      </c>
      <c r="F6865" s="3" t="s">
        <v>7879</v>
      </c>
      <c r="G6865" s="3" t="s">
        <v>613</v>
      </c>
      <c r="H6865" s="2" t="s">
        <v>74</v>
      </c>
      <c r="I6865" s="2" t="s">
        <v>17284</v>
      </c>
      <c r="J6865" s="3" t="str">
        <f>HYPERLINK("https://www.boe.es/gazeta/dias/1810/09/18/pdfs/GMD-1810-261.pdf#page=1","Abrir facsímil")</f>
        <v>Abrir facsímil</v>
      </c>
      <c r="K6865" s="3" t="s">
        <v>76</v>
      </c>
    </row>
    <row r="6866" spans="1:11" ht="42" customHeight="1">
      <c r="A6866" s="2" t="s">
        <v>17285</v>
      </c>
      <c r="B6866" s="2" t="s">
        <v>17285</v>
      </c>
      <c r="C6866" s="2" t="s">
        <v>88</v>
      </c>
      <c r="D6866" s="2" t="s">
        <v>117</v>
      </c>
      <c r="E6866" s="4">
        <v>-32628</v>
      </c>
      <c r="F6866" s="3" t="s">
        <v>3118</v>
      </c>
      <c r="G6866" s="3" t="s">
        <v>29</v>
      </c>
      <c r="H6866" s="2" t="s">
        <v>74</v>
      </c>
      <c r="I6866" s="2" t="s">
        <v>17286</v>
      </c>
      <c r="J6866" s="3" t="str">
        <f>HYPERLINK("https://www.boe.es/gazeta/dias/1810/08/31/pdfs/GEI-1810-62.pdf#page=6","Abrir facsímil")</f>
        <v>Abrir facsímil</v>
      </c>
      <c r="K6866" s="3" t="s">
        <v>76</v>
      </c>
    </row>
    <row r="6867" spans="1:11" ht="42" customHeight="1">
      <c r="A6867" s="2" t="s">
        <v>17285</v>
      </c>
      <c r="B6867" s="2" t="s">
        <v>17285</v>
      </c>
      <c r="C6867" s="2" t="s">
        <v>88</v>
      </c>
      <c r="D6867" s="2" t="s">
        <v>117</v>
      </c>
      <c r="E6867" s="4">
        <v>-32606</v>
      </c>
      <c r="F6867" s="3" t="s">
        <v>1676</v>
      </c>
      <c r="G6867" s="3" t="s">
        <v>227</v>
      </c>
      <c r="H6867" s="2" t="s">
        <v>74</v>
      </c>
      <c r="I6867" s="2" t="s">
        <v>17287</v>
      </c>
      <c r="J6867" s="3" t="str">
        <f>HYPERLINK("https://www.boe.es/gazeta/dias/1810/09/22/pdfs/GMD-1810-265.pdf#page=2","Abrir facsímil")</f>
        <v>Abrir facsímil</v>
      </c>
      <c r="K6867" s="3" t="s">
        <v>76</v>
      </c>
    </row>
    <row r="6868" spans="1:11" ht="42" customHeight="1">
      <c r="A6868" s="2" t="s">
        <v>17285</v>
      </c>
      <c r="B6868" s="2" t="s">
        <v>17285</v>
      </c>
      <c r="C6868" s="2" t="s">
        <v>88</v>
      </c>
      <c r="D6868" s="2" t="s">
        <v>117</v>
      </c>
      <c r="E6868" s="4">
        <v>-32571</v>
      </c>
      <c r="F6868" s="3" t="s">
        <v>737</v>
      </c>
      <c r="G6868" s="3" t="s">
        <v>70</v>
      </c>
      <c r="H6868" s="2" t="s">
        <v>74</v>
      </c>
      <c r="I6868" s="2" t="s">
        <v>17288</v>
      </c>
      <c r="J6868" s="3" t="str">
        <f>HYPERLINK("https://www.boe.es/gazeta/dias/1810/10/27/pdfs/GEI-1810-87.pdf#page=8","Abrir facsímil")</f>
        <v>Abrir facsímil</v>
      </c>
      <c r="K6868" s="3" t="s">
        <v>76</v>
      </c>
    </row>
    <row r="6869" spans="1:11" ht="42" customHeight="1">
      <c r="A6869" s="2" t="s">
        <v>17285</v>
      </c>
      <c r="B6869" s="2" t="s">
        <v>17285</v>
      </c>
      <c r="C6869" s="2" t="s">
        <v>88</v>
      </c>
      <c r="D6869" s="2" t="s">
        <v>117</v>
      </c>
      <c r="E6869" s="4">
        <v>-32556</v>
      </c>
      <c r="F6869" s="3" t="s">
        <v>799</v>
      </c>
      <c r="G6869" s="3" t="s">
        <v>140</v>
      </c>
      <c r="H6869" s="2" t="s">
        <v>74</v>
      </c>
      <c r="I6869" s="2" t="s">
        <v>17289</v>
      </c>
      <c r="J6869" s="3" t="str">
        <f>HYPERLINK("https://www.boe.es/gazeta/dias/1810/11/11/pdfs/GMD-1810-315.pdf#page=2","Abrir facsímil")</f>
        <v>Abrir facsímil</v>
      </c>
      <c r="K6869" s="3" t="s">
        <v>76</v>
      </c>
    </row>
    <row r="6870" spans="1:11" ht="42" customHeight="1">
      <c r="A6870" s="2" t="s">
        <v>17285</v>
      </c>
      <c r="B6870" s="2" t="s">
        <v>17285</v>
      </c>
      <c r="C6870" s="2" t="s">
        <v>33</v>
      </c>
      <c r="D6870" s="2" t="s">
        <v>27</v>
      </c>
      <c r="E6870" s="4">
        <v>-32513</v>
      </c>
      <c r="F6870" s="3" t="s">
        <v>3702</v>
      </c>
      <c r="G6870" s="3" t="s">
        <v>4202</v>
      </c>
      <c r="H6870" s="2" t="s">
        <v>74</v>
      </c>
      <c r="I6870" s="2" t="s">
        <v>17290</v>
      </c>
      <c r="J6870" s="3" t="str">
        <f>HYPERLINK("https://www.boe.es/gazeta/dias/1810/12/24/pdfs/GMD-1810-358.pdf#page=1","Abrir facsímil")</f>
        <v>Abrir facsímil</v>
      </c>
      <c r="K6870" s="3" t="s">
        <v>76</v>
      </c>
    </row>
    <row r="6871" spans="1:11" ht="42" customHeight="1">
      <c r="A6871" s="2" t="s">
        <v>17291</v>
      </c>
      <c r="B6871" s="2" t="s">
        <v>17292</v>
      </c>
      <c r="C6871" s="2" t="s">
        <v>26</v>
      </c>
      <c r="D6871" s="2" t="s">
        <v>18</v>
      </c>
      <c r="E6871" s="4">
        <v>-32783</v>
      </c>
      <c r="F6871" s="3" t="s">
        <v>896</v>
      </c>
      <c r="G6871" s="3" t="s">
        <v>20</v>
      </c>
      <c r="H6871" s="2" t="s">
        <v>74</v>
      </c>
      <c r="I6871" s="2" t="s">
        <v>17293</v>
      </c>
      <c r="J6871" s="3" t="str">
        <f>HYPERLINK("https://www.boe.es/gazeta/dias/1810/03/29/pdfs/GMD-1810-88.pdf#page=4","Abrir facsímil")</f>
        <v>Abrir facsímil</v>
      </c>
      <c r="K6871" s="3" t="s">
        <v>76</v>
      </c>
    </row>
    <row r="6872" spans="1:11" ht="42" customHeight="1">
      <c r="A6872" s="2" t="s">
        <v>17294</v>
      </c>
      <c r="B6872" s="2" t="s">
        <v>17295</v>
      </c>
      <c r="C6872" s="2" t="s">
        <v>225</v>
      </c>
      <c r="D6872" s="2" t="s">
        <v>117</v>
      </c>
      <c r="E6872" s="4">
        <v>-32704</v>
      </c>
      <c r="F6872" s="3" t="s">
        <v>94</v>
      </c>
      <c r="G6872" s="3" t="s">
        <v>20</v>
      </c>
      <c r="H6872" s="2" t="s">
        <v>74</v>
      </c>
      <c r="I6872" s="2" t="s">
        <v>17296</v>
      </c>
      <c r="J6872" s="3" t="str">
        <f>HYPERLINK("https://www.boe.es/gazeta/dias/1810/06/16/pdfs/GMD-1810-167.pdf#page=4","Abrir facsímil")</f>
        <v>Abrir facsímil</v>
      </c>
      <c r="K6872" s="3" t="s">
        <v>76</v>
      </c>
    </row>
    <row r="6873" spans="1:11" ht="42" customHeight="1">
      <c r="A6873" s="2" t="s">
        <v>17297</v>
      </c>
      <c r="B6873" s="2" t="s">
        <v>17298</v>
      </c>
      <c r="C6873" s="2" t="s">
        <v>17</v>
      </c>
      <c r="D6873" s="2" t="s">
        <v>18</v>
      </c>
      <c r="E6873" s="4">
        <v>-32732</v>
      </c>
      <c r="F6873" s="3" t="s">
        <v>545</v>
      </c>
      <c r="G6873" s="3" t="s">
        <v>90</v>
      </c>
      <c r="H6873" s="2" t="s">
        <v>74</v>
      </c>
      <c r="I6873" s="2" t="s">
        <v>17299</v>
      </c>
      <c r="J6873" s="3" t="str">
        <f>HYPERLINK("https://www.boe.es/gazeta/dias/1810/05/19/pdfs/GMD-1810-139.pdf#page=4","Abrir facsímil")</f>
        <v>Abrir facsímil</v>
      </c>
      <c r="K6873" s="3" t="s">
        <v>76</v>
      </c>
    </row>
    <row r="6874" spans="1:11" ht="42" customHeight="1">
      <c r="A6874" s="2" t="s">
        <v>17300</v>
      </c>
      <c r="B6874" s="2" t="s">
        <v>17301</v>
      </c>
      <c r="C6874" s="2" t="s">
        <v>88</v>
      </c>
      <c r="D6874" s="2" t="s">
        <v>39</v>
      </c>
      <c r="E6874" s="4">
        <v>-32684</v>
      </c>
      <c r="F6874" s="3" t="s">
        <v>372</v>
      </c>
      <c r="G6874" s="3" t="s">
        <v>6689</v>
      </c>
      <c r="H6874" s="2" t="s">
        <v>74</v>
      </c>
      <c r="I6874" s="2" t="s">
        <v>17302</v>
      </c>
      <c r="J6874" s="3" t="str">
        <f>HYPERLINK("https://www.boe.es/gazeta/dias/1810/07/06/pdfs/GEI-D-1810-42.pdf#page=1","Abrir facsímil")</f>
        <v>Abrir facsímil</v>
      </c>
      <c r="K6874" s="3" t="s">
        <v>76</v>
      </c>
    </row>
    <row r="6875" spans="1:11" ht="42" customHeight="1">
      <c r="A6875" s="2" t="s">
        <v>17303</v>
      </c>
      <c r="B6875" s="2" t="s">
        <v>17303</v>
      </c>
      <c r="C6875" s="2" t="s">
        <v>26</v>
      </c>
      <c r="D6875" s="2" t="s">
        <v>27</v>
      </c>
      <c r="E6875" s="4">
        <v>-32635</v>
      </c>
      <c r="F6875" s="3" t="s">
        <v>3132</v>
      </c>
      <c r="G6875" s="3" t="s">
        <v>17304</v>
      </c>
      <c r="H6875" s="2" t="s">
        <v>74</v>
      </c>
      <c r="I6875" s="2" t="s">
        <v>17305</v>
      </c>
      <c r="J6875" s="3" t="str">
        <f>HYPERLINK("https://www.boe.es/gazeta/dias/1810/08/24/pdfs/GEI-1810-59.pdf#page=2","Abrir facsímil")</f>
        <v>Abrir facsímil</v>
      </c>
      <c r="K6875" s="3" t="s">
        <v>76</v>
      </c>
    </row>
    <row r="6876" spans="1:11" ht="42" customHeight="1">
      <c r="A6876" s="2" t="s">
        <v>17303</v>
      </c>
      <c r="B6876" s="2" t="s">
        <v>17303</v>
      </c>
      <c r="C6876" s="2" t="s">
        <v>88</v>
      </c>
      <c r="D6876" s="2" t="s">
        <v>27</v>
      </c>
      <c r="E6876" s="4">
        <v>-32628</v>
      </c>
      <c r="F6876" s="3" t="s">
        <v>3118</v>
      </c>
      <c r="G6876" s="3" t="s">
        <v>1644</v>
      </c>
      <c r="H6876" s="2" t="s">
        <v>74</v>
      </c>
      <c r="I6876" s="2" t="s">
        <v>17306</v>
      </c>
      <c r="J6876" s="3" t="str">
        <f>HYPERLINK("https://www.boe.es/gazeta/dias/1810/08/31/pdfs/GEI-1810-62.pdf#page=5","Abrir facsímil")</f>
        <v>Abrir facsímil</v>
      </c>
      <c r="K6876" s="3" t="s">
        <v>76</v>
      </c>
    </row>
    <row r="6877" spans="1:11" ht="42" customHeight="1">
      <c r="A6877" s="2" t="s">
        <v>17303</v>
      </c>
      <c r="B6877" s="2" t="s">
        <v>17303</v>
      </c>
      <c r="C6877" s="2" t="s">
        <v>88</v>
      </c>
      <c r="D6877" s="2" t="s">
        <v>117</v>
      </c>
      <c r="E6877" s="4">
        <v>-32628</v>
      </c>
      <c r="F6877" s="3" t="s">
        <v>3118</v>
      </c>
      <c r="G6877" s="3" t="s">
        <v>29</v>
      </c>
      <c r="H6877" s="2" t="s">
        <v>74</v>
      </c>
      <c r="I6877" s="2" t="s">
        <v>17307</v>
      </c>
      <c r="J6877" s="3" t="str">
        <f>HYPERLINK("https://www.boe.es/gazeta/dias/1810/08/31/pdfs/GEI-1810-62.pdf#page=6","Abrir facsímil")</f>
        <v>Abrir facsímil</v>
      </c>
      <c r="K6877" s="3" t="s">
        <v>76</v>
      </c>
    </row>
    <row r="6878" spans="1:11" ht="42" customHeight="1">
      <c r="A6878" s="2" t="s">
        <v>17308</v>
      </c>
      <c r="B6878" s="2" t="s">
        <v>17309</v>
      </c>
      <c r="C6878" s="2" t="s">
        <v>317</v>
      </c>
      <c r="D6878" s="2" t="s">
        <v>117</v>
      </c>
      <c r="E6878" s="4">
        <v>-32596</v>
      </c>
      <c r="F6878" s="3" t="s">
        <v>248</v>
      </c>
      <c r="G6878" s="3" t="s">
        <v>35</v>
      </c>
      <c r="H6878" s="2" t="s">
        <v>74</v>
      </c>
      <c r="I6878" s="2" t="s">
        <v>17310</v>
      </c>
      <c r="J6878" s="3" t="str">
        <f>HYPERLINK("https://www.boe.es/gazeta/dias/1810/10/02/pdfs/GEI-1810-76.pdf#page=2","Abrir facsímil")</f>
        <v>Abrir facsímil</v>
      </c>
      <c r="K6878" s="3" t="s">
        <v>76</v>
      </c>
    </row>
    <row r="6879" spans="1:11" ht="42" customHeight="1">
      <c r="A6879" s="2" t="s">
        <v>17311</v>
      </c>
      <c r="B6879" s="2" t="s">
        <v>17312</v>
      </c>
      <c r="C6879" s="2" t="s">
        <v>26</v>
      </c>
      <c r="D6879" s="2" t="s">
        <v>27</v>
      </c>
      <c r="E6879" s="4">
        <v>-32545</v>
      </c>
      <c r="F6879" s="3" t="s">
        <v>165</v>
      </c>
      <c r="G6879" s="3" t="s">
        <v>166</v>
      </c>
      <c r="H6879" s="2" t="s">
        <v>74</v>
      </c>
      <c r="I6879" s="2" t="s">
        <v>17313</v>
      </c>
      <c r="J6879" s="3" t="str">
        <f>HYPERLINK("https://www.boe.es/gazeta/dias/1810/11/22/pdfs/GEI-1810-98.pdf#page=8","Abrir facsímil")</f>
        <v>Abrir facsímil</v>
      </c>
      <c r="K6879" s="3" t="s">
        <v>76</v>
      </c>
    </row>
    <row r="6880" spans="1:11" ht="42" customHeight="1">
      <c r="A6880" s="2" t="s">
        <v>17314</v>
      </c>
      <c r="B6880" s="2" t="s">
        <v>17315</v>
      </c>
      <c r="C6880" s="2" t="s">
        <v>26</v>
      </c>
      <c r="D6880" s="2" t="s">
        <v>27</v>
      </c>
      <c r="E6880" s="4">
        <v>-32545</v>
      </c>
      <c r="F6880" s="3" t="s">
        <v>165</v>
      </c>
      <c r="G6880" s="3" t="s">
        <v>166</v>
      </c>
      <c r="H6880" s="2" t="s">
        <v>74</v>
      </c>
      <c r="I6880" s="2" t="s">
        <v>17316</v>
      </c>
      <c r="J6880" s="3" t="str">
        <f>HYPERLINK("https://www.boe.es/gazeta/dias/1810/11/22/pdfs/GEI-1810-98.pdf#page=8","Abrir facsímil")</f>
        <v>Abrir facsímil</v>
      </c>
      <c r="K6880" s="3" t="s">
        <v>76</v>
      </c>
    </row>
    <row r="6881" spans="1:11" ht="42" customHeight="1">
      <c r="A6881" s="2" t="s">
        <v>17317</v>
      </c>
      <c r="B6881" s="2" t="s">
        <v>17317</v>
      </c>
      <c r="C6881" s="2" t="s">
        <v>88</v>
      </c>
      <c r="D6881" s="2" t="s">
        <v>27</v>
      </c>
      <c r="E6881" s="4">
        <v>-32764</v>
      </c>
      <c r="F6881" s="3" t="s">
        <v>640</v>
      </c>
      <c r="G6881" s="3" t="s">
        <v>4676</v>
      </c>
      <c r="H6881" s="2" t="s">
        <v>74</v>
      </c>
      <c r="I6881" s="2" t="s">
        <v>17318</v>
      </c>
      <c r="J6881" s="3" t="str">
        <f>HYPERLINK("https://www.boe.es/gazeta/dias/1810/04/17/pdfs/GEI-1810-15.pdf#page=5","Abrir facsímil")</f>
        <v>Abrir facsímil</v>
      </c>
      <c r="K6881" s="3" t="s">
        <v>76</v>
      </c>
    </row>
    <row r="6882" spans="1:11" ht="42" customHeight="1">
      <c r="A6882" s="2" t="s">
        <v>17319</v>
      </c>
      <c r="B6882" s="2" t="s">
        <v>17320</v>
      </c>
      <c r="C6882" s="2" t="s">
        <v>26</v>
      </c>
      <c r="D6882" s="2" t="s">
        <v>39</v>
      </c>
      <c r="E6882" s="4">
        <v>-32701</v>
      </c>
      <c r="F6882" s="3" t="s">
        <v>40</v>
      </c>
      <c r="G6882" s="3" t="s">
        <v>333</v>
      </c>
      <c r="H6882" s="2" t="s">
        <v>74</v>
      </c>
      <c r="I6882" s="2" t="s">
        <v>17321</v>
      </c>
      <c r="J6882" s="3" t="str">
        <f>HYPERLINK("https://www.boe.es/gazeta/dias/1810/06/19/pdfs/GMD-C-1810-170.pdf#page=4","Abrir facsímil")</f>
        <v>Abrir facsímil</v>
      </c>
      <c r="K6882" s="3" t="s">
        <v>76</v>
      </c>
    </row>
    <row r="6883" spans="1:11" ht="42" customHeight="1">
      <c r="A6883" s="2" t="s">
        <v>17322</v>
      </c>
      <c r="B6883" s="2" t="s">
        <v>17323</v>
      </c>
      <c r="C6883" s="2" t="s">
        <v>26</v>
      </c>
      <c r="D6883" s="2" t="s">
        <v>27</v>
      </c>
      <c r="E6883" s="4">
        <v>-32688</v>
      </c>
      <c r="F6883" s="3" t="s">
        <v>997</v>
      </c>
      <c r="G6883" s="3" t="s">
        <v>749</v>
      </c>
      <c r="H6883" s="2" t="s">
        <v>74</v>
      </c>
      <c r="I6883" s="2" t="s">
        <v>17324</v>
      </c>
      <c r="J6883" s="3" t="str">
        <f>HYPERLINK("https://www.boe.es/gazeta/dias/1810/07/02/pdfs/GMD-1810-183.pdf#page=4","Abrir facsímil")</f>
        <v>Abrir facsímil</v>
      </c>
      <c r="K6883" s="3" t="s">
        <v>76</v>
      </c>
    </row>
    <row r="6884" spans="1:11" ht="42" customHeight="1">
      <c r="A6884" s="2" t="s">
        <v>17325</v>
      </c>
      <c r="B6884" s="2" t="s">
        <v>17325</v>
      </c>
      <c r="C6884" s="2" t="s">
        <v>26</v>
      </c>
      <c r="D6884" s="2" t="s">
        <v>27</v>
      </c>
      <c r="E6884" s="4">
        <v>-32589</v>
      </c>
      <c r="F6884" s="3" t="s">
        <v>3026</v>
      </c>
      <c r="G6884" s="3" t="s">
        <v>7253</v>
      </c>
      <c r="H6884" s="2" t="s">
        <v>74</v>
      </c>
      <c r="I6884" s="2" t="s">
        <v>17326</v>
      </c>
      <c r="J6884" s="3" t="str">
        <f>HYPERLINK("https://www.boe.es/gazeta/dias/1810/10/09/pdfs/GEI-1810-79.pdf#page=5","Abrir facsímil")</f>
        <v>Abrir facsímil</v>
      </c>
      <c r="K6884" s="3" t="s">
        <v>76</v>
      </c>
    </row>
    <row r="6885" spans="1:11" ht="42" customHeight="1">
      <c r="A6885" s="2" t="s">
        <v>17325</v>
      </c>
      <c r="B6885" s="2" t="s">
        <v>17325</v>
      </c>
      <c r="C6885" s="2" t="s">
        <v>88</v>
      </c>
      <c r="D6885" s="2" t="s">
        <v>117</v>
      </c>
      <c r="E6885" s="4">
        <v>-32508</v>
      </c>
      <c r="F6885" s="3" t="s">
        <v>864</v>
      </c>
      <c r="G6885" s="3" t="s">
        <v>17327</v>
      </c>
      <c r="H6885" s="2" t="s">
        <v>74</v>
      </c>
      <c r="I6885" s="2" t="s">
        <v>17328</v>
      </c>
      <c r="J6885" s="3" t="str">
        <f>HYPERLINK("https://www.boe.es/gazeta/dias/1810/12/29/pdfs/GEI-1810-114.pdf#page=3","Abrir facsímil")</f>
        <v>Abrir facsímil</v>
      </c>
      <c r="K6885" s="3" t="s">
        <v>76</v>
      </c>
    </row>
    <row r="6886" spans="1:11" ht="42" customHeight="1">
      <c r="A6886" s="2" t="s">
        <v>17329</v>
      </c>
      <c r="B6886" s="2" t="s">
        <v>17330</v>
      </c>
      <c r="C6886" s="2" t="s">
        <v>88</v>
      </c>
      <c r="D6886" s="2" t="s">
        <v>27</v>
      </c>
      <c r="E6886" s="4">
        <v>-32754</v>
      </c>
      <c r="F6886" s="3" t="s">
        <v>1057</v>
      </c>
      <c r="G6886" s="3" t="s">
        <v>1058</v>
      </c>
      <c r="H6886" s="2" t="s">
        <v>74</v>
      </c>
      <c r="I6886" s="2" t="s">
        <v>17331</v>
      </c>
      <c r="J6886" s="3" t="str">
        <f>HYPERLINK("https://www.boe.es/gazeta/dias/1810/04/27/pdfs/GEI-1810-18.pdf#page=12","Abrir facsímil")</f>
        <v>Abrir facsímil</v>
      </c>
      <c r="K6886" s="3" t="s">
        <v>76</v>
      </c>
    </row>
    <row r="6887" spans="1:11" ht="42" customHeight="1">
      <c r="A6887" s="2" t="s">
        <v>17332</v>
      </c>
      <c r="B6887" s="2" t="s">
        <v>17333</v>
      </c>
      <c r="C6887" s="2" t="s">
        <v>88</v>
      </c>
      <c r="D6887" s="2" t="s">
        <v>27</v>
      </c>
      <c r="E6887" s="4">
        <v>-32557</v>
      </c>
      <c r="F6887" s="3" t="s">
        <v>837</v>
      </c>
      <c r="G6887" s="3" t="s">
        <v>2073</v>
      </c>
      <c r="H6887" s="2" t="s">
        <v>74</v>
      </c>
      <c r="I6887" s="2" t="s">
        <v>17334</v>
      </c>
      <c r="J6887" s="3" t="str">
        <f>HYPERLINK("https://www.boe.es/gazeta/dias/1810/11/10/pdfs/GEI-1810-93.pdf#page=7","Abrir facsímil")</f>
        <v>Abrir facsímil</v>
      </c>
      <c r="K6887" s="3" t="s">
        <v>76</v>
      </c>
    </row>
    <row r="6888" spans="1:11" ht="42" customHeight="1">
      <c r="A6888" s="2" t="s">
        <v>17335</v>
      </c>
      <c r="B6888" s="2" t="s">
        <v>17336</v>
      </c>
      <c r="C6888" s="2" t="s">
        <v>26</v>
      </c>
      <c r="D6888" s="2" t="s">
        <v>27</v>
      </c>
      <c r="E6888" s="4">
        <v>-32508</v>
      </c>
      <c r="F6888" s="3" t="s">
        <v>864</v>
      </c>
      <c r="G6888" s="3" t="s">
        <v>691</v>
      </c>
      <c r="H6888" s="2" t="s">
        <v>74</v>
      </c>
      <c r="I6888" s="2" t="s">
        <v>17337</v>
      </c>
      <c r="J6888" s="3" t="str">
        <f>HYPERLINK("https://www.boe.es/gazeta/dias/1810/12/29/pdfs/GEI-1810-114.pdf#page=8","Abrir facsímil")</f>
        <v>Abrir facsímil</v>
      </c>
      <c r="K6888" s="3" t="s">
        <v>76</v>
      </c>
    </row>
    <row r="6889" spans="1:11" ht="42" customHeight="1">
      <c r="A6889" s="2" t="s">
        <v>17338</v>
      </c>
      <c r="B6889" s="2" t="s">
        <v>17338</v>
      </c>
      <c r="C6889" s="2" t="s">
        <v>88</v>
      </c>
      <c r="D6889" s="2" t="s">
        <v>117</v>
      </c>
      <c r="E6889" s="4">
        <v>-32723</v>
      </c>
      <c r="F6889" s="3" t="s">
        <v>464</v>
      </c>
      <c r="G6889" s="3" t="s">
        <v>469</v>
      </c>
      <c r="H6889" s="2" t="s">
        <v>74</v>
      </c>
      <c r="I6889" s="2" t="s">
        <v>17339</v>
      </c>
      <c r="J6889" s="3" t="str">
        <f>HYPERLINK("https://www.boe.es/gazeta/dias/1810/05/28/pdfs/GMD-1810-148.pdf#page=4","Abrir facsímil")</f>
        <v>Abrir facsímil</v>
      </c>
      <c r="K6889" s="3" t="s">
        <v>76</v>
      </c>
    </row>
    <row r="6890" spans="1:11" ht="42" customHeight="1">
      <c r="A6890" s="2" t="s">
        <v>17340</v>
      </c>
      <c r="B6890" s="2" t="s">
        <v>17341</v>
      </c>
      <c r="C6890" s="2" t="s">
        <v>88</v>
      </c>
      <c r="D6890" s="2" t="s">
        <v>117</v>
      </c>
      <c r="E6890" s="4">
        <v>-32827</v>
      </c>
      <c r="F6890" s="3" t="s">
        <v>290</v>
      </c>
      <c r="G6890" s="3" t="s">
        <v>291</v>
      </c>
      <c r="H6890" s="2" t="s">
        <v>74</v>
      </c>
      <c r="I6890" s="2" t="s">
        <v>17342</v>
      </c>
      <c r="J6890" s="3" t="str">
        <f>HYPERLINK("https://www.boe.es/gazeta/dias/1810/02/13/pdfs/GMD-1810-44.pdf#page=4","Abrir facsímil")</f>
        <v>Abrir facsímil</v>
      </c>
      <c r="K6890" s="3" t="s">
        <v>76</v>
      </c>
    </row>
    <row r="6891" spans="1:11" ht="42" customHeight="1">
      <c r="A6891" s="2" t="s">
        <v>17343</v>
      </c>
      <c r="B6891" s="2" t="s">
        <v>17344</v>
      </c>
      <c r="C6891" s="2" t="s">
        <v>88</v>
      </c>
      <c r="D6891" s="2" t="s">
        <v>117</v>
      </c>
      <c r="E6891" s="4">
        <v>-32761</v>
      </c>
      <c r="F6891" s="3" t="s">
        <v>811</v>
      </c>
      <c r="G6891" s="3" t="s">
        <v>6380</v>
      </c>
      <c r="H6891" s="2" t="s">
        <v>74</v>
      </c>
      <c r="I6891" s="2" t="s">
        <v>17345</v>
      </c>
      <c r="J6891" s="3" t="str">
        <f>HYPERLINK("https://www.boe.es/gazeta/dias/1810/04/20/pdfs/GEI-1810-16.pdf#page=3","Abrir facsímil")</f>
        <v>Abrir facsímil</v>
      </c>
      <c r="K6891" s="3" t="s">
        <v>76</v>
      </c>
    </row>
    <row r="6892" spans="1:11" ht="42" customHeight="1">
      <c r="A6892" s="2" t="s">
        <v>17346</v>
      </c>
      <c r="B6892" s="2" t="s">
        <v>17347</v>
      </c>
      <c r="C6892" s="2" t="s">
        <v>88</v>
      </c>
      <c r="D6892" s="2" t="s">
        <v>117</v>
      </c>
      <c r="E6892" s="4">
        <v>-32799</v>
      </c>
      <c r="F6892" s="3" t="s">
        <v>2252</v>
      </c>
      <c r="G6892" s="3" t="s">
        <v>90</v>
      </c>
      <c r="H6892" s="2" t="s">
        <v>74</v>
      </c>
      <c r="I6892" s="2" t="s">
        <v>17348</v>
      </c>
      <c r="J6892" s="3" t="str">
        <f>HYPERLINK("https://www.boe.es/gazeta/dias/1810/03/13/pdfs/GMD-1810-72.pdf#page=1","Abrir facsímil")</f>
        <v>Abrir facsímil</v>
      </c>
      <c r="K6892" s="3" t="s">
        <v>76</v>
      </c>
    </row>
    <row r="6893" spans="1:11" ht="42" customHeight="1">
      <c r="A6893" s="2" t="s">
        <v>17349</v>
      </c>
      <c r="B6893" s="2" t="s">
        <v>17350</v>
      </c>
      <c r="C6893" s="2" t="s">
        <v>26</v>
      </c>
      <c r="D6893" s="2" t="s">
        <v>58</v>
      </c>
      <c r="E6893" s="4">
        <v>-32601</v>
      </c>
      <c r="F6893" s="3" t="s">
        <v>392</v>
      </c>
      <c r="G6893" s="3" t="s">
        <v>35</v>
      </c>
      <c r="H6893" s="2" t="s">
        <v>74</v>
      </c>
      <c r="I6893" s="2" t="s">
        <v>17351</v>
      </c>
      <c r="J6893" s="3" t="str">
        <f>HYPERLINK("https://www.boe.es/gazeta/dias/1810/09/27/pdfs/GEI-1810-74E.pdf#page=2","Abrir facsímil")</f>
        <v>Abrir facsímil</v>
      </c>
      <c r="K6893" s="3" t="s">
        <v>76</v>
      </c>
    </row>
    <row r="6894" spans="1:11" ht="42" customHeight="1">
      <c r="A6894" s="2" t="s">
        <v>17352</v>
      </c>
      <c r="B6894" s="2" t="s">
        <v>17353</v>
      </c>
      <c r="C6894" s="2" t="s">
        <v>88</v>
      </c>
      <c r="D6894" s="2" t="s">
        <v>117</v>
      </c>
      <c r="E6894" s="4">
        <v>-32713</v>
      </c>
      <c r="F6894" s="3" t="s">
        <v>959</v>
      </c>
      <c r="G6894" s="3" t="s">
        <v>960</v>
      </c>
      <c r="H6894" s="2" t="s">
        <v>74</v>
      </c>
      <c r="I6894" s="2" t="s">
        <v>17354</v>
      </c>
      <c r="J6894" s="3" t="str">
        <f>HYPERLINK("https://www.boe.es/gazeta/dias/1810/06/07/pdfs/GMD-1810-158.pdf#page=4","Abrir facsímil")</f>
        <v>Abrir facsímil</v>
      </c>
      <c r="K6894" s="3" t="s">
        <v>76</v>
      </c>
    </row>
    <row r="6895" spans="1:11" ht="42" customHeight="1">
      <c r="A6895" s="2" t="s">
        <v>17355</v>
      </c>
      <c r="B6895" s="2" t="s">
        <v>17356</v>
      </c>
      <c r="C6895" s="2" t="s">
        <v>26</v>
      </c>
      <c r="D6895" s="2" t="s">
        <v>27</v>
      </c>
      <c r="E6895" s="4">
        <v>-32528</v>
      </c>
      <c r="F6895" s="3" t="s">
        <v>3058</v>
      </c>
      <c r="G6895" s="3" t="s">
        <v>359</v>
      </c>
      <c r="H6895" s="2" t="s">
        <v>74</v>
      </c>
      <c r="I6895" s="2" t="s">
        <v>17357</v>
      </c>
      <c r="J6895" s="3" t="str">
        <f>HYPERLINK("https://www.boe.es/gazeta/dias/1810/12/09/pdfs/GMD-1810-343.pdf#page=3","Abrir facsímil")</f>
        <v>Abrir facsímil</v>
      </c>
      <c r="K6895" s="3" t="s">
        <v>76</v>
      </c>
    </row>
    <row r="6896" spans="1:11" ht="42" customHeight="1">
      <c r="A6896" s="2" t="s">
        <v>17358</v>
      </c>
      <c r="B6896" s="2" t="s">
        <v>17359</v>
      </c>
      <c r="C6896" s="2" t="s">
        <v>26</v>
      </c>
      <c r="D6896" s="2" t="s">
        <v>27</v>
      </c>
      <c r="E6896" s="4">
        <v>-32544</v>
      </c>
      <c r="F6896" s="3" t="s">
        <v>1239</v>
      </c>
      <c r="G6896" s="3" t="s">
        <v>99</v>
      </c>
      <c r="H6896" s="2" t="s">
        <v>74</v>
      </c>
      <c r="I6896" s="2" t="s">
        <v>17360</v>
      </c>
      <c r="J6896" s="3" t="str">
        <f>HYPERLINK("https://www.boe.es/gazeta/dias/1810/11/23/pdfs/GMD-1810-327.pdf#page=3","Abrir facsímil")</f>
        <v>Abrir facsímil</v>
      </c>
      <c r="K6896" s="3" t="s">
        <v>76</v>
      </c>
    </row>
    <row r="6897" spans="1:11" ht="42" customHeight="1">
      <c r="A6897" s="2" t="s">
        <v>17361</v>
      </c>
      <c r="B6897" s="2" t="s">
        <v>17362</v>
      </c>
      <c r="C6897" s="2" t="s">
        <v>26</v>
      </c>
      <c r="D6897" s="2" t="s">
        <v>58</v>
      </c>
      <c r="E6897" s="4">
        <v>-32651</v>
      </c>
      <c r="F6897" s="3" t="s">
        <v>59</v>
      </c>
      <c r="G6897" s="3" t="s">
        <v>9141</v>
      </c>
      <c r="H6897" s="2" t="s">
        <v>74</v>
      </c>
      <c r="I6897" s="2" t="s">
        <v>17363</v>
      </c>
      <c r="J6897" s="3" t="str">
        <f>HYPERLINK("https://www.boe.es/gazeta/dias/1810/08/08/pdfs/GEI-1810-53E.pdf#page=12","Abrir facsímil")</f>
        <v>Abrir facsímil</v>
      </c>
      <c r="K6897" s="3" t="s">
        <v>76</v>
      </c>
    </row>
    <row r="6898" spans="1:11" ht="42" customHeight="1">
      <c r="A6898" s="2" t="s">
        <v>17364</v>
      </c>
      <c r="B6898" s="2" t="s">
        <v>17365</v>
      </c>
      <c r="C6898" s="2" t="s">
        <v>88</v>
      </c>
      <c r="D6898" s="2" t="s">
        <v>117</v>
      </c>
      <c r="E6898" s="4">
        <v>-32529</v>
      </c>
      <c r="F6898" s="3" t="s">
        <v>3700</v>
      </c>
      <c r="G6898" s="3" t="s">
        <v>29</v>
      </c>
      <c r="H6898" s="2" t="s">
        <v>74</v>
      </c>
      <c r="I6898" s="2" t="s">
        <v>17366</v>
      </c>
      <c r="J6898" s="3" t="str">
        <f>HYPERLINK("https://www.boe.es/gazeta/dias/1810/12/08/pdfs/GMD-1810-342.pdf#page=2","Abrir facsímil")</f>
        <v>Abrir facsímil</v>
      </c>
      <c r="K6898" s="3" t="s">
        <v>76</v>
      </c>
    </row>
    <row r="6899" spans="1:11" ht="42" customHeight="1">
      <c r="A6899" s="2" t="s">
        <v>17367</v>
      </c>
      <c r="B6899" s="2" t="s">
        <v>17368</v>
      </c>
      <c r="C6899" s="2" t="s">
        <v>225</v>
      </c>
      <c r="D6899" s="2" t="s">
        <v>18</v>
      </c>
      <c r="E6899" s="4">
        <v>-32550</v>
      </c>
      <c r="F6899" s="3" t="s">
        <v>1472</v>
      </c>
      <c r="G6899" s="3" t="s">
        <v>3210</v>
      </c>
      <c r="H6899" s="2" t="s">
        <v>74</v>
      </c>
      <c r="I6899" s="2" t="s">
        <v>17369</v>
      </c>
      <c r="J6899" s="3" t="str">
        <f>HYPERLINK("https://www.boe.es/gazeta/dias/1810/11/17/pdfs/GEI-1810-96.pdf#page=7","Abrir facsímil")</f>
        <v>Abrir facsímil</v>
      </c>
      <c r="K6899" s="3" t="s">
        <v>76</v>
      </c>
    </row>
    <row r="6900" spans="1:11" ht="42" customHeight="1">
      <c r="A6900" s="2" t="s">
        <v>17370</v>
      </c>
      <c r="B6900" s="2" t="s">
        <v>17371</v>
      </c>
      <c r="C6900" s="2" t="s">
        <v>88</v>
      </c>
      <c r="D6900" s="2" t="s">
        <v>27</v>
      </c>
      <c r="E6900" s="4">
        <v>-32663</v>
      </c>
      <c r="F6900" s="3" t="s">
        <v>1945</v>
      </c>
      <c r="G6900" s="3" t="s">
        <v>15274</v>
      </c>
      <c r="H6900" s="2" t="s">
        <v>74</v>
      </c>
      <c r="I6900" s="2" t="s">
        <v>17372</v>
      </c>
      <c r="J6900" s="3" t="str">
        <f>HYPERLINK("https://www.boe.es/gazeta/dias/1810/07/27/pdfs/GEI-1810-48.pdf#page=6","Abrir facsímil")</f>
        <v>Abrir facsímil</v>
      </c>
      <c r="K6900" s="3" t="s">
        <v>76</v>
      </c>
    </row>
    <row r="6901" spans="1:11" ht="42" customHeight="1">
      <c r="A6901" s="2" t="s">
        <v>17373</v>
      </c>
      <c r="B6901" s="2" t="s">
        <v>17373</v>
      </c>
      <c r="C6901" s="2" t="s">
        <v>88</v>
      </c>
      <c r="D6901" s="2" t="s">
        <v>58</v>
      </c>
      <c r="E6901" s="4">
        <v>-32742</v>
      </c>
      <c r="F6901" s="3" t="s">
        <v>17374</v>
      </c>
      <c r="G6901" s="3" t="s">
        <v>2077</v>
      </c>
      <c r="H6901" s="2" t="s">
        <v>74</v>
      </c>
      <c r="I6901" s="2" t="s">
        <v>17375</v>
      </c>
      <c r="J6901" s="3" t="str">
        <f>HYPERLINK("https://www.boe.es/gazeta/dias/1810/05/09/pdfs/GEI-1810-23E.pdf#page=10","Abrir facsímil")</f>
        <v>Abrir facsímil</v>
      </c>
      <c r="K6901" s="3" t="s">
        <v>76</v>
      </c>
    </row>
    <row r="6902" spans="1:11" ht="42" customHeight="1">
      <c r="A6902" s="2" t="s">
        <v>17376</v>
      </c>
      <c r="B6902" s="2" t="s">
        <v>17377</v>
      </c>
      <c r="C6902" s="2" t="s">
        <v>26</v>
      </c>
      <c r="D6902" s="2" t="s">
        <v>27</v>
      </c>
      <c r="E6902" s="4">
        <v>-32533</v>
      </c>
      <c r="F6902" s="3" t="s">
        <v>1357</v>
      </c>
      <c r="G6902" s="3" t="s">
        <v>1894</v>
      </c>
      <c r="H6902" s="2" t="s">
        <v>74</v>
      </c>
      <c r="I6902" s="2" t="s">
        <v>17378</v>
      </c>
      <c r="J6902" s="3" t="str">
        <f>HYPERLINK("https://www.boe.es/gazeta/dias/1810/12/04/pdfs/GEI-1810-103.pdf#page=7","Abrir facsímil")</f>
        <v>Abrir facsímil</v>
      </c>
      <c r="K6902" s="3" t="s">
        <v>76</v>
      </c>
    </row>
    <row r="6903" spans="1:11" ht="42" customHeight="1">
      <c r="A6903" s="2" t="s">
        <v>17379</v>
      </c>
      <c r="B6903" s="2" t="s">
        <v>17379</v>
      </c>
      <c r="C6903" s="2" t="s">
        <v>225</v>
      </c>
      <c r="D6903" s="2" t="s">
        <v>27</v>
      </c>
      <c r="E6903" s="4">
        <v>-32556</v>
      </c>
      <c r="F6903" s="3" t="s">
        <v>799</v>
      </c>
      <c r="G6903" s="3" t="s">
        <v>9173</v>
      </c>
      <c r="H6903" s="2" t="s">
        <v>74</v>
      </c>
      <c r="I6903" s="2" t="s">
        <v>17380</v>
      </c>
      <c r="J6903" s="3" t="str">
        <f>HYPERLINK("https://www.boe.es/gazeta/dias/1810/11/11/pdfs/GMD-1810-315.pdf#page=1","Abrir facsímil")</f>
        <v>Abrir facsímil</v>
      </c>
      <c r="K6903" s="3" t="s">
        <v>76</v>
      </c>
    </row>
    <row r="6904" spans="1:11" ht="42" customHeight="1">
      <c r="A6904" s="2" t="s">
        <v>17381</v>
      </c>
      <c r="B6904" s="2" t="s">
        <v>17382</v>
      </c>
      <c r="C6904" s="2" t="s">
        <v>88</v>
      </c>
      <c r="D6904" s="2" t="s">
        <v>27</v>
      </c>
      <c r="E6904" s="4">
        <v>-32571</v>
      </c>
      <c r="F6904" s="3" t="s">
        <v>737</v>
      </c>
      <c r="G6904" s="3" t="s">
        <v>4154</v>
      </c>
      <c r="H6904" s="2" t="s">
        <v>74</v>
      </c>
      <c r="I6904" s="2" t="s">
        <v>17383</v>
      </c>
      <c r="J6904" s="3" t="str">
        <f>HYPERLINK("https://www.boe.es/gazeta/dias/1810/10/27/pdfs/GEI-1810-87.pdf#page=7","Abrir facsímil")</f>
        <v>Abrir facsímil</v>
      </c>
      <c r="K6904" s="3" t="s">
        <v>76</v>
      </c>
    </row>
    <row r="6905" spans="1:11" ht="42" customHeight="1">
      <c r="A6905" s="2" t="s">
        <v>17384</v>
      </c>
      <c r="B6905" s="2" t="s">
        <v>17385</v>
      </c>
      <c r="C6905" s="2" t="s">
        <v>88</v>
      </c>
      <c r="D6905" s="2" t="s">
        <v>27</v>
      </c>
      <c r="E6905" s="4">
        <v>-32710</v>
      </c>
      <c r="F6905" s="3" t="s">
        <v>126</v>
      </c>
      <c r="G6905" s="3" t="s">
        <v>184</v>
      </c>
      <c r="H6905" s="2" t="s">
        <v>74</v>
      </c>
      <c r="I6905" s="2" t="s">
        <v>17386</v>
      </c>
      <c r="J6905" s="3" t="str">
        <f>HYPERLINK("https://www.boe.es/gazeta/dias/1810/06/10/pdfs/GMD-1810-161.pdf#page=3","Abrir facsímil")</f>
        <v>Abrir facsímil</v>
      </c>
      <c r="K6905" s="3" t="s">
        <v>76</v>
      </c>
    </row>
    <row r="6906" spans="1:11" ht="42" customHeight="1">
      <c r="A6906" s="2" t="s">
        <v>17387</v>
      </c>
      <c r="B6906" s="2" t="s">
        <v>17387</v>
      </c>
      <c r="C6906" s="2" t="s">
        <v>33</v>
      </c>
      <c r="D6906" s="2" t="s">
        <v>220</v>
      </c>
      <c r="E6906" s="4">
        <v>-32865</v>
      </c>
      <c r="F6906" s="3" t="s">
        <v>4391</v>
      </c>
      <c r="G6906" s="3" t="s">
        <v>29</v>
      </c>
      <c r="H6906" s="2" t="s">
        <v>74</v>
      </c>
      <c r="I6906" s="2" t="s">
        <v>17388</v>
      </c>
      <c r="J6906" s="3" t="str">
        <f>HYPERLINK("https://www.boe.es/gazeta/dias/1810/01/06/pdfs/GGB-1810-3.pdf#page=1","Abrir facsímil")</f>
        <v>Abrir facsímil</v>
      </c>
      <c r="K6906" s="3" t="s">
        <v>76</v>
      </c>
    </row>
    <row r="6907" spans="1:11" ht="42" customHeight="1">
      <c r="A6907" s="2" t="s">
        <v>17387</v>
      </c>
      <c r="B6907" s="2" t="s">
        <v>17387</v>
      </c>
      <c r="C6907" s="2" t="s">
        <v>33</v>
      </c>
      <c r="D6907" s="2" t="s">
        <v>27</v>
      </c>
      <c r="E6907" s="4">
        <v>-32865</v>
      </c>
      <c r="F6907" s="3" t="s">
        <v>4391</v>
      </c>
      <c r="G6907" s="3" t="s">
        <v>35</v>
      </c>
      <c r="H6907" s="2" t="s">
        <v>74</v>
      </c>
      <c r="I6907" s="2" t="s">
        <v>17389</v>
      </c>
      <c r="J6907" s="3" t="str">
        <f>HYPERLINK("https://www.boe.es/gazeta/dias/1810/01/06/pdfs/GGB-1810-3.pdf#page=2","Abrir facsímil")</f>
        <v>Abrir facsímil</v>
      </c>
      <c r="K6907" s="3" t="s">
        <v>76</v>
      </c>
    </row>
    <row r="6908" spans="1:11" ht="42" customHeight="1">
      <c r="A6908" s="2" t="s">
        <v>17387</v>
      </c>
      <c r="B6908" s="2" t="s">
        <v>17387</v>
      </c>
      <c r="C6908" s="2" t="s">
        <v>26</v>
      </c>
      <c r="D6908" s="2" t="s">
        <v>220</v>
      </c>
      <c r="E6908" s="4">
        <v>-32823</v>
      </c>
      <c r="F6908" s="3" t="s">
        <v>4250</v>
      </c>
      <c r="G6908" s="3" t="s">
        <v>732</v>
      </c>
      <c r="H6908" s="2" t="s">
        <v>74</v>
      </c>
      <c r="I6908" s="2" t="s">
        <v>17390</v>
      </c>
      <c r="J6908" s="3" t="str">
        <f>HYPERLINK("https://www.boe.es/gazeta/dias/1810/02/17/pdfs/GMD-1810-48.pdf#page=3","Abrir facsímil")</f>
        <v>Abrir facsímil</v>
      </c>
      <c r="K6908" s="3" t="s">
        <v>76</v>
      </c>
    </row>
    <row r="6909" spans="1:11" ht="42" customHeight="1">
      <c r="A6909" s="2" t="s">
        <v>17387</v>
      </c>
      <c r="B6909" s="2" t="s">
        <v>17387</v>
      </c>
      <c r="C6909" s="2" t="s">
        <v>317</v>
      </c>
      <c r="D6909" s="2" t="s">
        <v>220</v>
      </c>
      <c r="E6909" s="4">
        <v>-32757</v>
      </c>
      <c r="F6909" s="3" t="s">
        <v>1136</v>
      </c>
      <c r="G6909" s="3" t="s">
        <v>8762</v>
      </c>
      <c r="H6909" s="2" t="s">
        <v>74</v>
      </c>
      <c r="I6909" s="2" t="s">
        <v>17391</v>
      </c>
      <c r="J6909" s="3" t="str">
        <f>HYPERLINK("https://www.boe.es/gazeta/dias/1810/04/24/pdfs/GEI-1810-17.pdf#page=4","Abrir facsímil")</f>
        <v>Abrir facsímil</v>
      </c>
      <c r="K6909" s="3" t="s">
        <v>76</v>
      </c>
    </row>
    <row r="6910" spans="1:11" ht="42" customHeight="1">
      <c r="A6910" s="2" t="s">
        <v>17387</v>
      </c>
      <c r="B6910" s="2" t="s">
        <v>17387</v>
      </c>
      <c r="C6910" s="2" t="s">
        <v>33</v>
      </c>
      <c r="D6910" s="2" t="s">
        <v>27</v>
      </c>
      <c r="E6910" s="4">
        <v>-32687</v>
      </c>
      <c r="F6910" s="3" t="s">
        <v>221</v>
      </c>
      <c r="G6910" s="3" t="s">
        <v>20</v>
      </c>
      <c r="H6910" s="2" t="s">
        <v>74</v>
      </c>
      <c r="I6910" s="2" t="s">
        <v>17392</v>
      </c>
      <c r="J6910" s="3" t="str">
        <f>HYPERLINK("https://www.boe.es/gazeta/dias/1810/07/03/pdfs/GMD-1810-184.pdf#page=4","Abrir facsímil")</f>
        <v>Abrir facsímil</v>
      </c>
      <c r="K6910" s="3" t="s">
        <v>76</v>
      </c>
    </row>
    <row r="6911" spans="1:11" ht="42" customHeight="1">
      <c r="A6911" s="2" t="s">
        <v>17393</v>
      </c>
      <c r="B6911" s="2" t="s">
        <v>17393</v>
      </c>
      <c r="C6911" s="2" t="s">
        <v>88</v>
      </c>
      <c r="D6911" s="2" t="s">
        <v>27</v>
      </c>
      <c r="E6911" s="4">
        <v>-32557</v>
      </c>
      <c r="F6911" s="3" t="s">
        <v>8182</v>
      </c>
      <c r="G6911" s="3" t="s">
        <v>180</v>
      </c>
      <c r="H6911" s="2" t="s">
        <v>74</v>
      </c>
      <c r="I6911" s="2" t="s">
        <v>17394</v>
      </c>
      <c r="J6911" s="3" t="str">
        <f>HYPERLINK("https://www.boe.es/gazeta/dias/1810/11/10/pdfs/GMD-1810-314.pdf#page=3","Abrir facsímil")</f>
        <v>Abrir facsímil</v>
      </c>
      <c r="K6911" s="3" t="s">
        <v>76</v>
      </c>
    </row>
    <row r="6912" spans="1:11" ht="42" customHeight="1">
      <c r="A6912" s="2" t="s">
        <v>17395</v>
      </c>
      <c r="B6912" s="2" t="s">
        <v>17396</v>
      </c>
      <c r="C6912" s="2" t="s">
        <v>88</v>
      </c>
      <c r="D6912" s="2" t="s">
        <v>27</v>
      </c>
      <c r="E6912" s="4">
        <v>-32698</v>
      </c>
      <c r="F6912" s="3" t="s">
        <v>2705</v>
      </c>
      <c r="G6912" s="3" t="s">
        <v>4518</v>
      </c>
      <c r="H6912" s="2" t="s">
        <v>74</v>
      </c>
      <c r="I6912" s="2" t="s">
        <v>17397</v>
      </c>
      <c r="J6912" s="3" t="str">
        <f>HYPERLINK("https://www.boe.es/gazeta/dias/1810/06/22/pdfs/GEI-1810-38.pdf#page=6","Abrir facsímil")</f>
        <v>Abrir facsímil</v>
      </c>
      <c r="K6912" s="3" t="s">
        <v>76</v>
      </c>
    </row>
    <row r="6913" spans="1:11" ht="42" customHeight="1">
      <c r="A6913" s="2" t="s">
        <v>17398</v>
      </c>
      <c r="B6913" s="2" t="s">
        <v>17399</v>
      </c>
      <c r="C6913" s="2" t="s">
        <v>88</v>
      </c>
      <c r="D6913" s="2" t="s">
        <v>27</v>
      </c>
      <c r="E6913" s="4">
        <v>-32543</v>
      </c>
      <c r="F6913" s="3" t="s">
        <v>69</v>
      </c>
      <c r="G6913" s="3" t="s">
        <v>65</v>
      </c>
      <c r="H6913" s="2" t="s">
        <v>74</v>
      </c>
      <c r="I6913" s="2" t="s">
        <v>17400</v>
      </c>
      <c r="J6913" s="3" t="str">
        <f>HYPERLINK("https://www.boe.es/gazeta/dias/1810/11/24/pdfs/GEI-1810-99.pdf#page=3","Abrir facsímil")</f>
        <v>Abrir facsímil</v>
      </c>
      <c r="K6913" s="3" t="s">
        <v>76</v>
      </c>
    </row>
    <row r="6914" spans="1:11" ht="42" customHeight="1">
      <c r="A6914" s="2" t="s">
        <v>17401</v>
      </c>
      <c r="B6914" s="2" t="s">
        <v>17402</v>
      </c>
      <c r="C6914" s="2" t="s">
        <v>26</v>
      </c>
      <c r="D6914" s="2" t="s">
        <v>220</v>
      </c>
      <c r="E6914" s="4">
        <v>-32540</v>
      </c>
      <c r="F6914" s="3" t="s">
        <v>3590</v>
      </c>
      <c r="G6914" s="3" t="s">
        <v>17403</v>
      </c>
      <c r="H6914" s="2" t="s">
        <v>74</v>
      </c>
      <c r="I6914" s="2" t="s">
        <v>17404</v>
      </c>
      <c r="J6914" s="3" t="str">
        <f>HYPERLINK("https://www.boe.es/gazeta/dias/1810/11/27/pdfs/GEI-1810-100.pdf#page=5","Abrir facsímil")</f>
        <v>Abrir facsímil</v>
      </c>
      <c r="K6914" s="3" t="s">
        <v>76</v>
      </c>
    </row>
    <row r="6915" spans="1:11" ht="42" customHeight="1">
      <c r="A6915" s="2" t="s">
        <v>17405</v>
      </c>
      <c r="B6915" s="2" t="s">
        <v>17405</v>
      </c>
      <c r="C6915" s="2" t="s">
        <v>33</v>
      </c>
      <c r="D6915" s="2" t="s">
        <v>27</v>
      </c>
      <c r="E6915" s="4">
        <v>-32858</v>
      </c>
      <c r="F6915" s="3" t="s">
        <v>4182</v>
      </c>
      <c r="G6915" s="3" t="s">
        <v>252</v>
      </c>
      <c r="H6915" s="2" t="s">
        <v>74</v>
      </c>
      <c r="I6915" s="2" t="s">
        <v>17406</v>
      </c>
      <c r="J6915" s="3" t="str">
        <f>HYPERLINK("https://www.boe.es/gazeta/dias/1810/01/13/pdfs/GGB-1810-6.pdf#page=6","Abrir facsímil")</f>
        <v>Abrir facsímil</v>
      </c>
      <c r="K6915" s="3" t="s">
        <v>76</v>
      </c>
    </row>
    <row r="6916" spans="1:11" ht="42" customHeight="1">
      <c r="A6916" s="2" t="s">
        <v>17407</v>
      </c>
      <c r="B6916" s="2" t="s">
        <v>17408</v>
      </c>
      <c r="C6916" s="2" t="s">
        <v>26</v>
      </c>
      <c r="D6916" s="2" t="s">
        <v>27</v>
      </c>
      <c r="E6916" s="4">
        <v>-32705</v>
      </c>
      <c r="F6916" s="3" t="s">
        <v>1158</v>
      </c>
      <c r="G6916" s="3" t="s">
        <v>1711</v>
      </c>
      <c r="H6916" s="2" t="s">
        <v>74</v>
      </c>
      <c r="I6916" s="2" t="s">
        <v>17409</v>
      </c>
      <c r="J6916" s="3" t="str">
        <f>HYPERLINK("https://www.boe.es/gazeta/dias/1810/06/15/pdfs/GMD-1810-166.pdf#page=4","Abrir facsímil")</f>
        <v>Abrir facsímil</v>
      </c>
      <c r="K6916" s="3" t="s">
        <v>76</v>
      </c>
    </row>
    <row r="6917" spans="1:11" ht="42" customHeight="1">
      <c r="A6917" s="2" t="s">
        <v>17410</v>
      </c>
      <c r="B6917" s="2" t="s">
        <v>17411</v>
      </c>
      <c r="C6917" s="2" t="s">
        <v>26</v>
      </c>
      <c r="D6917" s="2" t="s">
        <v>27</v>
      </c>
      <c r="E6917" s="4">
        <v>-32783</v>
      </c>
      <c r="F6917" s="3" t="s">
        <v>896</v>
      </c>
      <c r="G6917" s="3" t="s">
        <v>1667</v>
      </c>
      <c r="H6917" s="2" t="s">
        <v>74</v>
      </c>
      <c r="I6917" s="2" t="s">
        <v>17412</v>
      </c>
      <c r="J6917" s="3" t="str">
        <f>HYPERLINK("https://www.boe.es/gazeta/dias/1810/03/29/pdfs/GMD-1810-88.pdf#page=2","Abrir facsímil")</f>
        <v>Abrir facsímil</v>
      </c>
      <c r="K6917" s="3" t="s">
        <v>76</v>
      </c>
    </row>
    <row r="6918" spans="1:11" ht="42" customHeight="1">
      <c r="A6918" s="2" t="s">
        <v>17413</v>
      </c>
      <c r="B6918" s="2" t="s">
        <v>17413</v>
      </c>
      <c r="C6918" s="2" t="s">
        <v>88</v>
      </c>
      <c r="D6918" s="2" t="s">
        <v>27</v>
      </c>
      <c r="E6918" s="4">
        <v>-32844</v>
      </c>
      <c r="F6918" s="3" t="s">
        <v>4730</v>
      </c>
      <c r="G6918" s="3" t="s">
        <v>35</v>
      </c>
      <c r="H6918" s="2" t="s">
        <v>74</v>
      </c>
      <c r="I6918" s="2" t="s">
        <v>17414</v>
      </c>
      <c r="J6918" s="3" t="str">
        <f>HYPERLINK("https://www.boe.es/gazeta/dias/1810/01/27/pdfs/GMD-1810-27.pdf#page=2","Abrir facsímil")</f>
        <v>Abrir facsímil</v>
      </c>
      <c r="K6918" s="3" t="s">
        <v>76</v>
      </c>
    </row>
    <row r="6919" spans="1:11" ht="42" customHeight="1">
      <c r="A6919" s="2" t="s">
        <v>17415</v>
      </c>
      <c r="B6919" s="2" t="s">
        <v>17415</v>
      </c>
      <c r="C6919" s="2" t="s">
        <v>26</v>
      </c>
      <c r="D6919" s="2" t="s">
        <v>27</v>
      </c>
      <c r="E6919" s="4">
        <v>-32715</v>
      </c>
      <c r="F6919" s="3" t="s">
        <v>11559</v>
      </c>
      <c r="G6919" s="3" t="s">
        <v>227</v>
      </c>
      <c r="H6919" s="2" t="s">
        <v>74</v>
      </c>
      <c r="I6919" s="2" t="s">
        <v>17416</v>
      </c>
      <c r="J6919" s="3" t="str">
        <f>HYPERLINK("https://www.boe.es/gazeta/dias/1810/06/05/pdfs/GMD-1810-156.pdf#page=4","Abrir facsímil")</f>
        <v>Abrir facsímil</v>
      </c>
      <c r="K6919" s="3" t="s">
        <v>76</v>
      </c>
    </row>
    <row r="6920" spans="1:11" ht="42" customHeight="1">
      <c r="A6920" s="2" t="s">
        <v>17415</v>
      </c>
      <c r="B6920" s="2" t="s">
        <v>17415</v>
      </c>
      <c r="C6920" s="2" t="s">
        <v>26</v>
      </c>
      <c r="D6920" s="2" t="s">
        <v>27</v>
      </c>
      <c r="E6920" s="4">
        <v>-32705</v>
      </c>
      <c r="F6920" s="3" t="s">
        <v>1158</v>
      </c>
      <c r="G6920" s="3" t="s">
        <v>1711</v>
      </c>
      <c r="H6920" s="2" t="s">
        <v>74</v>
      </c>
      <c r="I6920" s="2" t="s">
        <v>17417</v>
      </c>
      <c r="J6920" s="3" t="str">
        <f>HYPERLINK("https://www.boe.es/gazeta/dias/1810/06/15/pdfs/GMD-1810-166.pdf#page=4","Abrir facsímil")</f>
        <v>Abrir facsímil</v>
      </c>
      <c r="K6920" s="3" t="s">
        <v>76</v>
      </c>
    </row>
    <row r="6921" spans="1:11" ht="42" customHeight="1">
      <c r="A6921" s="2" t="s">
        <v>17415</v>
      </c>
      <c r="B6921" s="2" t="s">
        <v>17415</v>
      </c>
      <c r="C6921" s="2" t="s">
        <v>26</v>
      </c>
      <c r="D6921" s="2" t="s">
        <v>27</v>
      </c>
      <c r="E6921" s="4">
        <v>-32701</v>
      </c>
      <c r="F6921" s="3" t="s">
        <v>1019</v>
      </c>
      <c r="G6921" s="3" t="s">
        <v>465</v>
      </c>
      <c r="H6921" s="2" t="s">
        <v>74</v>
      </c>
      <c r="I6921" s="2" t="s">
        <v>17418</v>
      </c>
      <c r="J6921" s="3" t="str">
        <f>HYPERLINK("https://www.boe.es/gazeta/dias/1810/06/19/pdfs/GMD-1810-170.pdf#page=3","Abrir facsímil")</f>
        <v>Abrir facsímil</v>
      </c>
      <c r="K6921" s="3" t="s">
        <v>76</v>
      </c>
    </row>
    <row r="6922" spans="1:11" ht="42" customHeight="1">
      <c r="A6922" s="2" t="s">
        <v>17415</v>
      </c>
      <c r="B6922" s="2" t="s">
        <v>17415</v>
      </c>
      <c r="C6922" s="2" t="s">
        <v>26</v>
      </c>
      <c r="D6922" s="2" t="s">
        <v>27</v>
      </c>
      <c r="E6922" s="4">
        <v>-32700</v>
      </c>
      <c r="F6922" s="3" t="s">
        <v>89</v>
      </c>
      <c r="G6922" s="3" t="s">
        <v>29</v>
      </c>
      <c r="H6922" s="2" t="s">
        <v>74</v>
      </c>
      <c r="I6922" s="2" t="s">
        <v>17419</v>
      </c>
      <c r="J6922" s="3" t="str">
        <f>HYPERLINK("https://www.boe.es/gazeta/dias/1810/06/20/pdfs/GMD-1810-171.pdf#page=3","Abrir facsímil")</f>
        <v>Abrir facsímil</v>
      </c>
      <c r="K6922" s="3" t="s">
        <v>76</v>
      </c>
    </row>
    <row r="6923" spans="1:11" ht="42" customHeight="1">
      <c r="A6923" s="2" t="s">
        <v>17420</v>
      </c>
      <c r="B6923" s="2" t="s">
        <v>17421</v>
      </c>
      <c r="C6923" s="2" t="s">
        <v>26</v>
      </c>
      <c r="D6923" s="2" t="s">
        <v>220</v>
      </c>
      <c r="E6923" s="4">
        <v>-32593</v>
      </c>
      <c r="F6923" s="3" t="s">
        <v>12153</v>
      </c>
      <c r="G6923" s="3" t="s">
        <v>2577</v>
      </c>
      <c r="H6923" s="2" t="s">
        <v>21</v>
      </c>
      <c r="I6923" s="2" t="s">
        <v>17422</v>
      </c>
      <c r="J6923" s="3" t="str">
        <f>HYPERLINK("https://www.boe.es/gazeta/dias/1810/10/05/pdfs/GMD-1810-278.pdf#page=1","Abrir facsímil")</f>
        <v>Abrir facsímil</v>
      </c>
      <c r="K6923" s="3" t="s">
        <v>23</v>
      </c>
    </row>
    <row r="6924" spans="1:11" ht="42" customHeight="1">
      <c r="A6924" s="2" t="s">
        <v>17423</v>
      </c>
      <c r="B6924" s="2" t="s">
        <v>17424</v>
      </c>
      <c r="C6924" s="2" t="s">
        <v>225</v>
      </c>
      <c r="D6924" s="2" t="s">
        <v>117</v>
      </c>
      <c r="E6924" s="4">
        <v>-32729</v>
      </c>
      <c r="F6924" s="3" t="s">
        <v>174</v>
      </c>
      <c r="G6924" s="3" t="s">
        <v>2671</v>
      </c>
      <c r="H6924" s="2" t="s">
        <v>74</v>
      </c>
      <c r="I6924" s="2" t="s">
        <v>17425</v>
      </c>
      <c r="J6924" s="3" t="str">
        <f>HYPERLINK("https://www.boe.es/gazeta/dias/1810/05/22/pdfs/GEI-1810-28.pdf#page=6","Abrir facsímil")</f>
        <v>Abrir facsímil</v>
      </c>
      <c r="K6924" s="3" t="s">
        <v>76</v>
      </c>
    </row>
    <row r="6925" spans="1:11" ht="42" customHeight="1">
      <c r="A6925" s="2" t="s">
        <v>17426</v>
      </c>
      <c r="B6925" s="2" t="s">
        <v>17427</v>
      </c>
      <c r="C6925" s="2" t="s">
        <v>26</v>
      </c>
      <c r="D6925" s="2" t="s">
        <v>27</v>
      </c>
      <c r="E6925" s="4">
        <v>-32818</v>
      </c>
      <c r="F6925" s="3" t="s">
        <v>936</v>
      </c>
      <c r="G6925" s="3" t="s">
        <v>6380</v>
      </c>
      <c r="H6925" s="2" t="s">
        <v>74</v>
      </c>
      <c r="I6925" s="2" t="s">
        <v>17428</v>
      </c>
      <c r="J6925" s="3" t="str">
        <f>HYPERLINK("https://www.boe.es/gazeta/dias/1810/02/22/pdfs/GMD-1810-53.pdf#page=4","Abrir facsímil")</f>
        <v>Abrir facsímil</v>
      </c>
      <c r="K6925" s="3" t="s">
        <v>76</v>
      </c>
    </row>
    <row r="6926" spans="1:11" ht="42" customHeight="1">
      <c r="A6926" s="2" t="s">
        <v>17429</v>
      </c>
      <c r="B6926" s="2" t="s">
        <v>17430</v>
      </c>
      <c r="C6926" s="2" t="s">
        <v>225</v>
      </c>
      <c r="D6926" s="2" t="s">
        <v>220</v>
      </c>
      <c r="E6926" s="4">
        <v>-32762</v>
      </c>
      <c r="F6926" s="3" t="s">
        <v>231</v>
      </c>
      <c r="G6926" s="3" t="s">
        <v>29</v>
      </c>
      <c r="H6926" s="2" t="s">
        <v>74</v>
      </c>
      <c r="I6926" s="2" t="s">
        <v>17431</v>
      </c>
      <c r="J6926" s="3" t="str">
        <f>HYPERLINK("https://www.boe.es/gazeta/dias/1810/04/19/pdfs/GMD-1810-109.pdf#page=2","Abrir facsímil")</f>
        <v>Abrir facsímil</v>
      </c>
      <c r="K6926" s="3" t="s">
        <v>76</v>
      </c>
    </row>
    <row r="6927" spans="1:11" ht="42" customHeight="1">
      <c r="A6927" s="2" t="s">
        <v>17432</v>
      </c>
      <c r="B6927" s="2" t="s">
        <v>17433</v>
      </c>
      <c r="C6927" s="2" t="s">
        <v>88</v>
      </c>
      <c r="D6927" s="2" t="s">
        <v>117</v>
      </c>
      <c r="E6927" s="4">
        <v>-32666</v>
      </c>
      <c r="F6927" s="3" t="s">
        <v>1913</v>
      </c>
      <c r="G6927" s="3" t="s">
        <v>1914</v>
      </c>
      <c r="H6927" s="2" t="s">
        <v>74</v>
      </c>
      <c r="I6927" s="2" t="s">
        <v>17434</v>
      </c>
      <c r="J6927" s="3" t="str">
        <f>HYPERLINK("https://www.boe.es/gazeta/dias/1810/07/24/pdfs/GMD-1810-205.pdf#page=4","Abrir facsímil")</f>
        <v>Abrir facsímil</v>
      </c>
      <c r="K6927" s="3" t="s">
        <v>76</v>
      </c>
    </row>
    <row r="6928" spans="1:11" ht="42" customHeight="1">
      <c r="A6928" s="2" t="s">
        <v>17435</v>
      </c>
      <c r="B6928" s="2" t="s">
        <v>17436</v>
      </c>
      <c r="C6928" s="2" t="s">
        <v>26</v>
      </c>
      <c r="D6928" s="2" t="s">
        <v>27</v>
      </c>
      <c r="E6928" s="4">
        <v>-32733</v>
      </c>
      <c r="F6928" s="3" t="s">
        <v>955</v>
      </c>
      <c r="G6928" s="3" t="s">
        <v>3434</v>
      </c>
      <c r="H6928" s="2" t="s">
        <v>74</v>
      </c>
      <c r="I6928" s="2" t="s">
        <v>17437</v>
      </c>
      <c r="J6928" s="3" t="str">
        <f>HYPERLINK("https://www.boe.es/gazeta/dias/1810/05/18/pdfs/GEI-1810-27.pdf#page=2","Abrir facsímil")</f>
        <v>Abrir facsímil</v>
      </c>
      <c r="K6928" s="3" t="s">
        <v>76</v>
      </c>
    </row>
    <row r="6929" spans="1:11" ht="42" customHeight="1">
      <c r="A6929" s="2" t="s">
        <v>17438</v>
      </c>
      <c r="B6929" s="2" t="s">
        <v>17439</v>
      </c>
      <c r="C6929" s="2" t="s">
        <v>26</v>
      </c>
      <c r="D6929" s="2" t="s">
        <v>39</v>
      </c>
      <c r="E6929" s="4">
        <v>-32702</v>
      </c>
      <c r="F6929" s="3" t="s">
        <v>179</v>
      </c>
      <c r="G6929" s="3" t="s">
        <v>119</v>
      </c>
      <c r="H6929" s="2" t="s">
        <v>74</v>
      </c>
      <c r="I6929" s="2" t="s">
        <v>17440</v>
      </c>
      <c r="J6929" s="3" t="str">
        <f>HYPERLINK("https://www.boe.es/gazeta/dias/1810/06/18/pdfs/GMD-C-1810-169.pdf#page=1","Abrir facsímil")</f>
        <v>Abrir facsímil</v>
      </c>
      <c r="K6929" s="3" t="s">
        <v>76</v>
      </c>
    </row>
    <row r="6930" spans="1:11" ht="42" customHeight="1">
      <c r="A6930" s="2" t="s">
        <v>17441</v>
      </c>
      <c r="B6930" s="2" t="s">
        <v>17442</v>
      </c>
      <c r="C6930" s="2" t="s">
        <v>88</v>
      </c>
      <c r="D6930" s="2" t="s">
        <v>27</v>
      </c>
      <c r="E6930" s="4">
        <v>-32710</v>
      </c>
      <c r="F6930" s="3" t="s">
        <v>126</v>
      </c>
      <c r="G6930" s="3" t="s">
        <v>184</v>
      </c>
      <c r="H6930" s="2" t="s">
        <v>74</v>
      </c>
      <c r="I6930" s="2" t="s">
        <v>17443</v>
      </c>
      <c r="J6930" s="3" t="str">
        <f>HYPERLINK("https://www.boe.es/gazeta/dias/1810/06/10/pdfs/GMD-1810-161.pdf#page=3","Abrir facsímil")</f>
        <v>Abrir facsímil</v>
      </c>
      <c r="K6930" s="3" t="s">
        <v>76</v>
      </c>
    </row>
    <row r="6931" spans="1:11" ht="42" customHeight="1">
      <c r="A6931" s="2" t="s">
        <v>17444</v>
      </c>
      <c r="B6931" s="2" t="s">
        <v>17445</v>
      </c>
      <c r="C6931" s="2" t="s">
        <v>26</v>
      </c>
      <c r="D6931" s="2" t="s">
        <v>27</v>
      </c>
      <c r="E6931" s="4">
        <v>-32647</v>
      </c>
      <c r="F6931" s="3" t="s">
        <v>118</v>
      </c>
      <c r="G6931" s="3" t="s">
        <v>140</v>
      </c>
      <c r="H6931" s="2" t="s">
        <v>74</v>
      </c>
      <c r="I6931" s="2" t="s">
        <v>17446</v>
      </c>
      <c r="J6931" s="3" t="str">
        <f>HYPERLINK("https://www.boe.es/gazeta/dias/1810/08/12/pdfs/GMD-1810-224.pdf#page=2","Abrir facsímil")</f>
        <v>Abrir facsímil</v>
      </c>
      <c r="K6931" s="3" t="s">
        <v>76</v>
      </c>
    </row>
    <row r="6932" spans="1:11" ht="42" customHeight="1">
      <c r="A6932" s="2" t="s">
        <v>17447</v>
      </c>
      <c r="B6932" s="2" t="s">
        <v>17448</v>
      </c>
      <c r="C6932" s="2" t="s">
        <v>88</v>
      </c>
      <c r="D6932" s="2" t="s">
        <v>27</v>
      </c>
      <c r="E6932" s="4">
        <v>-32698</v>
      </c>
      <c r="F6932" s="3" t="s">
        <v>2705</v>
      </c>
      <c r="G6932" s="3" t="s">
        <v>2706</v>
      </c>
      <c r="H6932" s="2" t="s">
        <v>74</v>
      </c>
      <c r="I6932" s="2" t="s">
        <v>17449</v>
      </c>
      <c r="J6932" s="3" t="str">
        <f>HYPERLINK("https://www.boe.es/gazeta/dias/1810/06/22/pdfs/GEI-1810-38.pdf#page=8","Abrir facsímil")</f>
        <v>Abrir facsímil</v>
      </c>
      <c r="K6932" s="3" t="s">
        <v>76</v>
      </c>
    </row>
    <row r="6933" spans="1:11" ht="42" customHeight="1">
      <c r="A6933" s="2" t="s">
        <v>17450</v>
      </c>
      <c r="B6933" s="2" t="s">
        <v>17450</v>
      </c>
      <c r="C6933" s="2" t="s">
        <v>26</v>
      </c>
      <c r="D6933" s="2" t="s">
        <v>27</v>
      </c>
      <c r="E6933" s="4">
        <v>-32523</v>
      </c>
      <c r="F6933" s="3" t="s">
        <v>1484</v>
      </c>
      <c r="G6933" s="3" t="s">
        <v>29</v>
      </c>
      <c r="H6933" s="2" t="s">
        <v>74</v>
      </c>
      <c r="I6933" s="2" t="s">
        <v>17451</v>
      </c>
      <c r="J6933" s="3" t="str">
        <f>HYPERLINK("https://www.boe.es/gazeta/dias/1810/12/14/pdfs/GMD-1810-348.pdf#page=4","Abrir facsímil")</f>
        <v>Abrir facsímil</v>
      </c>
      <c r="K6933" s="3" t="s">
        <v>76</v>
      </c>
    </row>
    <row r="6934" spans="1:11" ht="42" customHeight="1">
      <c r="A6934" s="2" t="s">
        <v>17452</v>
      </c>
      <c r="B6934" s="2" t="s">
        <v>17453</v>
      </c>
      <c r="C6934" s="2" t="s">
        <v>26</v>
      </c>
      <c r="D6934" s="2" t="s">
        <v>27</v>
      </c>
      <c r="E6934" s="4">
        <v>-32647</v>
      </c>
      <c r="F6934" s="3" t="s">
        <v>118</v>
      </c>
      <c r="G6934" s="3" t="s">
        <v>140</v>
      </c>
      <c r="H6934" s="2" t="s">
        <v>74</v>
      </c>
      <c r="I6934" s="2" t="s">
        <v>17454</v>
      </c>
      <c r="J6934" s="3" t="str">
        <f>HYPERLINK("https://www.boe.es/gazeta/dias/1810/08/12/pdfs/GMD-1810-224.pdf#page=2","Abrir facsímil")</f>
        <v>Abrir facsímil</v>
      </c>
      <c r="K6934" s="3" t="s">
        <v>76</v>
      </c>
    </row>
    <row r="6935" spans="1:11" ht="42" customHeight="1">
      <c r="A6935" s="2" t="s">
        <v>17452</v>
      </c>
      <c r="B6935" s="2" t="s">
        <v>17453</v>
      </c>
      <c r="C6935" s="2" t="s">
        <v>26</v>
      </c>
      <c r="D6935" s="2" t="s">
        <v>27</v>
      </c>
      <c r="E6935" s="4">
        <v>-32537</v>
      </c>
      <c r="F6935" s="3" t="s">
        <v>1091</v>
      </c>
      <c r="G6935" s="3" t="s">
        <v>20</v>
      </c>
      <c r="H6935" s="2" t="s">
        <v>74</v>
      </c>
      <c r="I6935" s="2" t="s">
        <v>17455</v>
      </c>
      <c r="J6935" s="3" t="str">
        <f>HYPERLINK("https://www.boe.es/gazeta/dias/1810/11/30/pdfs/GMD-1810-334.pdf#page=4","Abrir facsímil")</f>
        <v>Abrir facsímil</v>
      </c>
      <c r="K6935" s="3" t="s">
        <v>76</v>
      </c>
    </row>
    <row r="6936" spans="1:11" ht="42" customHeight="1">
      <c r="A6936" s="2" t="s">
        <v>17456</v>
      </c>
      <c r="B6936" s="2" t="s">
        <v>17457</v>
      </c>
      <c r="C6936" s="2" t="s">
        <v>26</v>
      </c>
      <c r="D6936" s="2" t="s">
        <v>39</v>
      </c>
      <c r="E6936" s="4">
        <v>-32684</v>
      </c>
      <c r="F6936" s="3" t="s">
        <v>372</v>
      </c>
      <c r="G6936" s="3" t="s">
        <v>373</v>
      </c>
      <c r="H6936" s="2" t="s">
        <v>74</v>
      </c>
      <c r="I6936" s="2" t="s">
        <v>17458</v>
      </c>
      <c r="J6936" s="3" t="str">
        <f>HYPERLINK("https://www.boe.es/gazeta/dias/1810/07/06/pdfs/GEI-D-1810-42.pdf#page=8","Abrir facsímil")</f>
        <v>Abrir facsímil</v>
      </c>
      <c r="K6936" s="3" t="s">
        <v>76</v>
      </c>
    </row>
    <row r="6937" spans="1:11" ht="42" customHeight="1">
      <c r="A6937" s="2" t="s">
        <v>17459</v>
      </c>
      <c r="B6937" s="2" t="s">
        <v>17459</v>
      </c>
      <c r="C6937" s="2" t="s">
        <v>88</v>
      </c>
      <c r="D6937" s="2" t="s">
        <v>27</v>
      </c>
      <c r="E6937" s="4">
        <v>-32775</v>
      </c>
      <c r="F6937" s="3" t="s">
        <v>553</v>
      </c>
      <c r="G6937" s="3" t="s">
        <v>1894</v>
      </c>
      <c r="H6937" s="2" t="s">
        <v>74</v>
      </c>
      <c r="I6937" s="2" t="s">
        <v>17460</v>
      </c>
      <c r="J6937" s="3" t="str">
        <f>HYPERLINK("https://www.boe.es/gazeta/dias/1810/04/06/pdfs/GEI-1810-12.pdf#page=2","Abrir facsímil")</f>
        <v>Abrir facsímil</v>
      </c>
      <c r="K6937" s="3" t="s">
        <v>76</v>
      </c>
    </row>
    <row r="6938" spans="1:11" ht="42" customHeight="1">
      <c r="A6938" s="2" t="s">
        <v>17461</v>
      </c>
      <c r="B6938" s="2" t="s">
        <v>17462</v>
      </c>
      <c r="C6938" s="2" t="s">
        <v>26</v>
      </c>
      <c r="D6938" s="2" t="s">
        <v>27</v>
      </c>
      <c r="E6938" s="4">
        <v>-32580</v>
      </c>
      <c r="F6938" s="3" t="s">
        <v>2508</v>
      </c>
      <c r="G6938" s="3" t="s">
        <v>3559</v>
      </c>
      <c r="H6938" s="2" t="s">
        <v>74</v>
      </c>
      <c r="I6938" s="2" t="s">
        <v>17463</v>
      </c>
      <c r="J6938" s="3" t="str">
        <f>HYPERLINK("https://www.boe.es/gazeta/dias/1810/10/18/pdfs/GEI-1810-83.pdf#page=8","Abrir facsímil")</f>
        <v>Abrir facsímil</v>
      </c>
      <c r="K6938" s="3" t="s">
        <v>76</v>
      </c>
    </row>
    <row r="6939" spans="1:11" ht="42" customHeight="1">
      <c r="A6939" s="2" t="s">
        <v>17464</v>
      </c>
      <c r="B6939" s="2" t="s">
        <v>17465</v>
      </c>
      <c r="C6939" s="2" t="s">
        <v>88</v>
      </c>
      <c r="D6939" s="2" t="s">
        <v>27</v>
      </c>
      <c r="E6939" s="4">
        <v>-32785</v>
      </c>
      <c r="F6939" s="3" t="s">
        <v>7167</v>
      </c>
      <c r="G6939" s="3" t="s">
        <v>191</v>
      </c>
      <c r="H6939" s="2" t="s">
        <v>74</v>
      </c>
      <c r="I6939" s="2" t="s">
        <v>17466</v>
      </c>
      <c r="J6939" s="3" t="str">
        <f>HYPERLINK("https://www.boe.es/gazeta/dias/1810/03/27/pdfs/GEI-1810-7.pdf#page=8","Abrir facsímil")</f>
        <v>Abrir facsímil</v>
      </c>
      <c r="K6939" s="3" t="s">
        <v>76</v>
      </c>
    </row>
    <row r="6940" spans="1:11" ht="42" customHeight="1">
      <c r="A6940" s="2" t="s">
        <v>17467</v>
      </c>
      <c r="B6940" s="2" t="s">
        <v>17467</v>
      </c>
      <c r="C6940" s="2" t="s">
        <v>88</v>
      </c>
      <c r="D6940" s="2" t="s">
        <v>27</v>
      </c>
      <c r="E6940" s="4">
        <v>-32559</v>
      </c>
      <c r="F6940" s="3" t="s">
        <v>2260</v>
      </c>
      <c r="G6940" s="3" t="s">
        <v>140</v>
      </c>
      <c r="H6940" s="2" t="s">
        <v>74</v>
      </c>
      <c r="I6940" s="2" t="s">
        <v>17468</v>
      </c>
      <c r="J6940" s="3" t="str">
        <f>HYPERLINK("https://www.boe.es/gazeta/dias/1810/11/08/pdfs/GMD-1810-312.pdf#page=2","Abrir facsímil")</f>
        <v>Abrir facsímil</v>
      </c>
      <c r="K6940" s="3" t="s">
        <v>76</v>
      </c>
    </row>
    <row r="6941" spans="1:11" ht="42" customHeight="1">
      <c r="A6941" s="2" t="s">
        <v>17469</v>
      </c>
      <c r="B6941" s="2" t="s">
        <v>17469</v>
      </c>
      <c r="C6941" s="2" t="s">
        <v>88</v>
      </c>
      <c r="D6941" s="2" t="s">
        <v>27</v>
      </c>
      <c r="E6941" s="4">
        <v>-32792</v>
      </c>
      <c r="F6941" s="3" t="s">
        <v>4405</v>
      </c>
      <c r="G6941" s="3" t="s">
        <v>119</v>
      </c>
      <c r="H6941" s="2" t="s">
        <v>74</v>
      </c>
      <c r="I6941" s="2" t="s">
        <v>17470</v>
      </c>
      <c r="J6941" s="3" t="str">
        <f>HYPERLINK("https://www.boe.es/gazeta/dias/1810/03/20/pdfs/GMD-1810-79.pdf#page=2","Abrir facsímil")</f>
        <v>Abrir facsímil</v>
      </c>
      <c r="K6941" s="3" t="s">
        <v>76</v>
      </c>
    </row>
    <row r="6942" spans="1:11" ht="42" customHeight="1">
      <c r="A6942" s="2" t="s">
        <v>17471</v>
      </c>
      <c r="B6942" s="2" t="s">
        <v>17472</v>
      </c>
      <c r="C6942" s="2" t="s">
        <v>26</v>
      </c>
      <c r="D6942" s="2" t="s">
        <v>27</v>
      </c>
      <c r="E6942" s="4">
        <v>-32526</v>
      </c>
      <c r="F6942" s="3" t="s">
        <v>530</v>
      </c>
      <c r="G6942" s="3" t="s">
        <v>531</v>
      </c>
      <c r="H6942" s="2" t="s">
        <v>74</v>
      </c>
      <c r="I6942" s="2" t="s">
        <v>17473</v>
      </c>
      <c r="J6942" s="3" t="str">
        <f>HYPERLINK("https://www.boe.es/gazeta/dias/1810/12/11/pdfs/GEI-1810-106.pdf#page=2","Abrir facsímil")</f>
        <v>Abrir facsímil</v>
      </c>
      <c r="K6942" s="3" t="s">
        <v>76</v>
      </c>
    </row>
    <row r="6943" spans="1:11" ht="42" customHeight="1">
      <c r="A6943" s="2" t="s">
        <v>17474</v>
      </c>
      <c r="B6943" s="2" t="s">
        <v>17475</v>
      </c>
      <c r="C6943" s="2" t="s">
        <v>26</v>
      </c>
      <c r="D6943" s="2" t="s">
        <v>27</v>
      </c>
      <c r="E6943" s="4">
        <v>-32526</v>
      </c>
      <c r="F6943" s="3" t="s">
        <v>530</v>
      </c>
      <c r="G6943" s="3" t="s">
        <v>636</v>
      </c>
      <c r="H6943" s="2" t="s">
        <v>74</v>
      </c>
      <c r="I6943" s="2" t="s">
        <v>17476</v>
      </c>
      <c r="J6943" s="3" t="str">
        <f>HYPERLINK("https://www.boe.es/gazeta/dias/1810/12/11/pdfs/GEI-1810-106.pdf#page=3","Abrir facsímil")</f>
        <v>Abrir facsímil</v>
      </c>
      <c r="K6943" s="3" t="s">
        <v>76</v>
      </c>
    </row>
    <row r="6944" spans="1:11" ht="42" customHeight="1">
      <c r="A6944" s="2" t="s">
        <v>17477</v>
      </c>
      <c r="B6944" s="2" t="s">
        <v>17478</v>
      </c>
      <c r="C6944" s="2" t="s">
        <v>26</v>
      </c>
      <c r="D6944" s="2" t="s">
        <v>27</v>
      </c>
      <c r="E6944" s="4">
        <v>-32772</v>
      </c>
      <c r="F6944" s="3" t="s">
        <v>398</v>
      </c>
      <c r="G6944" s="3" t="s">
        <v>99</v>
      </c>
      <c r="H6944" s="2" t="s">
        <v>21</v>
      </c>
      <c r="I6944" s="2" t="s">
        <v>17479</v>
      </c>
      <c r="J6944" s="3" t="str">
        <f>HYPERLINK("https://www.boe.es/gazeta/dias/1810/04/09/pdfs/GMD-1810-99.pdf#page=3","Abrir facsímil")</f>
        <v>Abrir facsímil</v>
      </c>
      <c r="K6944" s="3" t="s">
        <v>23</v>
      </c>
    </row>
    <row r="6945" spans="1:11" ht="42" customHeight="1">
      <c r="A6945" s="2" t="s">
        <v>17480</v>
      </c>
      <c r="B6945" s="2" t="s">
        <v>17481</v>
      </c>
      <c r="C6945" s="2" t="s">
        <v>26</v>
      </c>
      <c r="D6945" s="2" t="s">
        <v>27</v>
      </c>
      <c r="E6945" s="4">
        <v>-32526</v>
      </c>
      <c r="F6945" s="3" t="s">
        <v>530</v>
      </c>
      <c r="G6945" s="3" t="s">
        <v>636</v>
      </c>
      <c r="H6945" s="2" t="s">
        <v>21</v>
      </c>
      <c r="I6945" s="2" t="s">
        <v>17482</v>
      </c>
      <c r="J6945" s="3" t="str">
        <f>HYPERLINK("https://www.boe.es/gazeta/dias/1810/12/11/pdfs/GEI-1810-106.pdf#page=3","Abrir facsímil")</f>
        <v>Abrir facsímil</v>
      </c>
      <c r="K6945" s="3" t="s">
        <v>23</v>
      </c>
    </row>
    <row r="6946" spans="1:11" ht="42" customHeight="1">
      <c r="A6946" s="2" t="s">
        <v>17483</v>
      </c>
      <c r="B6946" s="2" t="s">
        <v>17484</v>
      </c>
      <c r="C6946" s="2" t="s">
        <v>88</v>
      </c>
      <c r="D6946" s="2" t="s">
        <v>27</v>
      </c>
      <c r="E6946" s="4">
        <v>-32775</v>
      </c>
      <c r="F6946" s="3" t="s">
        <v>308</v>
      </c>
      <c r="G6946" s="3" t="s">
        <v>20</v>
      </c>
      <c r="H6946" s="2" t="s">
        <v>21</v>
      </c>
      <c r="I6946" s="2" t="s">
        <v>17485</v>
      </c>
      <c r="J6946" s="3" t="str">
        <f>HYPERLINK("https://www.boe.es/gazeta/dias/1810/04/06/pdfs/GMD-1810-96.pdf#page=4","Abrir facsímil")</f>
        <v>Abrir facsímil</v>
      </c>
      <c r="K6946" s="3" t="s">
        <v>23</v>
      </c>
    </row>
    <row r="6947" spans="1:11" ht="42" customHeight="1">
      <c r="A6947" s="2" t="s">
        <v>17486</v>
      </c>
      <c r="B6947" s="2" t="s">
        <v>17487</v>
      </c>
      <c r="C6947" s="2" t="s">
        <v>88</v>
      </c>
      <c r="D6947" s="2" t="s">
        <v>117</v>
      </c>
      <c r="E6947" s="4">
        <v>-32842</v>
      </c>
      <c r="F6947" s="3" t="s">
        <v>1291</v>
      </c>
      <c r="G6947" s="3" t="s">
        <v>1292</v>
      </c>
      <c r="H6947" s="2" t="s">
        <v>21</v>
      </c>
      <c r="I6947" s="2" t="s">
        <v>17488</v>
      </c>
      <c r="J6947" s="3" t="str">
        <f>HYPERLINK("https://www.boe.es/gazeta/dias/1810/01/29/pdfs/GMD-1810-29.pdf#page=3","Abrir facsímil")</f>
        <v>Abrir facsímil</v>
      </c>
      <c r="K6947" s="3" t="s">
        <v>23</v>
      </c>
    </row>
    <row r="6948" spans="1:11" ht="42" customHeight="1">
      <c r="A6948" s="2" t="s">
        <v>17489</v>
      </c>
      <c r="B6948" s="2" t="s">
        <v>17490</v>
      </c>
      <c r="C6948" s="2" t="s">
        <v>26</v>
      </c>
      <c r="D6948" s="2" t="s">
        <v>27</v>
      </c>
      <c r="E6948" s="4">
        <v>-32652</v>
      </c>
      <c r="F6948" s="3" t="s">
        <v>731</v>
      </c>
      <c r="G6948" s="3" t="s">
        <v>735</v>
      </c>
      <c r="H6948" s="2" t="s">
        <v>21</v>
      </c>
      <c r="I6948" s="2" t="s">
        <v>17491</v>
      </c>
      <c r="J6948" s="3" t="str">
        <f>HYPERLINK("https://www.boe.es/gazeta/dias/1810/08/07/pdfs/GMD-1810-219.pdf#page=4","Abrir facsímil")</f>
        <v>Abrir facsímil</v>
      </c>
      <c r="K6948" s="3" t="s">
        <v>23</v>
      </c>
    </row>
    <row r="6949" spans="1:11" ht="42" customHeight="1">
      <c r="A6949" s="2" t="s">
        <v>17492</v>
      </c>
      <c r="B6949" s="2" t="s">
        <v>17493</v>
      </c>
      <c r="C6949" s="2" t="s">
        <v>26</v>
      </c>
      <c r="D6949" s="2" t="s">
        <v>39</v>
      </c>
      <c r="E6949" s="4">
        <v>-32661</v>
      </c>
      <c r="F6949" s="3" t="s">
        <v>157</v>
      </c>
      <c r="G6949" s="3" t="s">
        <v>158</v>
      </c>
      <c r="H6949" s="2" t="s">
        <v>74</v>
      </c>
      <c r="I6949" s="2" t="s">
        <v>17494</v>
      </c>
      <c r="J6949" s="3" t="str">
        <f>HYPERLINK("https://www.boe.es/gazeta/dias/1810/07/29/pdfs/GMD-C-1810-210.pdf#page=1","Abrir facsímil")</f>
        <v>Abrir facsímil</v>
      </c>
      <c r="K6949" s="3" t="s">
        <v>76</v>
      </c>
    </row>
    <row r="6950" spans="1:11" ht="42" customHeight="1">
      <c r="A6950" s="2" t="s">
        <v>17495</v>
      </c>
      <c r="B6950" s="2" t="s">
        <v>17496</v>
      </c>
      <c r="C6950" s="2" t="s">
        <v>88</v>
      </c>
      <c r="D6950" s="2" t="s">
        <v>27</v>
      </c>
      <c r="E6950" s="4">
        <v>-32763</v>
      </c>
      <c r="F6950" s="3" t="s">
        <v>1146</v>
      </c>
      <c r="G6950" s="3" t="s">
        <v>20</v>
      </c>
      <c r="H6950" s="2" t="s">
        <v>74</v>
      </c>
      <c r="I6950" s="2" t="s">
        <v>17497</v>
      </c>
      <c r="J6950" s="3" t="str">
        <f>HYPERLINK("https://www.boe.es/gazeta/dias/1810/04/18/pdfs/GMD-1810-108.pdf#page=4","Abrir facsímil")</f>
        <v>Abrir facsímil</v>
      </c>
      <c r="K6950" s="3" t="s">
        <v>76</v>
      </c>
    </row>
    <row r="6951" spans="1:11" ht="42" customHeight="1">
      <c r="A6951" s="2" t="s">
        <v>17498</v>
      </c>
      <c r="B6951" s="2" t="s">
        <v>17499</v>
      </c>
      <c r="C6951" s="2" t="s">
        <v>33</v>
      </c>
      <c r="D6951" s="2" t="s">
        <v>27</v>
      </c>
      <c r="E6951" s="4">
        <v>-32522</v>
      </c>
      <c r="F6951" s="3" t="s">
        <v>1168</v>
      </c>
      <c r="G6951" s="3" t="s">
        <v>90</v>
      </c>
      <c r="H6951" s="2" t="s">
        <v>74</v>
      </c>
      <c r="I6951" s="2" t="s">
        <v>17500</v>
      </c>
      <c r="J6951" s="3" t="str">
        <f>HYPERLINK("https://www.boe.es/gazeta/dias/1810/12/15/pdfs/GMD-1810-349.pdf#page=3","Abrir facsímil")</f>
        <v>Abrir facsímil</v>
      </c>
      <c r="K6951" s="3" t="s">
        <v>76</v>
      </c>
    </row>
    <row r="6952" spans="1:11" ht="42" customHeight="1">
      <c r="A6952" s="2" t="s">
        <v>17501</v>
      </c>
      <c r="B6952" s="2" t="s">
        <v>17502</v>
      </c>
      <c r="C6952" s="2" t="s">
        <v>26</v>
      </c>
      <c r="D6952" s="2" t="s">
        <v>27</v>
      </c>
      <c r="E6952" s="4">
        <v>-32591</v>
      </c>
      <c r="F6952" s="3" t="s">
        <v>377</v>
      </c>
      <c r="G6952" s="3" t="s">
        <v>35</v>
      </c>
      <c r="H6952" s="2" t="s">
        <v>74</v>
      </c>
      <c r="I6952" s="2" t="s">
        <v>17503</v>
      </c>
      <c r="J6952" s="3" t="str">
        <f>HYPERLINK("https://www.boe.es/gazeta/dias/1810/10/07/pdfs/GMD-1810-280.pdf#page=2","Abrir facsímil")</f>
        <v>Abrir facsímil</v>
      </c>
      <c r="K6952" s="3" t="s">
        <v>76</v>
      </c>
    </row>
    <row r="6953" spans="1:11" ht="42" customHeight="1">
      <c r="A6953" s="2" t="s">
        <v>17504</v>
      </c>
      <c r="B6953" s="2" t="s">
        <v>17505</v>
      </c>
      <c r="C6953" s="2" t="s">
        <v>88</v>
      </c>
      <c r="D6953" s="2" t="s">
        <v>117</v>
      </c>
      <c r="E6953" s="4">
        <v>-32658</v>
      </c>
      <c r="F6953" s="3" t="s">
        <v>1224</v>
      </c>
      <c r="G6953" s="3" t="s">
        <v>140</v>
      </c>
      <c r="H6953" s="2" t="s">
        <v>21</v>
      </c>
      <c r="I6953" s="2" t="s">
        <v>17506</v>
      </c>
      <c r="J6953" s="3" t="str">
        <f>HYPERLINK("https://www.boe.es/gazeta/dias/1810/08/01/pdfs/GMD-1810-213.pdf#page=4","Abrir facsímil")</f>
        <v>Abrir facsímil</v>
      </c>
      <c r="K6953" s="3" t="s">
        <v>23</v>
      </c>
    </row>
    <row r="6954" spans="1:11" ht="42" customHeight="1">
      <c r="A6954" s="2" t="s">
        <v>17507</v>
      </c>
      <c r="B6954" s="2" t="s">
        <v>17508</v>
      </c>
      <c r="C6954" s="2" t="s">
        <v>26</v>
      </c>
      <c r="D6954" s="2" t="s">
        <v>27</v>
      </c>
      <c r="E6954" s="4">
        <v>-32569</v>
      </c>
      <c r="F6954" s="3" t="s">
        <v>421</v>
      </c>
      <c r="G6954" s="3" t="s">
        <v>20</v>
      </c>
      <c r="H6954" s="2" t="s">
        <v>74</v>
      </c>
      <c r="I6954" s="2" t="s">
        <v>17509</v>
      </c>
      <c r="J6954" s="3" t="str">
        <f>HYPERLINK("https://www.boe.es/gazeta/dias/1810/10/29/pdfs/GMD-1810-302.pdf#page=4","Abrir facsímil")</f>
        <v>Abrir facsímil</v>
      </c>
      <c r="K6954" s="3" t="s">
        <v>76</v>
      </c>
    </row>
    <row r="6955" spans="1:11" ht="42" customHeight="1">
      <c r="A6955" s="2" t="s">
        <v>17510</v>
      </c>
      <c r="B6955" s="2" t="s">
        <v>17511</v>
      </c>
      <c r="C6955" s="2" t="s">
        <v>26</v>
      </c>
      <c r="D6955" s="2" t="s">
        <v>27</v>
      </c>
      <c r="E6955" s="4">
        <v>-32862</v>
      </c>
      <c r="F6955" s="3" t="s">
        <v>878</v>
      </c>
      <c r="G6955" s="3" t="s">
        <v>99</v>
      </c>
      <c r="H6955" s="2" t="s">
        <v>74</v>
      </c>
      <c r="I6955" s="2" t="s">
        <v>17512</v>
      </c>
      <c r="J6955" s="3" t="str">
        <f>HYPERLINK("https://www.boe.es/gazeta/dias/1810/01/09/pdfs/GMD-1810-9.pdf#page=3","Abrir facsímil")</f>
        <v>Abrir facsímil</v>
      </c>
      <c r="K6955" s="3" t="s">
        <v>76</v>
      </c>
    </row>
    <row r="6956" spans="1:11" ht="42" customHeight="1">
      <c r="A6956" s="2" t="s">
        <v>17513</v>
      </c>
      <c r="B6956" s="2" t="s">
        <v>17513</v>
      </c>
      <c r="C6956" s="2" t="s">
        <v>88</v>
      </c>
      <c r="D6956" s="2" t="s">
        <v>220</v>
      </c>
      <c r="E6956" s="4">
        <v>-32688</v>
      </c>
      <c r="F6956" s="3" t="s">
        <v>997</v>
      </c>
      <c r="G6956" s="3" t="s">
        <v>10544</v>
      </c>
      <c r="H6956" s="2" t="s">
        <v>74</v>
      </c>
      <c r="I6956" s="2" t="s">
        <v>17514</v>
      </c>
      <c r="J6956" s="3" t="str">
        <f>HYPERLINK("https://www.boe.es/gazeta/dias/1810/07/02/pdfs/GMD-1810-183.pdf#page=2","Abrir facsímil")</f>
        <v>Abrir facsímil</v>
      </c>
      <c r="K6956" s="3" t="s">
        <v>76</v>
      </c>
    </row>
    <row r="6957" spans="1:11" ht="42" customHeight="1">
      <c r="A6957" s="2" t="s">
        <v>17515</v>
      </c>
      <c r="B6957" s="2" t="s">
        <v>17516</v>
      </c>
      <c r="C6957" s="2" t="s">
        <v>26</v>
      </c>
      <c r="D6957" s="2" t="s">
        <v>58</v>
      </c>
      <c r="E6957" s="4">
        <v>-32601</v>
      </c>
      <c r="F6957" s="3" t="s">
        <v>392</v>
      </c>
      <c r="G6957" s="3" t="s">
        <v>8939</v>
      </c>
      <c r="H6957" s="2" t="s">
        <v>74</v>
      </c>
      <c r="I6957" s="2" t="s">
        <v>17517</v>
      </c>
      <c r="J6957" s="3" t="str">
        <f>HYPERLINK("https://www.boe.es/gazeta/dias/1810/09/27/pdfs/GEI-1810-74E.pdf#page=4","Abrir facsímil")</f>
        <v>Abrir facsímil</v>
      </c>
      <c r="K6957" s="3" t="s">
        <v>76</v>
      </c>
    </row>
    <row r="6958" spans="1:11" ht="42" customHeight="1">
      <c r="A6958" s="2" t="s">
        <v>17518</v>
      </c>
      <c r="B6958" s="2" t="s">
        <v>17519</v>
      </c>
      <c r="C6958" s="2" t="s">
        <v>26</v>
      </c>
      <c r="D6958" s="2" t="s">
        <v>39</v>
      </c>
      <c r="E6958" s="4">
        <v>-32701</v>
      </c>
      <c r="F6958" s="3" t="s">
        <v>40</v>
      </c>
      <c r="G6958" s="3" t="s">
        <v>315</v>
      </c>
      <c r="H6958" s="2" t="s">
        <v>74</v>
      </c>
      <c r="I6958" s="2" t="s">
        <v>17520</v>
      </c>
      <c r="J6958" s="3" t="str">
        <f>HYPERLINK("https://www.boe.es/gazeta/dias/1810/06/19/pdfs/GMD-C-1810-170.pdf#page=2","Abrir facsímil")</f>
        <v>Abrir facsímil</v>
      </c>
      <c r="K6958" s="3" t="s">
        <v>76</v>
      </c>
    </row>
    <row r="6959" spans="1:11" ht="42" customHeight="1">
      <c r="A6959" s="2" t="s">
        <v>17521</v>
      </c>
      <c r="B6959" s="2" t="s">
        <v>17522</v>
      </c>
      <c r="C6959" s="2" t="s">
        <v>26</v>
      </c>
      <c r="D6959" s="2" t="s">
        <v>27</v>
      </c>
      <c r="E6959" s="4">
        <v>-32839</v>
      </c>
      <c r="F6959" s="3" t="s">
        <v>28</v>
      </c>
      <c r="G6959" s="3" t="s">
        <v>29</v>
      </c>
      <c r="H6959" s="2" t="s">
        <v>74</v>
      </c>
      <c r="I6959" s="2" t="s">
        <v>17523</v>
      </c>
      <c r="J6959" s="3" t="str">
        <f>HYPERLINK("https://www.boe.es/gazeta/dias/1810/02/01/pdfs/GMD-1810-32.pdf#page=3","Abrir facsímil")</f>
        <v>Abrir facsímil</v>
      </c>
      <c r="K6959" s="3" t="s">
        <v>76</v>
      </c>
    </row>
    <row r="6960" spans="1:11" ht="42" customHeight="1">
      <c r="A6960" s="2" t="s">
        <v>17524</v>
      </c>
      <c r="B6960" s="2" t="s">
        <v>17525</v>
      </c>
      <c r="C6960" s="2" t="s">
        <v>88</v>
      </c>
      <c r="D6960" s="2" t="s">
        <v>27</v>
      </c>
      <c r="E6960" s="4">
        <v>-32729</v>
      </c>
      <c r="F6960" s="3" t="s">
        <v>174</v>
      </c>
      <c r="G6960" s="3" t="s">
        <v>886</v>
      </c>
      <c r="H6960" s="2" t="s">
        <v>74</v>
      </c>
      <c r="I6960" s="2" t="s">
        <v>17526</v>
      </c>
      <c r="J6960" s="3" t="str">
        <f>HYPERLINK("https://www.boe.es/gazeta/dias/1810/05/22/pdfs/GEI-1810-28.pdf#page=11","Abrir facsímil")</f>
        <v>Abrir facsímil</v>
      </c>
      <c r="K6960" s="3" t="s">
        <v>76</v>
      </c>
    </row>
    <row r="6961" spans="1:11" ht="42" customHeight="1">
      <c r="A6961" s="2" t="s">
        <v>17527</v>
      </c>
      <c r="B6961" s="2" t="s">
        <v>17528</v>
      </c>
      <c r="C6961" s="2" t="s">
        <v>26</v>
      </c>
      <c r="D6961" s="2" t="s">
        <v>27</v>
      </c>
      <c r="E6961" s="4">
        <v>-32771</v>
      </c>
      <c r="F6961" s="3" t="s">
        <v>543</v>
      </c>
      <c r="G6961" s="3" t="s">
        <v>65</v>
      </c>
      <c r="H6961" s="2" t="s">
        <v>74</v>
      </c>
      <c r="I6961" s="2" t="s">
        <v>17529</v>
      </c>
      <c r="J6961" s="3" t="str">
        <f>HYPERLINK("https://www.boe.es/gazeta/dias/1810/04/10/pdfs/GEI-1810-13.pdf#page=7","Abrir facsímil")</f>
        <v>Abrir facsímil</v>
      </c>
      <c r="K6961" s="3" t="s">
        <v>76</v>
      </c>
    </row>
    <row r="6962" spans="1:11" ht="42" customHeight="1">
      <c r="A6962" s="2" t="s">
        <v>17530</v>
      </c>
      <c r="B6962" s="2" t="s">
        <v>17531</v>
      </c>
      <c r="C6962" s="2" t="s">
        <v>88</v>
      </c>
      <c r="D6962" s="2" t="s">
        <v>27</v>
      </c>
      <c r="E6962" s="4">
        <v>-32550</v>
      </c>
      <c r="F6962" s="3" t="s">
        <v>1472</v>
      </c>
      <c r="G6962" s="3" t="s">
        <v>1473</v>
      </c>
      <c r="H6962" s="2" t="s">
        <v>74</v>
      </c>
      <c r="I6962" s="2" t="s">
        <v>17532</v>
      </c>
      <c r="J6962" s="3" t="str">
        <f>HYPERLINK("https://www.boe.es/gazeta/dias/1810/11/17/pdfs/GEI-1810-96.pdf#page=8","Abrir facsímil")</f>
        <v>Abrir facsímil</v>
      </c>
      <c r="K6962" s="3" t="s">
        <v>76</v>
      </c>
    </row>
    <row r="6963" spans="1:11" ht="42" customHeight="1">
      <c r="A6963" s="2" t="s">
        <v>17533</v>
      </c>
      <c r="B6963" s="2" t="s">
        <v>17534</v>
      </c>
      <c r="C6963" s="2" t="s">
        <v>88</v>
      </c>
      <c r="D6963" s="2" t="s">
        <v>117</v>
      </c>
      <c r="E6963" s="4">
        <v>-32720</v>
      </c>
      <c r="F6963" s="3" t="s">
        <v>3377</v>
      </c>
      <c r="G6963" s="3" t="s">
        <v>3378</v>
      </c>
      <c r="H6963" s="2" t="s">
        <v>74</v>
      </c>
      <c r="I6963" s="2" t="s">
        <v>17535</v>
      </c>
      <c r="J6963" s="3" t="str">
        <f>HYPERLINK("https://www.boe.es/gazeta/dias/1810/05/31/pdfs/GMD-1810-151.pdf#page=4","Abrir facsímil")</f>
        <v>Abrir facsímil</v>
      </c>
      <c r="K6963" s="3" t="s">
        <v>76</v>
      </c>
    </row>
    <row r="6964" spans="1:11" ht="42" customHeight="1">
      <c r="A6964" s="2" t="s">
        <v>17536</v>
      </c>
      <c r="B6964" s="2" t="s">
        <v>17537</v>
      </c>
      <c r="C6964" s="2" t="s">
        <v>195</v>
      </c>
      <c r="D6964" s="2" t="s">
        <v>18</v>
      </c>
      <c r="E6964" s="4">
        <v>-32538</v>
      </c>
      <c r="F6964" s="3" t="s">
        <v>1949</v>
      </c>
      <c r="G6964" s="3" t="s">
        <v>213</v>
      </c>
      <c r="H6964" s="2" t="s">
        <v>74</v>
      </c>
      <c r="I6964" s="2" t="s">
        <v>17538</v>
      </c>
      <c r="J6964" s="3" t="str">
        <f>HYPERLINK("https://www.boe.es/gazeta/dias/1810/11/29/pdfs/GEI-1810-101.pdf#page=8","Abrir facsímil")</f>
        <v>Abrir facsímil</v>
      </c>
      <c r="K6964" s="3" t="s">
        <v>76</v>
      </c>
    </row>
    <row r="6965" spans="1:11" ht="42" customHeight="1">
      <c r="A6965" s="2" t="s">
        <v>17539</v>
      </c>
      <c r="B6965" s="2" t="s">
        <v>17540</v>
      </c>
      <c r="C6965" s="2" t="s">
        <v>26</v>
      </c>
      <c r="D6965" s="2" t="s">
        <v>27</v>
      </c>
      <c r="E6965" s="4">
        <v>-32550</v>
      </c>
      <c r="F6965" s="3" t="s">
        <v>1472</v>
      </c>
      <c r="G6965" s="3" t="s">
        <v>1473</v>
      </c>
      <c r="H6965" s="2" t="s">
        <v>74</v>
      </c>
      <c r="I6965" s="2" t="s">
        <v>17541</v>
      </c>
      <c r="J6965" s="3" t="str">
        <f>HYPERLINK("https://www.boe.es/gazeta/dias/1810/11/17/pdfs/GEI-1810-96.pdf#page=8","Abrir facsímil")</f>
        <v>Abrir facsímil</v>
      </c>
      <c r="K6965" s="3" t="s">
        <v>76</v>
      </c>
    </row>
    <row r="6966" spans="1:11" ht="42" customHeight="1">
      <c r="A6966" s="2" t="s">
        <v>17542</v>
      </c>
      <c r="B6966" s="2" t="s">
        <v>17543</v>
      </c>
      <c r="C6966" s="2" t="s">
        <v>225</v>
      </c>
      <c r="D6966" s="2" t="s">
        <v>27</v>
      </c>
      <c r="E6966" s="4">
        <v>-32757</v>
      </c>
      <c r="F6966" s="3" t="s">
        <v>1136</v>
      </c>
      <c r="G6966" s="3" t="s">
        <v>1901</v>
      </c>
      <c r="H6966" s="2" t="s">
        <v>74</v>
      </c>
      <c r="I6966" s="2" t="s">
        <v>17544</v>
      </c>
      <c r="J6966" s="3" t="str">
        <f>HYPERLINK("https://www.boe.es/gazeta/dias/1810/04/24/pdfs/GEI-1810-17.pdf#page=8","Abrir facsímil")</f>
        <v>Abrir facsímil</v>
      </c>
      <c r="K6966" s="3" t="s">
        <v>76</v>
      </c>
    </row>
    <row r="6967" spans="1:11" ht="42" customHeight="1">
      <c r="A6967" s="2" t="s">
        <v>17545</v>
      </c>
      <c r="B6967" s="2" t="s">
        <v>17546</v>
      </c>
      <c r="C6967" s="2" t="s">
        <v>26</v>
      </c>
      <c r="D6967" s="2" t="s">
        <v>220</v>
      </c>
      <c r="E6967" s="4">
        <v>-32809</v>
      </c>
      <c r="F6967" s="3" t="s">
        <v>1873</v>
      </c>
      <c r="G6967" s="3" t="s">
        <v>735</v>
      </c>
      <c r="H6967" s="2" t="s">
        <v>74</v>
      </c>
      <c r="I6967" s="2" t="s">
        <v>17547</v>
      </c>
      <c r="J6967" s="3" t="str">
        <f>HYPERLINK("https://www.boe.es/gazeta/dias/1810/03/03/pdfs/GMD-1810-62.pdf#page=4","Abrir facsímil")</f>
        <v>Abrir facsímil</v>
      </c>
      <c r="K6967" s="3" t="s">
        <v>76</v>
      </c>
    </row>
    <row r="6968" spans="1:11" ht="42" customHeight="1">
      <c r="A6968" s="2" t="s">
        <v>17548</v>
      </c>
      <c r="B6968" s="2" t="s">
        <v>17549</v>
      </c>
      <c r="C6968" s="2" t="s">
        <v>26</v>
      </c>
      <c r="D6968" s="2" t="s">
        <v>18</v>
      </c>
      <c r="E6968" s="4">
        <v>-32601</v>
      </c>
      <c r="F6968" s="3" t="s">
        <v>392</v>
      </c>
      <c r="G6968" s="3" t="s">
        <v>1430</v>
      </c>
      <c r="H6968" s="2" t="s">
        <v>74</v>
      </c>
      <c r="I6968" s="2" t="s">
        <v>17550</v>
      </c>
      <c r="J6968" s="3" t="str">
        <f>HYPERLINK("https://www.boe.es/gazeta/dias/1810/09/27/pdfs/GEI-1810-74E.pdf#page=3","Abrir facsímil")</f>
        <v>Abrir facsímil</v>
      </c>
      <c r="K6968" s="3" t="s">
        <v>76</v>
      </c>
    </row>
    <row r="6969" spans="1:11" ht="42" customHeight="1">
      <c r="A6969" s="2" t="s">
        <v>17551</v>
      </c>
      <c r="B6969" s="2" t="s">
        <v>17552</v>
      </c>
      <c r="C6969" s="2" t="s">
        <v>26</v>
      </c>
      <c r="D6969" s="2" t="s">
        <v>39</v>
      </c>
      <c r="E6969" s="4">
        <v>-32661</v>
      </c>
      <c r="F6969" s="3" t="s">
        <v>157</v>
      </c>
      <c r="G6969" s="3" t="s">
        <v>158</v>
      </c>
      <c r="H6969" s="2" t="s">
        <v>74</v>
      </c>
      <c r="I6969" s="2" t="s">
        <v>17553</v>
      </c>
      <c r="J6969" s="3" t="str">
        <f>HYPERLINK("https://www.boe.es/gazeta/dias/1810/07/29/pdfs/GMD-C-1810-210.pdf#page=1","Abrir facsímil")</f>
        <v>Abrir facsímil</v>
      </c>
      <c r="K6969" s="3" t="s">
        <v>76</v>
      </c>
    </row>
    <row r="6970" spans="1:11" ht="42" customHeight="1">
      <c r="A6970" s="2" t="s">
        <v>17554</v>
      </c>
      <c r="B6970" s="2" t="s">
        <v>17554</v>
      </c>
      <c r="C6970" s="2" t="s">
        <v>26</v>
      </c>
      <c r="D6970" s="2" t="s">
        <v>27</v>
      </c>
      <c r="E6970" s="4">
        <v>-32839</v>
      </c>
      <c r="F6970" s="3" t="s">
        <v>28</v>
      </c>
      <c r="G6970" s="3" t="s">
        <v>29</v>
      </c>
      <c r="H6970" s="2" t="s">
        <v>74</v>
      </c>
      <c r="I6970" s="2" t="s">
        <v>17555</v>
      </c>
      <c r="J6970" s="3" t="str">
        <f>HYPERLINK("https://www.boe.es/gazeta/dias/1810/02/01/pdfs/GMD-1810-32.pdf#page=2","Abrir facsímil")</f>
        <v>Abrir facsímil</v>
      </c>
      <c r="K6970" s="3" t="s">
        <v>76</v>
      </c>
    </row>
    <row r="6971" spans="1:11" ht="42" customHeight="1">
      <c r="A6971" s="2" t="s">
        <v>17556</v>
      </c>
      <c r="B6971" s="2" t="s">
        <v>17557</v>
      </c>
      <c r="C6971" s="2" t="s">
        <v>225</v>
      </c>
      <c r="D6971" s="2" t="s">
        <v>27</v>
      </c>
      <c r="E6971" s="4">
        <v>-32510</v>
      </c>
      <c r="F6971" s="3" t="s">
        <v>1955</v>
      </c>
      <c r="G6971" s="3" t="s">
        <v>140</v>
      </c>
      <c r="H6971" s="2" t="s">
        <v>74</v>
      </c>
      <c r="I6971" s="2" t="s">
        <v>17558</v>
      </c>
      <c r="J6971" s="3" t="str">
        <f>HYPERLINK("https://www.boe.es/gazeta/dias/1810/12/27/pdfs/GEI-1810-113.pdf#page=8","Abrir facsímil")</f>
        <v>Abrir facsímil</v>
      </c>
      <c r="K6971" s="3" t="s">
        <v>76</v>
      </c>
    </row>
    <row r="6972" spans="1:11" ht="42" customHeight="1">
      <c r="A6972" s="2" t="s">
        <v>17559</v>
      </c>
      <c r="B6972" s="2" t="s">
        <v>17560</v>
      </c>
      <c r="C6972" s="2" t="s">
        <v>88</v>
      </c>
      <c r="D6972" s="2" t="s">
        <v>18</v>
      </c>
      <c r="E6972" s="4">
        <v>-32747</v>
      </c>
      <c r="F6972" s="3" t="s">
        <v>2337</v>
      </c>
      <c r="G6972" s="3" t="s">
        <v>4982</v>
      </c>
      <c r="H6972" s="2" t="s">
        <v>74</v>
      </c>
      <c r="I6972" s="2" t="s">
        <v>17561</v>
      </c>
      <c r="J6972" s="3" t="str">
        <f>HYPERLINK("https://www.boe.es/gazeta/dias/1810/05/04/pdfs/GEI-1810-21.pdf#page=3","Abrir facsímil")</f>
        <v>Abrir facsímil</v>
      </c>
      <c r="K6972" s="3" t="s">
        <v>76</v>
      </c>
    </row>
    <row r="6973" spans="1:11" ht="42" customHeight="1">
      <c r="A6973" s="2" t="s">
        <v>17559</v>
      </c>
      <c r="B6973" s="2" t="s">
        <v>17560</v>
      </c>
      <c r="C6973" s="2" t="s">
        <v>88</v>
      </c>
      <c r="D6973" s="2" t="s">
        <v>117</v>
      </c>
      <c r="E6973" s="4">
        <v>-32708</v>
      </c>
      <c r="F6973" s="3" t="s">
        <v>1601</v>
      </c>
      <c r="G6973" s="3" t="s">
        <v>2322</v>
      </c>
      <c r="H6973" s="2" t="s">
        <v>74</v>
      </c>
      <c r="I6973" s="2" t="s">
        <v>17562</v>
      </c>
      <c r="J6973" s="3" t="str">
        <f>HYPERLINK("https://www.boe.es/gazeta/dias/1810/06/12/pdfs/GEI-D-1810-35.pdf#page=7","Abrir facsímil")</f>
        <v>Abrir facsímil</v>
      </c>
      <c r="K6973" s="3" t="s">
        <v>76</v>
      </c>
    </row>
    <row r="6974" spans="1:11" ht="42" customHeight="1">
      <c r="A6974" s="2" t="s">
        <v>17563</v>
      </c>
      <c r="B6974" s="2" t="s">
        <v>17564</v>
      </c>
      <c r="C6974" s="2" t="s">
        <v>26</v>
      </c>
      <c r="D6974" s="2" t="s">
        <v>27</v>
      </c>
      <c r="E6974" s="4">
        <v>-32517</v>
      </c>
      <c r="F6974" s="3" t="s">
        <v>566</v>
      </c>
      <c r="G6974" s="3" t="s">
        <v>762</v>
      </c>
      <c r="H6974" s="2" t="s">
        <v>74</v>
      </c>
      <c r="I6974" s="2" t="s">
        <v>17565</v>
      </c>
      <c r="J6974" s="3" t="str">
        <f>HYPERLINK("https://www.boe.es/gazeta/dias/1810/12/20/pdfs/GEI-1810-110.pdf#page=8","Abrir facsímil")</f>
        <v>Abrir facsímil</v>
      </c>
      <c r="K6974" s="3" t="s">
        <v>76</v>
      </c>
    </row>
    <row r="6975" spans="1:11" ht="42" customHeight="1">
      <c r="A6975" s="2" t="s">
        <v>17566</v>
      </c>
      <c r="B6975" s="2" t="s">
        <v>17567</v>
      </c>
      <c r="C6975" s="2" t="s">
        <v>26</v>
      </c>
      <c r="D6975" s="2" t="s">
        <v>27</v>
      </c>
      <c r="E6975" s="4">
        <v>-32597</v>
      </c>
      <c r="F6975" s="3" t="s">
        <v>2506</v>
      </c>
      <c r="G6975" s="3" t="s">
        <v>29</v>
      </c>
      <c r="H6975" s="2" t="s">
        <v>74</v>
      </c>
      <c r="I6975" s="2" t="s">
        <v>17568</v>
      </c>
      <c r="J6975" s="3" t="str">
        <f>HYPERLINK("https://www.boe.es/gazeta/dias/1810/10/01/pdfs/GMD-1810-274.pdf#page=4","Abrir facsímil")</f>
        <v>Abrir facsímil</v>
      </c>
      <c r="K6975" s="3" t="s">
        <v>76</v>
      </c>
    </row>
    <row r="6976" spans="1:11" ht="42" customHeight="1">
      <c r="A6976" s="2" t="s">
        <v>17569</v>
      </c>
      <c r="B6976" s="2" t="s">
        <v>17569</v>
      </c>
      <c r="C6976" s="2" t="s">
        <v>111</v>
      </c>
      <c r="D6976" s="2" t="s">
        <v>27</v>
      </c>
      <c r="E6976" s="4">
        <v>-32784</v>
      </c>
      <c r="F6976" s="3" t="s">
        <v>429</v>
      </c>
      <c r="G6976" s="3" t="s">
        <v>119</v>
      </c>
      <c r="H6976" s="2" t="s">
        <v>74</v>
      </c>
      <c r="I6976" s="2" t="s">
        <v>17570</v>
      </c>
      <c r="J6976" s="3" t="str">
        <f>HYPERLINK("https://www.boe.es/gazeta/dias/1810/03/28/pdfs/GMD-1810-87.pdf#page=1","Abrir facsímil")</f>
        <v>Abrir facsímil</v>
      </c>
      <c r="K6976" s="3" t="s">
        <v>76</v>
      </c>
    </row>
    <row r="6977" spans="1:11" ht="42" customHeight="1">
      <c r="A6977" s="2" t="s">
        <v>17571</v>
      </c>
      <c r="B6977" s="2" t="s">
        <v>17571</v>
      </c>
      <c r="C6977" s="2" t="s">
        <v>26</v>
      </c>
      <c r="D6977" s="2" t="s">
        <v>27</v>
      </c>
      <c r="E6977" s="4">
        <v>-32844</v>
      </c>
      <c r="F6977" s="3" t="s">
        <v>4730</v>
      </c>
      <c r="G6977" s="3" t="s">
        <v>35</v>
      </c>
      <c r="H6977" s="2" t="s">
        <v>74</v>
      </c>
      <c r="I6977" s="2" t="s">
        <v>17572</v>
      </c>
      <c r="J6977" s="3" t="str">
        <f>HYPERLINK("https://www.boe.es/gazeta/dias/1810/01/27/pdfs/GMD-1810-27.pdf#page=2","Abrir facsímil")</f>
        <v>Abrir facsímil</v>
      </c>
      <c r="K6977" s="3" t="s">
        <v>76</v>
      </c>
    </row>
    <row r="6978" spans="1:11" ht="42" customHeight="1">
      <c r="A6978" s="2" t="s">
        <v>17573</v>
      </c>
      <c r="B6978" s="2" t="s">
        <v>17573</v>
      </c>
      <c r="C6978" s="2" t="s">
        <v>88</v>
      </c>
      <c r="D6978" s="2" t="s">
        <v>117</v>
      </c>
      <c r="E6978" s="4">
        <v>-32589</v>
      </c>
      <c r="F6978" s="3" t="s">
        <v>3026</v>
      </c>
      <c r="G6978" s="3" t="s">
        <v>451</v>
      </c>
      <c r="H6978" s="2" t="s">
        <v>74</v>
      </c>
      <c r="I6978" s="2" t="s">
        <v>17574</v>
      </c>
      <c r="J6978" s="3" t="str">
        <f>HYPERLINK("https://www.boe.es/gazeta/dias/1810/10/09/pdfs/GEI-1810-79.pdf#page=6","Abrir facsímil")</f>
        <v>Abrir facsímil</v>
      </c>
      <c r="K6978" s="3" t="s">
        <v>76</v>
      </c>
    </row>
    <row r="6979" spans="1:11" ht="42" customHeight="1">
      <c r="A6979" s="2" t="s">
        <v>17575</v>
      </c>
      <c r="B6979" s="2" t="s">
        <v>17575</v>
      </c>
      <c r="C6979" s="2" t="s">
        <v>33</v>
      </c>
      <c r="D6979" s="2" t="s">
        <v>27</v>
      </c>
      <c r="E6979" s="4">
        <v>-32782</v>
      </c>
      <c r="F6979" s="3" t="s">
        <v>1141</v>
      </c>
      <c r="G6979" s="3" t="s">
        <v>99</v>
      </c>
      <c r="H6979" s="2" t="s">
        <v>74</v>
      </c>
      <c r="I6979" s="2" t="s">
        <v>17576</v>
      </c>
      <c r="J6979" s="3" t="str">
        <f>HYPERLINK("https://www.boe.es/gazeta/dias/1810/03/30/pdfs/GMD-1810-89.pdf#page=3","Abrir facsímil")</f>
        <v>Abrir facsímil</v>
      </c>
      <c r="K6979" s="3" t="s">
        <v>76</v>
      </c>
    </row>
    <row r="6980" spans="1:11" ht="42" customHeight="1">
      <c r="A6980" s="2" t="s">
        <v>17577</v>
      </c>
      <c r="B6980" s="2" t="s">
        <v>17577</v>
      </c>
      <c r="C6980" s="2" t="s">
        <v>26</v>
      </c>
      <c r="D6980" s="2" t="s">
        <v>27</v>
      </c>
      <c r="E6980" s="4">
        <v>-32826</v>
      </c>
      <c r="F6980" s="3" t="s">
        <v>1252</v>
      </c>
      <c r="G6980" s="3" t="s">
        <v>227</v>
      </c>
      <c r="H6980" s="2" t="s">
        <v>74</v>
      </c>
      <c r="I6980" s="2" t="s">
        <v>17578</v>
      </c>
      <c r="J6980" s="3" t="str">
        <f>HYPERLINK("https://www.boe.es/gazeta/dias/1810/02/14/pdfs/GMD-1810-45.pdf#page=4","Abrir facsímil")</f>
        <v>Abrir facsímil</v>
      </c>
      <c r="K6980" s="3" t="s">
        <v>76</v>
      </c>
    </row>
    <row r="6981" spans="1:11" ht="42" customHeight="1">
      <c r="A6981" s="2" t="s">
        <v>17577</v>
      </c>
      <c r="B6981" s="2" t="s">
        <v>17577</v>
      </c>
      <c r="C6981" s="2" t="s">
        <v>17</v>
      </c>
      <c r="D6981" s="2" t="s">
        <v>27</v>
      </c>
      <c r="E6981" s="4">
        <v>-32544</v>
      </c>
      <c r="F6981" s="3" t="s">
        <v>1239</v>
      </c>
      <c r="G6981" s="3" t="s">
        <v>227</v>
      </c>
      <c r="H6981" s="2" t="s">
        <v>74</v>
      </c>
      <c r="I6981" s="2" t="s">
        <v>17579</v>
      </c>
      <c r="J6981" s="3" t="str">
        <f>HYPERLINK("https://www.boe.es/gazeta/dias/1810/11/23/pdfs/GMD-1810-327.pdf#page=4","Abrir facsímil")</f>
        <v>Abrir facsímil</v>
      </c>
      <c r="K6981" s="3" t="s">
        <v>76</v>
      </c>
    </row>
    <row r="6982" spans="1:11" ht="42" customHeight="1">
      <c r="A6982" s="2" t="s">
        <v>17580</v>
      </c>
      <c r="B6982" s="2" t="s">
        <v>17580</v>
      </c>
      <c r="C6982" s="2" t="s">
        <v>88</v>
      </c>
      <c r="D6982" s="2" t="s">
        <v>117</v>
      </c>
      <c r="E6982" s="4">
        <v>-32575</v>
      </c>
      <c r="F6982" s="3" t="s">
        <v>135</v>
      </c>
      <c r="G6982" s="3" t="s">
        <v>2560</v>
      </c>
      <c r="H6982" s="2" t="s">
        <v>74</v>
      </c>
      <c r="I6982" s="2" t="s">
        <v>17581</v>
      </c>
      <c r="J6982" s="3" t="str">
        <f>HYPERLINK("https://www.boe.es/gazeta/dias/1810/10/23/pdfs/GEI-1810-85.pdf#page=5","Abrir facsímil")</f>
        <v>Abrir facsímil</v>
      </c>
      <c r="K6982" s="3" t="s">
        <v>76</v>
      </c>
    </row>
    <row r="6983" spans="1:11" ht="42" customHeight="1">
      <c r="A6983" s="2" t="s">
        <v>17582</v>
      </c>
      <c r="B6983" s="2" t="s">
        <v>17583</v>
      </c>
      <c r="C6983" s="2" t="s">
        <v>88</v>
      </c>
      <c r="D6983" s="2" t="s">
        <v>117</v>
      </c>
      <c r="E6983" s="4">
        <v>-32710</v>
      </c>
      <c r="F6983" s="3" t="s">
        <v>126</v>
      </c>
      <c r="G6983" s="3" t="s">
        <v>180</v>
      </c>
      <c r="H6983" s="2" t="s">
        <v>21</v>
      </c>
      <c r="I6983" s="2" t="s">
        <v>17584</v>
      </c>
      <c r="J6983" s="3" t="str">
        <f>HYPERLINK("https://www.boe.es/gazeta/dias/1810/06/10/pdfs/GMD-1810-161.pdf#page=1","Abrir facsímil")</f>
        <v>Abrir facsímil</v>
      </c>
      <c r="K6983" s="3" t="s">
        <v>23</v>
      </c>
    </row>
    <row r="6984" spans="1:11" ht="42" customHeight="1">
      <c r="A6984" s="2" t="s">
        <v>17585</v>
      </c>
      <c r="B6984" s="2" t="s">
        <v>17586</v>
      </c>
      <c r="C6984" s="2" t="s">
        <v>26</v>
      </c>
      <c r="D6984" s="2" t="s">
        <v>27</v>
      </c>
      <c r="E6984" s="4">
        <v>-32596</v>
      </c>
      <c r="F6984" s="3" t="s">
        <v>1311</v>
      </c>
      <c r="G6984" s="3" t="s">
        <v>29</v>
      </c>
      <c r="H6984" s="2" t="s">
        <v>74</v>
      </c>
      <c r="I6984" s="2" t="s">
        <v>17587</v>
      </c>
      <c r="J6984" s="3" t="str">
        <f>HYPERLINK("https://www.boe.es/gazeta/dias/1810/10/02/pdfs/GMD-1810-275.pdf#page=4","Abrir facsímil")</f>
        <v>Abrir facsímil</v>
      </c>
      <c r="K6984" s="3" t="s">
        <v>76</v>
      </c>
    </row>
    <row r="6985" spans="1:11" ht="42" customHeight="1">
      <c r="A6985" s="2" t="s">
        <v>17588</v>
      </c>
      <c r="B6985" s="2" t="s">
        <v>17589</v>
      </c>
      <c r="C6985" s="2" t="s">
        <v>17</v>
      </c>
      <c r="D6985" s="2" t="s">
        <v>27</v>
      </c>
      <c r="E6985" s="4">
        <v>-32562</v>
      </c>
      <c r="F6985" s="3" t="s">
        <v>1186</v>
      </c>
      <c r="G6985" s="3" t="s">
        <v>90</v>
      </c>
      <c r="H6985" s="2" t="s">
        <v>74</v>
      </c>
      <c r="I6985" s="2" t="s">
        <v>17590</v>
      </c>
      <c r="J6985" s="3" t="str">
        <f>HYPERLINK("https://www.boe.es/gazeta/dias/1810/11/05/pdfs/GMD-1810-309.pdf#page=3","Abrir facsímil")</f>
        <v>Abrir facsímil</v>
      </c>
      <c r="K6985" s="3" t="s">
        <v>76</v>
      </c>
    </row>
    <row r="6986" spans="1:11" ht="42" customHeight="1">
      <c r="A6986" s="2" t="s">
        <v>17591</v>
      </c>
      <c r="B6986" s="2" t="s">
        <v>17592</v>
      </c>
      <c r="C6986" s="2" t="s">
        <v>26</v>
      </c>
      <c r="D6986" s="2" t="s">
        <v>27</v>
      </c>
      <c r="E6986" s="4">
        <v>-32820</v>
      </c>
      <c r="F6986" s="3" t="s">
        <v>226</v>
      </c>
      <c r="G6986" s="3" t="s">
        <v>356</v>
      </c>
      <c r="H6986" s="2" t="s">
        <v>74</v>
      </c>
      <c r="I6986" s="2" t="s">
        <v>17593</v>
      </c>
      <c r="J6986" s="3" t="str">
        <f>HYPERLINK("https://www.boe.es/gazeta/dias/1810/02/20/pdfs/GMD-1810-51.pdf#page=3","Abrir facsímil")</f>
        <v>Abrir facsímil</v>
      </c>
      <c r="K6986" s="3" t="s">
        <v>76</v>
      </c>
    </row>
    <row r="6987" spans="1:11" ht="42" customHeight="1">
      <c r="A6987" s="2" t="s">
        <v>17594</v>
      </c>
      <c r="B6987" s="2" t="s">
        <v>17595</v>
      </c>
      <c r="C6987" s="2" t="s">
        <v>317</v>
      </c>
      <c r="D6987" s="2" t="s">
        <v>27</v>
      </c>
      <c r="E6987" s="4">
        <v>-32680</v>
      </c>
      <c r="F6987" s="3" t="s">
        <v>509</v>
      </c>
      <c r="G6987" s="3" t="s">
        <v>213</v>
      </c>
      <c r="H6987" s="2" t="s">
        <v>74</v>
      </c>
      <c r="I6987" s="2" t="s">
        <v>17596</v>
      </c>
      <c r="J6987" s="3" t="str">
        <f>HYPERLINK("https://www.boe.es/gazeta/dias/1810/07/10/pdfs/GMD-1810-191.pdf#page=4","Abrir facsímil")</f>
        <v>Abrir facsímil</v>
      </c>
      <c r="K6987" s="3" t="s">
        <v>76</v>
      </c>
    </row>
    <row r="6988" spans="1:11" ht="42" customHeight="1">
      <c r="A6988" s="2" t="s">
        <v>17597</v>
      </c>
      <c r="B6988" s="2" t="s">
        <v>17598</v>
      </c>
      <c r="C6988" s="2" t="s">
        <v>26</v>
      </c>
      <c r="D6988" s="2" t="s">
        <v>27</v>
      </c>
      <c r="E6988" s="4">
        <v>-32545</v>
      </c>
      <c r="F6988" s="3" t="s">
        <v>165</v>
      </c>
      <c r="G6988" s="3" t="s">
        <v>166</v>
      </c>
      <c r="H6988" s="2" t="s">
        <v>74</v>
      </c>
      <c r="I6988" s="2" t="s">
        <v>17599</v>
      </c>
      <c r="J6988" s="3" t="str">
        <f>HYPERLINK("https://www.boe.es/gazeta/dias/1810/11/22/pdfs/GEI-1810-98.pdf#page=8","Abrir facsímil")</f>
        <v>Abrir facsímil</v>
      </c>
      <c r="K6988" s="3" t="s">
        <v>76</v>
      </c>
    </row>
    <row r="6989" spans="1:11" ht="42" customHeight="1">
      <c r="A6989" s="2" t="s">
        <v>17600</v>
      </c>
      <c r="B6989" s="2" t="s">
        <v>17600</v>
      </c>
      <c r="C6989" s="2" t="s">
        <v>88</v>
      </c>
      <c r="D6989" s="2" t="s">
        <v>117</v>
      </c>
      <c r="E6989" s="4">
        <v>-32594</v>
      </c>
      <c r="F6989" s="3" t="s">
        <v>1885</v>
      </c>
      <c r="G6989" s="3" t="s">
        <v>140</v>
      </c>
      <c r="H6989" s="2" t="s">
        <v>74</v>
      </c>
      <c r="I6989" s="2" t="s">
        <v>17601</v>
      </c>
      <c r="J6989" s="3" t="str">
        <f>HYPERLINK("https://www.boe.es/gazeta/dias/1810/10/04/pdfs/GMD-1810-277.pdf#page=1","Abrir facsímil")</f>
        <v>Abrir facsímil</v>
      </c>
      <c r="K6989" s="3" t="s">
        <v>76</v>
      </c>
    </row>
    <row r="6990" spans="1:11" ht="42" customHeight="1">
      <c r="A6990" s="2" t="s">
        <v>17602</v>
      </c>
      <c r="B6990" s="2" t="s">
        <v>17603</v>
      </c>
      <c r="C6990" s="2" t="s">
        <v>26</v>
      </c>
      <c r="D6990" s="2" t="s">
        <v>27</v>
      </c>
      <c r="E6990" s="4">
        <v>-32710</v>
      </c>
      <c r="F6990" s="3" t="s">
        <v>126</v>
      </c>
      <c r="G6990" s="3" t="s">
        <v>20</v>
      </c>
      <c r="H6990" s="2" t="s">
        <v>74</v>
      </c>
      <c r="I6990" s="2" t="s">
        <v>17604</v>
      </c>
      <c r="J6990" s="3" t="str">
        <f>HYPERLINK("https://www.boe.es/gazeta/dias/1810/06/10/pdfs/GMD-1810-161.pdf#page=4","Abrir facsímil")</f>
        <v>Abrir facsímil</v>
      </c>
      <c r="K6990" s="3" t="s">
        <v>76</v>
      </c>
    </row>
    <row r="6991" spans="1:11" ht="42" customHeight="1">
      <c r="A6991" s="2" t="s">
        <v>17605</v>
      </c>
      <c r="B6991" s="2" t="s">
        <v>17605</v>
      </c>
      <c r="C6991" s="2" t="s">
        <v>26</v>
      </c>
      <c r="D6991" s="2" t="s">
        <v>27</v>
      </c>
      <c r="E6991" s="4">
        <v>-32634</v>
      </c>
      <c r="F6991" s="3" t="s">
        <v>4472</v>
      </c>
      <c r="G6991" s="3" t="s">
        <v>180</v>
      </c>
      <c r="H6991" s="2" t="s">
        <v>74</v>
      </c>
      <c r="I6991" s="2" t="s">
        <v>17606</v>
      </c>
      <c r="J6991" s="3" t="str">
        <f>HYPERLINK("https://www.boe.es/gazeta/dias/1810/08/25/pdfs/GMD-1810-237.pdf#page=1","Abrir facsímil")</f>
        <v>Abrir facsímil</v>
      </c>
      <c r="K6991" s="3" t="s">
        <v>76</v>
      </c>
    </row>
    <row r="6992" spans="1:11" ht="42" customHeight="1">
      <c r="A6992" s="2" t="s">
        <v>17607</v>
      </c>
      <c r="B6992" s="2" t="s">
        <v>17608</v>
      </c>
      <c r="C6992" s="2" t="s">
        <v>26</v>
      </c>
      <c r="D6992" s="2" t="s">
        <v>220</v>
      </c>
      <c r="E6992" s="4">
        <v>-32744</v>
      </c>
      <c r="F6992" s="3" t="s">
        <v>1570</v>
      </c>
      <c r="G6992" s="3" t="s">
        <v>35</v>
      </c>
      <c r="H6992" s="2" t="s">
        <v>74</v>
      </c>
      <c r="I6992" s="2" t="s">
        <v>17609</v>
      </c>
      <c r="J6992" s="3" t="str">
        <f>HYPERLINK("https://www.boe.es/gazeta/dias/1810/05/07/pdfs/GMD-1810-127.pdf#page=2","Abrir facsímil")</f>
        <v>Abrir facsímil</v>
      </c>
      <c r="K6992" s="3" t="s">
        <v>76</v>
      </c>
    </row>
    <row r="6993" spans="1:11" ht="42" customHeight="1">
      <c r="A6993" s="2" t="s">
        <v>17610</v>
      </c>
      <c r="B6993" s="2" t="s">
        <v>17610</v>
      </c>
      <c r="C6993" s="2" t="s">
        <v>195</v>
      </c>
      <c r="D6993" s="2" t="s">
        <v>27</v>
      </c>
      <c r="E6993" s="4">
        <v>-32839</v>
      </c>
      <c r="F6993" s="3" t="s">
        <v>28</v>
      </c>
      <c r="G6993" s="3" t="s">
        <v>29</v>
      </c>
      <c r="H6993" s="2" t="s">
        <v>74</v>
      </c>
      <c r="I6993" s="2" t="s">
        <v>17611</v>
      </c>
      <c r="J6993" s="3" t="str">
        <f>HYPERLINK("https://www.boe.es/gazeta/dias/1810/02/01/pdfs/GMD-1810-32.pdf#page=3","Abrir facsímil")</f>
        <v>Abrir facsímil</v>
      </c>
      <c r="K6993" s="3" t="s">
        <v>76</v>
      </c>
    </row>
    <row r="6994" spans="1:11" ht="42" customHeight="1">
      <c r="A6994" s="2" t="s">
        <v>17610</v>
      </c>
      <c r="B6994" s="2" t="s">
        <v>17610</v>
      </c>
      <c r="C6994" s="2" t="s">
        <v>26</v>
      </c>
      <c r="D6994" s="2" t="s">
        <v>27</v>
      </c>
      <c r="E6994" s="4">
        <v>-32736</v>
      </c>
      <c r="F6994" s="3" t="s">
        <v>400</v>
      </c>
      <c r="G6994" s="3" t="s">
        <v>401</v>
      </c>
      <c r="H6994" s="2" t="s">
        <v>74</v>
      </c>
      <c r="I6994" s="2" t="s">
        <v>17612</v>
      </c>
      <c r="J6994" s="3" t="str">
        <f>HYPERLINK("https://www.boe.es/gazeta/dias/1810/05/15/pdfs/GMD-1810-135.pdf#page=4","Abrir facsímil")</f>
        <v>Abrir facsímil</v>
      </c>
      <c r="K6994" s="3" t="s">
        <v>76</v>
      </c>
    </row>
    <row r="6995" spans="1:11" ht="42" customHeight="1">
      <c r="A6995" s="2" t="s">
        <v>17613</v>
      </c>
      <c r="B6995" s="2" t="s">
        <v>17614</v>
      </c>
      <c r="C6995" s="2" t="s">
        <v>26</v>
      </c>
      <c r="D6995" s="2" t="s">
        <v>39</v>
      </c>
      <c r="E6995" s="4">
        <v>-32701</v>
      </c>
      <c r="F6995" s="3" t="s">
        <v>40</v>
      </c>
      <c r="G6995" s="3" t="s">
        <v>41</v>
      </c>
      <c r="H6995" s="2" t="s">
        <v>74</v>
      </c>
      <c r="I6995" s="2" t="s">
        <v>17615</v>
      </c>
      <c r="J6995" s="3" t="str">
        <f>HYPERLINK("https://www.boe.es/gazeta/dias/1810/06/19/pdfs/GMD-C-1810-170.pdf#page=3","Abrir facsímil")</f>
        <v>Abrir facsímil</v>
      </c>
      <c r="K6995" s="3" t="s">
        <v>76</v>
      </c>
    </row>
    <row r="6996" spans="1:11" ht="42" customHeight="1">
      <c r="A6996" s="2" t="s">
        <v>17616</v>
      </c>
      <c r="B6996" s="2" t="s">
        <v>17616</v>
      </c>
      <c r="C6996" s="2" t="s">
        <v>88</v>
      </c>
      <c r="D6996" s="2" t="s">
        <v>117</v>
      </c>
      <c r="E6996" s="4">
        <v>-32789</v>
      </c>
      <c r="F6996" s="3" t="s">
        <v>13717</v>
      </c>
      <c r="G6996" s="3" t="s">
        <v>227</v>
      </c>
      <c r="H6996" s="2" t="s">
        <v>74</v>
      </c>
      <c r="I6996" s="2" t="s">
        <v>17617</v>
      </c>
      <c r="J6996" s="3" t="str">
        <f>HYPERLINK("https://www.boe.es/gazeta/dias/1810/03/23/pdfs/GMD-1810-82.pdf#page=2","Abrir facsímil")</f>
        <v>Abrir facsímil</v>
      </c>
      <c r="K6996" s="3" t="s">
        <v>76</v>
      </c>
    </row>
    <row r="6997" spans="1:11" ht="42" customHeight="1">
      <c r="A6997" s="2" t="s">
        <v>17618</v>
      </c>
      <c r="B6997" s="2" t="s">
        <v>17619</v>
      </c>
      <c r="C6997" s="2" t="s">
        <v>88</v>
      </c>
      <c r="D6997" s="2" t="s">
        <v>117</v>
      </c>
      <c r="E6997" s="4">
        <v>-32564</v>
      </c>
      <c r="F6997" s="3" t="s">
        <v>1604</v>
      </c>
      <c r="G6997" s="3" t="s">
        <v>1605</v>
      </c>
      <c r="H6997" s="2" t="s">
        <v>74</v>
      </c>
      <c r="I6997" s="2" t="s">
        <v>17620</v>
      </c>
      <c r="J6997" s="3" t="str">
        <f>HYPERLINK("https://www.boe.es/gazeta/dias/1810/11/03/pdfs/GMD-1810-307.pdf#page=2","Abrir facsímil")</f>
        <v>Abrir facsímil</v>
      </c>
      <c r="K6997" s="3" t="s">
        <v>76</v>
      </c>
    </row>
    <row r="6998" spans="1:11" ht="42" customHeight="1">
      <c r="A6998" s="2" t="s">
        <v>17621</v>
      </c>
      <c r="B6998" s="2" t="s">
        <v>17622</v>
      </c>
      <c r="C6998" s="2" t="s">
        <v>26</v>
      </c>
      <c r="D6998" s="2" t="s">
        <v>27</v>
      </c>
      <c r="E6998" s="4">
        <v>-32716</v>
      </c>
      <c r="F6998" s="3" t="s">
        <v>624</v>
      </c>
      <c r="G6998" s="3" t="s">
        <v>140</v>
      </c>
      <c r="H6998" s="2" t="s">
        <v>74</v>
      </c>
      <c r="I6998" s="2" t="s">
        <v>17623</v>
      </c>
      <c r="J6998" s="3" t="str">
        <f>HYPERLINK("https://www.boe.es/gazeta/dias/1810/06/04/pdfs/GMD-1810-155.pdf#page=4","Abrir facsímil")</f>
        <v>Abrir facsímil</v>
      </c>
      <c r="K6998" s="3" t="s">
        <v>76</v>
      </c>
    </row>
    <row r="6999" spans="1:11" ht="42" customHeight="1">
      <c r="A6999" s="2" t="s">
        <v>17624</v>
      </c>
      <c r="B6999" s="2" t="s">
        <v>17624</v>
      </c>
      <c r="C6999" s="2" t="s">
        <v>26</v>
      </c>
      <c r="D6999" s="2" t="s">
        <v>27</v>
      </c>
      <c r="E6999" s="4">
        <v>-32691</v>
      </c>
      <c r="F6999" s="3" t="s">
        <v>727</v>
      </c>
      <c r="G6999" s="3" t="s">
        <v>140</v>
      </c>
      <c r="H6999" s="2" t="s">
        <v>74</v>
      </c>
      <c r="I6999" s="2" t="s">
        <v>17625</v>
      </c>
      <c r="J6999" s="3" t="str">
        <f>HYPERLINK("https://www.boe.es/gazeta/dias/1810/06/29/pdfs/GMD-1810-180.pdf#page=4","Abrir facsímil")</f>
        <v>Abrir facsímil</v>
      </c>
      <c r="K6999" s="3" t="s">
        <v>76</v>
      </c>
    </row>
    <row r="7000" spans="1:11" ht="42" customHeight="1">
      <c r="A7000" s="2" t="s">
        <v>17626</v>
      </c>
      <c r="B7000" s="2" t="s">
        <v>17626</v>
      </c>
      <c r="C7000" s="2" t="s">
        <v>225</v>
      </c>
      <c r="D7000" s="2" t="s">
        <v>27</v>
      </c>
      <c r="E7000" s="4">
        <v>-32758</v>
      </c>
      <c r="F7000" s="3" t="s">
        <v>2822</v>
      </c>
      <c r="G7000" s="3" t="s">
        <v>90</v>
      </c>
      <c r="H7000" s="2" t="s">
        <v>74</v>
      </c>
      <c r="I7000" s="2" t="s">
        <v>17627</v>
      </c>
      <c r="J7000" s="3" t="str">
        <f>HYPERLINK("https://www.boe.es/gazeta/dias/1810/04/23/pdfs/GMD-1810-113.pdf#page=1","Abrir facsímil")</f>
        <v>Abrir facsímil</v>
      </c>
      <c r="K7000" s="3" t="s">
        <v>76</v>
      </c>
    </row>
    <row r="7001" spans="1:11" ht="42" customHeight="1">
      <c r="A7001" s="2" t="s">
        <v>17628</v>
      </c>
      <c r="B7001" s="2" t="s">
        <v>17629</v>
      </c>
      <c r="C7001" s="2" t="s">
        <v>26</v>
      </c>
      <c r="D7001" s="2" t="s">
        <v>27</v>
      </c>
      <c r="E7001" s="4">
        <v>-32543</v>
      </c>
      <c r="F7001" s="3" t="s">
        <v>69</v>
      </c>
      <c r="G7001" s="3" t="s">
        <v>465</v>
      </c>
      <c r="H7001" s="2" t="s">
        <v>74</v>
      </c>
      <c r="I7001" s="2" t="s">
        <v>17630</v>
      </c>
      <c r="J7001" s="3" t="str">
        <f>HYPERLINK("https://www.boe.es/gazeta/dias/1810/11/24/pdfs/GEI-1810-99.pdf#page=2","Abrir facsímil")</f>
        <v>Abrir facsímil</v>
      </c>
      <c r="K7001" s="3" t="s">
        <v>76</v>
      </c>
    </row>
    <row r="7002" spans="1:11" ht="42" customHeight="1">
      <c r="A7002" s="2" t="s">
        <v>17631</v>
      </c>
      <c r="B7002" s="2" t="s">
        <v>17631</v>
      </c>
      <c r="C7002" s="2" t="s">
        <v>26</v>
      </c>
      <c r="D7002" s="2" t="s">
        <v>27</v>
      </c>
      <c r="E7002" s="4">
        <v>-32670</v>
      </c>
      <c r="F7002" s="3" t="s">
        <v>1942</v>
      </c>
      <c r="G7002" s="3" t="s">
        <v>7131</v>
      </c>
      <c r="H7002" s="2" t="s">
        <v>74</v>
      </c>
      <c r="I7002" s="2" t="s">
        <v>17632</v>
      </c>
      <c r="J7002" s="3" t="str">
        <f>HYPERLINK("https://www.boe.es/gazeta/dias/1810/07/20/pdfs/GEI-1810-46.pdf#page=4","Abrir facsímil")</f>
        <v>Abrir facsímil</v>
      </c>
      <c r="K7002" s="3" t="s">
        <v>76</v>
      </c>
    </row>
    <row r="7003" spans="1:11" ht="42" customHeight="1">
      <c r="A7003" s="2" t="s">
        <v>17633</v>
      </c>
      <c r="B7003" s="2" t="s">
        <v>17634</v>
      </c>
      <c r="C7003" s="2" t="s">
        <v>33</v>
      </c>
      <c r="D7003" s="2" t="s">
        <v>27</v>
      </c>
      <c r="E7003" s="4">
        <v>-32720</v>
      </c>
      <c r="F7003" s="3" t="s">
        <v>3377</v>
      </c>
      <c r="G7003" s="3" t="s">
        <v>3378</v>
      </c>
      <c r="H7003" s="2" t="s">
        <v>74</v>
      </c>
      <c r="I7003" s="2" t="s">
        <v>17635</v>
      </c>
      <c r="J7003" s="3" t="str">
        <f>HYPERLINK("https://www.boe.es/gazeta/dias/1810/05/31/pdfs/GMD-1810-151.pdf#page=4","Abrir facsímil")</f>
        <v>Abrir facsímil</v>
      </c>
      <c r="K7003" s="3" t="s">
        <v>76</v>
      </c>
    </row>
    <row r="7004" spans="1:11" ht="42" customHeight="1">
      <c r="A7004" s="2" t="s">
        <v>17636</v>
      </c>
      <c r="B7004" s="2" t="s">
        <v>17637</v>
      </c>
      <c r="C7004" s="2" t="s">
        <v>26</v>
      </c>
      <c r="D7004" s="2" t="s">
        <v>39</v>
      </c>
      <c r="E7004" s="4">
        <v>-32702</v>
      </c>
      <c r="F7004" s="3" t="s">
        <v>179</v>
      </c>
      <c r="G7004" s="3" t="s">
        <v>213</v>
      </c>
      <c r="H7004" s="2" t="s">
        <v>74</v>
      </c>
      <c r="I7004" s="2" t="s">
        <v>17638</v>
      </c>
      <c r="J7004" s="3" t="str">
        <f>HYPERLINK("https://www.boe.es/gazeta/dias/1810/06/18/pdfs/GMD-C-1810-169.pdf#page=4","Abrir facsímil")</f>
        <v>Abrir facsímil</v>
      </c>
      <c r="K7004" s="3" t="s">
        <v>76</v>
      </c>
    </row>
    <row r="7005" spans="1:11" ht="42" customHeight="1">
      <c r="A7005" s="2" t="s">
        <v>17639</v>
      </c>
      <c r="B7005" s="2" t="s">
        <v>17640</v>
      </c>
      <c r="C7005" s="2" t="s">
        <v>33</v>
      </c>
      <c r="D7005" s="2" t="s">
        <v>27</v>
      </c>
      <c r="E7005" s="4">
        <v>-32757</v>
      </c>
      <c r="F7005" s="3" t="s">
        <v>1136</v>
      </c>
      <c r="G7005" s="3" t="s">
        <v>1901</v>
      </c>
      <c r="H7005" s="2" t="s">
        <v>74</v>
      </c>
      <c r="I7005" s="2" t="s">
        <v>17641</v>
      </c>
      <c r="J7005" s="3" t="str">
        <f>HYPERLINK("https://www.boe.es/gazeta/dias/1810/04/24/pdfs/GEI-1810-17.pdf#page=8","Abrir facsímil")</f>
        <v>Abrir facsímil</v>
      </c>
      <c r="K7005" s="3" t="s">
        <v>76</v>
      </c>
    </row>
    <row r="7006" spans="1:11" ht="42" customHeight="1">
      <c r="A7006" s="2" t="s">
        <v>17642</v>
      </c>
      <c r="B7006" s="2" t="s">
        <v>17643</v>
      </c>
      <c r="C7006" s="2" t="s">
        <v>26</v>
      </c>
      <c r="D7006" s="2" t="s">
        <v>39</v>
      </c>
      <c r="E7006" s="4">
        <v>-32684</v>
      </c>
      <c r="F7006" s="3" t="s">
        <v>295</v>
      </c>
      <c r="G7006" s="3" t="s">
        <v>4095</v>
      </c>
      <c r="H7006" s="2" t="s">
        <v>74</v>
      </c>
      <c r="I7006" s="2" t="s">
        <v>17644</v>
      </c>
      <c r="J7006" s="3" t="str">
        <f>HYPERLINK("https://www.boe.es/gazeta/dias/1810/07/06/pdfs/GMD-C-1810-187.pdf#page=3","Abrir facsímil")</f>
        <v>Abrir facsímil</v>
      </c>
      <c r="K7006" s="3" t="s">
        <v>76</v>
      </c>
    </row>
    <row r="7007" spans="1:11" ht="42" customHeight="1">
      <c r="A7007" s="2" t="s">
        <v>17642</v>
      </c>
      <c r="B7007" s="2" t="s">
        <v>17643</v>
      </c>
      <c r="C7007" s="2" t="s">
        <v>26</v>
      </c>
      <c r="D7007" s="2" t="s">
        <v>39</v>
      </c>
      <c r="E7007" s="4">
        <v>-32599</v>
      </c>
      <c r="F7007" s="3" t="s">
        <v>662</v>
      </c>
      <c r="G7007" s="3" t="s">
        <v>140</v>
      </c>
      <c r="H7007" s="2" t="s">
        <v>74</v>
      </c>
      <c r="I7007" s="2" t="s">
        <v>17645</v>
      </c>
      <c r="J7007" s="3" t="str">
        <f>HYPERLINK("https://www.boe.es/gazeta/dias/1810/09/29/pdfs/GMD-C-1810-272.pdf#page=10","Abrir facsímil")</f>
        <v>Abrir facsímil</v>
      </c>
      <c r="K7007" s="3" t="s">
        <v>76</v>
      </c>
    </row>
    <row r="7008" spans="1:11" ht="42" customHeight="1">
      <c r="A7008" s="2" t="s">
        <v>17646</v>
      </c>
      <c r="B7008" s="2" t="s">
        <v>17647</v>
      </c>
      <c r="C7008" s="2" t="s">
        <v>88</v>
      </c>
      <c r="D7008" s="2" t="s">
        <v>27</v>
      </c>
      <c r="E7008" s="4">
        <v>-32828</v>
      </c>
      <c r="F7008" s="3" t="s">
        <v>1195</v>
      </c>
      <c r="G7008" s="3" t="s">
        <v>701</v>
      </c>
      <c r="H7008" s="2" t="s">
        <v>74</v>
      </c>
      <c r="I7008" s="2" t="s">
        <v>17648</v>
      </c>
      <c r="J7008" s="3" t="str">
        <f>HYPERLINK("https://www.boe.es/gazeta/dias/1810/02/12/pdfs/GMD-1810-43.pdf#page=2","Abrir facsímil")</f>
        <v>Abrir facsímil</v>
      </c>
      <c r="K7008" s="3" t="s">
        <v>76</v>
      </c>
    </row>
    <row r="7009" spans="1:11" ht="42" customHeight="1">
      <c r="A7009" s="2" t="s">
        <v>17649</v>
      </c>
      <c r="B7009" s="2" t="s">
        <v>17649</v>
      </c>
      <c r="C7009" s="2" t="s">
        <v>88</v>
      </c>
      <c r="D7009" s="2" t="s">
        <v>117</v>
      </c>
      <c r="E7009" s="4">
        <v>-32861</v>
      </c>
      <c r="F7009" s="3" t="s">
        <v>796</v>
      </c>
      <c r="G7009" s="3" t="s">
        <v>99</v>
      </c>
      <c r="H7009" s="2" t="s">
        <v>74</v>
      </c>
      <c r="I7009" s="2" t="s">
        <v>17650</v>
      </c>
      <c r="J7009" s="3" t="str">
        <f>HYPERLINK("https://www.boe.es/gazeta/dias/1810/01/10/pdfs/GMD-1810-10.pdf#page=3","Abrir facsímil")</f>
        <v>Abrir facsímil</v>
      </c>
      <c r="K7009" s="3" t="s">
        <v>76</v>
      </c>
    </row>
    <row r="7010" spans="1:11" ht="42" customHeight="1">
      <c r="A7010" s="2" t="s">
        <v>17649</v>
      </c>
      <c r="B7010" s="2" t="s">
        <v>17649</v>
      </c>
      <c r="C7010" s="2" t="s">
        <v>88</v>
      </c>
      <c r="D7010" s="2" t="s">
        <v>117</v>
      </c>
      <c r="E7010" s="4">
        <v>-32766</v>
      </c>
      <c r="F7010" s="3" t="s">
        <v>492</v>
      </c>
      <c r="G7010" s="3" t="s">
        <v>493</v>
      </c>
      <c r="H7010" s="2" t="s">
        <v>74</v>
      </c>
      <c r="I7010" s="2" t="s">
        <v>17651</v>
      </c>
      <c r="J7010" s="3" t="str">
        <f>HYPERLINK("https://www.boe.es/gazeta/dias/1810/04/15/pdfs/GMD-1810-105.pdf#page=4","Abrir facsímil")</f>
        <v>Abrir facsímil</v>
      </c>
      <c r="K7010" s="3" t="s">
        <v>76</v>
      </c>
    </row>
    <row r="7011" spans="1:11" ht="42" customHeight="1">
      <c r="A7011" s="2" t="s">
        <v>17649</v>
      </c>
      <c r="B7011" s="2" t="s">
        <v>17649</v>
      </c>
      <c r="C7011" s="2" t="s">
        <v>26</v>
      </c>
      <c r="D7011" s="2" t="s">
        <v>27</v>
      </c>
      <c r="E7011" s="4">
        <v>-32736</v>
      </c>
      <c r="F7011" s="3" t="s">
        <v>400</v>
      </c>
      <c r="G7011" s="3" t="s">
        <v>401</v>
      </c>
      <c r="H7011" s="2" t="s">
        <v>74</v>
      </c>
      <c r="I7011" s="2" t="s">
        <v>17652</v>
      </c>
      <c r="J7011" s="3" t="str">
        <f>HYPERLINK("https://www.boe.es/gazeta/dias/1810/05/15/pdfs/GMD-1810-135.pdf#page=4","Abrir facsímil")</f>
        <v>Abrir facsímil</v>
      </c>
      <c r="K7011" s="3" t="s">
        <v>76</v>
      </c>
    </row>
    <row r="7012" spans="1:11" ht="42" customHeight="1">
      <c r="A7012" s="2" t="s">
        <v>17649</v>
      </c>
      <c r="B7012" s="2" t="s">
        <v>17649</v>
      </c>
      <c r="C7012" s="2" t="s">
        <v>26</v>
      </c>
      <c r="D7012" s="2" t="s">
        <v>27</v>
      </c>
      <c r="E7012" s="4">
        <v>-32719</v>
      </c>
      <c r="F7012" s="3" t="s">
        <v>965</v>
      </c>
      <c r="G7012" s="3" t="s">
        <v>7142</v>
      </c>
      <c r="H7012" s="2" t="s">
        <v>74</v>
      </c>
      <c r="I7012" s="2" t="s">
        <v>17653</v>
      </c>
      <c r="J7012" s="3" t="str">
        <f>HYPERLINK("https://www.boe.es/gazeta/dias/1810/06/01/pdfs/GMD-1810-152.pdf#page=1","Abrir facsímil")</f>
        <v>Abrir facsímil</v>
      </c>
      <c r="K7012" s="3" t="s">
        <v>76</v>
      </c>
    </row>
    <row r="7013" spans="1:11" ht="42" customHeight="1">
      <c r="A7013" s="2" t="s">
        <v>17649</v>
      </c>
      <c r="B7013" s="2" t="s">
        <v>17649</v>
      </c>
      <c r="C7013" s="2" t="s">
        <v>26</v>
      </c>
      <c r="D7013" s="2" t="s">
        <v>39</v>
      </c>
      <c r="E7013" s="4">
        <v>-32702</v>
      </c>
      <c r="F7013" s="3" t="s">
        <v>179</v>
      </c>
      <c r="G7013" s="3" t="s">
        <v>517</v>
      </c>
      <c r="H7013" s="2" t="s">
        <v>74</v>
      </c>
      <c r="I7013" s="2" t="s">
        <v>17654</v>
      </c>
      <c r="J7013" s="3" t="str">
        <f>HYPERLINK("https://www.boe.es/gazeta/dias/1810/06/18/pdfs/GMD-C-1810-169.pdf#page=3","Abrir facsímil")</f>
        <v>Abrir facsímil</v>
      </c>
      <c r="K7013" s="3" t="s">
        <v>76</v>
      </c>
    </row>
    <row r="7014" spans="1:11" ht="42" customHeight="1">
      <c r="A7014" s="2" t="s">
        <v>17649</v>
      </c>
      <c r="B7014" s="2" t="s">
        <v>17649</v>
      </c>
      <c r="C7014" s="2" t="s">
        <v>26</v>
      </c>
      <c r="D7014" s="2" t="s">
        <v>27</v>
      </c>
      <c r="E7014" s="4">
        <v>-32614</v>
      </c>
      <c r="F7014" s="3" t="s">
        <v>403</v>
      </c>
      <c r="G7014" s="3" t="s">
        <v>505</v>
      </c>
      <c r="H7014" s="2" t="s">
        <v>74</v>
      </c>
      <c r="I7014" s="2" t="s">
        <v>17655</v>
      </c>
      <c r="J7014" s="3" t="str">
        <f>HYPERLINK("https://www.boe.es/gazeta/dias/1810/09/14/pdfs/GMD-1810-257.pdf#page=1","Abrir facsímil")</f>
        <v>Abrir facsímil</v>
      </c>
      <c r="K7014" s="3" t="s">
        <v>76</v>
      </c>
    </row>
    <row r="7015" spans="1:11" ht="42" customHeight="1">
      <c r="A7015" s="2" t="s">
        <v>17649</v>
      </c>
      <c r="B7015" s="2" t="s">
        <v>17649</v>
      </c>
      <c r="C7015" s="2" t="s">
        <v>26</v>
      </c>
      <c r="D7015" s="2" t="s">
        <v>27</v>
      </c>
      <c r="E7015" s="4">
        <v>-32613</v>
      </c>
      <c r="F7015" s="3" t="s">
        <v>12145</v>
      </c>
      <c r="G7015" s="3" t="s">
        <v>140</v>
      </c>
      <c r="H7015" s="2" t="s">
        <v>74</v>
      </c>
      <c r="I7015" s="2" t="s">
        <v>17656</v>
      </c>
      <c r="J7015" s="3" t="str">
        <f>HYPERLINK("https://www.boe.es/gazeta/dias/1810/09/15/pdfs/GMD-1810-258.pdf#page=1","Abrir facsímil")</f>
        <v>Abrir facsímil</v>
      </c>
      <c r="K7015" s="3" t="s">
        <v>76</v>
      </c>
    </row>
    <row r="7016" spans="1:11" ht="42" customHeight="1">
      <c r="A7016" s="2" t="s">
        <v>17649</v>
      </c>
      <c r="B7016" s="2" t="s">
        <v>17649</v>
      </c>
      <c r="C7016" s="2" t="s">
        <v>26</v>
      </c>
      <c r="D7016" s="2" t="s">
        <v>220</v>
      </c>
      <c r="E7016" s="4">
        <v>-32612</v>
      </c>
      <c r="F7016" s="3" t="s">
        <v>7236</v>
      </c>
      <c r="G7016" s="3" t="s">
        <v>20</v>
      </c>
      <c r="H7016" s="2" t="s">
        <v>74</v>
      </c>
      <c r="I7016" s="2" t="s">
        <v>17657</v>
      </c>
      <c r="J7016" s="3" t="str">
        <f>HYPERLINK("https://www.boe.es/gazeta/dias/1810/09/16/pdfs/GMD-1810-259.pdf#page=4","Abrir facsímil")</f>
        <v>Abrir facsímil</v>
      </c>
      <c r="K7016" s="3" t="s">
        <v>76</v>
      </c>
    </row>
    <row r="7017" spans="1:11" ht="42" customHeight="1">
      <c r="A7017" s="2" t="s">
        <v>17649</v>
      </c>
      <c r="B7017" s="2" t="s">
        <v>17649</v>
      </c>
      <c r="C7017" s="2" t="s">
        <v>111</v>
      </c>
      <c r="D7017" s="2" t="s">
        <v>27</v>
      </c>
      <c r="E7017" s="4">
        <v>-32611</v>
      </c>
      <c r="F7017" s="3" t="s">
        <v>604</v>
      </c>
      <c r="G7017" s="3" t="s">
        <v>29</v>
      </c>
      <c r="H7017" s="2" t="s">
        <v>74</v>
      </c>
      <c r="I7017" s="2" t="s">
        <v>17658</v>
      </c>
      <c r="J7017" s="3" t="str">
        <f>HYPERLINK("https://www.boe.es/gazeta/dias/1810/09/17/pdfs/GMD-1810-260.pdf#page=4","Abrir facsímil")</f>
        <v>Abrir facsímil</v>
      </c>
      <c r="K7017" s="3" t="s">
        <v>76</v>
      </c>
    </row>
    <row r="7018" spans="1:11" ht="42" customHeight="1">
      <c r="A7018" s="2" t="s">
        <v>17649</v>
      </c>
      <c r="B7018" s="2" t="s">
        <v>17649</v>
      </c>
      <c r="C7018" s="2" t="s">
        <v>26</v>
      </c>
      <c r="D7018" s="2" t="s">
        <v>27</v>
      </c>
      <c r="E7018" s="4">
        <v>-32563</v>
      </c>
      <c r="F7018" s="3" t="s">
        <v>535</v>
      </c>
      <c r="G7018" s="3" t="s">
        <v>119</v>
      </c>
      <c r="H7018" s="2" t="s">
        <v>74</v>
      </c>
      <c r="I7018" s="2" t="s">
        <v>17659</v>
      </c>
      <c r="J7018" s="3" t="str">
        <f>HYPERLINK("https://www.boe.es/gazeta/dias/1810/11/04/pdfs/GMD-1810-308.pdf#page=28","Abrir facsímil")</f>
        <v>Abrir facsímil</v>
      </c>
      <c r="K7018" s="3" t="s">
        <v>76</v>
      </c>
    </row>
    <row r="7019" spans="1:11" ht="42" customHeight="1">
      <c r="A7019" s="2" t="s">
        <v>17649</v>
      </c>
      <c r="B7019" s="2" t="s">
        <v>17649</v>
      </c>
      <c r="C7019" s="2" t="s">
        <v>195</v>
      </c>
      <c r="D7019" s="2" t="s">
        <v>27</v>
      </c>
      <c r="E7019" s="4">
        <v>-32549</v>
      </c>
      <c r="F7019" s="3" t="s">
        <v>1237</v>
      </c>
      <c r="G7019" s="3" t="s">
        <v>493</v>
      </c>
      <c r="H7019" s="2" t="s">
        <v>74</v>
      </c>
      <c r="I7019" s="2" t="s">
        <v>17660</v>
      </c>
      <c r="J7019" s="3" t="str">
        <f>HYPERLINK("https://www.boe.es/gazeta/dias/1810/11/18/pdfs/GMD-1810-322.pdf#page=2","Abrir facsímil")</f>
        <v>Abrir facsímil</v>
      </c>
      <c r="K7019" s="3" t="s">
        <v>76</v>
      </c>
    </row>
    <row r="7020" spans="1:11" ht="42" customHeight="1">
      <c r="A7020" s="2" t="s">
        <v>17661</v>
      </c>
      <c r="B7020" s="2" t="s">
        <v>17662</v>
      </c>
      <c r="C7020" s="2" t="s">
        <v>88</v>
      </c>
      <c r="D7020" s="2" t="s">
        <v>117</v>
      </c>
      <c r="E7020" s="4">
        <v>-32645</v>
      </c>
      <c r="F7020" s="3" t="s">
        <v>2492</v>
      </c>
      <c r="G7020" s="3" t="s">
        <v>2493</v>
      </c>
      <c r="H7020" s="2" t="s">
        <v>74</v>
      </c>
      <c r="I7020" s="2" t="s">
        <v>17663</v>
      </c>
      <c r="J7020" s="3" t="str">
        <f>HYPERLINK("https://www.boe.es/gazeta/dias/1810/08/14/pdfs/GEI-D-1810-56.pdf#page=2","Abrir facsímil")</f>
        <v>Abrir facsímil</v>
      </c>
      <c r="K7020" s="3" t="s">
        <v>76</v>
      </c>
    </row>
    <row r="7021" spans="1:11" ht="42" customHeight="1">
      <c r="A7021" s="2" t="s">
        <v>17664</v>
      </c>
      <c r="B7021" s="2" t="s">
        <v>17665</v>
      </c>
      <c r="C7021" s="2" t="s">
        <v>225</v>
      </c>
      <c r="D7021" s="2" t="s">
        <v>58</v>
      </c>
      <c r="E7021" s="4">
        <v>-32601</v>
      </c>
      <c r="F7021" s="3" t="s">
        <v>392</v>
      </c>
      <c r="G7021" s="3" t="s">
        <v>41</v>
      </c>
      <c r="H7021" s="2" t="s">
        <v>74</v>
      </c>
      <c r="I7021" s="2" t="s">
        <v>17666</v>
      </c>
      <c r="J7021" s="3" t="str">
        <f>HYPERLINK("https://www.boe.es/gazeta/dias/1810/09/27/pdfs/GEI-1810-74E.pdf#page=1","Abrir facsímil")</f>
        <v>Abrir facsímil</v>
      </c>
      <c r="K7021" s="3" t="s">
        <v>76</v>
      </c>
    </row>
    <row r="7022" spans="1:11" ht="42" customHeight="1">
      <c r="A7022" s="2" t="s">
        <v>17667</v>
      </c>
      <c r="B7022" s="2" t="s">
        <v>17668</v>
      </c>
      <c r="C7022" s="2" t="s">
        <v>317</v>
      </c>
      <c r="D7022" s="2" t="s">
        <v>117</v>
      </c>
      <c r="E7022" s="4">
        <v>-32619</v>
      </c>
      <c r="F7022" s="3" t="s">
        <v>1270</v>
      </c>
      <c r="G7022" s="3" t="s">
        <v>1271</v>
      </c>
      <c r="H7022" s="2" t="s">
        <v>74</v>
      </c>
      <c r="I7022" s="2" t="s">
        <v>17669</v>
      </c>
      <c r="J7022" s="3" t="str">
        <f>HYPERLINK("https://www.boe.es/gazeta/dias/1810/09/09/pdfs/GMD-1810-252.pdf#page=4","Abrir facsímil")</f>
        <v>Abrir facsímil</v>
      </c>
      <c r="K7022" s="3" t="s">
        <v>76</v>
      </c>
    </row>
    <row r="7023" spans="1:11" ht="42" customHeight="1">
      <c r="A7023" s="2" t="s">
        <v>17670</v>
      </c>
      <c r="B7023" s="2" t="s">
        <v>17671</v>
      </c>
      <c r="C7023" s="2" t="s">
        <v>26</v>
      </c>
      <c r="D7023" s="2" t="s">
        <v>39</v>
      </c>
      <c r="E7023" s="4">
        <v>-32701</v>
      </c>
      <c r="F7023" s="3" t="s">
        <v>40</v>
      </c>
      <c r="G7023" s="3" t="s">
        <v>170</v>
      </c>
      <c r="H7023" s="2" t="s">
        <v>74</v>
      </c>
      <c r="I7023" s="2" t="s">
        <v>17672</v>
      </c>
      <c r="J7023" s="3" t="str">
        <f>HYPERLINK("https://www.boe.es/gazeta/dias/1810/06/19/pdfs/GMD-C-1810-170.pdf#page=1","Abrir facsímil")</f>
        <v>Abrir facsímil</v>
      </c>
      <c r="K7023" s="3" t="s">
        <v>76</v>
      </c>
    </row>
    <row r="7024" spans="1:11" ht="42" customHeight="1">
      <c r="A7024" s="2" t="s">
        <v>17673</v>
      </c>
      <c r="B7024" s="2" t="s">
        <v>17674</v>
      </c>
      <c r="C7024" s="2" t="s">
        <v>26</v>
      </c>
      <c r="D7024" s="2" t="s">
        <v>27</v>
      </c>
      <c r="E7024" s="4">
        <v>-32578</v>
      </c>
      <c r="F7024" s="3" t="s">
        <v>7073</v>
      </c>
      <c r="G7024" s="3" t="s">
        <v>7074</v>
      </c>
      <c r="H7024" s="2" t="s">
        <v>74</v>
      </c>
      <c r="I7024" s="2" t="s">
        <v>17675</v>
      </c>
      <c r="J7024" s="3" t="str">
        <f>HYPERLINK("https://www.boe.es/gazeta/dias/1810/10/20/pdfs/GMD-1810-293.pdf#page=4","Abrir facsímil")</f>
        <v>Abrir facsímil</v>
      </c>
      <c r="K7024" s="3" t="s">
        <v>76</v>
      </c>
    </row>
    <row r="7025" spans="1:11" ht="42" customHeight="1">
      <c r="A7025" s="2" t="s">
        <v>17676</v>
      </c>
      <c r="B7025" s="2" t="s">
        <v>17677</v>
      </c>
      <c r="C7025" s="2" t="s">
        <v>26</v>
      </c>
      <c r="D7025" s="2" t="s">
        <v>39</v>
      </c>
      <c r="E7025" s="4">
        <v>-32701</v>
      </c>
      <c r="F7025" s="3" t="s">
        <v>40</v>
      </c>
      <c r="G7025" s="3" t="s">
        <v>333</v>
      </c>
      <c r="H7025" s="2" t="s">
        <v>74</v>
      </c>
      <c r="I7025" s="2" t="s">
        <v>17678</v>
      </c>
      <c r="J7025" s="3" t="str">
        <f>HYPERLINK("https://www.boe.es/gazeta/dias/1810/06/19/pdfs/GMD-C-1810-170.pdf#page=4","Abrir facsímil")</f>
        <v>Abrir facsímil</v>
      </c>
      <c r="K7025" s="3" t="s">
        <v>76</v>
      </c>
    </row>
    <row r="7026" spans="1:11" ht="42" customHeight="1">
      <c r="A7026" s="2" t="s">
        <v>17679</v>
      </c>
      <c r="B7026" s="2" t="s">
        <v>17680</v>
      </c>
      <c r="C7026" s="2" t="s">
        <v>33</v>
      </c>
      <c r="D7026" s="2" t="s">
        <v>27</v>
      </c>
      <c r="E7026" s="4">
        <v>-32707</v>
      </c>
      <c r="F7026" s="3" t="s">
        <v>1753</v>
      </c>
      <c r="G7026" s="3" t="s">
        <v>227</v>
      </c>
      <c r="H7026" s="2" t="s">
        <v>74</v>
      </c>
      <c r="I7026" s="2" t="s">
        <v>17681</v>
      </c>
      <c r="J7026" s="3" t="str">
        <f>HYPERLINK("https://www.boe.es/gazeta/dias/1810/06/13/pdfs/GMD-1810-164.pdf#page=4","Abrir facsímil")</f>
        <v>Abrir facsímil</v>
      </c>
      <c r="K7026" s="3" t="s">
        <v>76</v>
      </c>
    </row>
    <row r="7027" spans="1:11" ht="42" customHeight="1">
      <c r="A7027" s="2" t="s">
        <v>17682</v>
      </c>
      <c r="B7027" s="2" t="s">
        <v>17683</v>
      </c>
      <c r="C7027" s="2" t="s">
        <v>88</v>
      </c>
      <c r="D7027" s="2" t="s">
        <v>117</v>
      </c>
      <c r="E7027" s="4">
        <v>-32771</v>
      </c>
      <c r="F7027" s="3" t="s">
        <v>543</v>
      </c>
      <c r="G7027" s="3" t="s">
        <v>65</v>
      </c>
      <c r="H7027" s="2" t="s">
        <v>74</v>
      </c>
      <c r="I7027" s="2" t="s">
        <v>17684</v>
      </c>
      <c r="J7027" s="3" t="str">
        <f>HYPERLINK("https://www.boe.es/gazeta/dias/1810/04/10/pdfs/GEI-1810-13.pdf#page=7","Abrir facsímil")</f>
        <v>Abrir facsímil</v>
      </c>
      <c r="K7027" s="3" t="s">
        <v>76</v>
      </c>
    </row>
    <row r="7028" spans="1:11" ht="42" customHeight="1">
      <c r="A7028" s="2" t="s">
        <v>17685</v>
      </c>
      <c r="B7028" s="2" t="s">
        <v>17686</v>
      </c>
      <c r="C7028" s="2" t="s">
        <v>225</v>
      </c>
      <c r="D7028" s="2" t="s">
        <v>27</v>
      </c>
      <c r="E7028" s="4">
        <v>-32520</v>
      </c>
      <c r="F7028" s="3" t="s">
        <v>2109</v>
      </c>
      <c r="G7028" s="3" t="s">
        <v>2110</v>
      </c>
      <c r="H7028" s="2" t="s">
        <v>74</v>
      </c>
      <c r="I7028" s="2" t="s">
        <v>17687</v>
      </c>
      <c r="J7028" s="3" t="str">
        <f>HYPERLINK("https://www.boe.es/gazeta/dias/1810/12/17/pdfs/GMD-1810-351.pdf#page=2","Abrir facsímil")</f>
        <v>Abrir facsímil</v>
      </c>
      <c r="K7028" s="3" t="s">
        <v>76</v>
      </c>
    </row>
    <row r="7029" spans="1:11" ht="42" customHeight="1">
      <c r="A7029" s="2" t="s">
        <v>17688</v>
      </c>
      <c r="B7029" s="2" t="s">
        <v>17689</v>
      </c>
      <c r="C7029" s="2" t="s">
        <v>26</v>
      </c>
      <c r="D7029" s="2" t="s">
        <v>27</v>
      </c>
      <c r="E7029" s="4">
        <v>-32782</v>
      </c>
      <c r="F7029" s="3" t="s">
        <v>79</v>
      </c>
      <c r="G7029" s="3" t="s">
        <v>80</v>
      </c>
      <c r="H7029" s="2" t="s">
        <v>74</v>
      </c>
      <c r="I7029" s="2" t="s">
        <v>17690</v>
      </c>
      <c r="J7029" s="3" t="str">
        <f>HYPERLINK("https://www.boe.es/gazeta/dias/1810/03/30/pdfs/GEI-1810-9.pdf#page=7","Abrir facsímil")</f>
        <v>Abrir facsímil</v>
      </c>
      <c r="K7029" s="3" t="s">
        <v>76</v>
      </c>
    </row>
    <row r="7030" spans="1:11" ht="42" customHeight="1">
      <c r="A7030" s="2" t="s">
        <v>17691</v>
      </c>
      <c r="B7030" s="2" t="s">
        <v>17692</v>
      </c>
      <c r="C7030" s="2" t="s">
        <v>26</v>
      </c>
      <c r="D7030" s="2" t="s">
        <v>27</v>
      </c>
      <c r="E7030" s="4">
        <v>-32689</v>
      </c>
      <c r="F7030" s="3" t="s">
        <v>571</v>
      </c>
      <c r="G7030" s="3" t="s">
        <v>29</v>
      </c>
      <c r="H7030" s="2" t="s">
        <v>74</v>
      </c>
      <c r="I7030" s="2" t="s">
        <v>17693</v>
      </c>
      <c r="J7030" s="3" t="str">
        <f>HYPERLINK("https://www.boe.es/gazeta/dias/1810/07/01/pdfs/GMD-1810-182.pdf#page=3","Abrir facsímil")</f>
        <v>Abrir facsímil</v>
      </c>
      <c r="K7030" s="3" t="s">
        <v>76</v>
      </c>
    </row>
    <row r="7031" spans="1:11" ht="42" customHeight="1">
      <c r="A7031" s="2" t="s">
        <v>17694</v>
      </c>
      <c r="B7031" s="2" t="s">
        <v>17695</v>
      </c>
      <c r="C7031" s="2" t="s">
        <v>88</v>
      </c>
      <c r="D7031" s="2" t="s">
        <v>117</v>
      </c>
      <c r="E7031" s="4">
        <v>-32842</v>
      </c>
      <c r="F7031" s="3" t="s">
        <v>1291</v>
      </c>
      <c r="G7031" s="3" t="s">
        <v>1292</v>
      </c>
      <c r="H7031" s="2" t="s">
        <v>74</v>
      </c>
      <c r="I7031" s="2" t="s">
        <v>17696</v>
      </c>
      <c r="J7031" s="3" t="str">
        <f>HYPERLINK("https://www.boe.es/gazeta/dias/1810/01/29/pdfs/GMD-1810-29.pdf#page=3","Abrir facsímil")</f>
        <v>Abrir facsímil</v>
      </c>
      <c r="K7031" s="3" t="s">
        <v>76</v>
      </c>
    </row>
    <row r="7032" spans="1:11" ht="42" customHeight="1">
      <c r="A7032" s="2" t="s">
        <v>17697</v>
      </c>
      <c r="B7032" s="2" t="s">
        <v>17698</v>
      </c>
      <c r="C7032" s="2" t="s">
        <v>17</v>
      </c>
      <c r="D7032" s="2" t="s">
        <v>27</v>
      </c>
      <c r="E7032" s="4">
        <v>-32705</v>
      </c>
      <c r="F7032" s="3" t="s">
        <v>1158</v>
      </c>
      <c r="G7032" s="3" t="s">
        <v>1711</v>
      </c>
      <c r="H7032" s="2" t="s">
        <v>74</v>
      </c>
      <c r="I7032" s="2" t="s">
        <v>17699</v>
      </c>
      <c r="J7032" s="3" t="str">
        <f>HYPERLINK("https://www.boe.es/gazeta/dias/1810/06/15/pdfs/GMD-1810-166.pdf#page=4","Abrir facsímil")</f>
        <v>Abrir facsímil</v>
      </c>
      <c r="K7032" s="3" t="s">
        <v>76</v>
      </c>
    </row>
    <row r="7033" spans="1:11" ht="42" customHeight="1">
      <c r="A7033" s="2" t="s">
        <v>17700</v>
      </c>
      <c r="B7033" s="2" t="s">
        <v>17701</v>
      </c>
      <c r="C7033" s="2" t="s">
        <v>88</v>
      </c>
      <c r="D7033" s="2" t="s">
        <v>117</v>
      </c>
      <c r="E7033" s="4">
        <v>-32762</v>
      </c>
      <c r="F7033" s="3" t="s">
        <v>231</v>
      </c>
      <c r="G7033" s="3" t="s">
        <v>140</v>
      </c>
      <c r="H7033" s="2" t="s">
        <v>74</v>
      </c>
      <c r="I7033" s="2" t="s">
        <v>17702</v>
      </c>
      <c r="J7033" s="3" t="str">
        <f>HYPERLINK("https://www.boe.es/gazeta/dias/1810/04/19/pdfs/GMD-1810-109.pdf#page=3","Abrir facsímil")</f>
        <v>Abrir facsímil</v>
      </c>
      <c r="K7033" s="3" t="s">
        <v>76</v>
      </c>
    </row>
    <row r="7034" spans="1:11" ht="42" customHeight="1">
      <c r="A7034" s="2" t="s">
        <v>17703</v>
      </c>
      <c r="B7034" s="2" t="s">
        <v>17704</v>
      </c>
      <c r="C7034" s="2" t="s">
        <v>88</v>
      </c>
      <c r="D7034" s="2" t="s">
        <v>117</v>
      </c>
      <c r="E7034" s="4">
        <v>-32584</v>
      </c>
      <c r="F7034" s="3" t="s">
        <v>1560</v>
      </c>
      <c r="G7034" s="3" t="s">
        <v>971</v>
      </c>
      <c r="H7034" s="2" t="s">
        <v>74</v>
      </c>
      <c r="I7034" s="2" t="s">
        <v>17705</v>
      </c>
      <c r="J7034" s="3" t="str">
        <f>HYPERLINK("https://www.boe.es/gazeta/dias/1810/10/14/pdfs/GMD-1810-287.pdf#page=3","Abrir facsímil")</f>
        <v>Abrir facsímil</v>
      </c>
      <c r="K7034" s="3" t="s">
        <v>76</v>
      </c>
    </row>
    <row r="7035" spans="1:11" ht="42" customHeight="1">
      <c r="A7035" s="2" t="s">
        <v>17706</v>
      </c>
      <c r="B7035" s="2" t="s">
        <v>17706</v>
      </c>
      <c r="C7035" s="2" t="s">
        <v>88</v>
      </c>
      <c r="D7035" s="2" t="s">
        <v>27</v>
      </c>
      <c r="E7035" s="4">
        <v>-32694</v>
      </c>
      <c r="F7035" s="3" t="s">
        <v>2166</v>
      </c>
      <c r="G7035" s="3" t="s">
        <v>70</v>
      </c>
      <c r="H7035" s="2" t="s">
        <v>74</v>
      </c>
      <c r="I7035" s="2" t="s">
        <v>17707</v>
      </c>
      <c r="J7035" s="3" t="str">
        <f>HYPERLINK("https://www.boe.es/gazeta/dias/1810/06/26/pdfs/GMD-1810-177.pdf#page=2","Abrir facsímil")</f>
        <v>Abrir facsímil</v>
      </c>
      <c r="K7035" s="3" t="s">
        <v>76</v>
      </c>
    </row>
    <row r="7036" spans="1:11" ht="42" customHeight="1">
      <c r="A7036" s="2" t="s">
        <v>17708</v>
      </c>
      <c r="B7036" s="2" t="s">
        <v>17709</v>
      </c>
      <c r="C7036" s="2" t="s">
        <v>225</v>
      </c>
      <c r="D7036" s="2" t="s">
        <v>27</v>
      </c>
      <c r="E7036" s="4">
        <v>-32820</v>
      </c>
      <c r="F7036" s="3" t="s">
        <v>226</v>
      </c>
      <c r="G7036" s="3" t="s">
        <v>356</v>
      </c>
      <c r="H7036" s="2" t="s">
        <v>74</v>
      </c>
      <c r="I7036" s="2" t="s">
        <v>17710</v>
      </c>
      <c r="J7036" s="3" t="str">
        <f>HYPERLINK("https://www.boe.es/gazeta/dias/1810/02/20/pdfs/GMD-1810-51.pdf#page=3","Abrir facsímil")</f>
        <v>Abrir facsímil</v>
      </c>
      <c r="K7036" s="3" t="s">
        <v>76</v>
      </c>
    </row>
    <row r="7037" spans="1:11" ht="42" customHeight="1">
      <c r="A7037" s="2" t="s">
        <v>17711</v>
      </c>
      <c r="B7037" s="2" t="s">
        <v>17712</v>
      </c>
      <c r="C7037" s="2" t="s">
        <v>26</v>
      </c>
      <c r="D7037" s="2" t="s">
        <v>27</v>
      </c>
      <c r="E7037" s="4">
        <v>-32584</v>
      </c>
      <c r="F7037" s="3" t="s">
        <v>1560</v>
      </c>
      <c r="G7037" s="3" t="s">
        <v>971</v>
      </c>
      <c r="H7037" s="2" t="s">
        <v>74</v>
      </c>
      <c r="I7037" s="2" t="s">
        <v>17713</v>
      </c>
      <c r="J7037" s="3" t="str">
        <f>HYPERLINK("https://www.boe.es/gazeta/dias/1810/10/14/pdfs/GMD-1810-287.pdf#page=3","Abrir facsímil")</f>
        <v>Abrir facsímil</v>
      </c>
      <c r="K7037" s="3" t="s">
        <v>76</v>
      </c>
    </row>
    <row r="7038" spans="1:11" ht="42" customHeight="1">
      <c r="A7038" s="2" t="s">
        <v>17714</v>
      </c>
      <c r="B7038" s="2" t="s">
        <v>17715</v>
      </c>
      <c r="C7038" s="2" t="s">
        <v>88</v>
      </c>
      <c r="D7038" s="2" t="s">
        <v>117</v>
      </c>
      <c r="E7038" s="4">
        <v>-32705</v>
      </c>
      <c r="F7038" s="3" t="s">
        <v>678</v>
      </c>
      <c r="G7038" s="3" t="s">
        <v>4591</v>
      </c>
      <c r="H7038" s="2" t="s">
        <v>74</v>
      </c>
      <c r="I7038" s="2" t="s">
        <v>17716</v>
      </c>
      <c r="J7038" s="3" t="str">
        <f>HYPERLINK("https://www.boe.es/gazeta/dias/1810/06/15/pdfs/GEI-1810-36.pdf#page=4","Abrir facsímil")</f>
        <v>Abrir facsímil</v>
      </c>
      <c r="K7038" s="3" t="s">
        <v>76</v>
      </c>
    </row>
    <row r="7039" spans="1:11" ht="42" customHeight="1">
      <c r="A7039" s="2" t="s">
        <v>17717</v>
      </c>
      <c r="B7039" s="2" t="s">
        <v>17718</v>
      </c>
      <c r="C7039" s="2" t="s">
        <v>26</v>
      </c>
      <c r="D7039" s="2" t="s">
        <v>39</v>
      </c>
      <c r="E7039" s="4">
        <v>-32702</v>
      </c>
      <c r="F7039" s="3" t="s">
        <v>179</v>
      </c>
      <c r="G7039" s="3" t="s">
        <v>180</v>
      </c>
      <c r="H7039" s="2" t="s">
        <v>74</v>
      </c>
      <c r="I7039" s="2" t="s">
        <v>17719</v>
      </c>
      <c r="J7039" s="3" t="str">
        <f>HYPERLINK("https://www.boe.es/gazeta/dias/1810/06/18/pdfs/GMD-C-1810-169.pdf#page=2","Abrir facsímil")</f>
        <v>Abrir facsímil</v>
      </c>
      <c r="K7039" s="3" t="s">
        <v>76</v>
      </c>
    </row>
    <row r="7040" spans="1:11" ht="42" customHeight="1">
      <c r="A7040" s="2" t="s">
        <v>17720</v>
      </c>
      <c r="B7040" s="2" t="s">
        <v>17721</v>
      </c>
      <c r="C7040" s="2" t="s">
        <v>26</v>
      </c>
      <c r="D7040" s="2" t="s">
        <v>27</v>
      </c>
      <c r="E7040" s="4">
        <v>-32575</v>
      </c>
      <c r="F7040" s="3" t="s">
        <v>135</v>
      </c>
      <c r="G7040" s="3" t="s">
        <v>136</v>
      </c>
      <c r="H7040" s="2" t="s">
        <v>74</v>
      </c>
      <c r="I7040" s="2" t="s">
        <v>17722</v>
      </c>
      <c r="J7040" s="3" t="str">
        <f>HYPERLINK("https://www.boe.es/gazeta/dias/1810/10/23/pdfs/GEI-1810-85.pdf#page=11","Abrir facsímil")</f>
        <v>Abrir facsímil</v>
      </c>
      <c r="K7040" s="3" t="s">
        <v>76</v>
      </c>
    </row>
    <row r="7041" spans="1:11" ht="42" customHeight="1">
      <c r="A7041" s="2" t="s">
        <v>17723</v>
      </c>
      <c r="B7041" s="2" t="s">
        <v>17724</v>
      </c>
      <c r="C7041" s="2" t="s">
        <v>26</v>
      </c>
      <c r="D7041" s="2" t="s">
        <v>27</v>
      </c>
      <c r="E7041" s="4">
        <v>-32575</v>
      </c>
      <c r="F7041" s="3" t="s">
        <v>135</v>
      </c>
      <c r="G7041" s="3" t="s">
        <v>140</v>
      </c>
      <c r="H7041" s="2" t="s">
        <v>74</v>
      </c>
      <c r="I7041" s="2" t="s">
        <v>17725</v>
      </c>
      <c r="J7041" s="3" t="str">
        <f>HYPERLINK("https://www.boe.es/gazeta/dias/1810/10/23/pdfs/GEI-1810-85.pdf#page=10","Abrir facsímil")</f>
        <v>Abrir facsímil</v>
      </c>
      <c r="K7041" s="3" t="s">
        <v>76</v>
      </c>
    </row>
    <row r="7042" spans="1:11" ht="42" customHeight="1">
      <c r="A7042" s="2" t="s">
        <v>17726</v>
      </c>
      <c r="B7042" s="2" t="s">
        <v>17727</v>
      </c>
      <c r="C7042" s="2" t="s">
        <v>88</v>
      </c>
      <c r="D7042" s="2" t="s">
        <v>117</v>
      </c>
      <c r="E7042" s="4">
        <v>-32597</v>
      </c>
      <c r="F7042" s="3" t="s">
        <v>2506</v>
      </c>
      <c r="G7042" s="3" t="s">
        <v>29</v>
      </c>
      <c r="H7042" s="2" t="s">
        <v>74</v>
      </c>
      <c r="I7042" s="2" t="s">
        <v>17728</v>
      </c>
      <c r="J7042" s="3" t="str">
        <f>HYPERLINK("https://www.boe.es/gazeta/dias/1810/10/01/pdfs/GMD-1810-274.pdf#page=4","Abrir facsímil")</f>
        <v>Abrir facsímil</v>
      </c>
      <c r="K7042" s="3" t="s">
        <v>76</v>
      </c>
    </row>
    <row r="7043" spans="1:11" ht="42" customHeight="1">
      <c r="A7043" s="2" t="s">
        <v>17729</v>
      </c>
      <c r="B7043" s="2" t="s">
        <v>17730</v>
      </c>
      <c r="C7043" s="2" t="s">
        <v>26</v>
      </c>
      <c r="D7043" s="2" t="s">
        <v>27</v>
      </c>
      <c r="E7043" s="4">
        <v>-32591</v>
      </c>
      <c r="F7043" s="3" t="s">
        <v>377</v>
      </c>
      <c r="G7043" s="3" t="s">
        <v>140</v>
      </c>
      <c r="H7043" s="2" t="s">
        <v>74</v>
      </c>
      <c r="I7043" s="2" t="s">
        <v>17731</v>
      </c>
      <c r="J7043" s="3" t="str">
        <f>HYPERLINK("https://www.boe.es/gazeta/dias/1810/10/07/pdfs/GMD-1810-280.pdf#page=4","Abrir facsímil")</f>
        <v>Abrir facsímil</v>
      </c>
      <c r="K7043" s="3" t="s">
        <v>76</v>
      </c>
    </row>
    <row r="7044" spans="1:11" ht="42" customHeight="1">
      <c r="A7044" s="2" t="s">
        <v>17732</v>
      </c>
      <c r="B7044" s="2" t="s">
        <v>17733</v>
      </c>
      <c r="C7044" s="2" t="s">
        <v>225</v>
      </c>
      <c r="D7044" s="2" t="s">
        <v>27</v>
      </c>
      <c r="E7044" s="4">
        <v>-32778</v>
      </c>
      <c r="F7044" s="3" t="s">
        <v>4255</v>
      </c>
      <c r="G7044" s="3" t="s">
        <v>6164</v>
      </c>
      <c r="H7044" s="2" t="s">
        <v>74</v>
      </c>
      <c r="I7044" s="2" t="s">
        <v>17734</v>
      </c>
      <c r="J7044" s="3" t="str">
        <f>HYPERLINK("https://www.boe.es/gazeta/dias/1810/04/03/pdfs/GMD-1810-93.pdf#page=1","Abrir facsímil")</f>
        <v>Abrir facsímil</v>
      </c>
      <c r="K7044" s="3" t="s">
        <v>76</v>
      </c>
    </row>
    <row r="7045" spans="1:11" ht="42" customHeight="1">
      <c r="A7045" s="2" t="s">
        <v>17735</v>
      </c>
      <c r="B7045" s="2" t="s">
        <v>17736</v>
      </c>
      <c r="C7045" s="2" t="s">
        <v>26</v>
      </c>
      <c r="D7045" s="2" t="s">
        <v>27</v>
      </c>
      <c r="E7045" s="4">
        <v>-32545</v>
      </c>
      <c r="F7045" s="3" t="s">
        <v>165</v>
      </c>
      <c r="G7045" s="3" t="s">
        <v>166</v>
      </c>
      <c r="H7045" s="2" t="s">
        <v>74</v>
      </c>
      <c r="I7045" s="2" t="s">
        <v>17737</v>
      </c>
      <c r="J7045" s="3" t="str">
        <f>HYPERLINK("https://www.boe.es/gazeta/dias/1810/11/22/pdfs/GEI-1810-98.pdf#page=8","Abrir facsímil")</f>
        <v>Abrir facsímil</v>
      </c>
      <c r="K7045" s="3" t="s">
        <v>76</v>
      </c>
    </row>
    <row r="7046" spans="1:11" ht="42" customHeight="1">
      <c r="A7046" s="2" t="s">
        <v>17738</v>
      </c>
      <c r="B7046" s="2" t="s">
        <v>17738</v>
      </c>
      <c r="C7046" s="2" t="s">
        <v>26</v>
      </c>
      <c r="D7046" s="2" t="s">
        <v>220</v>
      </c>
      <c r="E7046" s="4">
        <v>-32604</v>
      </c>
      <c r="F7046" s="3" t="s">
        <v>2233</v>
      </c>
      <c r="G7046" s="3" t="s">
        <v>3133</v>
      </c>
      <c r="H7046" s="2" t="s">
        <v>74</v>
      </c>
      <c r="I7046" s="2" t="s">
        <v>17739</v>
      </c>
      <c r="J7046" s="3" t="str">
        <f>HYPERLINK("https://www.boe.es/gazeta/dias/1810/09/24/pdfs/GMD-1810-267.pdf#page=1","Abrir facsímil")</f>
        <v>Abrir facsímil</v>
      </c>
      <c r="K7046" s="3" t="s">
        <v>76</v>
      </c>
    </row>
    <row r="7047" spans="1:11" ht="42" customHeight="1">
      <c r="A7047" s="2" t="s">
        <v>17738</v>
      </c>
      <c r="B7047" s="2" t="s">
        <v>17738</v>
      </c>
      <c r="C7047" s="2" t="s">
        <v>26</v>
      </c>
      <c r="D7047" s="2" t="s">
        <v>27</v>
      </c>
      <c r="E7047" s="4">
        <v>-32538</v>
      </c>
      <c r="F7047" s="3" t="s">
        <v>17740</v>
      </c>
      <c r="G7047" s="3" t="s">
        <v>17741</v>
      </c>
      <c r="H7047" s="2" t="s">
        <v>74</v>
      </c>
      <c r="I7047" s="2" t="s">
        <v>17742</v>
      </c>
      <c r="J7047" s="3" t="str">
        <f>HYPERLINK("https://www.boe.es/gazeta/dias/1810/11/29/pdfs/GMD-1810-333.pdf#page=1","Abrir facsímil")</f>
        <v>Abrir facsímil</v>
      </c>
      <c r="K7047" s="3" t="s">
        <v>76</v>
      </c>
    </row>
    <row r="7048" spans="1:11" ht="42" customHeight="1">
      <c r="A7048" s="2" t="s">
        <v>17738</v>
      </c>
      <c r="B7048" s="2" t="s">
        <v>17738</v>
      </c>
      <c r="C7048" s="2" t="s">
        <v>26</v>
      </c>
      <c r="D7048" s="2" t="s">
        <v>27</v>
      </c>
      <c r="E7048" s="4">
        <v>-32516</v>
      </c>
      <c r="F7048" s="3" t="s">
        <v>425</v>
      </c>
      <c r="G7048" s="3" t="s">
        <v>886</v>
      </c>
      <c r="H7048" s="2" t="s">
        <v>74</v>
      </c>
      <c r="I7048" s="2" t="s">
        <v>17743</v>
      </c>
      <c r="J7048" s="3" t="str">
        <f>HYPERLINK("https://www.boe.es/gazeta/dias/1810/12/21/pdfs/GMD-1810-355.pdf#page=1","Abrir facsímil")</f>
        <v>Abrir facsímil</v>
      </c>
      <c r="K7048" s="3" t="s">
        <v>76</v>
      </c>
    </row>
    <row r="7049" spans="1:11" ht="42" customHeight="1">
      <c r="A7049" s="2" t="s">
        <v>17744</v>
      </c>
      <c r="B7049" s="2" t="s">
        <v>17745</v>
      </c>
      <c r="C7049" s="2" t="s">
        <v>26</v>
      </c>
      <c r="D7049" s="2" t="s">
        <v>39</v>
      </c>
      <c r="E7049" s="4">
        <v>-32701</v>
      </c>
      <c r="F7049" s="3" t="s">
        <v>40</v>
      </c>
      <c r="G7049" s="3" t="s">
        <v>333</v>
      </c>
      <c r="H7049" s="2" t="s">
        <v>74</v>
      </c>
      <c r="I7049" s="2" t="s">
        <v>17746</v>
      </c>
      <c r="J7049" s="3" t="str">
        <f>HYPERLINK("https://www.boe.es/gazeta/dias/1810/06/19/pdfs/GMD-C-1810-170.pdf#page=4","Abrir facsímil")</f>
        <v>Abrir facsímil</v>
      </c>
      <c r="K7049" s="3" t="s">
        <v>76</v>
      </c>
    </row>
    <row r="7050" spans="1:11" ht="42" customHeight="1">
      <c r="A7050" s="2" t="s">
        <v>17747</v>
      </c>
      <c r="B7050" s="2" t="s">
        <v>17747</v>
      </c>
      <c r="C7050" s="2" t="s">
        <v>195</v>
      </c>
      <c r="D7050" s="2" t="s">
        <v>27</v>
      </c>
      <c r="E7050" s="4">
        <v>-32527</v>
      </c>
      <c r="F7050" s="3" t="s">
        <v>8069</v>
      </c>
      <c r="G7050" s="3" t="s">
        <v>90</v>
      </c>
      <c r="H7050" s="2" t="s">
        <v>74</v>
      </c>
      <c r="I7050" s="2" t="s">
        <v>17748</v>
      </c>
      <c r="J7050" s="3" t="str">
        <f>HYPERLINK("https://www.boe.es/gazeta/dias/1810/12/10/pdfs/GMD-1810-344.pdf#page=2","Abrir facsímil")</f>
        <v>Abrir facsímil</v>
      </c>
      <c r="K7050" s="3" t="s">
        <v>76</v>
      </c>
    </row>
    <row r="7051" spans="1:11" ht="42" customHeight="1">
      <c r="A7051" s="2" t="s">
        <v>17749</v>
      </c>
      <c r="B7051" s="2" t="s">
        <v>17750</v>
      </c>
      <c r="C7051" s="2" t="s">
        <v>33</v>
      </c>
      <c r="D7051" s="2" t="s">
        <v>27</v>
      </c>
      <c r="E7051" s="4">
        <v>-32691</v>
      </c>
      <c r="F7051" s="3" t="s">
        <v>3021</v>
      </c>
      <c r="G7051" s="3" t="s">
        <v>3022</v>
      </c>
      <c r="H7051" s="2" t="s">
        <v>74</v>
      </c>
      <c r="I7051" s="2" t="s">
        <v>17751</v>
      </c>
      <c r="J7051" s="3" t="str">
        <f>HYPERLINK("https://www.boe.es/gazeta/dias/1810/06/29/pdfs/GEI-1810-40.pdf#page=7","Abrir facsímil")</f>
        <v>Abrir facsímil</v>
      </c>
      <c r="K7051" s="3" t="s">
        <v>76</v>
      </c>
    </row>
    <row r="7052" spans="1:11" ht="42" customHeight="1">
      <c r="A7052" s="2" t="s">
        <v>17752</v>
      </c>
      <c r="B7052" s="2" t="s">
        <v>17753</v>
      </c>
      <c r="C7052" s="2" t="s">
        <v>33</v>
      </c>
      <c r="D7052" s="2" t="s">
        <v>27</v>
      </c>
      <c r="E7052" s="4">
        <v>-32543</v>
      </c>
      <c r="F7052" s="3" t="s">
        <v>69</v>
      </c>
      <c r="G7052" s="3" t="s">
        <v>70</v>
      </c>
      <c r="H7052" s="2" t="s">
        <v>74</v>
      </c>
      <c r="I7052" s="2" t="s">
        <v>17754</v>
      </c>
      <c r="J7052" s="3" t="str">
        <f>HYPERLINK("https://www.boe.es/gazeta/dias/1810/11/24/pdfs/GEI-1810-99.pdf#page=8","Abrir facsímil")</f>
        <v>Abrir facsímil</v>
      </c>
      <c r="K7052" s="3" t="s">
        <v>76</v>
      </c>
    </row>
    <row r="7053" spans="1:11" ht="42" customHeight="1">
      <c r="A7053" s="2" t="s">
        <v>17755</v>
      </c>
      <c r="B7053" s="2" t="s">
        <v>17756</v>
      </c>
      <c r="C7053" s="2" t="s">
        <v>88</v>
      </c>
      <c r="D7053" s="2" t="s">
        <v>18</v>
      </c>
      <c r="E7053" s="4">
        <v>-32728</v>
      </c>
      <c r="F7053" s="3" t="s">
        <v>269</v>
      </c>
      <c r="G7053" s="3" t="s">
        <v>119</v>
      </c>
      <c r="H7053" s="2" t="s">
        <v>74</v>
      </c>
      <c r="I7053" s="2" t="s">
        <v>17757</v>
      </c>
      <c r="J7053" s="3" t="str">
        <f>HYPERLINK("https://www.boe.es/gazeta/dias/1810/05/23/pdfs/GMD-1810-143.pdf#page=3","Abrir facsímil")</f>
        <v>Abrir facsímil</v>
      </c>
      <c r="K7053" s="3" t="s">
        <v>76</v>
      </c>
    </row>
    <row r="7054" spans="1:11" ht="42" customHeight="1">
      <c r="A7054" s="2" t="s">
        <v>17758</v>
      </c>
      <c r="B7054" s="2" t="s">
        <v>17759</v>
      </c>
      <c r="C7054" s="2" t="s">
        <v>26</v>
      </c>
      <c r="D7054" s="2" t="s">
        <v>39</v>
      </c>
      <c r="E7054" s="4">
        <v>-32702</v>
      </c>
      <c r="F7054" s="3" t="s">
        <v>179</v>
      </c>
      <c r="G7054" s="3" t="s">
        <v>517</v>
      </c>
      <c r="H7054" s="2" t="s">
        <v>74</v>
      </c>
      <c r="I7054" s="2" t="s">
        <v>17760</v>
      </c>
      <c r="J7054" s="3" t="str">
        <f>HYPERLINK("https://www.boe.es/gazeta/dias/1810/06/18/pdfs/GMD-C-1810-169.pdf#page=3","Abrir facsímil")</f>
        <v>Abrir facsímil</v>
      </c>
      <c r="K7054" s="3" t="s">
        <v>76</v>
      </c>
    </row>
    <row r="7055" spans="1:11" ht="42" customHeight="1">
      <c r="A7055" s="2" t="s">
        <v>17761</v>
      </c>
      <c r="B7055" s="2" t="s">
        <v>17761</v>
      </c>
      <c r="C7055" s="2" t="s">
        <v>88</v>
      </c>
      <c r="D7055" s="2" t="s">
        <v>27</v>
      </c>
      <c r="E7055" s="4">
        <v>-32568</v>
      </c>
      <c r="F7055" s="3" t="s">
        <v>683</v>
      </c>
      <c r="G7055" s="3" t="s">
        <v>1396</v>
      </c>
      <c r="H7055" s="2" t="s">
        <v>74</v>
      </c>
      <c r="I7055" s="2" t="s">
        <v>17762</v>
      </c>
      <c r="J7055" s="3" t="str">
        <f>HYPERLINK("https://www.boe.es/gazeta/dias/1810/10/30/pdfs/GEI-1810-88.pdf#page=11","Abrir facsímil")</f>
        <v>Abrir facsímil</v>
      </c>
      <c r="K7055" s="3" t="s">
        <v>76</v>
      </c>
    </row>
    <row r="7056" spans="1:11" ht="42" customHeight="1">
      <c r="A7056" s="2" t="s">
        <v>17763</v>
      </c>
      <c r="B7056" s="2" t="s">
        <v>17764</v>
      </c>
      <c r="C7056" s="2" t="s">
        <v>225</v>
      </c>
      <c r="D7056" s="2" t="s">
        <v>27</v>
      </c>
      <c r="E7056" s="4">
        <v>-32732</v>
      </c>
      <c r="F7056" s="3" t="s">
        <v>545</v>
      </c>
      <c r="G7056" s="3" t="s">
        <v>90</v>
      </c>
      <c r="H7056" s="2" t="s">
        <v>74</v>
      </c>
      <c r="I7056" s="2" t="s">
        <v>17765</v>
      </c>
      <c r="J7056" s="3" t="str">
        <f>HYPERLINK("https://www.boe.es/gazeta/dias/1810/05/19/pdfs/GMD-1810-139.pdf#page=4","Abrir facsímil")</f>
        <v>Abrir facsímil</v>
      </c>
      <c r="K7056" s="3" t="s">
        <v>76</v>
      </c>
    </row>
    <row r="7057" spans="1:11" ht="42" customHeight="1">
      <c r="A7057" s="2" t="s">
        <v>17766</v>
      </c>
      <c r="B7057" s="2" t="s">
        <v>17767</v>
      </c>
      <c r="C7057" s="2" t="s">
        <v>33</v>
      </c>
      <c r="D7057" s="2" t="s">
        <v>27</v>
      </c>
      <c r="E7057" s="4">
        <v>-32543</v>
      </c>
      <c r="F7057" s="3" t="s">
        <v>69</v>
      </c>
      <c r="G7057" s="3" t="s">
        <v>70</v>
      </c>
      <c r="H7057" s="2" t="s">
        <v>74</v>
      </c>
      <c r="I7057" s="2" t="s">
        <v>17768</v>
      </c>
      <c r="J7057" s="3" t="str">
        <f>HYPERLINK("https://www.boe.es/gazeta/dias/1810/11/24/pdfs/GEI-1810-99.pdf#page=8","Abrir facsímil")</f>
        <v>Abrir facsímil</v>
      </c>
      <c r="K7057" s="3" t="s">
        <v>76</v>
      </c>
    </row>
    <row r="7058" spans="1:11" ht="42" customHeight="1">
      <c r="A7058" s="2" t="s">
        <v>17769</v>
      </c>
      <c r="B7058" s="2" t="s">
        <v>17770</v>
      </c>
      <c r="C7058" s="2" t="s">
        <v>26</v>
      </c>
      <c r="D7058" s="2" t="s">
        <v>27</v>
      </c>
      <c r="E7058" s="4">
        <v>-32533</v>
      </c>
      <c r="F7058" s="3" t="s">
        <v>1357</v>
      </c>
      <c r="G7058" s="3" t="s">
        <v>701</v>
      </c>
      <c r="H7058" s="2" t="s">
        <v>74</v>
      </c>
      <c r="I7058" s="2" t="s">
        <v>17771</v>
      </c>
      <c r="J7058" s="3" t="str">
        <f>HYPERLINK("https://www.boe.es/gazeta/dias/1810/12/04/pdfs/GEI-1810-103.pdf#page=8","Abrir facsímil")</f>
        <v>Abrir facsímil</v>
      </c>
      <c r="K7058" s="3" t="s">
        <v>76</v>
      </c>
    </row>
    <row r="7059" spans="1:11" ht="42" customHeight="1">
      <c r="A7059" s="2" t="s">
        <v>17772</v>
      </c>
      <c r="B7059" s="2" t="s">
        <v>17772</v>
      </c>
      <c r="C7059" s="2" t="s">
        <v>88</v>
      </c>
      <c r="D7059" s="2" t="s">
        <v>27</v>
      </c>
      <c r="E7059" s="4">
        <v>-32723</v>
      </c>
      <c r="F7059" s="3" t="s">
        <v>464</v>
      </c>
      <c r="G7059" s="3" t="s">
        <v>469</v>
      </c>
      <c r="H7059" s="2" t="s">
        <v>74</v>
      </c>
      <c r="I7059" s="2" t="s">
        <v>17773</v>
      </c>
      <c r="J7059" s="3" t="str">
        <f>HYPERLINK("https://www.boe.es/gazeta/dias/1810/05/28/pdfs/GMD-1810-148.pdf#page=4","Abrir facsímil")</f>
        <v>Abrir facsímil</v>
      </c>
      <c r="K7059" s="3" t="s">
        <v>76</v>
      </c>
    </row>
    <row r="7060" spans="1:11" ht="42" customHeight="1">
      <c r="A7060" s="2" t="s">
        <v>17774</v>
      </c>
      <c r="B7060" s="2" t="s">
        <v>17774</v>
      </c>
      <c r="C7060" s="2" t="s">
        <v>88</v>
      </c>
      <c r="D7060" s="2" t="s">
        <v>117</v>
      </c>
      <c r="E7060" s="4">
        <v>-32675</v>
      </c>
      <c r="F7060" s="3" t="s">
        <v>729</v>
      </c>
      <c r="G7060" s="3" t="s">
        <v>227</v>
      </c>
      <c r="H7060" s="2" t="s">
        <v>74</v>
      </c>
      <c r="I7060" s="2" t="s">
        <v>17775</v>
      </c>
      <c r="J7060" s="3" t="str">
        <f>HYPERLINK("https://www.boe.es/gazeta/dias/1810/07/15/pdfs/GMD-1810-196.pdf#page=3","Abrir facsímil")</f>
        <v>Abrir facsímil</v>
      </c>
      <c r="K7060" s="3" t="s">
        <v>76</v>
      </c>
    </row>
    <row r="7061" spans="1:11" ht="42" customHeight="1">
      <c r="A7061" s="2" t="s">
        <v>17776</v>
      </c>
      <c r="B7061" s="2" t="s">
        <v>17776</v>
      </c>
      <c r="C7061" s="2" t="s">
        <v>26</v>
      </c>
      <c r="D7061" s="2" t="s">
        <v>220</v>
      </c>
      <c r="E7061" s="4">
        <v>-32823</v>
      </c>
      <c r="F7061" s="3" t="s">
        <v>4250</v>
      </c>
      <c r="G7061" s="3" t="s">
        <v>140</v>
      </c>
      <c r="H7061" s="2" t="s">
        <v>74</v>
      </c>
      <c r="I7061" s="2" t="s">
        <v>17777</v>
      </c>
      <c r="J7061" s="3" t="str">
        <f>HYPERLINK("https://www.boe.es/gazeta/dias/1810/02/17/pdfs/GMD-1810-48.pdf#page=2","Abrir facsímil")</f>
        <v>Abrir facsímil</v>
      </c>
      <c r="K7061" s="3" t="s">
        <v>76</v>
      </c>
    </row>
    <row r="7062" spans="1:11" ht="42" customHeight="1">
      <c r="A7062" s="2" t="s">
        <v>17776</v>
      </c>
      <c r="B7062" s="2" t="s">
        <v>17776</v>
      </c>
      <c r="C7062" s="2" t="s">
        <v>26</v>
      </c>
      <c r="D7062" s="2" t="s">
        <v>220</v>
      </c>
      <c r="E7062" s="4">
        <v>-32792</v>
      </c>
      <c r="F7062" s="3" t="s">
        <v>2387</v>
      </c>
      <c r="G7062" s="3" t="s">
        <v>180</v>
      </c>
      <c r="H7062" s="2" t="s">
        <v>74</v>
      </c>
      <c r="I7062" s="2" t="s">
        <v>17778</v>
      </c>
      <c r="J7062" s="3" t="str">
        <f>HYPERLINK("https://www.boe.es/gazeta/dias/1810/03/20/pdfs/GEI-1810-4.pdf#page=3","Abrir facsímil")</f>
        <v>Abrir facsímil</v>
      </c>
      <c r="K7062" s="3" t="s">
        <v>76</v>
      </c>
    </row>
    <row r="7063" spans="1:11" ht="42" customHeight="1">
      <c r="A7063" s="2" t="s">
        <v>17779</v>
      </c>
      <c r="B7063" s="2" t="s">
        <v>17780</v>
      </c>
      <c r="C7063" s="2" t="s">
        <v>26</v>
      </c>
      <c r="D7063" s="2" t="s">
        <v>27</v>
      </c>
      <c r="E7063" s="4">
        <v>-32842</v>
      </c>
      <c r="F7063" s="3" t="s">
        <v>1291</v>
      </c>
      <c r="G7063" s="3" t="s">
        <v>1292</v>
      </c>
      <c r="H7063" s="2" t="s">
        <v>74</v>
      </c>
      <c r="I7063" s="2" t="s">
        <v>17781</v>
      </c>
      <c r="J7063" s="3" t="str">
        <f>HYPERLINK("https://www.boe.es/gazeta/dias/1810/01/29/pdfs/GMD-1810-29.pdf#page=3","Abrir facsímil")</f>
        <v>Abrir facsímil</v>
      </c>
      <c r="K7063" s="3" t="s">
        <v>76</v>
      </c>
    </row>
    <row r="7064" spans="1:11" ht="42" customHeight="1">
      <c r="A7064" s="2" t="s">
        <v>17782</v>
      </c>
      <c r="B7064" s="2" t="s">
        <v>17782</v>
      </c>
      <c r="C7064" s="2" t="s">
        <v>88</v>
      </c>
      <c r="D7064" s="2" t="s">
        <v>117</v>
      </c>
      <c r="E7064" s="4">
        <v>-32645</v>
      </c>
      <c r="F7064" s="3" t="s">
        <v>2492</v>
      </c>
      <c r="G7064" s="3" t="s">
        <v>29</v>
      </c>
      <c r="H7064" s="2" t="s">
        <v>74</v>
      </c>
      <c r="I7064" s="2" t="s">
        <v>17783</v>
      </c>
      <c r="J7064" s="3" t="str">
        <f>HYPERLINK("https://www.boe.es/gazeta/dias/1810/08/14/pdfs/GEI-D-1810-56.pdf#page=1","Abrir facsímil")</f>
        <v>Abrir facsímil</v>
      </c>
      <c r="K7064" s="3" t="s">
        <v>76</v>
      </c>
    </row>
    <row r="7065" spans="1:11" ht="42" customHeight="1">
      <c r="A7065" s="2" t="s">
        <v>17784</v>
      </c>
      <c r="B7065" s="2" t="s">
        <v>17784</v>
      </c>
      <c r="C7065" s="2" t="s">
        <v>88</v>
      </c>
      <c r="D7065" s="2" t="s">
        <v>117</v>
      </c>
      <c r="E7065" s="4">
        <v>-32845</v>
      </c>
      <c r="F7065" s="3" t="s">
        <v>1454</v>
      </c>
      <c r="G7065" s="3" t="s">
        <v>1656</v>
      </c>
      <c r="H7065" s="2" t="s">
        <v>74</v>
      </c>
      <c r="I7065" s="2" t="s">
        <v>17785</v>
      </c>
      <c r="J7065" s="3" t="str">
        <f>HYPERLINK("https://www.boe.es/gazeta/dias/1810/01/26/pdfs/GMD-1810-26.pdf#page=1","Abrir facsímil")</f>
        <v>Abrir facsímil</v>
      </c>
      <c r="K7065" s="3" t="s">
        <v>76</v>
      </c>
    </row>
    <row r="7066" spans="1:11" ht="42" customHeight="1">
      <c r="A7066" s="2" t="s">
        <v>17784</v>
      </c>
      <c r="B7066" s="2" t="s">
        <v>17784</v>
      </c>
      <c r="C7066" s="2" t="s">
        <v>88</v>
      </c>
      <c r="D7066" s="2" t="s">
        <v>117</v>
      </c>
      <c r="E7066" s="4">
        <v>-32670</v>
      </c>
      <c r="F7066" s="3" t="s">
        <v>1942</v>
      </c>
      <c r="G7066" s="3" t="s">
        <v>7131</v>
      </c>
      <c r="H7066" s="2" t="s">
        <v>74</v>
      </c>
      <c r="I7066" s="2" t="s">
        <v>17786</v>
      </c>
      <c r="J7066" s="3" t="str">
        <f>HYPERLINK("https://www.boe.es/gazeta/dias/1810/07/20/pdfs/GEI-1810-46.pdf#page=4","Abrir facsímil")</f>
        <v>Abrir facsímil</v>
      </c>
      <c r="K7066" s="3" t="s">
        <v>76</v>
      </c>
    </row>
    <row r="7067" spans="1:11" ht="42" customHeight="1">
      <c r="A7067" s="2" t="s">
        <v>17784</v>
      </c>
      <c r="B7067" s="2" t="s">
        <v>17784</v>
      </c>
      <c r="C7067" s="2" t="s">
        <v>88</v>
      </c>
      <c r="D7067" s="2" t="s">
        <v>117</v>
      </c>
      <c r="E7067" s="4">
        <v>-32670</v>
      </c>
      <c r="F7067" s="3" t="s">
        <v>1942</v>
      </c>
      <c r="G7067" s="3" t="s">
        <v>5818</v>
      </c>
      <c r="H7067" s="2" t="s">
        <v>74</v>
      </c>
      <c r="I7067" s="2" t="s">
        <v>17787</v>
      </c>
      <c r="J7067" s="3" t="str">
        <f>HYPERLINK("https://www.boe.es/gazeta/dias/1810/07/20/pdfs/GEI-1810-46.pdf#page=8","Abrir facsímil")</f>
        <v>Abrir facsímil</v>
      </c>
      <c r="K7067" s="3" t="s">
        <v>76</v>
      </c>
    </row>
    <row r="7068" spans="1:11" ht="42" customHeight="1">
      <c r="A7068" s="2" t="s">
        <v>17784</v>
      </c>
      <c r="B7068" s="2" t="s">
        <v>17784</v>
      </c>
      <c r="C7068" s="2" t="s">
        <v>88</v>
      </c>
      <c r="D7068" s="2" t="s">
        <v>27</v>
      </c>
      <c r="E7068" s="4">
        <v>-32656</v>
      </c>
      <c r="F7068" s="3" t="s">
        <v>1909</v>
      </c>
      <c r="G7068" s="3" t="s">
        <v>227</v>
      </c>
      <c r="H7068" s="2" t="s">
        <v>74</v>
      </c>
      <c r="I7068" s="2" t="s">
        <v>17788</v>
      </c>
      <c r="J7068" s="3" t="str">
        <f>HYPERLINK("https://www.boe.es/gazeta/dias/1810/08/03/pdfs/GEI-1810-50.pdf#page=8","Abrir facsímil")</f>
        <v>Abrir facsímil</v>
      </c>
      <c r="K7068" s="3" t="s">
        <v>76</v>
      </c>
    </row>
    <row r="7069" spans="1:11" ht="42" customHeight="1">
      <c r="A7069" s="2" t="s">
        <v>17784</v>
      </c>
      <c r="B7069" s="2" t="s">
        <v>17784</v>
      </c>
      <c r="C7069" s="2" t="s">
        <v>88</v>
      </c>
      <c r="D7069" s="2" t="s">
        <v>27</v>
      </c>
      <c r="E7069" s="4">
        <v>-32638</v>
      </c>
      <c r="F7069" s="3" t="s">
        <v>2498</v>
      </c>
      <c r="G7069" s="3" t="s">
        <v>119</v>
      </c>
      <c r="H7069" s="2" t="s">
        <v>74</v>
      </c>
      <c r="I7069" s="2" t="s">
        <v>17789</v>
      </c>
      <c r="J7069" s="3" t="str">
        <f>HYPERLINK("https://www.boe.es/gazeta/dias/1810/08/21/pdfs/GEI-1810-58.pdf#page=2","Abrir facsímil")</f>
        <v>Abrir facsímil</v>
      </c>
      <c r="K7069" s="3" t="s">
        <v>76</v>
      </c>
    </row>
    <row r="7070" spans="1:11" ht="42" customHeight="1">
      <c r="A7070" s="2" t="s">
        <v>17784</v>
      </c>
      <c r="B7070" s="2" t="s">
        <v>17784</v>
      </c>
      <c r="C7070" s="2" t="s">
        <v>88</v>
      </c>
      <c r="D7070" s="2" t="s">
        <v>18</v>
      </c>
      <c r="E7070" s="4">
        <v>-32603</v>
      </c>
      <c r="F7070" s="3" t="s">
        <v>2163</v>
      </c>
      <c r="G7070" s="3" t="s">
        <v>90</v>
      </c>
      <c r="H7070" s="2" t="s">
        <v>74</v>
      </c>
      <c r="I7070" s="2" t="s">
        <v>17790</v>
      </c>
      <c r="J7070" s="3" t="str">
        <f>HYPERLINK("https://www.boe.es/gazeta/dias/1810/09/25/pdfs/GEI-1810-72.pdf#page=2","Abrir facsímil")</f>
        <v>Abrir facsímil</v>
      </c>
      <c r="K7070" s="3" t="s">
        <v>76</v>
      </c>
    </row>
    <row r="7071" spans="1:11" ht="42" customHeight="1">
      <c r="A7071" s="2" t="s">
        <v>17791</v>
      </c>
      <c r="B7071" s="2" t="s">
        <v>17791</v>
      </c>
      <c r="C7071" s="2" t="s">
        <v>88</v>
      </c>
      <c r="D7071" s="2" t="s">
        <v>27</v>
      </c>
      <c r="E7071" s="4">
        <v>-32597</v>
      </c>
      <c r="F7071" s="3" t="s">
        <v>2506</v>
      </c>
      <c r="G7071" s="3" t="s">
        <v>99</v>
      </c>
      <c r="H7071" s="2" t="s">
        <v>74</v>
      </c>
      <c r="I7071" s="2" t="s">
        <v>17792</v>
      </c>
      <c r="J7071" s="3" t="str">
        <f>HYPERLINK("https://www.boe.es/gazeta/dias/1810/10/01/pdfs/GMD-1810-274.pdf#page=3","Abrir facsímil")</f>
        <v>Abrir facsímil</v>
      </c>
      <c r="K7071" s="3" t="s">
        <v>76</v>
      </c>
    </row>
    <row r="7072" spans="1:11" ht="42" customHeight="1">
      <c r="A7072" s="2" t="s">
        <v>17784</v>
      </c>
      <c r="B7072" s="2" t="s">
        <v>17784</v>
      </c>
      <c r="C7072" s="2" t="s">
        <v>88</v>
      </c>
      <c r="D7072" s="2" t="s">
        <v>117</v>
      </c>
      <c r="E7072" s="4">
        <v>-32512</v>
      </c>
      <c r="F7072" s="3" t="s">
        <v>1920</v>
      </c>
      <c r="G7072" s="3" t="s">
        <v>131</v>
      </c>
      <c r="H7072" s="2" t="s">
        <v>74</v>
      </c>
      <c r="I7072" s="2" t="s">
        <v>17793</v>
      </c>
      <c r="J7072" s="3" t="str">
        <f>HYPERLINK("https://www.boe.es/gazeta/dias/1810/12/25/pdfs/GEI-1810-112.pdf#page=3","Abrir facsímil")</f>
        <v>Abrir facsímil</v>
      </c>
      <c r="K7072" s="3" t="s">
        <v>76</v>
      </c>
    </row>
    <row r="7073" spans="1:11" ht="42" customHeight="1">
      <c r="A7073" s="2" t="s">
        <v>17794</v>
      </c>
      <c r="B7073" s="2" t="s">
        <v>17794</v>
      </c>
      <c r="C7073" s="2" t="s">
        <v>88</v>
      </c>
      <c r="D7073" s="2" t="s">
        <v>117</v>
      </c>
      <c r="E7073" s="4">
        <v>-32584</v>
      </c>
      <c r="F7073" s="3" t="s">
        <v>1560</v>
      </c>
      <c r="G7073" s="3" t="s">
        <v>971</v>
      </c>
      <c r="H7073" s="2" t="s">
        <v>74</v>
      </c>
      <c r="I7073" s="2" t="s">
        <v>17795</v>
      </c>
      <c r="J7073" s="3" t="str">
        <f>HYPERLINK("https://www.boe.es/gazeta/dias/1810/10/14/pdfs/GMD-1810-287.pdf#page=3","Abrir facsímil")</f>
        <v>Abrir facsímil</v>
      </c>
      <c r="K7073" s="3" t="s">
        <v>76</v>
      </c>
    </row>
    <row r="7074" spans="1:11" ht="42" customHeight="1">
      <c r="A7074" s="2" t="s">
        <v>17796</v>
      </c>
      <c r="B7074" s="2" t="s">
        <v>17796</v>
      </c>
      <c r="C7074" s="2" t="s">
        <v>88</v>
      </c>
      <c r="D7074" s="2" t="s">
        <v>117</v>
      </c>
      <c r="E7074" s="4">
        <v>-32753</v>
      </c>
      <c r="F7074" s="3" t="s">
        <v>2789</v>
      </c>
      <c r="G7074" s="3" t="s">
        <v>658</v>
      </c>
      <c r="H7074" s="2" t="s">
        <v>74</v>
      </c>
      <c r="I7074" s="2" t="s">
        <v>17797</v>
      </c>
      <c r="J7074" s="3" t="str">
        <f>HYPERLINK("https://www.boe.es/gazeta/dias/1810/04/28/pdfs/GMD-1810-118.pdf#page=4","Abrir facsímil")</f>
        <v>Abrir facsímil</v>
      </c>
      <c r="K7074" s="3" t="s">
        <v>76</v>
      </c>
    </row>
    <row r="7075" spans="1:11" ht="42" customHeight="1">
      <c r="A7075" s="2" t="s">
        <v>17798</v>
      </c>
      <c r="B7075" s="2" t="s">
        <v>17798</v>
      </c>
      <c r="C7075" s="2" t="s">
        <v>88</v>
      </c>
      <c r="D7075" s="2" t="s">
        <v>27</v>
      </c>
      <c r="E7075" s="4">
        <v>-32611</v>
      </c>
      <c r="F7075" s="3" t="s">
        <v>604</v>
      </c>
      <c r="G7075" s="3" t="s">
        <v>29</v>
      </c>
      <c r="H7075" s="2" t="s">
        <v>74</v>
      </c>
      <c r="I7075" s="2" t="s">
        <v>17799</v>
      </c>
      <c r="J7075" s="3" t="str">
        <f>HYPERLINK("https://www.boe.es/gazeta/dias/1810/09/17/pdfs/GMD-1810-260.pdf#page=4","Abrir facsímil")</f>
        <v>Abrir facsímil</v>
      </c>
      <c r="K7075" s="3" t="s">
        <v>76</v>
      </c>
    </row>
    <row r="7076" spans="1:11" ht="42" customHeight="1">
      <c r="A7076" s="2" t="s">
        <v>17800</v>
      </c>
      <c r="B7076" s="2" t="s">
        <v>17800</v>
      </c>
      <c r="C7076" s="2" t="s">
        <v>17</v>
      </c>
      <c r="D7076" s="2" t="s">
        <v>27</v>
      </c>
      <c r="E7076" s="4">
        <v>-32663</v>
      </c>
      <c r="F7076" s="3" t="s">
        <v>1615</v>
      </c>
      <c r="G7076" s="3" t="s">
        <v>465</v>
      </c>
      <c r="H7076" s="2" t="s">
        <v>74</v>
      </c>
      <c r="I7076" s="2" t="s">
        <v>17801</v>
      </c>
      <c r="J7076" s="3" t="str">
        <f>HYPERLINK("https://www.boe.es/gazeta/dias/1810/07/27/pdfs/GMD-1810-208.pdf#page=4","Abrir facsímil")</f>
        <v>Abrir facsímil</v>
      </c>
      <c r="K7076" s="3" t="s">
        <v>76</v>
      </c>
    </row>
    <row r="7077" spans="1:11" ht="42" customHeight="1">
      <c r="A7077" s="2" t="s">
        <v>17802</v>
      </c>
      <c r="B7077" s="2" t="s">
        <v>17803</v>
      </c>
      <c r="C7077" s="2" t="s">
        <v>26</v>
      </c>
      <c r="D7077" s="2" t="s">
        <v>27</v>
      </c>
      <c r="E7077" s="4">
        <v>-32520</v>
      </c>
      <c r="F7077" s="3" t="s">
        <v>2109</v>
      </c>
      <c r="G7077" s="3" t="s">
        <v>2110</v>
      </c>
      <c r="H7077" s="2" t="s">
        <v>74</v>
      </c>
      <c r="I7077" s="2" t="s">
        <v>17804</v>
      </c>
      <c r="J7077" s="3" t="str">
        <f>HYPERLINK("https://www.boe.es/gazeta/dias/1810/12/17/pdfs/GMD-1810-351.pdf#page=2","Abrir facsímil")</f>
        <v>Abrir facsímil</v>
      </c>
      <c r="K7077" s="3" t="s">
        <v>76</v>
      </c>
    </row>
    <row r="7078" spans="1:11" ht="42" customHeight="1">
      <c r="A7078" s="2" t="s">
        <v>17805</v>
      </c>
      <c r="B7078" s="2" t="s">
        <v>17806</v>
      </c>
      <c r="C7078" s="2" t="s">
        <v>88</v>
      </c>
      <c r="D7078" s="2" t="s">
        <v>27</v>
      </c>
      <c r="E7078" s="4">
        <v>-32645</v>
      </c>
      <c r="F7078" s="3" t="s">
        <v>122</v>
      </c>
      <c r="G7078" s="3" t="s">
        <v>588</v>
      </c>
      <c r="H7078" s="2" t="s">
        <v>74</v>
      </c>
      <c r="I7078" s="2" t="s">
        <v>17807</v>
      </c>
      <c r="J7078" s="3" t="str">
        <f>HYPERLINK("https://www.boe.es/gazeta/dias/1810/08/14/pdfs/GEI-1810-56.pdf#page=15","Abrir facsímil")</f>
        <v>Abrir facsímil</v>
      </c>
      <c r="K7078" s="3" t="s">
        <v>76</v>
      </c>
    </row>
    <row r="7079" spans="1:11" ht="42" customHeight="1">
      <c r="A7079" s="2" t="s">
        <v>17808</v>
      </c>
      <c r="B7079" s="2" t="s">
        <v>17808</v>
      </c>
      <c r="C7079" s="2" t="s">
        <v>88</v>
      </c>
      <c r="D7079" s="2" t="s">
        <v>117</v>
      </c>
      <c r="E7079" s="4">
        <v>-32659</v>
      </c>
      <c r="F7079" s="3" t="s">
        <v>1684</v>
      </c>
      <c r="G7079" s="3" t="s">
        <v>8241</v>
      </c>
      <c r="H7079" s="2" t="s">
        <v>74</v>
      </c>
      <c r="I7079" s="2" t="s">
        <v>17809</v>
      </c>
      <c r="J7079" s="3" t="str">
        <f>HYPERLINK("https://www.boe.es/gazeta/dias/1810/07/31/pdfs/GMD-1810-212.pdf#page=3","Abrir facsímil")</f>
        <v>Abrir facsímil</v>
      </c>
      <c r="K7079" s="3" t="s">
        <v>76</v>
      </c>
    </row>
    <row r="7080" spans="1:11" ht="42" customHeight="1">
      <c r="A7080" s="2" t="s">
        <v>17810</v>
      </c>
      <c r="B7080" s="2" t="s">
        <v>17810</v>
      </c>
      <c r="C7080" s="2" t="s">
        <v>88</v>
      </c>
      <c r="D7080" s="2" t="s">
        <v>117</v>
      </c>
      <c r="E7080" s="4">
        <v>-32547</v>
      </c>
      <c r="F7080" s="3" t="s">
        <v>14328</v>
      </c>
      <c r="G7080" s="3" t="s">
        <v>35</v>
      </c>
      <c r="H7080" s="2" t="s">
        <v>74</v>
      </c>
      <c r="I7080" s="2" t="s">
        <v>17811</v>
      </c>
      <c r="J7080" s="3" t="str">
        <f>HYPERLINK("https://www.boe.es/gazeta/dias/1810/11/20/pdfs/GMD-1810-324.pdf#page=2","Abrir facsímil")</f>
        <v>Abrir facsímil</v>
      </c>
      <c r="K7080" s="3" t="s">
        <v>76</v>
      </c>
    </row>
    <row r="7081" spans="1:11" ht="42" customHeight="1">
      <c r="A7081" s="2" t="s">
        <v>17812</v>
      </c>
      <c r="B7081" s="2" t="s">
        <v>17813</v>
      </c>
      <c r="C7081" s="2" t="s">
        <v>17</v>
      </c>
      <c r="D7081" s="2" t="s">
        <v>27</v>
      </c>
      <c r="E7081" s="4">
        <v>-32817</v>
      </c>
      <c r="F7081" s="3" t="s">
        <v>450</v>
      </c>
      <c r="G7081" s="3" t="s">
        <v>227</v>
      </c>
      <c r="H7081" s="2" t="s">
        <v>74</v>
      </c>
      <c r="I7081" s="2" t="s">
        <v>17814</v>
      </c>
      <c r="J7081" s="3" t="str">
        <f>HYPERLINK("https://www.boe.es/gazeta/dias/1810/02/23/pdfs/GMD-1810-54.pdf#page=4","Abrir facsímil")</f>
        <v>Abrir facsímil</v>
      </c>
      <c r="K7081" s="3" t="s">
        <v>76</v>
      </c>
    </row>
    <row r="7082" spans="1:11" ht="42" customHeight="1">
      <c r="A7082" s="2" t="s">
        <v>17815</v>
      </c>
      <c r="B7082" s="2" t="s">
        <v>17816</v>
      </c>
      <c r="C7082" s="2" t="s">
        <v>26</v>
      </c>
      <c r="D7082" s="2" t="s">
        <v>39</v>
      </c>
      <c r="E7082" s="4">
        <v>-32661</v>
      </c>
      <c r="F7082" s="3" t="s">
        <v>157</v>
      </c>
      <c r="G7082" s="3" t="s">
        <v>158</v>
      </c>
      <c r="H7082" s="2" t="s">
        <v>74</v>
      </c>
      <c r="I7082" s="2" t="s">
        <v>17817</v>
      </c>
      <c r="J7082" s="3" t="str">
        <f>HYPERLINK("https://www.boe.es/gazeta/dias/1810/07/29/pdfs/GMD-C-1810-210.pdf#page=1","Abrir facsímil")</f>
        <v>Abrir facsímil</v>
      </c>
      <c r="K7082" s="3" t="s">
        <v>76</v>
      </c>
    </row>
    <row r="7083" spans="1:11" ht="42" customHeight="1">
      <c r="A7083" s="2" t="s">
        <v>17818</v>
      </c>
      <c r="B7083" s="2" t="s">
        <v>17818</v>
      </c>
      <c r="C7083" s="2" t="s">
        <v>26</v>
      </c>
      <c r="D7083" s="2" t="s">
        <v>27</v>
      </c>
      <c r="E7083" s="4">
        <v>-32517</v>
      </c>
      <c r="F7083" s="3" t="s">
        <v>979</v>
      </c>
      <c r="G7083" s="3" t="s">
        <v>213</v>
      </c>
      <c r="H7083" s="2" t="s">
        <v>74</v>
      </c>
      <c r="I7083" s="2" t="s">
        <v>17819</v>
      </c>
      <c r="J7083" s="3" t="str">
        <f>HYPERLINK("https://www.boe.es/gazeta/dias/1810/12/20/pdfs/GMD-1810-354.pdf#page=4","Abrir facsímil")</f>
        <v>Abrir facsímil</v>
      </c>
      <c r="K7083" s="3" t="s">
        <v>76</v>
      </c>
    </row>
    <row r="7084" spans="1:11" ht="42" customHeight="1">
      <c r="A7084" s="2" t="s">
        <v>17820</v>
      </c>
      <c r="B7084" s="2" t="s">
        <v>17821</v>
      </c>
      <c r="C7084" s="2" t="s">
        <v>26</v>
      </c>
      <c r="D7084" s="2" t="s">
        <v>39</v>
      </c>
      <c r="E7084" s="4">
        <v>-32661</v>
      </c>
      <c r="F7084" s="3" t="s">
        <v>157</v>
      </c>
      <c r="G7084" s="3" t="s">
        <v>158</v>
      </c>
      <c r="H7084" s="2" t="s">
        <v>74</v>
      </c>
      <c r="I7084" s="2" t="s">
        <v>17822</v>
      </c>
      <c r="J7084" s="3" t="str">
        <f>HYPERLINK("https://www.boe.es/gazeta/dias/1810/07/29/pdfs/GMD-C-1810-210.pdf#page=1","Abrir facsímil")</f>
        <v>Abrir facsímil</v>
      </c>
      <c r="K7084" s="3" t="s">
        <v>76</v>
      </c>
    </row>
    <row r="7085" spans="1:11" ht="42" customHeight="1">
      <c r="A7085" s="2" t="s">
        <v>17823</v>
      </c>
      <c r="B7085" s="2" t="s">
        <v>17824</v>
      </c>
      <c r="C7085" s="2" t="s">
        <v>26</v>
      </c>
      <c r="D7085" s="2" t="s">
        <v>39</v>
      </c>
      <c r="E7085" s="4">
        <v>-32701</v>
      </c>
      <c r="F7085" s="3" t="s">
        <v>40</v>
      </c>
      <c r="G7085" s="3" t="s">
        <v>315</v>
      </c>
      <c r="H7085" s="2" t="s">
        <v>74</v>
      </c>
      <c r="I7085" s="2" t="s">
        <v>17825</v>
      </c>
      <c r="J7085" s="3" t="str">
        <f>HYPERLINK("https://www.boe.es/gazeta/dias/1810/06/19/pdfs/GMD-C-1810-170.pdf#page=2","Abrir facsímil")</f>
        <v>Abrir facsímil</v>
      </c>
      <c r="K7085" s="3" t="s">
        <v>76</v>
      </c>
    </row>
    <row r="7086" spans="1:11" ht="42" customHeight="1">
      <c r="A7086" s="2" t="s">
        <v>17826</v>
      </c>
      <c r="B7086" s="2" t="s">
        <v>17826</v>
      </c>
      <c r="C7086" s="2" t="s">
        <v>88</v>
      </c>
      <c r="D7086" s="2" t="s">
        <v>27</v>
      </c>
      <c r="E7086" s="4">
        <v>-32631</v>
      </c>
      <c r="F7086" s="3" t="s">
        <v>497</v>
      </c>
      <c r="G7086" s="3" t="s">
        <v>16035</v>
      </c>
      <c r="H7086" s="2" t="s">
        <v>74</v>
      </c>
      <c r="I7086" s="2" t="s">
        <v>17827</v>
      </c>
      <c r="J7086" s="3" t="str">
        <f>HYPERLINK("https://www.boe.es/gazeta/dias/1810/08/28/pdfs/GMD-1810-240.pdf#page=1","Abrir facsímil")</f>
        <v>Abrir facsímil</v>
      </c>
      <c r="K7086" s="3" t="s">
        <v>76</v>
      </c>
    </row>
    <row r="7087" spans="1:11" ht="42" customHeight="1">
      <c r="A7087" s="2" t="s">
        <v>17828</v>
      </c>
      <c r="B7087" s="2" t="s">
        <v>17828</v>
      </c>
      <c r="C7087" s="2" t="s">
        <v>88</v>
      </c>
      <c r="D7087" s="2" t="s">
        <v>27</v>
      </c>
      <c r="E7087" s="4">
        <v>-32566</v>
      </c>
      <c r="F7087" s="3" t="s">
        <v>405</v>
      </c>
      <c r="G7087" s="3" t="s">
        <v>469</v>
      </c>
      <c r="H7087" s="2" t="s">
        <v>74</v>
      </c>
      <c r="I7087" s="2" t="s">
        <v>17829</v>
      </c>
      <c r="J7087" s="3" t="str">
        <f>HYPERLINK("https://www.boe.es/gazeta/dias/1810/11/01/pdfs/GMD-1810-305.pdf#page=2","Abrir facsímil")</f>
        <v>Abrir facsímil</v>
      </c>
      <c r="K7087" s="3" t="s">
        <v>76</v>
      </c>
    </row>
    <row r="7088" spans="1:11" ht="42" customHeight="1">
      <c r="A7088" s="2" t="s">
        <v>17830</v>
      </c>
      <c r="B7088" s="2" t="s">
        <v>17830</v>
      </c>
      <c r="C7088" s="2" t="s">
        <v>88</v>
      </c>
      <c r="D7088" s="2" t="s">
        <v>27</v>
      </c>
      <c r="E7088" s="4">
        <v>-32556</v>
      </c>
      <c r="F7088" s="3" t="s">
        <v>799</v>
      </c>
      <c r="G7088" s="3" t="s">
        <v>735</v>
      </c>
      <c r="H7088" s="2" t="s">
        <v>74</v>
      </c>
      <c r="I7088" s="2" t="s">
        <v>17831</v>
      </c>
      <c r="J7088" s="3" t="str">
        <f>HYPERLINK("https://www.boe.es/gazeta/dias/1810/11/11/pdfs/GMD-1810-315.pdf#page=3","Abrir facsímil")</f>
        <v>Abrir facsímil</v>
      </c>
      <c r="K7088" s="3" t="s">
        <v>76</v>
      </c>
    </row>
    <row r="7089" spans="1:11" ht="42" customHeight="1">
      <c r="A7089" s="2" t="s">
        <v>17832</v>
      </c>
      <c r="B7089" s="2" t="s">
        <v>17832</v>
      </c>
      <c r="C7089" s="2" t="s">
        <v>88</v>
      </c>
      <c r="D7089" s="2" t="s">
        <v>27</v>
      </c>
      <c r="E7089" s="4">
        <v>-32601</v>
      </c>
      <c r="F7089" s="3" t="s">
        <v>10916</v>
      </c>
      <c r="G7089" s="3" t="s">
        <v>227</v>
      </c>
      <c r="H7089" s="2" t="s">
        <v>74</v>
      </c>
      <c r="I7089" s="2" t="s">
        <v>17833</v>
      </c>
      <c r="J7089" s="3" t="str">
        <f>HYPERLINK("https://www.boe.es/gazeta/dias/1810/09/27/pdfs/GMD-1810-270.pdf#page=4","Abrir facsímil")</f>
        <v>Abrir facsímil</v>
      </c>
      <c r="K7089" s="3" t="s">
        <v>76</v>
      </c>
    </row>
    <row r="7090" spans="1:11" ht="42" customHeight="1">
      <c r="A7090" s="2" t="s">
        <v>17834</v>
      </c>
      <c r="B7090" s="2" t="s">
        <v>17834</v>
      </c>
      <c r="C7090" s="2" t="s">
        <v>88</v>
      </c>
      <c r="D7090" s="2" t="s">
        <v>117</v>
      </c>
      <c r="E7090" s="4">
        <v>-32594</v>
      </c>
      <c r="F7090" s="3" t="s">
        <v>885</v>
      </c>
      <c r="G7090" s="3" t="s">
        <v>17835</v>
      </c>
      <c r="H7090" s="2" t="s">
        <v>74</v>
      </c>
      <c r="I7090" s="2" t="s">
        <v>17836</v>
      </c>
      <c r="J7090" s="3" t="str">
        <f>HYPERLINK("https://www.boe.es/gazeta/dias/1810/10/04/pdfs/GEI-1810-77.pdf#page=4","Abrir facsímil")</f>
        <v>Abrir facsímil</v>
      </c>
      <c r="K7090" s="3" t="s">
        <v>76</v>
      </c>
    </row>
    <row r="7091" spans="1:11" ht="42" customHeight="1">
      <c r="A7091" s="2" t="s">
        <v>17834</v>
      </c>
      <c r="B7091" s="2" t="s">
        <v>17834</v>
      </c>
      <c r="C7091" s="2" t="s">
        <v>88</v>
      </c>
      <c r="D7091" s="2" t="s">
        <v>117</v>
      </c>
      <c r="E7091" s="4">
        <v>-32508</v>
      </c>
      <c r="F7091" s="3" t="s">
        <v>864</v>
      </c>
      <c r="G7091" s="3" t="s">
        <v>17837</v>
      </c>
      <c r="H7091" s="2" t="s">
        <v>74</v>
      </c>
      <c r="I7091" s="2" t="s">
        <v>17838</v>
      </c>
      <c r="J7091" s="3" t="str">
        <f>HYPERLINK("https://www.boe.es/gazeta/dias/1810/12/29/pdfs/GEI-1810-114.pdf#page=2","Abrir facsímil")</f>
        <v>Abrir facsímil</v>
      </c>
      <c r="K7091" s="3" t="s">
        <v>76</v>
      </c>
    </row>
    <row r="7092" spans="1:11" ht="42" customHeight="1">
      <c r="A7092" s="2" t="s">
        <v>17834</v>
      </c>
      <c r="B7092" s="2" t="s">
        <v>17834</v>
      </c>
      <c r="C7092" s="2" t="s">
        <v>88</v>
      </c>
      <c r="D7092" s="2" t="s">
        <v>117</v>
      </c>
      <c r="E7092" s="4">
        <v>-32508</v>
      </c>
      <c r="F7092" s="3" t="s">
        <v>864</v>
      </c>
      <c r="G7092" s="3" t="s">
        <v>17327</v>
      </c>
      <c r="H7092" s="2" t="s">
        <v>74</v>
      </c>
      <c r="I7092" s="2" t="s">
        <v>17839</v>
      </c>
      <c r="J7092" s="3" t="str">
        <f>HYPERLINK("https://www.boe.es/gazeta/dias/1810/12/29/pdfs/GEI-1810-114.pdf#page=3","Abrir facsímil")</f>
        <v>Abrir facsímil</v>
      </c>
      <c r="K7092" s="3" t="s">
        <v>76</v>
      </c>
    </row>
    <row r="7093" spans="1:11" ht="42" customHeight="1">
      <c r="A7093" s="2" t="s">
        <v>17840</v>
      </c>
      <c r="B7093" s="2" t="s">
        <v>17841</v>
      </c>
      <c r="C7093" s="2" t="s">
        <v>88</v>
      </c>
      <c r="D7093" s="2" t="s">
        <v>27</v>
      </c>
      <c r="E7093" s="4">
        <v>-32756</v>
      </c>
      <c r="F7093" s="3" t="s">
        <v>203</v>
      </c>
      <c r="G7093" s="3" t="s">
        <v>180</v>
      </c>
      <c r="H7093" s="2" t="s">
        <v>74</v>
      </c>
      <c r="I7093" s="2" t="s">
        <v>17842</v>
      </c>
      <c r="J7093" s="3" t="str">
        <f>HYPERLINK("https://www.boe.es/gazeta/dias/1810/04/25/pdfs/GMD-1810-115.pdf#page=4","Abrir facsímil")</f>
        <v>Abrir facsímil</v>
      </c>
      <c r="K7093" s="3" t="s">
        <v>76</v>
      </c>
    </row>
    <row r="7094" spans="1:11" ht="42" customHeight="1">
      <c r="A7094" s="2" t="s">
        <v>17843</v>
      </c>
      <c r="B7094" s="2" t="s">
        <v>17844</v>
      </c>
      <c r="C7094" s="2" t="s">
        <v>88</v>
      </c>
      <c r="D7094" s="2" t="s">
        <v>117</v>
      </c>
      <c r="E7094" s="4">
        <v>-32753</v>
      </c>
      <c r="F7094" s="3" t="s">
        <v>2789</v>
      </c>
      <c r="G7094" s="3" t="s">
        <v>658</v>
      </c>
      <c r="H7094" s="2" t="s">
        <v>74</v>
      </c>
      <c r="I7094" s="2" t="s">
        <v>17845</v>
      </c>
      <c r="J7094" s="3" t="str">
        <f>HYPERLINK("https://www.boe.es/gazeta/dias/1810/04/28/pdfs/GMD-1810-118.pdf#page=4","Abrir facsímil")</f>
        <v>Abrir facsímil</v>
      </c>
      <c r="K7094" s="3" t="s">
        <v>76</v>
      </c>
    </row>
    <row r="7095" spans="1:11" ht="42" customHeight="1">
      <c r="A7095" s="2" t="s">
        <v>17846</v>
      </c>
      <c r="B7095" s="2" t="s">
        <v>17847</v>
      </c>
      <c r="C7095" s="2" t="s">
        <v>88</v>
      </c>
      <c r="D7095" s="2" t="s">
        <v>27</v>
      </c>
      <c r="E7095" s="4">
        <v>-32763</v>
      </c>
      <c r="F7095" s="3" t="s">
        <v>1146</v>
      </c>
      <c r="G7095" s="3" t="s">
        <v>20</v>
      </c>
      <c r="H7095" s="2" t="s">
        <v>74</v>
      </c>
      <c r="I7095" s="2" t="s">
        <v>17848</v>
      </c>
      <c r="J7095" s="3" t="str">
        <f>HYPERLINK("https://www.boe.es/gazeta/dias/1810/04/18/pdfs/GMD-1810-108.pdf#page=4","Abrir facsímil")</f>
        <v>Abrir facsímil</v>
      </c>
      <c r="K7095" s="3" t="s">
        <v>76</v>
      </c>
    </row>
    <row r="7096" spans="1:11" ht="42" customHeight="1">
      <c r="A7096" s="2" t="s">
        <v>17849</v>
      </c>
      <c r="B7096" s="2" t="s">
        <v>17850</v>
      </c>
      <c r="C7096" s="2" t="s">
        <v>26</v>
      </c>
      <c r="D7096" s="2" t="s">
        <v>27</v>
      </c>
      <c r="E7096" s="4">
        <v>-32595</v>
      </c>
      <c r="F7096" s="3" t="s">
        <v>700</v>
      </c>
      <c r="G7096" s="3" t="s">
        <v>701</v>
      </c>
      <c r="H7096" s="2" t="s">
        <v>74</v>
      </c>
      <c r="I7096" s="2" t="s">
        <v>17851</v>
      </c>
      <c r="J7096" s="3" t="str">
        <f>HYPERLINK("https://www.boe.es/gazeta/dias/1810/10/03/pdfs/GMD-1810-276.pdf#page=3","Abrir facsímil")</f>
        <v>Abrir facsímil</v>
      </c>
      <c r="K7096" s="3" t="s">
        <v>76</v>
      </c>
    </row>
    <row r="7097" spans="1:11" ht="42" customHeight="1">
      <c r="A7097" s="2" t="s">
        <v>17852</v>
      </c>
      <c r="B7097" s="2" t="s">
        <v>17852</v>
      </c>
      <c r="C7097" s="2" t="s">
        <v>33</v>
      </c>
      <c r="D7097" s="2" t="s">
        <v>220</v>
      </c>
      <c r="E7097" s="4">
        <v>-32646</v>
      </c>
      <c r="F7097" s="3" t="s">
        <v>6939</v>
      </c>
      <c r="G7097" s="3" t="s">
        <v>99</v>
      </c>
      <c r="H7097" s="2" t="s">
        <v>74</v>
      </c>
      <c r="I7097" s="2" t="s">
        <v>17853</v>
      </c>
      <c r="J7097" s="3" t="str">
        <f>HYPERLINK("https://www.boe.es/gazeta/dias/1810/08/13/pdfs/GMD-1810-225.pdf#page=3","Abrir facsímil")</f>
        <v>Abrir facsímil</v>
      </c>
      <c r="K7097" s="3" t="s">
        <v>76</v>
      </c>
    </row>
    <row r="7098" spans="1:11" ht="42" customHeight="1">
      <c r="A7098" s="2" t="s">
        <v>17852</v>
      </c>
      <c r="B7098" s="2" t="s">
        <v>17852</v>
      </c>
      <c r="C7098" s="2" t="s">
        <v>33</v>
      </c>
      <c r="D7098" s="2" t="s">
        <v>220</v>
      </c>
      <c r="E7098" s="4">
        <v>-32630</v>
      </c>
      <c r="F7098" s="3" t="s">
        <v>3542</v>
      </c>
      <c r="G7098" s="3" t="s">
        <v>3543</v>
      </c>
      <c r="H7098" s="2" t="s">
        <v>74</v>
      </c>
      <c r="I7098" s="2" t="s">
        <v>17854</v>
      </c>
      <c r="J7098" s="3" t="str">
        <f>HYPERLINK("https://www.boe.es/gazeta/dias/1810/08/29/pdfs/GMD-1810-241.pdf#page=4","Abrir facsímil")</f>
        <v>Abrir facsímil</v>
      </c>
      <c r="K7098" s="3" t="s">
        <v>76</v>
      </c>
    </row>
    <row r="7099" spans="1:11" ht="42" customHeight="1">
      <c r="A7099" s="2" t="s">
        <v>17852</v>
      </c>
      <c r="B7099" s="2" t="s">
        <v>17852</v>
      </c>
      <c r="C7099" s="2" t="s">
        <v>33</v>
      </c>
      <c r="D7099" s="2" t="s">
        <v>220</v>
      </c>
      <c r="E7099" s="4">
        <v>-32620</v>
      </c>
      <c r="F7099" s="3" t="s">
        <v>1499</v>
      </c>
      <c r="G7099" s="3" t="s">
        <v>227</v>
      </c>
      <c r="H7099" s="2" t="s">
        <v>74</v>
      </c>
      <c r="I7099" s="2" t="s">
        <v>17855</v>
      </c>
      <c r="J7099" s="3" t="str">
        <f>HYPERLINK("https://www.boe.es/gazeta/dias/1810/09/08/pdfs/GMD-1810-251.pdf#page=2","Abrir facsímil")</f>
        <v>Abrir facsímil</v>
      </c>
      <c r="K7099" s="3" t="s">
        <v>76</v>
      </c>
    </row>
    <row r="7100" spans="1:11" ht="42" customHeight="1">
      <c r="A7100" s="2" t="s">
        <v>17852</v>
      </c>
      <c r="B7100" s="2" t="s">
        <v>17852</v>
      </c>
      <c r="C7100" s="2" t="s">
        <v>225</v>
      </c>
      <c r="D7100" s="2" t="s">
        <v>220</v>
      </c>
      <c r="E7100" s="4">
        <v>-32620</v>
      </c>
      <c r="F7100" s="3" t="s">
        <v>1499</v>
      </c>
      <c r="G7100" s="3" t="s">
        <v>20</v>
      </c>
      <c r="H7100" s="2" t="s">
        <v>74</v>
      </c>
      <c r="I7100" s="2" t="s">
        <v>17856</v>
      </c>
      <c r="J7100" s="3" t="str">
        <f>HYPERLINK("https://www.boe.es/gazeta/dias/1810/09/08/pdfs/GMD-1810-251.pdf#page=4","Abrir facsímil")</f>
        <v>Abrir facsímil</v>
      </c>
      <c r="K7100" s="3" t="s">
        <v>76</v>
      </c>
    </row>
    <row r="7101" spans="1:11" ht="42" customHeight="1">
      <c r="A7101" s="2" t="s">
        <v>17857</v>
      </c>
      <c r="B7101" s="2" t="s">
        <v>17857</v>
      </c>
      <c r="C7101" s="2" t="s">
        <v>26</v>
      </c>
      <c r="D7101" s="2" t="s">
        <v>220</v>
      </c>
      <c r="E7101" s="4">
        <v>-32635</v>
      </c>
      <c r="F7101" s="3" t="s">
        <v>8979</v>
      </c>
      <c r="G7101" s="3" t="s">
        <v>119</v>
      </c>
      <c r="H7101" s="2" t="s">
        <v>74</v>
      </c>
      <c r="I7101" s="2" t="s">
        <v>17858</v>
      </c>
      <c r="J7101" s="3" t="str">
        <f>HYPERLINK("https://www.boe.es/gazeta/dias/1810/08/24/pdfs/GMD-1810-236.pdf#page=3","Abrir facsímil")</f>
        <v>Abrir facsímil</v>
      </c>
      <c r="K7101" s="3" t="s">
        <v>76</v>
      </c>
    </row>
    <row r="7102" spans="1:11" ht="42" customHeight="1">
      <c r="A7102" s="2" t="s">
        <v>17859</v>
      </c>
      <c r="B7102" s="2" t="s">
        <v>17859</v>
      </c>
      <c r="C7102" s="2" t="s">
        <v>26</v>
      </c>
      <c r="D7102" s="2" t="s">
        <v>27</v>
      </c>
      <c r="E7102" s="4">
        <v>-32620</v>
      </c>
      <c r="F7102" s="3" t="s">
        <v>1499</v>
      </c>
      <c r="G7102" s="3" t="s">
        <v>20</v>
      </c>
      <c r="H7102" s="2" t="s">
        <v>74</v>
      </c>
      <c r="I7102" s="2" t="s">
        <v>17860</v>
      </c>
      <c r="J7102" s="3" t="str">
        <f>HYPERLINK("https://www.boe.es/gazeta/dias/1810/09/08/pdfs/GMD-1810-251.pdf#page=4","Abrir facsímil")</f>
        <v>Abrir facsímil</v>
      </c>
      <c r="K7102" s="3" t="s">
        <v>76</v>
      </c>
    </row>
    <row r="7103" spans="1:11" ht="42" customHeight="1">
      <c r="A7103" s="2" t="s">
        <v>17861</v>
      </c>
      <c r="B7103" s="2" t="s">
        <v>17862</v>
      </c>
      <c r="C7103" s="2" t="s">
        <v>26</v>
      </c>
      <c r="D7103" s="2" t="s">
        <v>27</v>
      </c>
      <c r="E7103" s="4">
        <v>-32761</v>
      </c>
      <c r="F7103" s="3" t="s">
        <v>811</v>
      </c>
      <c r="G7103" s="3" t="s">
        <v>140</v>
      </c>
      <c r="H7103" s="2" t="s">
        <v>74</v>
      </c>
      <c r="I7103" s="2" t="s">
        <v>17863</v>
      </c>
      <c r="J7103" s="3" t="str">
        <f>HYPERLINK("https://www.boe.es/gazeta/dias/1810/04/20/pdfs/GEI-1810-16.pdf#page=8","Abrir facsímil")</f>
        <v>Abrir facsímil</v>
      </c>
      <c r="K7103" s="3" t="s">
        <v>76</v>
      </c>
    </row>
    <row r="7104" spans="1:11" ht="42" customHeight="1">
      <c r="A7104" s="2" t="s">
        <v>17864</v>
      </c>
      <c r="B7104" s="2" t="s">
        <v>17865</v>
      </c>
      <c r="C7104" s="2" t="s">
        <v>26</v>
      </c>
      <c r="D7104" s="2" t="s">
        <v>39</v>
      </c>
      <c r="E7104" s="4">
        <v>-32650</v>
      </c>
      <c r="F7104" s="3" t="s">
        <v>765</v>
      </c>
      <c r="G7104" s="3" t="s">
        <v>16241</v>
      </c>
      <c r="H7104" s="2" t="s">
        <v>74</v>
      </c>
      <c r="I7104" s="2" t="s">
        <v>17866</v>
      </c>
      <c r="J7104" s="3" t="str">
        <f>HYPERLINK("https://www.boe.es/gazeta/dias/1810/08/09/pdfs/GMD-C-1810-221.pdf#page=4","Abrir facsímil")</f>
        <v>Abrir facsímil</v>
      </c>
      <c r="K7104" s="3" t="s">
        <v>76</v>
      </c>
    </row>
    <row r="7105" spans="1:11" ht="42" customHeight="1">
      <c r="A7105" s="2" t="s">
        <v>17867</v>
      </c>
      <c r="B7105" s="2" t="s">
        <v>17867</v>
      </c>
      <c r="C7105" s="2" t="s">
        <v>88</v>
      </c>
      <c r="D7105" s="2" t="s">
        <v>117</v>
      </c>
      <c r="E7105" s="4">
        <v>-32693</v>
      </c>
      <c r="F7105" s="3" t="s">
        <v>54</v>
      </c>
      <c r="G7105" s="3" t="s">
        <v>90</v>
      </c>
      <c r="H7105" s="2" t="s">
        <v>74</v>
      </c>
      <c r="I7105" s="2" t="s">
        <v>17868</v>
      </c>
      <c r="J7105" s="3" t="str">
        <f>HYPERLINK("https://www.boe.es/gazeta/dias/1810/06/27/pdfs/GMD-1810-178.pdf#page=2","Abrir facsímil")</f>
        <v>Abrir facsímil</v>
      </c>
      <c r="K7105" s="3" t="s">
        <v>76</v>
      </c>
    </row>
    <row r="7106" spans="1:11" ht="42" customHeight="1">
      <c r="A7106" s="2" t="s">
        <v>17869</v>
      </c>
      <c r="B7106" s="2" t="s">
        <v>17869</v>
      </c>
      <c r="C7106" s="2" t="s">
        <v>88</v>
      </c>
      <c r="D7106" s="2" t="s">
        <v>117</v>
      </c>
      <c r="E7106" s="4">
        <v>-32511</v>
      </c>
      <c r="F7106" s="3" t="s">
        <v>482</v>
      </c>
      <c r="G7106" s="3" t="s">
        <v>140</v>
      </c>
      <c r="H7106" s="2" t="s">
        <v>74</v>
      </c>
      <c r="I7106" s="2" t="s">
        <v>17870</v>
      </c>
      <c r="J7106" s="3" t="str">
        <f>HYPERLINK("https://www.boe.es/gazeta/dias/1810/12/26/pdfs/GMD-1810-360.pdf#page=1","Abrir facsímil")</f>
        <v>Abrir facsímil</v>
      </c>
      <c r="K7106" s="3" t="s">
        <v>76</v>
      </c>
    </row>
    <row r="7107" spans="1:11" ht="42" customHeight="1">
      <c r="A7107" s="2" t="s">
        <v>17871</v>
      </c>
      <c r="B7107" s="2" t="s">
        <v>17872</v>
      </c>
      <c r="C7107" s="2" t="s">
        <v>26</v>
      </c>
      <c r="D7107" s="2" t="s">
        <v>39</v>
      </c>
      <c r="E7107" s="4">
        <v>-32701</v>
      </c>
      <c r="F7107" s="3" t="s">
        <v>40</v>
      </c>
      <c r="G7107" s="3" t="s">
        <v>333</v>
      </c>
      <c r="H7107" s="2" t="s">
        <v>74</v>
      </c>
      <c r="I7107" s="2" t="s">
        <v>17873</v>
      </c>
      <c r="J7107" s="3" t="str">
        <f>HYPERLINK("https://www.boe.es/gazeta/dias/1810/06/19/pdfs/GMD-C-1810-170.pdf#page=4","Abrir facsímil")</f>
        <v>Abrir facsímil</v>
      </c>
      <c r="K7107" s="3" t="s">
        <v>76</v>
      </c>
    </row>
    <row r="7108" spans="1:11" ht="42" customHeight="1">
      <c r="A7108" s="2" t="s">
        <v>17874</v>
      </c>
      <c r="B7108" s="2" t="s">
        <v>17875</v>
      </c>
      <c r="C7108" s="2" t="s">
        <v>26</v>
      </c>
      <c r="D7108" s="2" t="s">
        <v>27</v>
      </c>
      <c r="E7108" s="4">
        <v>-32820</v>
      </c>
      <c r="F7108" s="3" t="s">
        <v>226</v>
      </c>
      <c r="G7108" s="3" t="s">
        <v>227</v>
      </c>
      <c r="H7108" s="2" t="s">
        <v>74</v>
      </c>
      <c r="I7108" s="2" t="s">
        <v>17876</v>
      </c>
      <c r="J7108" s="3" t="str">
        <f>HYPERLINK("https://www.boe.es/gazeta/dias/1810/02/20/pdfs/GMD-1810-51.pdf#page=4","Abrir facsímil")</f>
        <v>Abrir facsímil</v>
      </c>
      <c r="K7108" s="3" t="s">
        <v>76</v>
      </c>
    </row>
    <row r="7109" spans="1:11" ht="42" customHeight="1">
      <c r="A7109" s="2" t="s">
        <v>17877</v>
      </c>
      <c r="B7109" s="2" t="s">
        <v>17878</v>
      </c>
      <c r="C7109" s="2" t="s">
        <v>26</v>
      </c>
      <c r="D7109" s="2" t="s">
        <v>27</v>
      </c>
      <c r="E7109" s="4">
        <v>-32526</v>
      </c>
      <c r="F7109" s="3" t="s">
        <v>530</v>
      </c>
      <c r="G7109" s="3" t="s">
        <v>531</v>
      </c>
      <c r="H7109" s="2" t="s">
        <v>74</v>
      </c>
      <c r="I7109" s="2" t="s">
        <v>17879</v>
      </c>
      <c r="J7109" s="3" t="str">
        <f>HYPERLINK("https://www.boe.es/gazeta/dias/1810/12/11/pdfs/GEI-1810-106.pdf#page=2","Abrir facsímil")</f>
        <v>Abrir facsímil</v>
      </c>
      <c r="K7109" s="3" t="s">
        <v>76</v>
      </c>
    </row>
    <row r="7110" spans="1:11" ht="42" customHeight="1">
      <c r="A7110" s="2" t="s">
        <v>17880</v>
      </c>
      <c r="B7110" s="2" t="s">
        <v>17880</v>
      </c>
      <c r="C7110" s="2" t="s">
        <v>88</v>
      </c>
      <c r="D7110" s="2" t="s">
        <v>39</v>
      </c>
      <c r="E7110" s="4">
        <v>-32708</v>
      </c>
      <c r="F7110" s="3" t="s">
        <v>1601</v>
      </c>
      <c r="G7110" s="3" t="s">
        <v>180</v>
      </c>
      <c r="H7110" s="2" t="s">
        <v>74</v>
      </c>
      <c r="I7110" s="2" t="s">
        <v>17881</v>
      </c>
      <c r="J7110" s="3" t="str">
        <f>HYPERLINK("https://www.boe.es/gazeta/dias/1810/06/12/pdfs/GEI-D-1810-35.pdf#page=8","Abrir facsímil")</f>
        <v>Abrir facsímil</v>
      </c>
      <c r="K7110" s="3" t="s">
        <v>76</v>
      </c>
    </row>
    <row r="7111" spans="1:11" ht="42" customHeight="1">
      <c r="A7111" s="2" t="s">
        <v>17880</v>
      </c>
      <c r="B7111" s="2" t="s">
        <v>17880</v>
      </c>
      <c r="C7111" s="2" t="s">
        <v>88</v>
      </c>
      <c r="D7111" s="2" t="s">
        <v>27</v>
      </c>
      <c r="E7111" s="4">
        <v>-32645</v>
      </c>
      <c r="F7111" s="3" t="s">
        <v>122</v>
      </c>
      <c r="G7111" s="3" t="s">
        <v>1616</v>
      </c>
      <c r="H7111" s="2" t="s">
        <v>74</v>
      </c>
      <c r="I7111" s="2" t="s">
        <v>17882</v>
      </c>
      <c r="J7111" s="3" t="str">
        <f>HYPERLINK("https://www.boe.es/gazeta/dias/1810/08/14/pdfs/GEI-1810-56.pdf#page=9","Abrir facsímil")</f>
        <v>Abrir facsímil</v>
      </c>
      <c r="K7111" s="3" t="s">
        <v>76</v>
      </c>
    </row>
    <row r="7112" spans="1:11" ht="42" customHeight="1">
      <c r="A7112" s="2" t="s">
        <v>17880</v>
      </c>
      <c r="B7112" s="2" t="s">
        <v>17880</v>
      </c>
      <c r="C7112" s="2" t="s">
        <v>88</v>
      </c>
      <c r="D7112" s="2" t="s">
        <v>39</v>
      </c>
      <c r="E7112" s="4">
        <v>-32631</v>
      </c>
      <c r="F7112" s="3" t="s">
        <v>2830</v>
      </c>
      <c r="G7112" s="3" t="s">
        <v>3308</v>
      </c>
      <c r="H7112" s="2" t="s">
        <v>74</v>
      </c>
      <c r="I7112" s="2" t="s">
        <v>17883</v>
      </c>
      <c r="J7112" s="3" t="str">
        <f>HYPERLINK("https://www.boe.es/gazeta/dias/1810/08/28/pdfs/GEI-D-1810-60.pdf#page=2","Abrir facsímil")</f>
        <v>Abrir facsímil</v>
      </c>
      <c r="K7112" s="3" t="s">
        <v>76</v>
      </c>
    </row>
    <row r="7113" spans="1:11" ht="42" customHeight="1">
      <c r="A7113" s="2" t="s">
        <v>17880</v>
      </c>
      <c r="B7113" s="2" t="s">
        <v>17880</v>
      </c>
      <c r="C7113" s="2" t="s">
        <v>88</v>
      </c>
      <c r="D7113" s="2" t="s">
        <v>27</v>
      </c>
      <c r="E7113" s="4">
        <v>-32580</v>
      </c>
      <c r="F7113" s="3" t="s">
        <v>2508</v>
      </c>
      <c r="G7113" s="3" t="s">
        <v>1590</v>
      </c>
      <c r="H7113" s="2" t="s">
        <v>74</v>
      </c>
      <c r="I7113" s="2" t="s">
        <v>17884</v>
      </c>
      <c r="J7113" s="3" t="str">
        <f>HYPERLINK("https://www.boe.es/gazeta/dias/1810/10/18/pdfs/GEI-1810-83.pdf#page=2","Abrir facsímil")</f>
        <v>Abrir facsímil</v>
      </c>
      <c r="K7113" s="3" t="s">
        <v>76</v>
      </c>
    </row>
    <row r="7114" spans="1:11" ht="42" customHeight="1">
      <c r="A7114" s="2" t="s">
        <v>17880</v>
      </c>
      <c r="B7114" s="2" t="s">
        <v>17880</v>
      </c>
      <c r="C7114" s="2" t="s">
        <v>88</v>
      </c>
      <c r="D7114" s="2" t="s">
        <v>18</v>
      </c>
      <c r="E7114" s="4">
        <v>-32531</v>
      </c>
      <c r="F7114" s="3" t="s">
        <v>2483</v>
      </c>
      <c r="G7114" s="3" t="s">
        <v>90</v>
      </c>
      <c r="H7114" s="2" t="s">
        <v>74</v>
      </c>
      <c r="I7114" s="2" t="s">
        <v>17885</v>
      </c>
      <c r="J7114" s="3" t="str">
        <f>HYPERLINK("https://www.boe.es/gazeta/dias/1810/12/06/pdfs/GEI-1810-104.pdf#page=6","Abrir facsímil")</f>
        <v>Abrir facsímil</v>
      </c>
      <c r="K7114" s="3" t="s">
        <v>76</v>
      </c>
    </row>
    <row r="7115" spans="1:11" ht="42" customHeight="1">
      <c r="A7115" s="2" t="s">
        <v>17886</v>
      </c>
      <c r="B7115" s="2" t="s">
        <v>17887</v>
      </c>
      <c r="C7115" s="2" t="s">
        <v>33</v>
      </c>
      <c r="D7115" s="2" t="s">
        <v>27</v>
      </c>
      <c r="E7115" s="4">
        <v>-32710</v>
      </c>
      <c r="F7115" s="3" t="s">
        <v>126</v>
      </c>
      <c r="G7115" s="3" t="s">
        <v>184</v>
      </c>
      <c r="H7115" s="2" t="s">
        <v>74</v>
      </c>
      <c r="I7115" s="2" t="s">
        <v>17888</v>
      </c>
      <c r="J7115" s="3" t="str">
        <f>HYPERLINK("https://www.boe.es/gazeta/dias/1810/06/10/pdfs/GMD-1810-161.pdf#page=3","Abrir facsímil")</f>
        <v>Abrir facsímil</v>
      </c>
      <c r="K7115" s="3" t="s">
        <v>76</v>
      </c>
    </row>
    <row r="7116" spans="1:11" ht="42" customHeight="1">
      <c r="A7116" s="2" t="s">
        <v>17889</v>
      </c>
      <c r="B7116" s="2" t="s">
        <v>17889</v>
      </c>
      <c r="C7116" s="2" t="s">
        <v>317</v>
      </c>
      <c r="D7116" s="2" t="s">
        <v>27</v>
      </c>
      <c r="E7116" s="4">
        <v>-32534</v>
      </c>
      <c r="F7116" s="3" t="s">
        <v>2242</v>
      </c>
      <c r="G7116" s="3" t="s">
        <v>180</v>
      </c>
      <c r="H7116" s="2" t="s">
        <v>74</v>
      </c>
      <c r="I7116" s="2" t="s">
        <v>17890</v>
      </c>
      <c r="J7116" s="3" t="str">
        <f>HYPERLINK("https://www.boe.es/gazeta/dias/1810/12/03/pdfs/GMD-1810-337.pdf#page=3","Abrir facsímil")</f>
        <v>Abrir facsímil</v>
      </c>
      <c r="K7116" s="3" t="s">
        <v>76</v>
      </c>
    </row>
    <row r="7117" spans="1:11" ht="42" customHeight="1">
      <c r="A7117" s="2" t="s">
        <v>17891</v>
      </c>
      <c r="B7117" s="2" t="s">
        <v>17892</v>
      </c>
      <c r="C7117" s="2" t="s">
        <v>26</v>
      </c>
      <c r="D7117" s="2" t="s">
        <v>18</v>
      </c>
      <c r="E7117" s="4">
        <v>-32741</v>
      </c>
      <c r="F7117" s="3" t="s">
        <v>98</v>
      </c>
      <c r="G7117" s="3" t="s">
        <v>99</v>
      </c>
      <c r="H7117" s="2" t="s">
        <v>74</v>
      </c>
      <c r="I7117" s="2" t="s">
        <v>17893</v>
      </c>
      <c r="J7117" s="3" t="str">
        <f>HYPERLINK("https://www.boe.es/gazeta/dias/1810/05/10/pdfs/GMD-1810-130.pdf#page=3","Abrir facsímil")</f>
        <v>Abrir facsímil</v>
      </c>
      <c r="K7117" s="3" t="s">
        <v>76</v>
      </c>
    </row>
    <row r="7118" spans="1:11" ht="42" customHeight="1">
      <c r="A7118" s="2" t="s">
        <v>17894</v>
      </c>
      <c r="B7118" s="2" t="s">
        <v>17895</v>
      </c>
      <c r="C7118" s="2" t="s">
        <v>26</v>
      </c>
      <c r="D7118" s="2" t="s">
        <v>27</v>
      </c>
      <c r="E7118" s="4">
        <v>-32766</v>
      </c>
      <c r="F7118" s="3" t="s">
        <v>492</v>
      </c>
      <c r="G7118" s="3" t="s">
        <v>493</v>
      </c>
      <c r="H7118" s="2" t="s">
        <v>74</v>
      </c>
      <c r="I7118" s="2" t="s">
        <v>17896</v>
      </c>
      <c r="J7118" s="3" t="str">
        <f>HYPERLINK("https://www.boe.es/gazeta/dias/1810/04/15/pdfs/GMD-1810-105.pdf#page=4","Abrir facsímil")</f>
        <v>Abrir facsímil</v>
      </c>
      <c r="K7118" s="3" t="s">
        <v>76</v>
      </c>
    </row>
    <row r="7119" spans="1:11" ht="42" customHeight="1">
      <c r="A7119" s="2" t="s">
        <v>17897</v>
      </c>
      <c r="B7119" s="2" t="s">
        <v>17898</v>
      </c>
      <c r="C7119" s="2" t="s">
        <v>26</v>
      </c>
      <c r="D7119" s="2" t="s">
        <v>27</v>
      </c>
      <c r="E7119" s="4">
        <v>-32647</v>
      </c>
      <c r="F7119" s="3" t="s">
        <v>118</v>
      </c>
      <c r="G7119" s="3" t="s">
        <v>20</v>
      </c>
      <c r="H7119" s="2" t="s">
        <v>74</v>
      </c>
      <c r="I7119" s="2" t="s">
        <v>17899</v>
      </c>
      <c r="J7119" s="3" t="str">
        <f>HYPERLINK("https://www.boe.es/gazeta/dias/1810/08/12/pdfs/GMD-1810-224.pdf#page=4","Abrir facsímil")</f>
        <v>Abrir facsímil</v>
      </c>
      <c r="K7119" s="3" t="s">
        <v>76</v>
      </c>
    </row>
    <row r="7120" spans="1:11" ht="42" customHeight="1">
      <c r="A7120" s="2" t="s">
        <v>17900</v>
      </c>
      <c r="B7120" s="2" t="s">
        <v>17901</v>
      </c>
      <c r="C7120" s="2" t="s">
        <v>26</v>
      </c>
      <c r="D7120" s="2" t="s">
        <v>39</v>
      </c>
      <c r="E7120" s="4">
        <v>-32701</v>
      </c>
      <c r="F7120" s="3" t="s">
        <v>40</v>
      </c>
      <c r="G7120" s="3" t="s">
        <v>170</v>
      </c>
      <c r="H7120" s="2" t="s">
        <v>74</v>
      </c>
      <c r="I7120" s="2" t="s">
        <v>17902</v>
      </c>
      <c r="J7120" s="3" t="str">
        <f>HYPERLINK("https://www.boe.es/gazeta/dias/1810/06/19/pdfs/GMD-C-1810-170.pdf#page=1","Abrir facsímil")</f>
        <v>Abrir facsímil</v>
      </c>
      <c r="K7120" s="3" t="s">
        <v>76</v>
      </c>
    </row>
    <row r="7121" spans="1:11" ht="42" customHeight="1">
      <c r="A7121" s="2" t="s">
        <v>17903</v>
      </c>
      <c r="B7121" s="2" t="s">
        <v>17904</v>
      </c>
      <c r="C7121" s="2" t="s">
        <v>26</v>
      </c>
      <c r="D7121" s="2" t="s">
        <v>18</v>
      </c>
      <c r="E7121" s="4">
        <v>-32601</v>
      </c>
      <c r="F7121" s="3" t="s">
        <v>392</v>
      </c>
      <c r="G7121" s="3" t="s">
        <v>35</v>
      </c>
      <c r="H7121" s="2" t="s">
        <v>74</v>
      </c>
      <c r="I7121" s="2" t="s">
        <v>17905</v>
      </c>
      <c r="J7121" s="3" t="str">
        <f>HYPERLINK("https://www.boe.es/gazeta/dias/1810/09/27/pdfs/GEI-1810-74E.pdf#page=2","Abrir facsímil")</f>
        <v>Abrir facsímil</v>
      </c>
      <c r="K7121" s="3" t="s">
        <v>76</v>
      </c>
    </row>
    <row r="7122" spans="1:11" ht="42" customHeight="1">
      <c r="A7122" s="2" t="s">
        <v>17906</v>
      </c>
      <c r="B7122" s="2" t="s">
        <v>17907</v>
      </c>
      <c r="C7122" s="2" t="s">
        <v>26</v>
      </c>
      <c r="D7122" s="2" t="s">
        <v>27</v>
      </c>
      <c r="E7122" s="4">
        <v>-32684</v>
      </c>
      <c r="F7122" s="3" t="s">
        <v>1373</v>
      </c>
      <c r="G7122" s="3" t="s">
        <v>1374</v>
      </c>
      <c r="H7122" s="2" t="s">
        <v>74</v>
      </c>
      <c r="I7122" s="2" t="s">
        <v>17908</v>
      </c>
      <c r="J7122" s="3" t="str">
        <f>HYPERLINK("https://www.boe.es/gazeta/dias/1810/07/06/pdfs/GEI-1810-42.pdf#page=8","Abrir facsímil")</f>
        <v>Abrir facsímil</v>
      </c>
      <c r="K7122" s="3" t="s">
        <v>76</v>
      </c>
    </row>
    <row r="7123" spans="1:11" ht="42" customHeight="1">
      <c r="A7123" s="2" t="s">
        <v>17909</v>
      </c>
      <c r="B7123" s="2" t="s">
        <v>17910</v>
      </c>
      <c r="C7123" s="2" t="s">
        <v>88</v>
      </c>
      <c r="D7123" s="2" t="s">
        <v>27</v>
      </c>
      <c r="E7123" s="4">
        <v>-32509</v>
      </c>
      <c r="F7123" s="3" t="s">
        <v>212</v>
      </c>
      <c r="G7123" s="3" t="s">
        <v>213</v>
      </c>
      <c r="H7123" s="2" t="s">
        <v>74</v>
      </c>
      <c r="I7123" s="2" t="s">
        <v>17911</v>
      </c>
      <c r="J7123" s="3" t="str">
        <f>HYPERLINK("https://www.boe.es/gazeta/dias/1810/12/28/pdfs/GMD-1810-362.pdf#page=4","Abrir facsímil")</f>
        <v>Abrir facsímil</v>
      </c>
      <c r="K7123" s="3" t="s">
        <v>76</v>
      </c>
    </row>
    <row r="7124" spans="1:11" ht="42" customHeight="1">
      <c r="A7124" s="2" t="s">
        <v>17912</v>
      </c>
      <c r="B7124" s="2" t="s">
        <v>17913</v>
      </c>
      <c r="C7124" s="2" t="s">
        <v>26</v>
      </c>
      <c r="D7124" s="2" t="s">
        <v>39</v>
      </c>
      <c r="E7124" s="4">
        <v>-32702</v>
      </c>
      <c r="F7124" s="3" t="s">
        <v>179</v>
      </c>
      <c r="G7124" s="3" t="s">
        <v>180</v>
      </c>
      <c r="H7124" s="2" t="s">
        <v>74</v>
      </c>
      <c r="I7124" s="2" t="s">
        <v>17914</v>
      </c>
      <c r="J7124" s="3" t="str">
        <f>HYPERLINK("https://www.boe.es/gazeta/dias/1810/06/18/pdfs/GMD-C-1810-169.pdf#page=2","Abrir facsímil")</f>
        <v>Abrir facsímil</v>
      </c>
      <c r="K7124" s="3" t="s">
        <v>76</v>
      </c>
    </row>
    <row r="7125" spans="1:11" ht="42" customHeight="1">
      <c r="A7125" s="2" t="s">
        <v>17915</v>
      </c>
      <c r="B7125" s="2" t="s">
        <v>17916</v>
      </c>
      <c r="C7125" s="2" t="s">
        <v>317</v>
      </c>
      <c r="D7125" s="2" t="s">
        <v>117</v>
      </c>
      <c r="E7125" s="4">
        <v>-32705</v>
      </c>
      <c r="F7125" s="3" t="s">
        <v>678</v>
      </c>
      <c r="G7125" s="3" t="s">
        <v>4591</v>
      </c>
      <c r="H7125" s="2" t="s">
        <v>74</v>
      </c>
      <c r="I7125" s="2" t="s">
        <v>17917</v>
      </c>
      <c r="J7125" s="3" t="str">
        <f>HYPERLINK("https://www.boe.es/gazeta/dias/1810/06/15/pdfs/GEI-1810-36.pdf#page=4","Abrir facsímil")</f>
        <v>Abrir facsímil</v>
      </c>
      <c r="K7125" s="3" t="s">
        <v>76</v>
      </c>
    </row>
    <row r="7126" spans="1:11" ht="42" customHeight="1">
      <c r="A7126" s="2" t="s">
        <v>17918</v>
      </c>
      <c r="B7126" s="2" t="s">
        <v>17919</v>
      </c>
      <c r="C7126" s="2" t="s">
        <v>88</v>
      </c>
      <c r="D7126" s="2" t="s">
        <v>18</v>
      </c>
      <c r="E7126" s="4">
        <v>-32693</v>
      </c>
      <c r="F7126" s="3" t="s">
        <v>54</v>
      </c>
      <c r="G7126" s="3" t="s">
        <v>20</v>
      </c>
      <c r="H7126" s="2" t="s">
        <v>74</v>
      </c>
      <c r="I7126" s="2" t="s">
        <v>17920</v>
      </c>
      <c r="J7126" s="3" t="str">
        <f>HYPERLINK("https://www.boe.es/gazeta/dias/1810/06/27/pdfs/GMD-1810-178.pdf#page=4","Abrir facsímil")</f>
        <v>Abrir facsímil</v>
      </c>
      <c r="K7126" s="3" t="s">
        <v>76</v>
      </c>
    </row>
    <row r="7127" spans="1:11" ht="42" customHeight="1">
      <c r="A7127" s="2" t="s">
        <v>17921</v>
      </c>
      <c r="B7127" s="2" t="s">
        <v>17922</v>
      </c>
      <c r="C7127" s="2" t="s">
        <v>33</v>
      </c>
      <c r="D7127" s="2" t="s">
        <v>27</v>
      </c>
      <c r="E7127" s="4">
        <v>-32515</v>
      </c>
      <c r="F7127" s="3" t="s">
        <v>351</v>
      </c>
      <c r="G7127" s="3" t="s">
        <v>352</v>
      </c>
      <c r="H7127" s="2" t="s">
        <v>74</v>
      </c>
      <c r="I7127" s="2" t="s">
        <v>17923</v>
      </c>
      <c r="J7127" s="3" t="str">
        <f>HYPERLINK("https://www.boe.es/gazeta/dias/1810/12/22/pdfs/GEI-1810-111.pdf#page=8","Abrir facsímil")</f>
        <v>Abrir facsímil</v>
      </c>
      <c r="K7127" s="3" t="s">
        <v>76</v>
      </c>
    </row>
    <row r="7128" spans="1:11" ht="42" customHeight="1">
      <c r="A7128" s="2" t="s">
        <v>17924</v>
      </c>
      <c r="B7128" s="2" t="s">
        <v>17925</v>
      </c>
      <c r="C7128" s="2" t="s">
        <v>88</v>
      </c>
      <c r="D7128" s="2" t="s">
        <v>27</v>
      </c>
      <c r="E7128" s="4">
        <v>-32784</v>
      </c>
      <c r="F7128" s="3" t="s">
        <v>429</v>
      </c>
      <c r="G7128" s="3" t="s">
        <v>1821</v>
      </c>
      <c r="H7128" s="2" t="s">
        <v>74</v>
      </c>
      <c r="I7128" s="2" t="s">
        <v>17926</v>
      </c>
      <c r="J7128" s="3" t="str">
        <f>HYPERLINK("https://www.boe.es/gazeta/dias/1810/03/28/pdfs/GMD-1810-87.pdf#page=4","Abrir facsímil")</f>
        <v>Abrir facsímil</v>
      </c>
      <c r="K7128" s="3" t="s">
        <v>76</v>
      </c>
    </row>
    <row r="7129" spans="1:11" ht="42" customHeight="1">
      <c r="A7129" s="2" t="s">
        <v>17927</v>
      </c>
      <c r="B7129" s="2" t="s">
        <v>17928</v>
      </c>
      <c r="C7129" s="2" t="s">
        <v>88</v>
      </c>
      <c r="D7129" s="2" t="s">
        <v>27</v>
      </c>
      <c r="E7129" s="4">
        <v>-32666</v>
      </c>
      <c r="F7129" s="3" t="s">
        <v>1913</v>
      </c>
      <c r="G7129" s="3" t="s">
        <v>1914</v>
      </c>
      <c r="H7129" s="2" t="s">
        <v>74</v>
      </c>
      <c r="I7129" s="2" t="s">
        <v>17929</v>
      </c>
      <c r="J7129" s="3" t="str">
        <f>HYPERLINK("https://www.boe.es/gazeta/dias/1810/07/24/pdfs/GMD-1810-205.pdf#page=4","Abrir facsímil")</f>
        <v>Abrir facsímil</v>
      </c>
      <c r="K7129" s="3" t="s">
        <v>76</v>
      </c>
    </row>
    <row r="7130" spans="1:11" ht="42" customHeight="1">
      <c r="A7130" s="2" t="s">
        <v>17930</v>
      </c>
      <c r="B7130" s="2" t="s">
        <v>17931</v>
      </c>
      <c r="C7130" s="2" t="s">
        <v>88</v>
      </c>
      <c r="D7130" s="2" t="s">
        <v>117</v>
      </c>
      <c r="E7130" s="4">
        <v>-32575</v>
      </c>
      <c r="F7130" s="3" t="s">
        <v>135</v>
      </c>
      <c r="G7130" s="3" t="s">
        <v>7908</v>
      </c>
      <c r="H7130" s="2" t="s">
        <v>74</v>
      </c>
      <c r="I7130" s="2" t="s">
        <v>17932</v>
      </c>
      <c r="J7130" s="3" t="str">
        <f>HYPERLINK("https://www.boe.es/gazeta/dias/1810/10/23/pdfs/GEI-1810-85.pdf#page=7","Abrir facsímil")</f>
        <v>Abrir facsímil</v>
      </c>
      <c r="K7130" s="3" t="s">
        <v>76</v>
      </c>
    </row>
    <row r="7131" spans="1:11" ht="42" customHeight="1">
      <c r="A7131" s="2" t="s">
        <v>17933</v>
      </c>
      <c r="B7131" s="2" t="s">
        <v>17934</v>
      </c>
      <c r="C7131" s="2" t="s">
        <v>26</v>
      </c>
      <c r="D7131" s="2" t="s">
        <v>18</v>
      </c>
      <c r="E7131" s="4">
        <v>-32601</v>
      </c>
      <c r="F7131" s="3" t="s">
        <v>392</v>
      </c>
      <c r="G7131" s="3" t="s">
        <v>35</v>
      </c>
      <c r="H7131" s="2" t="s">
        <v>74</v>
      </c>
      <c r="I7131" s="2" t="s">
        <v>17935</v>
      </c>
      <c r="J7131" s="3" t="str">
        <f>HYPERLINK("https://www.boe.es/gazeta/dias/1810/09/27/pdfs/GEI-1810-74E.pdf#page=2","Abrir facsímil")</f>
        <v>Abrir facsímil</v>
      </c>
      <c r="K7131" s="3" t="s">
        <v>76</v>
      </c>
    </row>
    <row r="7132" spans="1:11" ht="42" customHeight="1">
      <c r="A7132" s="2" t="s">
        <v>17936</v>
      </c>
      <c r="B7132" s="2" t="s">
        <v>17937</v>
      </c>
      <c r="C7132" s="2" t="s">
        <v>33</v>
      </c>
      <c r="D7132" s="2" t="s">
        <v>58</v>
      </c>
      <c r="E7132" s="4">
        <v>-32601</v>
      </c>
      <c r="F7132" s="3" t="s">
        <v>392</v>
      </c>
      <c r="G7132" s="3" t="s">
        <v>1430</v>
      </c>
      <c r="H7132" s="2" t="s">
        <v>74</v>
      </c>
      <c r="I7132" s="2" t="s">
        <v>17938</v>
      </c>
      <c r="J7132" s="3" t="str">
        <f>HYPERLINK("https://www.boe.es/gazeta/dias/1810/09/27/pdfs/GEI-1810-74E.pdf#page=3","Abrir facsímil")</f>
        <v>Abrir facsímil</v>
      </c>
      <c r="K7132" s="3" t="s">
        <v>76</v>
      </c>
    </row>
    <row r="7133" spans="1:11" ht="42" customHeight="1">
      <c r="A7133" s="2" t="s">
        <v>17939</v>
      </c>
      <c r="B7133" s="2" t="s">
        <v>17940</v>
      </c>
      <c r="C7133" s="2" t="s">
        <v>88</v>
      </c>
      <c r="D7133" s="2" t="s">
        <v>27</v>
      </c>
      <c r="E7133" s="4">
        <v>-32710</v>
      </c>
      <c r="F7133" s="3" t="s">
        <v>126</v>
      </c>
      <c r="G7133" s="3" t="s">
        <v>35</v>
      </c>
      <c r="H7133" s="2" t="s">
        <v>74</v>
      </c>
      <c r="I7133" s="2" t="s">
        <v>17941</v>
      </c>
      <c r="J7133" s="3" t="str">
        <f>HYPERLINK("https://www.boe.es/gazeta/dias/1810/06/10/pdfs/GMD-1810-161.pdf#page=2","Abrir facsímil")</f>
        <v>Abrir facsímil</v>
      </c>
      <c r="K7133" s="3" t="s">
        <v>76</v>
      </c>
    </row>
    <row r="7134" spans="1:11" ht="42" customHeight="1">
      <c r="A7134" s="2" t="s">
        <v>17939</v>
      </c>
      <c r="B7134" s="2" t="s">
        <v>17940</v>
      </c>
      <c r="C7134" s="2" t="s">
        <v>26</v>
      </c>
      <c r="D7134" s="2" t="s">
        <v>27</v>
      </c>
      <c r="E7134" s="4">
        <v>-32688</v>
      </c>
      <c r="F7134" s="3" t="s">
        <v>997</v>
      </c>
      <c r="G7134" s="3" t="s">
        <v>749</v>
      </c>
      <c r="H7134" s="2" t="s">
        <v>74</v>
      </c>
      <c r="I7134" s="2" t="s">
        <v>17942</v>
      </c>
      <c r="J7134" s="3" t="str">
        <f>HYPERLINK("https://www.boe.es/gazeta/dias/1810/07/02/pdfs/GMD-1810-183.pdf#page=4","Abrir facsímil")</f>
        <v>Abrir facsímil</v>
      </c>
      <c r="K7134" s="3" t="s">
        <v>76</v>
      </c>
    </row>
    <row r="7135" spans="1:11" ht="42" customHeight="1">
      <c r="A7135" s="2" t="s">
        <v>17943</v>
      </c>
      <c r="B7135" s="2" t="s">
        <v>17943</v>
      </c>
      <c r="C7135" s="2" t="s">
        <v>88</v>
      </c>
      <c r="D7135" s="2" t="s">
        <v>27</v>
      </c>
      <c r="E7135" s="4">
        <v>-32700</v>
      </c>
      <c r="F7135" s="3" t="s">
        <v>89</v>
      </c>
      <c r="G7135" s="3" t="s">
        <v>29</v>
      </c>
      <c r="H7135" s="2" t="s">
        <v>74</v>
      </c>
      <c r="I7135" s="2" t="s">
        <v>17944</v>
      </c>
      <c r="J7135" s="3" t="str">
        <f>HYPERLINK("https://www.boe.es/gazeta/dias/1810/06/20/pdfs/GMD-1810-171.pdf#page=3","Abrir facsímil")</f>
        <v>Abrir facsímil</v>
      </c>
      <c r="K7135" s="3" t="s">
        <v>76</v>
      </c>
    </row>
    <row r="7136" spans="1:11" ht="42" customHeight="1">
      <c r="A7136" s="2" t="s">
        <v>17945</v>
      </c>
      <c r="B7136" s="2" t="s">
        <v>17946</v>
      </c>
      <c r="C7136" s="2" t="s">
        <v>26</v>
      </c>
      <c r="D7136" s="2" t="s">
        <v>27</v>
      </c>
      <c r="E7136" s="4">
        <v>-32573</v>
      </c>
      <c r="F7136" s="3" t="s">
        <v>3120</v>
      </c>
      <c r="G7136" s="3" t="s">
        <v>16760</v>
      </c>
      <c r="H7136" s="2" t="s">
        <v>74</v>
      </c>
      <c r="I7136" s="2" t="s">
        <v>17947</v>
      </c>
      <c r="J7136" s="3" t="str">
        <f>HYPERLINK("https://www.boe.es/gazeta/dias/1810/10/25/pdfs/GEI-1810-86.pdf#page=8","Abrir facsímil")</f>
        <v>Abrir facsímil</v>
      </c>
      <c r="K7136" s="3" t="s">
        <v>76</v>
      </c>
    </row>
    <row r="7137" spans="1:11" ht="42" customHeight="1">
      <c r="A7137" s="2" t="s">
        <v>17948</v>
      </c>
      <c r="B7137" s="2" t="s">
        <v>17949</v>
      </c>
      <c r="C7137" s="2" t="s">
        <v>26</v>
      </c>
      <c r="D7137" s="2" t="s">
        <v>39</v>
      </c>
      <c r="E7137" s="4">
        <v>-32702</v>
      </c>
      <c r="F7137" s="3" t="s">
        <v>179</v>
      </c>
      <c r="G7137" s="3" t="s">
        <v>119</v>
      </c>
      <c r="H7137" s="2" t="s">
        <v>74</v>
      </c>
      <c r="I7137" s="2" t="s">
        <v>17950</v>
      </c>
      <c r="J7137" s="3" t="str">
        <f>HYPERLINK("https://www.boe.es/gazeta/dias/1810/06/18/pdfs/GMD-C-1810-169.pdf#page=1","Abrir facsímil")</f>
        <v>Abrir facsímil</v>
      </c>
      <c r="K7137" s="3" t="s">
        <v>76</v>
      </c>
    </row>
    <row r="7138" spans="1:11" ht="42" customHeight="1">
      <c r="A7138" s="2" t="s">
        <v>17951</v>
      </c>
      <c r="B7138" s="2" t="s">
        <v>17952</v>
      </c>
      <c r="C7138" s="2" t="s">
        <v>26</v>
      </c>
      <c r="D7138" s="2" t="s">
        <v>39</v>
      </c>
      <c r="E7138" s="4">
        <v>-32702</v>
      </c>
      <c r="F7138" s="3" t="s">
        <v>179</v>
      </c>
      <c r="G7138" s="3" t="s">
        <v>517</v>
      </c>
      <c r="H7138" s="2" t="s">
        <v>74</v>
      </c>
      <c r="I7138" s="2" t="s">
        <v>17953</v>
      </c>
      <c r="J7138" s="3" t="str">
        <f>HYPERLINK("https://www.boe.es/gazeta/dias/1810/06/18/pdfs/GMD-C-1810-169.pdf#page=3","Abrir facsímil")</f>
        <v>Abrir facsímil</v>
      </c>
      <c r="K7138" s="3" t="s">
        <v>76</v>
      </c>
    </row>
    <row r="7139" spans="1:11" ht="42" customHeight="1">
      <c r="A7139" s="2" t="s">
        <v>17954</v>
      </c>
      <c r="B7139" s="2" t="s">
        <v>17955</v>
      </c>
      <c r="C7139" s="2" t="s">
        <v>88</v>
      </c>
      <c r="D7139" s="2" t="s">
        <v>27</v>
      </c>
      <c r="E7139" s="4">
        <v>-32730</v>
      </c>
      <c r="F7139" s="3" t="s">
        <v>50</v>
      </c>
      <c r="G7139" s="3" t="s">
        <v>20</v>
      </c>
      <c r="H7139" s="2" t="s">
        <v>74</v>
      </c>
      <c r="I7139" s="2" t="s">
        <v>17956</v>
      </c>
      <c r="J7139" s="3" t="str">
        <f>HYPERLINK("https://www.boe.es/gazeta/dias/1810/05/21/pdfs/GMD-1810-141.pdf#page=4","Abrir facsímil")</f>
        <v>Abrir facsímil</v>
      </c>
      <c r="K7139" s="3" t="s">
        <v>76</v>
      </c>
    </row>
    <row r="7140" spans="1:11" ht="42" customHeight="1">
      <c r="A7140" s="2" t="s">
        <v>17957</v>
      </c>
      <c r="B7140" s="2" t="s">
        <v>17958</v>
      </c>
      <c r="C7140" s="2" t="s">
        <v>33</v>
      </c>
      <c r="D7140" s="2" t="s">
        <v>27</v>
      </c>
      <c r="E7140" s="4">
        <v>-32649</v>
      </c>
      <c r="F7140" s="3" t="s">
        <v>1988</v>
      </c>
      <c r="G7140" s="3" t="s">
        <v>227</v>
      </c>
      <c r="H7140" s="2" t="s">
        <v>74</v>
      </c>
      <c r="I7140" s="2" t="s">
        <v>17959</v>
      </c>
      <c r="J7140" s="3" t="str">
        <f>HYPERLINK("https://www.boe.es/gazeta/dias/1810/08/10/pdfs/GMD-1810-222.pdf#page=4","Abrir facsímil")</f>
        <v>Abrir facsímil</v>
      </c>
      <c r="K7140" s="3" t="s">
        <v>76</v>
      </c>
    </row>
    <row r="7141" spans="1:11" ht="42" customHeight="1">
      <c r="A7141" s="2" t="s">
        <v>17960</v>
      </c>
      <c r="B7141" s="2" t="s">
        <v>17961</v>
      </c>
      <c r="C7141" s="2" t="s">
        <v>88</v>
      </c>
      <c r="D7141" s="2" t="s">
        <v>27</v>
      </c>
      <c r="E7141" s="4">
        <v>-32712</v>
      </c>
      <c r="F7141" s="3" t="s">
        <v>667</v>
      </c>
      <c r="G7141" s="3" t="s">
        <v>668</v>
      </c>
      <c r="H7141" s="2" t="s">
        <v>74</v>
      </c>
      <c r="I7141" s="2" t="s">
        <v>17962</v>
      </c>
      <c r="J7141" s="3" t="str">
        <f>HYPERLINK("https://www.boe.es/gazeta/dias/1810/06/08/pdfs/GEI-1810-34.pdf#page=3","Abrir facsímil")</f>
        <v>Abrir facsímil</v>
      </c>
      <c r="K7141" s="3" t="s">
        <v>76</v>
      </c>
    </row>
    <row r="7142" spans="1:11" ht="42" customHeight="1">
      <c r="A7142" s="2" t="s">
        <v>17963</v>
      </c>
      <c r="B7142" s="2" t="s">
        <v>17964</v>
      </c>
      <c r="C7142" s="2" t="s">
        <v>17</v>
      </c>
      <c r="D7142" s="2" t="s">
        <v>18</v>
      </c>
      <c r="E7142" s="4">
        <v>-32741</v>
      </c>
      <c r="F7142" s="3" t="s">
        <v>98</v>
      </c>
      <c r="G7142" s="3" t="s">
        <v>99</v>
      </c>
      <c r="H7142" s="2" t="s">
        <v>74</v>
      </c>
      <c r="I7142" s="2" t="s">
        <v>17965</v>
      </c>
      <c r="J7142" s="3" t="str">
        <f>HYPERLINK("https://www.boe.es/gazeta/dias/1810/05/10/pdfs/GMD-1810-130.pdf#page=3","Abrir facsímil")</f>
        <v>Abrir facsímil</v>
      </c>
      <c r="K7142" s="3" t="s">
        <v>76</v>
      </c>
    </row>
    <row r="7143" spans="1:11" ht="42" customHeight="1">
      <c r="A7143" s="2" t="s">
        <v>17966</v>
      </c>
      <c r="B7143" s="2" t="s">
        <v>17966</v>
      </c>
      <c r="C7143" s="2" t="s">
        <v>88</v>
      </c>
      <c r="D7143" s="2" t="s">
        <v>18</v>
      </c>
      <c r="E7143" s="4">
        <v>-32659</v>
      </c>
      <c r="F7143" s="3" t="s">
        <v>1684</v>
      </c>
      <c r="G7143" s="3" t="s">
        <v>8241</v>
      </c>
      <c r="H7143" s="2" t="s">
        <v>74</v>
      </c>
      <c r="I7143" s="2" t="s">
        <v>17967</v>
      </c>
      <c r="J7143" s="3" t="str">
        <f>HYPERLINK("https://www.boe.es/gazeta/dias/1810/07/31/pdfs/GMD-1810-212.pdf#page=3","Abrir facsímil")</f>
        <v>Abrir facsímil</v>
      </c>
      <c r="K7143" s="3" t="s">
        <v>76</v>
      </c>
    </row>
    <row r="7144" spans="1:11" ht="42" customHeight="1">
      <c r="A7144" s="2" t="s">
        <v>17966</v>
      </c>
      <c r="B7144" s="2" t="s">
        <v>17966</v>
      </c>
      <c r="C7144" s="2" t="s">
        <v>88</v>
      </c>
      <c r="D7144" s="2" t="s">
        <v>117</v>
      </c>
      <c r="E7144" s="4">
        <v>-32645</v>
      </c>
      <c r="F7144" s="3" t="s">
        <v>122</v>
      </c>
      <c r="G7144" s="3" t="s">
        <v>1985</v>
      </c>
      <c r="H7144" s="2" t="s">
        <v>74</v>
      </c>
      <c r="I7144" s="2" t="s">
        <v>17968</v>
      </c>
      <c r="J7144" s="3" t="str">
        <f>HYPERLINK("https://www.boe.es/gazeta/dias/1810/08/14/pdfs/GEI-1810-56.pdf#page=13","Abrir facsímil")</f>
        <v>Abrir facsímil</v>
      </c>
      <c r="K7144" s="3" t="s">
        <v>76</v>
      </c>
    </row>
    <row r="7145" spans="1:11" ht="42" customHeight="1">
      <c r="A7145" s="2" t="s">
        <v>17969</v>
      </c>
      <c r="B7145" s="2" t="s">
        <v>17970</v>
      </c>
      <c r="C7145" s="2" t="s">
        <v>88</v>
      </c>
      <c r="D7145" s="2" t="s">
        <v>27</v>
      </c>
      <c r="E7145" s="4">
        <v>-32710</v>
      </c>
      <c r="F7145" s="3" t="s">
        <v>126</v>
      </c>
      <c r="G7145" s="3" t="s">
        <v>20</v>
      </c>
      <c r="H7145" s="2" t="s">
        <v>74</v>
      </c>
      <c r="I7145" s="2" t="s">
        <v>17971</v>
      </c>
      <c r="J7145" s="3" t="str">
        <f>HYPERLINK("https://www.boe.es/gazeta/dias/1810/06/10/pdfs/GMD-1810-161.pdf#page=4","Abrir facsímil")</f>
        <v>Abrir facsímil</v>
      </c>
      <c r="K7145" s="3" t="s">
        <v>76</v>
      </c>
    </row>
    <row r="7146" spans="1:11" ht="42" customHeight="1">
      <c r="A7146" s="2" t="s">
        <v>17972</v>
      </c>
      <c r="B7146" s="2" t="s">
        <v>17973</v>
      </c>
      <c r="C7146" s="2" t="s">
        <v>26</v>
      </c>
      <c r="D7146" s="2" t="s">
        <v>27</v>
      </c>
      <c r="E7146" s="4">
        <v>-32575</v>
      </c>
      <c r="F7146" s="3" t="s">
        <v>135</v>
      </c>
      <c r="G7146" s="3" t="s">
        <v>136</v>
      </c>
      <c r="H7146" s="2" t="s">
        <v>74</v>
      </c>
      <c r="I7146" s="2" t="s">
        <v>17974</v>
      </c>
      <c r="J7146" s="3" t="str">
        <f>HYPERLINK("https://www.boe.es/gazeta/dias/1810/10/23/pdfs/GEI-1810-85.pdf#page=11","Abrir facsímil")</f>
        <v>Abrir facsímil</v>
      </c>
      <c r="K7146" s="3" t="s">
        <v>76</v>
      </c>
    </row>
    <row r="7147" spans="1:11" ht="42" customHeight="1">
      <c r="A7147" s="2" t="s">
        <v>17975</v>
      </c>
      <c r="B7147" s="2" t="s">
        <v>17976</v>
      </c>
      <c r="C7147" s="2" t="s">
        <v>26</v>
      </c>
      <c r="D7147" s="2" t="s">
        <v>39</v>
      </c>
      <c r="E7147" s="4">
        <v>-32701</v>
      </c>
      <c r="F7147" s="3" t="s">
        <v>40</v>
      </c>
      <c r="G7147" s="3" t="s">
        <v>315</v>
      </c>
      <c r="H7147" s="2" t="s">
        <v>74</v>
      </c>
      <c r="I7147" s="2" t="s">
        <v>17977</v>
      </c>
      <c r="J7147" s="3" t="str">
        <f>HYPERLINK("https://www.boe.es/gazeta/dias/1810/06/19/pdfs/GMD-C-1810-170.pdf#page=2","Abrir facsímil")</f>
        <v>Abrir facsímil</v>
      </c>
      <c r="K7147" s="3" t="s">
        <v>76</v>
      </c>
    </row>
    <row r="7148" spans="1:11" ht="42" customHeight="1">
      <c r="A7148" s="2" t="s">
        <v>17978</v>
      </c>
      <c r="B7148" s="2" t="s">
        <v>17979</v>
      </c>
      <c r="C7148" s="2" t="s">
        <v>26</v>
      </c>
      <c r="D7148" s="2" t="s">
        <v>39</v>
      </c>
      <c r="E7148" s="4">
        <v>-32687</v>
      </c>
      <c r="F7148" s="3" t="s">
        <v>304</v>
      </c>
      <c r="G7148" s="3" t="s">
        <v>213</v>
      </c>
      <c r="H7148" s="2" t="s">
        <v>74</v>
      </c>
      <c r="I7148" s="2" t="s">
        <v>17980</v>
      </c>
      <c r="J7148" s="3" t="str">
        <f>HYPERLINK("https://www.boe.es/gazeta/dias/1810/07/03/pdfs/GMD-C-1810-184.pdf#page=3","Abrir facsímil")</f>
        <v>Abrir facsímil</v>
      </c>
      <c r="K7148" s="3" t="s">
        <v>76</v>
      </c>
    </row>
    <row r="7149" spans="1:11" ht="42" customHeight="1">
      <c r="A7149" s="2" t="s">
        <v>17981</v>
      </c>
      <c r="B7149" s="2" t="s">
        <v>17981</v>
      </c>
      <c r="C7149" s="2" t="s">
        <v>88</v>
      </c>
      <c r="D7149" s="2" t="s">
        <v>27</v>
      </c>
      <c r="E7149" s="4">
        <v>-32834</v>
      </c>
      <c r="F7149" s="3" t="s">
        <v>2746</v>
      </c>
      <c r="G7149" s="3" t="s">
        <v>20</v>
      </c>
      <c r="H7149" s="2" t="s">
        <v>74</v>
      </c>
      <c r="I7149" s="2" t="s">
        <v>17982</v>
      </c>
      <c r="J7149" s="3" t="str">
        <f>HYPERLINK("https://www.boe.es/gazeta/dias/1810/02/06/pdfs/GMD-1810-37.pdf#page=4","Abrir facsímil")</f>
        <v>Abrir facsímil</v>
      </c>
      <c r="K7149" s="3" t="s">
        <v>76</v>
      </c>
    </row>
    <row r="7150" spans="1:11" ht="42" customHeight="1">
      <c r="A7150" s="2" t="s">
        <v>17983</v>
      </c>
      <c r="B7150" s="2" t="s">
        <v>17984</v>
      </c>
      <c r="C7150" s="2" t="s">
        <v>26</v>
      </c>
      <c r="D7150" s="2" t="s">
        <v>58</v>
      </c>
      <c r="E7150" s="4">
        <v>-32651</v>
      </c>
      <c r="F7150" s="3" t="s">
        <v>59</v>
      </c>
      <c r="G7150" s="3" t="s">
        <v>60</v>
      </c>
      <c r="H7150" s="2" t="s">
        <v>74</v>
      </c>
      <c r="I7150" s="2" t="s">
        <v>17985</v>
      </c>
      <c r="J7150" s="3" t="str">
        <f>HYPERLINK("https://www.boe.es/gazeta/dias/1810/08/08/pdfs/GEI-1810-53E.pdf#page=3","Abrir facsímil")</f>
        <v>Abrir facsímil</v>
      </c>
      <c r="K7150" s="3" t="s">
        <v>76</v>
      </c>
    </row>
    <row r="7151" spans="1:11" ht="42" customHeight="1">
      <c r="A7151" s="2" t="s">
        <v>17986</v>
      </c>
      <c r="B7151" s="2" t="s">
        <v>17987</v>
      </c>
      <c r="C7151" s="2" t="s">
        <v>33</v>
      </c>
      <c r="D7151" s="2" t="s">
        <v>58</v>
      </c>
      <c r="E7151" s="4">
        <v>-32651</v>
      </c>
      <c r="F7151" s="3" t="s">
        <v>59</v>
      </c>
      <c r="G7151" s="3" t="s">
        <v>60</v>
      </c>
      <c r="H7151" s="2" t="s">
        <v>74</v>
      </c>
      <c r="I7151" s="2" t="s">
        <v>17988</v>
      </c>
      <c r="J7151" s="3" t="str">
        <f>HYPERLINK("https://www.boe.es/gazeta/dias/1810/08/08/pdfs/GEI-1810-53E.pdf#page=3","Abrir facsímil")</f>
        <v>Abrir facsímil</v>
      </c>
      <c r="K7151" s="3" t="s">
        <v>76</v>
      </c>
    </row>
    <row r="7152" spans="1:11" ht="42" customHeight="1">
      <c r="A7152" s="2" t="s">
        <v>17989</v>
      </c>
      <c r="B7152" s="2" t="s">
        <v>17990</v>
      </c>
      <c r="C7152" s="2" t="s">
        <v>26</v>
      </c>
      <c r="D7152" s="2" t="s">
        <v>39</v>
      </c>
      <c r="E7152" s="4">
        <v>-32684</v>
      </c>
      <c r="F7152" s="3" t="s">
        <v>295</v>
      </c>
      <c r="G7152" s="3" t="s">
        <v>213</v>
      </c>
      <c r="H7152" s="2" t="s">
        <v>74</v>
      </c>
      <c r="I7152" s="2" t="s">
        <v>17991</v>
      </c>
      <c r="J7152" s="3" t="str">
        <f>HYPERLINK("https://www.boe.es/gazeta/dias/1810/07/06/pdfs/GMD-C-1810-187.pdf#page=2","Abrir facsímil")</f>
        <v>Abrir facsímil</v>
      </c>
      <c r="K7152" s="3" t="s">
        <v>76</v>
      </c>
    </row>
    <row r="7153" spans="1:11" ht="42" customHeight="1">
      <c r="A7153" s="2" t="s">
        <v>17992</v>
      </c>
      <c r="B7153" s="2" t="s">
        <v>17993</v>
      </c>
      <c r="C7153" s="2" t="s">
        <v>26</v>
      </c>
      <c r="D7153" s="2" t="s">
        <v>27</v>
      </c>
      <c r="E7153" s="4">
        <v>-32710</v>
      </c>
      <c r="F7153" s="3" t="s">
        <v>126</v>
      </c>
      <c r="G7153" s="3" t="s">
        <v>184</v>
      </c>
      <c r="H7153" s="2" t="s">
        <v>74</v>
      </c>
      <c r="I7153" s="2" t="s">
        <v>17994</v>
      </c>
      <c r="J7153" s="3" t="str">
        <f>HYPERLINK("https://www.boe.es/gazeta/dias/1810/06/10/pdfs/GMD-1810-161.pdf#page=3","Abrir facsímil")</f>
        <v>Abrir facsímil</v>
      </c>
      <c r="K7153" s="3" t="s">
        <v>76</v>
      </c>
    </row>
    <row r="7154" spans="1:11" ht="42" customHeight="1">
      <c r="A7154" s="2" t="s">
        <v>17995</v>
      </c>
      <c r="B7154" s="2" t="s">
        <v>17996</v>
      </c>
      <c r="C7154" s="2" t="s">
        <v>26</v>
      </c>
      <c r="D7154" s="2" t="s">
        <v>27</v>
      </c>
      <c r="E7154" s="4">
        <v>-32543</v>
      </c>
      <c r="F7154" s="3" t="s">
        <v>69</v>
      </c>
      <c r="G7154" s="3" t="s">
        <v>70</v>
      </c>
      <c r="H7154" s="2" t="s">
        <v>74</v>
      </c>
      <c r="I7154" s="2" t="s">
        <v>17997</v>
      </c>
      <c r="J7154" s="3" t="str">
        <f>HYPERLINK("https://www.boe.es/gazeta/dias/1810/11/24/pdfs/GEI-1810-99.pdf#page=8","Abrir facsímil")</f>
        <v>Abrir facsímil</v>
      </c>
      <c r="K7154" s="3" t="s">
        <v>76</v>
      </c>
    </row>
    <row r="7155" spans="1:11" ht="42" customHeight="1">
      <c r="A7155" s="2" t="s">
        <v>17998</v>
      </c>
      <c r="B7155" s="2" t="s">
        <v>17999</v>
      </c>
      <c r="C7155" s="2" t="s">
        <v>26</v>
      </c>
      <c r="D7155" s="2" t="s">
        <v>58</v>
      </c>
      <c r="E7155" s="4">
        <v>-32651</v>
      </c>
      <c r="F7155" s="3" t="s">
        <v>59</v>
      </c>
      <c r="G7155" s="3" t="s">
        <v>60</v>
      </c>
      <c r="H7155" s="2" t="s">
        <v>74</v>
      </c>
      <c r="I7155" s="2" t="s">
        <v>18000</v>
      </c>
      <c r="J7155" s="3" t="str">
        <f>HYPERLINK("https://www.boe.es/gazeta/dias/1810/08/08/pdfs/GEI-1810-53E.pdf#page=3","Abrir facsímil")</f>
        <v>Abrir facsímil</v>
      </c>
      <c r="K7155" s="3" t="s">
        <v>76</v>
      </c>
    </row>
    <row r="7156" spans="1:11" ht="42" customHeight="1">
      <c r="A7156" s="2" t="s">
        <v>18001</v>
      </c>
      <c r="B7156" s="2" t="s">
        <v>18002</v>
      </c>
      <c r="C7156" s="2" t="s">
        <v>26</v>
      </c>
      <c r="D7156" s="2" t="s">
        <v>27</v>
      </c>
      <c r="E7156" s="4">
        <v>-32508</v>
      </c>
      <c r="F7156" s="3" t="s">
        <v>864</v>
      </c>
      <c r="G7156" s="3" t="s">
        <v>691</v>
      </c>
      <c r="H7156" s="2" t="s">
        <v>74</v>
      </c>
      <c r="I7156" s="2" t="s">
        <v>18003</v>
      </c>
      <c r="J7156" s="3" t="str">
        <f>HYPERLINK("https://www.boe.es/gazeta/dias/1810/12/29/pdfs/GEI-1810-114.pdf#page=8","Abrir facsímil")</f>
        <v>Abrir facsímil</v>
      </c>
      <c r="K7156" s="3" t="s">
        <v>76</v>
      </c>
    </row>
    <row r="7157" spans="1:11" ht="42" customHeight="1">
      <c r="A7157" s="2" t="s">
        <v>18004</v>
      </c>
      <c r="B7157" s="2" t="s">
        <v>18005</v>
      </c>
      <c r="C7157" s="2" t="s">
        <v>26</v>
      </c>
      <c r="D7157" s="2" t="s">
        <v>27</v>
      </c>
      <c r="E7157" s="4">
        <v>-32743</v>
      </c>
      <c r="F7157" s="3" t="s">
        <v>2265</v>
      </c>
      <c r="G7157" s="3" t="s">
        <v>1540</v>
      </c>
      <c r="H7157" s="2" t="s">
        <v>74</v>
      </c>
      <c r="I7157" s="2" t="s">
        <v>18006</v>
      </c>
      <c r="J7157" s="3" t="str">
        <f>HYPERLINK("https://www.boe.es/gazeta/dias/1810/05/08/pdfs/GEI-1810-22.pdf#page=4","Abrir facsímil")</f>
        <v>Abrir facsímil</v>
      </c>
      <c r="K7157" s="3" t="s">
        <v>76</v>
      </c>
    </row>
    <row r="7158" spans="1:11" ht="42" customHeight="1">
      <c r="A7158" s="2" t="s">
        <v>18007</v>
      </c>
      <c r="B7158" s="2" t="s">
        <v>18008</v>
      </c>
      <c r="C7158" s="2" t="s">
        <v>88</v>
      </c>
      <c r="D7158" s="2" t="s">
        <v>27</v>
      </c>
      <c r="E7158" s="4">
        <v>-32820</v>
      </c>
      <c r="F7158" s="3" t="s">
        <v>226</v>
      </c>
      <c r="G7158" s="3" t="s">
        <v>356</v>
      </c>
      <c r="H7158" s="2" t="s">
        <v>74</v>
      </c>
      <c r="I7158" s="2" t="s">
        <v>18009</v>
      </c>
      <c r="J7158" s="3" t="str">
        <f>HYPERLINK("https://www.boe.es/gazeta/dias/1810/02/20/pdfs/GMD-1810-51.pdf#page=3","Abrir facsímil")</f>
        <v>Abrir facsímil</v>
      </c>
      <c r="K7158" s="3" t="s">
        <v>76</v>
      </c>
    </row>
    <row r="7159" spans="1:11" ht="42" customHeight="1">
      <c r="A7159" s="2" t="s">
        <v>18010</v>
      </c>
      <c r="B7159" s="2" t="s">
        <v>18011</v>
      </c>
      <c r="C7159" s="2" t="s">
        <v>26</v>
      </c>
      <c r="D7159" s="2" t="s">
        <v>27</v>
      </c>
      <c r="E7159" s="4">
        <v>-32861</v>
      </c>
      <c r="F7159" s="3" t="s">
        <v>796</v>
      </c>
      <c r="G7159" s="3" t="s">
        <v>99</v>
      </c>
      <c r="H7159" s="2" t="s">
        <v>74</v>
      </c>
      <c r="I7159" s="2" t="s">
        <v>18012</v>
      </c>
      <c r="J7159" s="3" t="str">
        <f>HYPERLINK("https://www.boe.es/gazeta/dias/1810/01/10/pdfs/GMD-1810-10.pdf#page=3","Abrir facsímil")</f>
        <v>Abrir facsímil</v>
      </c>
      <c r="K7159" s="3" t="s">
        <v>76</v>
      </c>
    </row>
    <row r="7160" spans="1:11" ht="42" customHeight="1">
      <c r="A7160" s="2" t="s">
        <v>18013</v>
      </c>
      <c r="B7160" s="2" t="s">
        <v>18014</v>
      </c>
      <c r="C7160" s="2" t="s">
        <v>26</v>
      </c>
      <c r="D7160" s="2" t="s">
        <v>27</v>
      </c>
      <c r="E7160" s="4">
        <v>-32520</v>
      </c>
      <c r="F7160" s="3" t="s">
        <v>2109</v>
      </c>
      <c r="G7160" s="3" t="s">
        <v>2110</v>
      </c>
      <c r="H7160" s="2" t="s">
        <v>74</v>
      </c>
      <c r="I7160" s="2" t="s">
        <v>18015</v>
      </c>
      <c r="J7160" s="3" t="str">
        <f>HYPERLINK("https://www.boe.es/gazeta/dias/1810/12/17/pdfs/GMD-1810-351.pdf#page=2","Abrir facsímil")</f>
        <v>Abrir facsímil</v>
      </c>
      <c r="K7160" s="3" t="s">
        <v>76</v>
      </c>
    </row>
    <row r="7161" spans="1:11" ht="42" customHeight="1">
      <c r="A7161" s="2" t="s">
        <v>18016</v>
      </c>
      <c r="B7161" s="2" t="s">
        <v>18017</v>
      </c>
      <c r="C7161" s="2" t="s">
        <v>317</v>
      </c>
      <c r="D7161" s="2" t="s">
        <v>39</v>
      </c>
      <c r="E7161" s="4">
        <v>-32702</v>
      </c>
      <c r="F7161" s="3" t="s">
        <v>179</v>
      </c>
      <c r="G7161" s="3" t="s">
        <v>213</v>
      </c>
      <c r="H7161" s="2" t="s">
        <v>74</v>
      </c>
      <c r="I7161" s="2" t="s">
        <v>18018</v>
      </c>
      <c r="J7161" s="3" t="str">
        <f>HYPERLINK("https://www.boe.es/gazeta/dias/1810/06/18/pdfs/GMD-C-1810-169.pdf#page=4","Abrir facsímil")</f>
        <v>Abrir facsímil</v>
      </c>
      <c r="K7161" s="3" t="s">
        <v>76</v>
      </c>
    </row>
    <row r="7162" spans="1:11" ht="42" customHeight="1">
      <c r="A7162" s="2" t="s">
        <v>18019</v>
      </c>
      <c r="B7162" s="2" t="s">
        <v>18020</v>
      </c>
      <c r="C7162" s="2" t="s">
        <v>26</v>
      </c>
      <c r="D7162" s="2" t="s">
        <v>27</v>
      </c>
      <c r="E7162" s="4">
        <v>-32632</v>
      </c>
      <c r="F7162" s="3" t="s">
        <v>358</v>
      </c>
      <c r="G7162" s="3" t="s">
        <v>359</v>
      </c>
      <c r="H7162" s="2" t="s">
        <v>74</v>
      </c>
      <c r="I7162" s="2" t="s">
        <v>18021</v>
      </c>
      <c r="J7162" s="3" t="str">
        <f>HYPERLINK("https://www.boe.es/gazeta/dias/1810/08/27/pdfs/GMD-1810-239.pdf#page=3","Abrir facsímil")</f>
        <v>Abrir facsímil</v>
      </c>
      <c r="K7162" s="3" t="s">
        <v>76</v>
      </c>
    </row>
    <row r="7163" spans="1:11" ht="42" customHeight="1">
      <c r="A7163" s="2" t="s">
        <v>18022</v>
      </c>
      <c r="B7163" s="2" t="s">
        <v>18023</v>
      </c>
      <c r="C7163" s="2" t="s">
        <v>17</v>
      </c>
      <c r="D7163" s="2" t="s">
        <v>27</v>
      </c>
      <c r="E7163" s="4">
        <v>-32820</v>
      </c>
      <c r="F7163" s="3" t="s">
        <v>226</v>
      </c>
      <c r="G7163" s="3" t="s">
        <v>356</v>
      </c>
      <c r="H7163" s="2" t="s">
        <v>74</v>
      </c>
      <c r="I7163" s="2" t="s">
        <v>18024</v>
      </c>
      <c r="J7163" s="3" t="str">
        <f>HYPERLINK("https://www.boe.es/gazeta/dias/1810/02/20/pdfs/GMD-1810-51.pdf#page=3","Abrir facsímil")</f>
        <v>Abrir facsímil</v>
      </c>
      <c r="K7163" s="3" t="s">
        <v>76</v>
      </c>
    </row>
    <row r="7164" spans="1:11" ht="42" customHeight="1">
      <c r="A7164" s="2" t="s">
        <v>18025</v>
      </c>
      <c r="B7164" s="2" t="s">
        <v>18026</v>
      </c>
      <c r="C7164" s="2" t="s">
        <v>88</v>
      </c>
      <c r="D7164" s="2" t="s">
        <v>117</v>
      </c>
      <c r="E7164" s="4">
        <v>-32633</v>
      </c>
      <c r="F7164" s="3" t="s">
        <v>1230</v>
      </c>
      <c r="G7164" s="3" t="s">
        <v>1231</v>
      </c>
      <c r="H7164" s="2" t="s">
        <v>74</v>
      </c>
      <c r="I7164" s="2" t="s">
        <v>18027</v>
      </c>
      <c r="J7164" s="3" t="str">
        <f>HYPERLINK("https://www.boe.es/gazeta/dias/1810/08/26/pdfs/GMD-1810-238.pdf#page=2","Abrir facsímil")</f>
        <v>Abrir facsímil</v>
      </c>
      <c r="K7164" s="3" t="s">
        <v>76</v>
      </c>
    </row>
    <row r="7165" spans="1:11" ht="42" customHeight="1">
      <c r="A7165" s="2" t="s">
        <v>18028</v>
      </c>
      <c r="B7165" s="2" t="s">
        <v>18029</v>
      </c>
      <c r="C7165" s="2" t="s">
        <v>17</v>
      </c>
      <c r="D7165" s="2" t="s">
        <v>27</v>
      </c>
      <c r="E7165" s="4">
        <v>-32654</v>
      </c>
      <c r="F7165" s="3" t="s">
        <v>1226</v>
      </c>
      <c r="G7165" s="3" t="s">
        <v>180</v>
      </c>
      <c r="H7165" s="2" t="s">
        <v>74</v>
      </c>
      <c r="I7165" s="2" t="s">
        <v>18030</v>
      </c>
      <c r="J7165" s="3" t="str">
        <f>HYPERLINK("https://www.boe.es/gazeta/dias/1810/08/05/pdfs/GMD-1810-217.pdf#page=4","Abrir facsímil")</f>
        <v>Abrir facsímil</v>
      </c>
      <c r="K7165" s="3" t="s">
        <v>76</v>
      </c>
    </row>
    <row r="7166" spans="1:11" ht="42" customHeight="1">
      <c r="A7166" s="2" t="s">
        <v>18031</v>
      </c>
      <c r="B7166" s="2" t="s">
        <v>18032</v>
      </c>
      <c r="C7166" s="2" t="s">
        <v>88</v>
      </c>
      <c r="D7166" s="2" t="s">
        <v>27</v>
      </c>
      <c r="E7166" s="4">
        <v>-32541</v>
      </c>
      <c r="F7166" s="3" t="s">
        <v>748</v>
      </c>
      <c r="G7166" s="3" t="s">
        <v>3125</v>
      </c>
      <c r="H7166" s="2" t="s">
        <v>74</v>
      </c>
      <c r="I7166" s="2" t="s">
        <v>18033</v>
      </c>
      <c r="J7166" s="3" t="str">
        <f>HYPERLINK("https://www.boe.es/gazeta/dias/1810/11/26/pdfs/GMD-1810-330.pdf#page=3","Abrir facsímil")</f>
        <v>Abrir facsímil</v>
      </c>
      <c r="K7166" s="3" t="s">
        <v>76</v>
      </c>
    </row>
    <row r="7167" spans="1:11" ht="42" customHeight="1">
      <c r="A7167" s="2" t="s">
        <v>18034</v>
      </c>
      <c r="B7167" s="2" t="s">
        <v>18035</v>
      </c>
      <c r="C7167" s="2" t="s">
        <v>26</v>
      </c>
      <c r="D7167" s="2" t="s">
        <v>39</v>
      </c>
      <c r="E7167" s="4">
        <v>-32701</v>
      </c>
      <c r="F7167" s="3" t="s">
        <v>40</v>
      </c>
      <c r="G7167" s="3" t="s">
        <v>170</v>
      </c>
      <c r="H7167" s="2" t="s">
        <v>74</v>
      </c>
      <c r="I7167" s="2" t="s">
        <v>18036</v>
      </c>
      <c r="J7167" s="3" t="str">
        <f>HYPERLINK("https://www.boe.es/gazeta/dias/1810/06/19/pdfs/GMD-C-1810-170.pdf#page=1","Abrir facsímil")</f>
        <v>Abrir facsímil</v>
      </c>
      <c r="K7167" s="3" t="s">
        <v>76</v>
      </c>
    </row>
    <row r="7168" spans="1:11" ht="42" customHeight="1">
      <c r="A7168" s="2" t="s">
        <v>18037</v>
      </c>
      <c r="B7168" s="2" t="s">
        <v>18038</v>
      </c>
      <c r="C7168" s="2" t="s">
        <v>26</v>
      </c>
      <c r="D7168" s="2" t="s">
        <v>27</v>
      </c>
      <c r="E7168" s="4">
        <v>-32734</v>
      </c>
      <c r="F7168" s="3" t="s">
        <v>19</v>
      </c>
      <c r="G7168" s="3" t="s">
        <v>20</v>
      </c>
      <c r="H7168" s="2" t="s">
        <v>74</v>
      </c>
      <c r="I7168" s="2" t="s">
        <v>18039</v>
      </c>
      <c r="J7168" s="3" t="str">
        <f>HYPERLINK("https://www.boe.es/gazeta/dias/1810/05/17/pdfs/GMD-1810-137.pdf#page=4","Abrir facsímil")</f>
        <v>Abrir facsímil</v>
      </c>
      <c r="K7168" s="3" t="s">
        <v>76</v>
      </c>
    </row>
    <row r="7169" spans="1:11" ht="42" customHeight="1">
      <c r="A7169" s="2" t="s">
        <v>18040</v>
      </c>
      <c r="B7169" s="2" t="s">
        <v>18041</v>
      </c>
      <c r="C7169" s="2" t="s">
        <v>26</v>
      </c>
      <c r="D7169" s="2" t="s">
        <v>27</v>
      </c>
      <c r="E7169" s="4">
        <v>-32797</v>
      </c>
      <c r="F7169" s="3" t="s">
        <v>3666</v>
      </c>
      <c r="G7169" s="3" t="s">
        <v>9004</v>
      </c>
      <c r="H7169" s="2" t="s">
        <v>74</v>
      </c>
      <c r="I7169" s="2" t="s">
        <v>18042</v>
      </c>
      <c r="J7169" s="3" t="str">
        <f>HYPERLINK("https://www.boe.es/gazeta/dias/1810/03/15/pdfs/GMD-1810-74.pdf#page=4","Abrir facsímil")</f>
        <v>Abrir facsímil</v>
      </c>
      <c r="K7169" s="3" t="s">
        <v>76</v>
      </c>
    </row>
    <row r="7170" spans="1:11" ht="42" customHeight="1">
      <c r="A7170" s="2" t="s">
        <v>18043</v>
      </c>
      <c r="B7170" s="2" t="s">
        <v>18043</v>
      </c>
      <c r="C7170" s="2" t="s">
        <v>88</v>
      </c>
      <c r="D7170" s="2" t="s">
        <v>117</v>
      </c>
      <c r="E7170" s="4">
        <v>-32842</v>
      </c>
      <c r="F7170" s="3" t="s">
        <v>1291</v>
      </c>
      <c r="G7170" s="3" t="s">
        <v>35</v>
      </c>
      <c r="H7170" s="2" t="s">
        <v>74</v>
      </c>
      <c r="I7170" s="2" t="s">
        <v>18044</v>
      </c>
      <c r="J7170" s="3" t="str">
        <f>HYPERLINK("https://www.boe.es/gazeta/dias/1810/01/29/pdfs/GMD-1810-29.pdf#page=2","Abrir facsímil")</f>
        <v>Abrir facsímil</v>
      </c>
      <c r="K7170" s="3" t="s">
        <v>76</v>
      </c>
    </row>
    <row r="7171" spans="1:11" ht="42" customHeight="1">
      <c r="A7171" s="2" t="s">
        <v>18045</v>
      </c>
      <c r="B7171" s="2" t="s">
        <v>18045</v>
      </c>
      <c r="C7171" s="2" t="s">
        <v>88</v>
      </c>
      <c r="D7171" s="2" t="s">
        <v>27</v>
      </c>
      <c r="E7171" s="4">
        <v>-32590</v>
      </c>
      <c r="F7171" s="3" t="s">
        <v>4283</v>
      </c>
      <c r="G7171" s="3" t="s">
        <v>6623</v>
      </c>
      <c r="H7171" s="2" t="s">
        <v>74</v>
      </c>
      <c r="I7171" s="2" t="s">
        <v>18046</v>
      </c>
      <c r="J7171" s="3" t="str">
        <f>HYPERLINK("https://www.boe.es/gazeta/dias/1810/10/08/pdfs/GMD-1810-281.pdf#page=3","Abrir facsímil")</f>
        <v>Abrir facsímil</v>
      </c>
      <c r="K7171" s="3" t="s">
        <v>76</v>
      </c>
    </row>
    <row r="7172" spans="1:11" ht="42" customHeight="1">
      <c r="A7172" s="2" t="s">
        <v>18047</v>
      </c>
      <c r="B7172" s="2" t="s">
        <v>18048</v>
      </c>
      <c r="C7172" s="2" t="s">
        <v>26</v>
      </c>
      <c r="D7172" s="2" t="s">
        <v>27</v>
      </c>
      <c r="E7172" s="4">
        <v>-32710</v>
      </c>
      <c r="F7172" s="3" t="s">
        <v>126</v>
      </c>
      <c r="G7172" s="3" t="s">
        <v>20</v>
      </c>
      <c r="H7172" s="2" t="s">
        <v>74</v>
      </c>
      <c r="I7172" s="2" t="s">
        <v>18049</v>
      </c>
      <c r="J7172" s="3" t="str">
        <f>HYPERLINK("https://www.boe.es/gazeta/dias/1810/06/10/pdfs/GMD-1810-161.pdf#page=4","Abrir facsímil")</f>
        <v>Abrir facsímil</v>
      </c>
      <c r="K7172" s="3" t="s">
        <v>76</v>
      </c>
    </row>
    <row r="7173" spans="1:11" ht="42" customHeight="1">
      <c r="A7173" s="2" t="s">
        <v>18050</v>
      </c>
      <c r="B7173" s="2" t="s">
        <v>18050</v>
      </c>
      <c r="C7173" s="2" t="s">
        <v>88</v>
      </c>
      <c r="D7173" s="2" t="s">
        <v>27</v>
      </c>
      <c r="E7173" s="4">
        <v>-32766</v>
      </c>
      <c r="F7173" s="3" t="s">
        <v>492</v>
      </c>
      <c r="G7173" s="3" t="s">
        <v>493</v>
      </c>
      <c r="H7173" s="2" t="s">
        <v>74</v>
      </c>
      <c r="I7173" s="2" t="s">
        <v>18051</v>
      </c>
      <c r="J7173" s="3" t="str">
        <f>HYPERLINK("https://www.boe.es/gazeta/dias/1810/04/15/pdfs/GMD-1810-105.pdf#page=4","Abrir facsímil")</f>
        <v>Abrir facsímil</v>
      </c>
      <c r="K7173" s="3" t="s">
        <v>76</v>
      </c>
    </row>
    <row r="7174" spans="1:11" ht="42" customHeight="1">
      <c r="A7174" s="2" t="s">
        <v>18052</v>
      </c>
      <c r="B7174" s="2" t="s">
        <v>18053</v>
      </c>
      <c r="C7174" s="2" t="s">
        <v>26</v>
      </c>
      <c r="D7174" s="2" t="s">
        <v>27</v>
      </c>
      <c r="E7174" s="4">
        <v>-32666</v>
      </c>
      <c r="F7174" s="3" t="s">
        <v>1913</v>
      </c>
      <c r="G7174" s="3" t="s">
        <v>1914</v>
      </c>
      <c r="H7174" s="2" t="s">
        <v>74</v>
      </c>
      <c r="I7174" s="2" t="s">
        <v>18054</v>
      </c>
      <c r="J7174" s="3" t="str">
        <f>HYPERLINK("https://www.boe.es/gazeta/dias/1810/07/24/pdfs/GMD-1810-205.pdf#page=4","Abrir facsímil")</f>
        <v>Abrir facsímil</v>
      </c>
      <c r="K7174" s="3" t="s">
        <v>76</v>
      </c>
    </row>
    <row r="7175" spans="1:11" ht="42" customHeight="1">
      <c r="A7175" s="2" t="s">
        <v>18055</v>
      </c>
      <c r="B7175" s="2" t="s">
        <v>18056</v>
      </c>
      <c r="C7175" s="2" t="s">
        <v>88</v>
      </c>
      <c r="D7175" s="2" t="s">
        <v>27</v>
      </c>
      <c r="E7175" s="4">
        <v>-32729</v>
      </c>
      <c r="F7175" s="3" t="s">
        <v>174</v>
      </c>
      <c r="G7175" s="3" t="s">
        <v>886</v>
      </c>
      <c r="H7175" s="2" t="s">
        <v>74</v>
      </c>
      <c r="I7175" s="2" t="s">
        <v>18057</v>
      </c>
      <c r="J7175" s="3" t="str">
        <f>HYPERLINK("https://www.boe.es/gazeta/dias/1810/05/22/pdfs/GEI-1810-28.pdf#page=11","Abrir facsímil")</f>
        <v>Abrir facsímil</v>
      </c>
      <c r="K7175" s="3" t="s">
        <v>76</v>
      </c>
    </row>
    <row r="7176" spans="1:11" ht="42" customHeight="1">
      <c r="A7176" s="2" t="s">
        <v>18058</v>
      </c>
      <c r="B7176" s="2" t="s">
        <v>18059</v>
      </c>
      <c r="C7176" s="2" t="s">
        <v>26</v>
      </c>
      <c r="D7176" s="2" t="s">
        <v>27</v>
      </c>
      <c r="E7176" s="4">
        <v>-32729</v>
      </c>
      <c r="F7176" s="3" t="s">
        <v>174</v>
      </c>
      <c r="G7176" s="3" t="s">
        <v>175</v>
      </c>
      <c r="H7176" s="2" t="s">
        <v>74</v>
      </c>
      <c r="I7176" s="2" t="s">
        <v>18060</v>
      </c>
      <c r="J7176" s="3" t="str">
        <f>HYPERLINK("https://www.boe.es/gazeta/dias/1810/05/22/pdfs/GEI-1810-28.pdf#page=10","Abrir facsímil")</f>
        <v>Abrir facsímil</v>
      </c>
      <c r="K7176" s="3" t="s">
        <v>76</v>
      </c>
    </row>
    <row r="7177" spans="1:11" ht="42" customHeight="1">
      <c r="A7177" s="2" t="s">
        <v>18061</v>
      </c>
      <c r="B7177" s="2" t="s">
        <v>18062</v>
      </c>
      <c r="C7177" s="2" t="s">
        <v>88</v>
      </c>
      <c r="D7177" s="2" t="s">
        <v>27</v>
      </c>
      <c r="E7177" s="4">
        <v>-32515</v>
      </c>
      <c r="F7177" s="3" t="s">
        <v>351</v>
      </c>
      <c r="G7177" s="3" t="s">
        <v>352</v>
      </c>
      <c r="H7177" s="2" t="s">
        <v>74</v>
      </c>
      <c r="I7177" s="2" t="s">
        <v>18063</v>
      </c>
      <c r="J7177" s="3" t="str">
        <f>HYPERLINK("https://www.boe.es/gazeta/dias/1810/12/22/pdfs/GEI-1810-111.pdf#page=8","Abrir facsímil")</f>
        <v>Abrir facsímil</v>
      </c>
      <c r="K7177" s="3" t="s">
        <v>76</v>
      </c>
    </row>
    <row r="7178" spans="1:11" ht="42" customHeight="1">
      <c r="A7178" s="2" t="s">
        <v>18064</v>
      </c>
      <c r="B7178" s="2" t="s">
        <v>18065</v>
      </c>
      <c r="C7178" s="2" t="s">
        <v>225</v>
      </c>
      <c r="D7178" s="2" t="s">
        <v>27</v>
      </c>
      <c r="E7178" s="4">
        <v>-32711</v>
      </c>
      <c r="F7178" s="3" t="s">
        <v>1888</v>
      </c>
      <c r="G7178" s="3" t="s">
        <v>29</v>
      </c>
      <c r="H7178" s="2" t="s">
        <v>74</v>
      </c>
      <c r="I7178" s="2" t="s">
        <v>18066</v>
      </c>
      <c r="J7178" s="3" t="str">
        <f>HYPERLINK("https://www.boe.es/gazeta/dias/1810/06/09/pdfs/GMD-1810-160.pdf#page=4","Abrir facsímil")</f>
        <v>Abrir facsímil</v>
      </c>
      <c r="K7178" s="3" t="s">
        <v>76</v>
      </c>
    </row>
    <row r="7179" spans="1:11" ht="42" customHeight="1">
      <c r="A7179" s="2" t="s">
        <v>18067</v>
      </c>
      <c r="B7179" s="2" t="s">
        <v>18068</v>
      </c>
      <c r="C7179" s="2" t="s">
        <v>88</v>
      </c>
      <c r="D7179" s="2" t="s">
        <v>27</v>
      </c>
      <c r="E7179" s="4">
        <v>-32710</v>
      </c>
      <c r="F7179" s="3" t="s">
        <v>126</v>
      </c>
      <c r="G7179" s="3" t="s">
        <v>35</v>
      </c>
      <c r="H7179" s="2" t="s">
        <v>74</v>
      </c>
      <c r="I7179" s="2" t="s">
        <v>18069</v>
      </c>
      <c r="J7179" s="3" t="str">
        <f>HYPERLINK("https://www.boe.es/gazeta/dias/1810/06/10/pdfs/GMD-1810-161.pdf#page=2","Abrir facsímil")</f>
        <v>Abrir facsímil</v>
      </c>
      <c r="K7179" s="3" t="s">
        <v>76</v>
      </c>
    </row>
    <row r="7180" spans="1:11" ht="42" customHeight="1">
      <c r="A7180" s="2" t="s">
        <v>18070</v>
      </c>
      <c r="B7180" s="2" t="s">
        <v>18071</v>
      </c>
      <c r="C7180" s="2" t="s">
        <v>26</v>
      </c>
      <c r="D7180" s="2" t="s">
        <v>39</v>
      </c>
      <c r="E7180" s="4">
        <v>-32661</v>
      </c>
      <c r="F7180" s="3" t="s">
        <v>157</v>
      </c>
      <c r="G7180" s="3" t="s">
        <v>158</v>
      </c>
      <c r="H7180" s="2" t="s">
        <v>74</v>
      </c>
      <c r="I7180" s="2" t="s">
        <v>18072</v>
      </c>
      <c r="J7180" s="3" t="str">
        <f>HYPERLINK("https://www.boe.es/gazeta/dias/1810/07/29/pdfs/GMD-C-1810-210.pdf#page=1","Abrir facsímil")</f>
        <v>Abrir facsímil</v>
      </c>
      <c r="K7180" s="3" t="s">
        <v>76</v>
      </c>
    </row>
    <row r="7181" spans="1:11" ht="42" customHeight="1">
      <c r="A7181" s="2" t="s">
        <v>18073</v>
      </c>
      <c r="B7181" s="2" t="s">
        <v>18073</v>
      </c>
      <c r="C7181" s="2" t="s">
        <v>88</v>
      </c>
      <c r="D7181" s="2" t="s">
        <v>117</v>
      </c>
      <c r="E7181" s="4">
        <v>-32540</v>
      </c>
      <c r="F7181" s="3" t="s">
        <v>3590</v>
      </c>
      <c r="G7181" s="3" t="s">
        <v>15396</v>
      </c>
      <c r="H7181" s="2" t="s">
        <v>74</v>
      </c>
      <c r="I7181" s="2" t="s">
        <v>18074</v>
      </c>
      <c r="J7181" s="3" t="str">
        <f>HYPERLINK("https://www.boe.es/gazeta/dias/1810/11/27/pdfs/GEI-1810-100.pdf#page=1","Abrir facsímil")</f>
        <v>Abrir facsímil</v>
      </c>
      <c r="K7181" s="3" t="s">
        <v>76</v>
      </c>
    </row>
    <row r="7182" spans="1:11" ht="42" customHeight="1">
      <c r="A7182" s="2" t="s">
        <v>18075</v>
      </c>
      <c r="B7182" s="2" t="s">
        <v>18075</v>
      </c>
      <c r="C7182" s="2" t="s">
        <v>26</v>
      </c>
      <c r="D7182" s="2" t="s">
        <v>39</v>
      </c>
      <c r="E7182" s="4">
        <v>-32670</v>
      </c>
      <c r="F7182" s="3" t="s">
        <v>2457</v>
      </c>
      <c r="G7182" s="3" t="s">
        <v>1464</v>
      </c>
      <c r="H7182" s="2" t="s">
        <v>74</v>
      </c>
      <c r="I7182" s="2" t="s">
        <v>18076</v>
      </c>
      <c r="J7182" s="3" t="str">
        <f>HYPERLINK("https://www.boe.es/gazeta/dias/1810/07/20/pdfs/GMD-C-1810-201.pdf#page=3","Abrir facsímil")</f>
        <v>Abrir facsímil</v>
      </c>
      <c r="K7182" s="3" t="s">
        <v>76</v>
      </c>
    </row>
    <row r="7183" spans="1:11" ht="42" customHeight="1">
      <c r="A7183" s="2" t="s">
        <v>18077</v>
      </c>
      <c r="B7183" s="2" t="s">
        <v>18078</v>
      </c>
      <c r="C7183" s="2" t="s">
        <v>26</v>
      </c>
      <c r="D7183" s="2" t="s">
        <v>27</v>
      </c>
      <c r="E7183" s="4">
        <v>-32591</v>
      </c>
      <c r="F7183" s="3" t="s">
        <v>377</v>
      </c>
      <c r="G7183" s="3" t="s">
        <v>140</v>
      </c>
      <c r="H7183" s="2" t="s">
        <v>74</v>
      </c>
      <c r="I7183" s="2" t="s">
        <v>18079</v>
      </c>
      <c r="J7183" s="3" t="str">
        <f>HYPERLINK("https://www.boe.es/gazeta/dias/1810/10/07/pdfs/GMD-1810-280.pdf#page=4","Abrir facsímil")</f>
        <v>Abrir facsímil</v>
      </c>
      <c r="K7183" s="3" t="s">
        <v>76</v>
      </c>
    </row>
    <row r="7184" spans="1:11" ht="42" customHeight="1">
      <c r="A7184" s="2" t="s">
        <v>18080</v>
      </c>
      <c r="B7184" s="2" t="s">
        <v>18081</v>
      </c>
      <c r="C7184" s="2" t="s">
        <v>26</v>
      </c>
      <c r="D7184" s="2" t="s">
        <v>27</v>
      </c>
      <c r="E7184" s="4">
        <v>-32729</v>
      </c>
      <c r="F7184" s="3" t="s">
        <v>174</v>
      </c>
      <c r="G7184" s="3" t="s">
        <v>886</v>
      </c>
      <c r="H7184" s="2" t="s">
        <v>74</v>
      </c>
      <c r="I7184" s="2" t="s">
        <v>18082</v>
      </c>
      <c r="J7184" s="3" t="str">
        <f>HYPERLINK("https://www.boe.es/gazeta/dias/1810/05/22/pdfs/GEI-1810-28.pdf#page=11","Abrir facsímil")</f>
        <v>Abrir facsímil</v>
      </c>
      <c r="K7184" s="3" t="s">
        <v>76</v>
      </c>
    </row>
    <row r="7185" spans="1:11" ht="42" customHeight="1">
      <c r="A7185" s="2" t="s">
        <v>18083</v>
      </c>
      <c r="B7185" s="2" t="s">
        <v>18084</v>
      </c>
      <c r="C7185" s="2" t="s">
        <v>26</v>
      </c>
      <c r="D7185" s="2" t="s">
        <v>27</v>
      </c>
      <c r="E7185" s="4">
        <v>-32515</v>
      </c>
      <c r="F7185" s="3" t="s">
        <v>351</v>
      </c>
      <c r="G7185" s="3" t="s">
        <v>352</v>
      </c>
      <c r="H7185" s="2" t="s">
        <v>74</v>
      </c>
      <c r="I7185" s="2" t="s">
        <v>18085</v>
      </c>
      <c r="J7185" s="3" t="str">
        <f>HYPERLINK("https://www.boe.es/gazeta/dias/1810/12/22/pdfs/GEI-1810-111.pdf#page=8","Abrir facsímil")</f>
        <v>Abrir facsímil</v>
      </c>
      <c r="K7185" s="3" t="s">
        <v>76</v>
      </c>
    </row>
    <row r="7186" spans="1:11" ht="42" customHeight="1">
      <c r="A7186" s="2" t="s">
        <v>18086</v>
      </c>
      <c r="B7186" s="2" t="s">
        <v>18087</v>
      </c>
      <c r="C7186" s="2" t="s">
        <v>26</v>
      </c>
      <c r="D7186" s="2" t="s">
        <v>27</v>
      </c>
      <c r="E7186" s="4">
        <v>-32575</v>
      </c>
      <c r="F7186" s="3" t="s">
        <v>135</v>
      </c>
      <c r="G7186" s="3" t="s">
        <v>136</v>
      </c>
      <c r="H7186" s="2" t="s">
        <v>74</v>
      </c>
      <c r="I7186" s="2" t="s">
        <v>18088</v>
      </c>
      <c r="J7186" s="3" t="str">
        <f>HYPERLINK("https://www.boe.es/gazeta/dias/1810/10/23/pdfs/GEI-1810-85.pdf#page=11","Abrir facsímil")</f>
        <v>Abrir facsímil</v>
      </c>
      <c r="K7186" s="3" t="s">
        <v>76</v>
      </c>
    </row>
    <row r="7187" spans="1:11" ht="42" customHeight="1">
      <c r="A7187" s="2" t="s">
        <v>18089</v>
      </c>
      <c r="B7187" s="2" t="s">
        <v>18089</v>
      </c>
      <c r="C7187" s="2" t="s">
        <v>26</v>
      </c>
      <c r="D7187" s="2" t="s">
        <v>18</v>
      </c>
      <c r="E7187" s="4">
        <v>-32741</v>
      </c>
      <c r="F7187" s="3" t="s">
        <v>98</v>
      </c>
      <c r="G7187" s="3" t="s">
        <v>90</v>
      </c>
      <c r="H7187" s="2" t="s">
        <v>74</v>
      </c>
      <c r="I7187" s="2" t="s">
        <v>18090</v>
      </c>
      <c r="J7187" s="3" t="str">
        <f>HYPERLINK("https://www.boe.es/gazeta/dias/1810/05/10/pdfs/GMD-1810-130.pdf#page=4","Abrir facsímil")</f>
        <v>Abrir facsímil</v>
      </c>
      <c r="K7187" s="3" t="s">
        <v>76</v>
      </c>
    </row>
    <row r="7188" spans="1:11" ht="42" customHeight="1">
      <c r="A7188" s="2" t="s">
        <v>18089</v>
      </c>
      <c r="B7188" s="2" t="s">
        <v>18089</v>
      </c>
      <c r="C7188" s="2" t="s">
        <v>26</v>
      </c>
      <c r="D7188" s="2" t="s">
        <v>27</v>
      </c>
      <c r="E7188" s="4">
        <v>-32563</v>
      </c>
      <c r="F7188" s="3" t="s">
        <v>535</v>
      </c>
      <c r="G7188" s="3" t="s">
        <v>1335</v>
      </c>
      <c r="H7188" s="2" t="s">
        <v>74</v>
      </c>
      <c r="I7188" s="2" t="s">
        <v>18091</v>
      </c>
      <c r="J7188" s="3" t="str">
        <f>HYPERLINK("https://www.boe.es/gazeta/dias/1810/11/04/pdfs/GMD-1810-308.pdf#page=6","Abrir facsímil")</f>
        <v>Abrir facsímil</v>
      </c>
      <c r="K7188" s="3" t="s">
        <v>76</v>
      </c>
    </row>
    <row r="7189" spans="1:11" ht="42" customHeight="1">
      <c r="A7189" s="2" t="s">
        <v>18092</v>
      </c>
      <c r="B7189" s="2" t="s">
        <v>18093</v>
      </c>
      <c r="C7189" s="2" t="s">
        <v>33</v>
      </c>
      <c r="D7189" s="2" t="s">
        <v>58</v>
      </c>
      <c r="E7189" s="4">
        <v>-32601</v>
      </c>
      <c r="F7189" s="3" t="s">
        <v>392</v>
      </c>
      <c r="G7189" s="3" t="s">
        <v>1430</v>
      </c>
      <c r="H7189" s="2" t="s">
        <v>74</v>
      </c>
      <c r="I7189" s="2" t="s">
        <v>18094</v>
      </c>
      <c r="J7189" s="3" t="str">
        <f>HYPERLINK("https://www.boe.es/gazeta/dias/1810/09/27/pdfs/GEI-1810-74E.pdf#page=3","Abrir facsímil")</f>
        <v>Abrir facsímil</v>
      </c>
      <c r="K7189" s="3" t="s">
        <v>76</v>
      </c>
    </row>
    <row r="7190" spans="1:11" ht="42" customHeight="1">
      <c r="A7190" s="2" t="s">
        <v>18095</v>
      </c>
      <c r="B7190" s="2" t="s">
        <v>18096</v>
      </c>
      <c r="C7190" s="2" t="s">
        <v>26</v>
      </c>
      <c r="D7190" s="2" t="s">
        <v>27</v>
      </c>
      <c r="E7190" s="4">
        <v>-32727</v>
      </c>
      <c r="F7190" s="3" t="s">
        <v>1611</v>
      </c>
      <c r="G7190" s="3" t="s">
        <v>227</v>
      </c>
      <c r="H7190" s="2" t="s">
        <v>74</v>
      </c>
      <c r="I7190" s="2" t="s">
        <v>18097</v>
      </c>
      <c r="J7190" s="3" t="str">
        <f>HYPERLINK("https://www.boe.es/gazeta/dias/1810/05/24/pdfs/GMD-1810-144.pdf#page=4","Abrir facsímil")</f>
        <v>Abrir facsímil</v>
      </c>
      <c r="K7190" s="3" t="s">
        <v>76</v>
      </c>
    </row>
    <row r="7191" spans="1:11" ht="42" customHeight="1">
      <c r="A7191" s="2" t="s">
        <v>18098</v>
      </c>
      <c r="B7191" s="2" t="s">
        <v>18099</v>
      </c>
      <c r="C7191" s="2" t="s">
        <v>26</v>
      </c>
      <c r="D7191" s="2" t="s">
        <v>27</v>
      </c>
      <c r="E7191" s="4">
        <v>-32647</v>
      </c>
      <c r="F7191" s="3" t="s">
        <v>118</v>
      </c>
      <c r="G7191" s="3" t="s">
        <v>20</v>
      </c>
      <c r="H7191" s="2" t="s">
        <v>74</v>
      </c>
      <c r="I7191" s="2" t="s">
        <v>18100</v>
      </c>
      <c r="J7191" s="3" t="str">
        <f>HYPERLINK("https://www.boe.es/gazeta/dias/1810/08/12/pdfs/GMD-1810-224.pdf#page=4","Abrir facsímil")</f>
        <v>Abrir facsímil</v>
      </c>
      <c r="K7191" s="3" t="s">
        <v>76</v>
      </c>
    </row>
    <row r="7192" spans="1:11" ht="42" customHeight="1">
      <c r="A7192" s="2" t="s">
        <v>18101</v>
      </c>
      <c r="B7192" s="2" t="s">
        <v>18102</v>
      </c>
      <c r="C7192" s="2" t="s">
        <v>26</v>
      </c>
      <c r="D7192" s="2" t="s">
        <v>39</v>
      </c>
      <c r="E7192" s="4">
        <v>-32701</v>
      </c>
      <c r="F7192" s="3" t="s">
        <v>40</v>
      </c>
      <c r="G7192" s="3" t="s">
        <v>315</v>
      </c>
      <c r="H7192" s="2" t="s">
        <v>74</v>
      </c>
      <c r="I7192" s="2" t="s">
        <v>18103</v>
      </c>
      <c r="J7192" s="3" t="str">
        <f>HYPERLINK("https://www.boe.es/gazeta/dias/1810/06/19/pdfs/GMD-C-1810-170.pdf#page=2","Abrir facsímil")</f>
        <v>Abrir facsímil</v>
      </c>
      <c r="K7192" s="3" t="s">
        <v>76</v>
      </c>
    </row>
    <row r="7193" spans="1:11" ht="42" customHeight="1">
      <c r="A7193" s="2" t="s">
        <v>18104</v>
      </c>
      <c r="B7193" s="2" t="s">
        <v>18105</v>
      </c>
      <c r="C7193" s="2" t="s">
        <v>26</v>
      </c>
      <c r="D7193" s="2" t="s">
        <v>39</v>
      </c>
      <c r="E7193" s="4">
        <v>-32661</v>
      </c>
      <c r="F7193" s="3" t="s">
        <v>157</v>
      </c>
      <c r="G7193" s="3" t="s">
        <v>158</v>
      </c>
      <c r="H7193" s="2" t="s">
        <v>74</v>
      </c>
      <c r="I7193" s="2" t="s">
        <v>18106</v>
      </c>
      <c r="J7193" s="3" t="str">
        <f>HYPERLINK("https://www.boe.es/gazeta/dias/1810/07/29/pdfs/GMD-C-1810-210.pdf#page=1","Abrir facsímil")</f>
        <v>Abrir facsímil</v>
      </c>
      <c r="K7193" s="3" t="s">
        <v>76</v>
      </c>
    </row>
    <row r="7194" spans="1:11" ht="42" customHeight="1">
      <c r="A7194" s="2" t="s">
        <v>18104</v>
      </c>
      <c r="B7194" s="2" t="s">
        <v>18105</v>
      </c>
      <c r="C7194" s="2" t="s">
        <v>26</v>
      </c>
      <c r="D7194" s="2" t="s">
        <v>39</v>
      </c>
      <c r="E7194" s="4">
        <v>-32661</v>
      </c>
      <c r="F7194" s="3" t="s">
        <v>157</v>
      </c>
      <c r="G7194" s="3" t="s">
        <v>592</v>
      </c>
      <c r="H7194" s="2" t="s">
        <v>74</v>
      </c>
      <c r="I7194" s="2" t="s">
        <v>18107</v>
      </c>
      <c r="J7194" s="3" t="str">
        <f>HYPERLINK("https://www.boe.es/gazeta/dias/1810/07/29/pdfs/GMD-C-1810-210.pdf#page=2","Abrir facsímil")</f>
        <v>Abrir facsímil</v>
      </c>
      <c r="K7194" s="3" t="s">
        <v>76</v>
      </c>
    </row>
    <row r="7195" spans="1:11" ht="42" customHeight="1">
      <c r="A7195" s="2" t="s">
        <v>18108</v>
      </c>
      <c r="B7195" s="2" t="s">
        <v>18109</v>
      </c>
      <c r="C7195" s="2" t="s">
        <v>88</v>
      </c>
      <c r="D7195" s="2" t="s">
        <v>27</v>
      </c>
      <c r="E7195" s="4">
        <v>-32509</v>
      </c>
      <c r="F7195" s="3" t="s">
        <v>212</v>
      </c>
      <c r="G7195" s="3" t="s">
        <v>213</v>
      </c>
      <c r="H7195" s="2" t="s">
        <v>74</v>
      </c>
      <c r="I7195" s="2" t="s">
        <v>18110</v>
      </c>
      <c r="J7195" s="3" t="str">
        <f>HYPERLINK("https://www.boe.es/gazeta/dias/1810/12/28/pdfs/GMD-1810-362.pdf#page=4","Abrir facsímil")</f>
        <v>Abrir facsímil</v>
      </c>
      <c r="K7195" s="3" t="s">
        <v>76</v>
      </c>
    </row>
    <row r="7196" spans="1:11" ht="42" customHeight="1">
      <c r="A7196" s="2" t="s">
        <v>18111</v>
      </c>
      <c r="B7196" s="2" t="s">
        <v>18112</v>
      </c>
      <c r="C7196" s="2" t="s">
        <v>26</v>
      </c>
      <c r="D7196" s="2" t="s">
        <v>27</v>
      </c>
      <c r="E7196" s="4">
        <v>-32526</v>
      </c>
      <c r="F7196" s="3" t="s">
        <v>530</v>
      </c>
      <c r="G7196" s="3" t="s">
        <v>636</v>
      </c>
      <c r="H7196" s="2" t="s">
        <v>74</v>
      </c>
      <c r="I7196" s="2" t="s">
        <v>18113</v>
      </c>
      <c r="J7196" s="3" t="str">
        <f>HYPERLINK("https://www.boe.es/gazeta/dias/1810/12/11/pdfs/GEI-1810-106.pdf#page=3","Abrir facsímil")</f>
        <v>Abrir facsímil</v>
      </c>
      <c r="K7196" s="3" t="s">
        <v>76</v>
      </c>
    </row>
    <row r="7197" spans="1:11" ht="42" customHeight="1">
      <c r="A7197" s="2" t="s">
        <v>18114</v>
      </c>
      <c r="B7197" s="2" t="s">
        <v>18115</v>
      </c>
      <c r="C7197" s="2" t="s">
        <v>88</v>
      </c>
      <c r="D7197" s="2" t="s">
        <v>27</v>
      </c>
      <c r="E7197" s="4">
        <v>-32700</v>
      </c>
      <c r="F7197" s="3" t="s">
        <v>89</v>
      </c>
      <c r="G7197" s="3" t="s">
        <v>29</v>
      </c>
      <c r="H7197" s="2" t="s">
        <v>74</v>
      </c>
      <c r="I7197" s="2" t="s">
        <v>18116</v>
      </c>
      <c r="J7197" s="3" t="str">
        <f>HYPERLINK("https://www.boe.es/gazeta/dias/1810/06/20/pdfs/GMD-1810-171.pdf#page=3","Abrir facsímil")</f>
        <v>Abrir facsímil</v>
      </c>
      <c r="K7197" s="3" t="s">
        <v>76</v>
      </c>
    </row>
    <row r="7198" spans="1:11" ht="42" customHeight="1">
      <c r="A7198" s="2" t="s">
        <v>18117</v>
      </c>
      <c r="B7198" s="2" t="s">
        <v>18118</v>
      </c>
      <c r="C7198" s="2" t="s">
        <v>225</v>
      </c>
      <c r="D7198" s="2" t="s">
        <v>27</v>
      </c>
      <c r="E7198" s="4">
        <v>-32820</v>
      </c>
      <c r="F7198" s="3" t="s">
        <v>226</v>
      </c>
      <c r="G7198" s="3" t="s">
        <v>356</v>
      </c>
      <c r="H7198" s="2" t="s">
        <v>74</v>
      </c>
      <c r="I7198" s="2" t="s">
        <v>18119</v>
      </c>
      <c r="J7198" s="3" t="str">
        <f>HYPERLINK("https://www.boe.es/gazeta/dias/1810/02/20/pdfs/GMD-1810-51.pdf#page=3","Abrir facsímil")</f>
        <v>Abrir facsímil</v>
      </c>
      <c r="K7198" s="3" t="s">
        <v>76</v>
      </c>
    </row>
    <row r="7199" spans="1:11" ht="42" customHeight="1">
      <c r="A7199" s="2" t="s">
        <v>18117</v>
      </c>
      <c r="B7199" s="2" t="s">
        <v>18118</v>
      </c>
      <c r="C7199" s="2" t="s">
        <v>26</v>
      </c>
      <c r="D7199" s="2" t="s">
        <v>27</v>
      </c>
      <c r="E7199" s="4">
        <v>-32708</v>
      </c>
      <c r="F7199" s="3" t="s">
        <v>654</v>
      </c>
      <c r="G7199" s="3" t="s">
        <v>655</v>
      </c>
      <c r="H7199" s="2" t="s">
        <v>74</v>
      </c>
      <c r="I7199" s="2" t="s">
        <v>18120</v>
      </c>
      <c r="J7199" s="3" t="str">
        <f>HYPERLINK("https://www.boe.es/gazeta/dias/1810/06/12/pdfs/GEI-1810-35.pdf#page=3","Abrir facsímil")</f>
        <v>Abrir facsímil</v>
      </c>
      <c r="K7199" s="3" t="s">
        <v>76</v>
      </c>
    </row>
    <row r="7200" spans="1:11" ht="42" customHeight="1">
      <c r="A7200" s="2" t="s">
        <v>18121</v>
      </c>
      <c r="B7200" s="2" t="s">
        <v>18122</v>
      </c>
      <c r="C7200" s="2" t="s">
        <v>26</v>
      </c>
      <c r="D7200" s="2" t="s">
        <v>27</v>
      </c>
      <c r="E7200" s="4">
        <v>-32714</v>
      </c>
      <c r="F7200" s="3" t="s">
        <v>977</v>
      </c>
      <c r="G7200" s="3" t="s">
        <v>632</v>
      </c>
      <c r="H7200" s="2" t="s">
        <v>74</v>
      </c>
      <c r="I7200" s="2" t="s">
        <v>18123</v>
      </c>
      <c r="J7200" s="3" t="str">
        <f>HYPERLINK("https://www.boe.es/gazeta/dias/1810/06/06/pdfs/GMD-1810-157.pdf#page=4","Abrir facsímil")</f>
        <v>Abrir facsímil</v>
      </c>
      <c r="K7200" s="3" t="s">
        <v>76</v>
      </c>
    </row>
    <row r="7201" spans="1:11" ht="42" customHeight="1">
      <c r="A7201" s="2" t="s">
        <v>18124</v>
      </c>
      <c r="B7201" s="2" t="s">
        <v>18125</v>
      </c>
      <c r="C7201" s="2" t="s">
        <v>88</v>
      </c>
      <c r="D7201" s="2" t="s">
        <v>117</v>
      </c>
      <c r="E7201" s="4">
        <v>-32603</v>
      </c>
      <c r="F7201" s="3" t="s">
        <v>2163</v>
      </c>
      <c r="G7201" s="3" t="s">
        <v>592</v>
      </c>
      <c r="H7201" s="2" t="s">
        <v>74</v>
      </c>
      <c r="I7201" s="2" t="s">
        <v>18126</v>
      </c>
      <c r="J7201" s="3" t="str">
        <f>HYPERLINK("https://www.boe.es/gazeta/dias/1810/09/25/pdfs/GEI-1810-72.pdf#page=4","Abrir facsímil")</f>
        <v>Abrir facsímil</v>
      </c>
      <c r="K7201" s="3" t="s">
        <v>76</v>
      </c>
    </row>
    <row r="7202" spans="1:11" ht="42" customHeight="1">
      <c r="A7202" s="2" t="s">
        <v>18127</v>
      </c>
      <c r="B7202" s="2" t="s">
        <v>18128</v>
      </c>
      <c r="C7202" s="2" t="s">
        <v>26</v>
      </c>
      <c r="D7202" s="2" t="s">
        <v>27</v>
      </c>
      <c r="E7202" s="4">
        <v>-32543</v>
      </c>
      <c r="F7202" s="3" t="s">
        <v>69</v>
      </c>
      <c r="G7202" s="3" t="s">
        <v>84</v>
      </c>
      <c r="H7202" s="2" t="s">
        <v>74</v>
      </c>
      <c r="I7202" s="2" t="s">
        <v>18129</v>
      </c>
      <c r="J7202" s="3" t="str">
        <f>HYPERLINK("https://www.boe.es/gazeta/dias/1810/11/24/pdfs/GEI-1810-99.pdf#page=7","Abrir facsímil")</f>
        <v>Abrir facsímil</v>
      </c>
      <c r="K7202" s="3" t="s">
        <v>76</v>
      </c>
    </row>
    <row r="7203" spans="1:11" ht="42" customHeight="1">
      <c r="A7203" s="2" t="s">
        <v>18130</v>
      </c>
      <c r="B7203" s="2" t="s">
        <v>18131</v>
      </c>
      <c r="C7203" s="2" t="s">
        <v>88</v>
      </c>
      <c r="D7203" s="2" t="s">
        <v>117</v>
      </c>
      <c r="E7203" s="4">
        <v>-32771</v>
      </c>
      <c r="F7203" s="3" t="s">
        <v>543</v>
      </c>
      <c r="G7203" s="3" t="s">
        <v>274</v>
      </c>
      <c r="H7203" s="2" t="s">
        <v>74</v>
      </c>
      <c r="I7203" s="2" t="s">
        <v>18132</v>
      </c>
      <c r="J7203" s="3" t="str">
        <f>HYPERLINK("https://www.boe.es/gazeta/dias/1810/04/10/pdfs/GEI-1810-13.pdf#page=8","Abrir facsímil")</f>
        <v>Abrir facsímil</v>
      </c>
      <c r="K7203" s="3" t="s">
        <v>76</v>
      </c>
    </row>
    <row r="7204" spans="1:11" ht="42" customHeight="1">
      <c r="A7204" s="2" t="s">
        <v>18133</v>
      </c>
      <c r="B7204" s="2" t="s">
        <v>18134</v>
      </c>
      <c r="C7204" s="2" t="s">
        <v>225</v>
      </c>
      <c r="D7204" s="2" t="s">
        <v>27</v>
      </c>
      <c r="E7204" s="4">
        <v>-32761</v>
      </c>
      <c r="F7204" s="3" t="s">
        <v>811</v>
      </c>
      <c r="G7204" s="3" t="s">
        <v>140</v>
      </c>
      <c r="H7204" s="2" t="s">
        <v>74</v>
      </c>
      <c r="I7204" s="2" t="s">
        <v>18135</v>
      </c>
      <c r="J7204" s="3" t="str">
        <f>HYPERLINK("https://www.boe.es/gazeta/dias/1810/04/20/pdfs/GEI-1810-16.pdf#page=8","Abrir facsímil")</f>
        <v>Abrir facsímil</v>
      </c>
      <c r="K7204" s="3" t="s">
        <v>76</v>
      </c>
    </row>
    <row r="7205" spans="1:11" ht="42" customHeight="1">
      <c r="A7205" s="2" t="s">
        <v>18136</v>
      </c>
      <c r="B7205" s="2" t="s">
        <v>18137</v>
      </c>
      <c r="C7205" s="2" t="s">
        <v>26</v>
      </c>
      <c r="D7205" s="2" t="s">
        <v>39</v>
      </c>
      <c r="E7205" s="4">
        <v>-32702</v>
      </c>
      <c r="F7205" s="3" t="s">
        <v>179</v>
      </c>
      <c r="G7205" s="3" t="s">
        <v>119</v>
      </c>
      <c r="H7205" s="2" t="s">
        <v>74</v>
      </c>
      <c r="I7205" s="2" t="s">
        <v>18138</v>
      </c>
      <c r="J7205" s="3" t="str">
        <f>HYPERLINK("https://www.boe.es/gazeta/dias/1810/06/18/pdfs/GMD-C-1810-169.pdf#page=1","Abrir facsímil")</f>
        <v>Abrir facsímil</v>
      </c>
      <c r="K7205" s="3" t="s">
        <v>76</v>
      </c>
    </row>
    <row r="7206" spans="1:11" ht="42" customHeight="1">
      <c r="A7206" s="2" t="s">
        <v>18139</v>
      </c>
      <c r="B7206" s="2" t="s">
        <v>18140</v>
      </c>
      <c r="C7206" s="2" t="s">
        <v>17</v>
      </c>
      <c r="D7206" s="2" t="s">
        <v>39</v>
      </c>
      <c r="E7206" s="4">
        <v>-32701</v>
      </c>
      <c r="F7206" s="3" t="s">
        <v>40</v>
      </c>
      <c r="G7206" s="3" t="s">
        <v>333</v>
      </c>
      <c r="H7206" s="2" t="s">
        <v>74</v>
      </c>
      <c r="I7206" s="2" t="s">
        <v>18141</v>
      </c>
      <c r="J7206" s="3" t="str">
        <f>HYPERLINK("https://www.boe.es/gazeta/dias/1810/06/19/pdfs/GMD-C-1810-170.pdf#page=4","Abrir facsímil")</f>
        <v>Abrir facsímil</v>
      </c>
      <c r="K7206" s="3" t="s">
        <v>76</v>
      </c>
    </row>
    <row r="7207" spans="1:11" ht="42" customHeight="1">
      <c r="A7207" s="2" t="s">
        <v>18142</v>
      </c>
      <c r="B7207" s="2" t="s">
        <v>18143</v>
      </c>
      <c r="C7207" s="2" t="s">
        <v>33</v>
      </c>
      <c r="D7207" s="2" t="s">
        <v>27</v>
      </c>
      <c r="E7207" s="4">
        <v>-32569</v>
      </c>
      <c r="F7207" s="3" t="s">
        <v>421</v>
      </c>
      <c r="G7207" s="3" t="s">
        <v>20</v>
      </c>
      <c r="H7207" s="2" t="s">
        <v>74</v>
      </c>
      <c r="I7207" s="2" t="s">
        <v>18144</v>
      </c>
      <c r="J7207" s="3" t="str">
        <f>HYPERLINK("https://www.boe.es/gazeta/dias/1810/10/29/pdfs/GMD-1810-302.pdf#page=4","Abrir facsímil")</f>
        <v>Abrir facsímil</v>
      </c>
      <c r="K7207" s="3" t="s">
        <v>76</v>
      </c>
    </row>
    <row r="7208" spans="1:11" ht="42" customHeight="1">
      <c r="A7208" s="2" t="s">
        <v>18145</v>
      </c>
      <c r="B7208" s="2" t="s">
        <v>18146</v>
      </c>
      <c r="C7208" s="2" t="s">
        <v>26</v>
      </c>
      <c r="D7208" s="2" t="s">
        <v>39</v>
      </c>
      <c r="E7208" s="4">
        <v>-32702</v>
      </c>
      <c r="F7208" s="3" t="s">
        <v>179</v>
      </c>
      <c r="G7208" s="3" t="s">
        <v>119</v>
      </c>
      <c r="H7208" s="2" t="s">
        <v>74</v>
      </c>
      <c r="I7208" s="2" t="s">
        <v>18147</v>
      </c>
      <c r="J7208" s="3" t="str">
        <f>HYPERLINK("https://www.boe.es/gazeta/dias/1810/06/18/pdfs/GMD-C-1810-169.pdf#page=1","Abrir facsímil")</f>
        <v>Abrir facsímil</v>
      </c>
      <c r="K7208" s="3" t="s">
        <v>76</v>
      </c>
    </row>
    <row r="7209" spans="1:11" ht="42" customHeight="1">
      <c r="A7209" s="2" t="s">
        <v>18148</v>
      </c>
      <c r="B7209" s="2" t="s">
        <v>18149</v>
      </c>
      <c r="C7209" s="2" t="s">
        <v>26</v>
      </c>
      <c r="D7209" s="2" t="s">
        <v>39</v>
      </c>
      <c r="E7209" s="4">
        <v>-32686</v>
      </c>
      <c r="F7209" s="3" t="s">
        <v>3230</v>
      </c>
      <c r="G7209" s="3" t="s">
        <v>735</v>
      </c>
      <c r="H7209" s="2" t="s">
        <v>74</v>
      </c>
      <c r="I7209" s="2" t="s">
        <v>18150</v>
      </c>
      <c r="J7209" s="3" t="str">
        <f>HYPERLINK("https://www.boe.es/gazeta/dias/1810/07/04/pdfs/GMD-C-1810-185.pdf#page=2","Abrir facsímil")</f>
        <v>Abrir facsímil</v>
      </c>
      <c r="K7209" s="3" t="s">
        <v>76</v>
      </c>
    </row>
    <row r="7210" spans="1:11" ht="42" customHeight="1">
      <c r="A7210" s="2" t="s">
        <v>18145</v>
      </c>
      <c r="B7210" s="2" t="s">
        <v>18146</v>
      </c>
      <c r="C7210" s="2" t="s">
        <v>26</v>
      </c>
      <c r="D7210" s="2" t="s">
        <v>39</v>
      </c>
      <c r="E7210" s="4">
        <v>-32661</v>
      </c>
      <c r="F7210" s="3" t="s">
        <v>157</v>
      </c>
      <c r="G7210" s="3" t="s">
        <v>592</v>
      </c>
      <c r="H7210" s="2" t="s">
        <v>74</v>
      </c>
      <c r="I7210" s="2" t="s">
        <v>18151</v>
      </c>
      <c r="J7210" s="3" t="str">
        <f>HYPERLINK("https://www.boe.es/gazeta/dias/1810/07/29/pdfs/GMD-C-1810-210.pdf#page=2","Abrir facsímil")</f>
        <v>Abrir facsímil</v>
      </c>
      <c r="K7210" s="3" t="s">
        <v>76</v>
      </c>
    </row>
    <row r="7211" spans="1:11" ht="42" customHeight="1">
      <c r="A7211" s="2" t="s">
        <v>18145</v>
      </c>
      <c r="B7211" s="2" t="s">
        <v>18146</v>
      </c>
      <c r="C7211" s="2" t="s">
        <v>26</v>
      </c>
      <c r="D7211" s="2" t="s">
        <v>27</v>
      </c>
      <c r="E7211" s="4">
        <v>-32543</v>
      </c>
      <c r="F7211" s="3" t="s">
        <v>69</v>
      </c>
      <c r="G7211" s="3" t="s">
        <v>70</v>
      </c>
      <c r="H7211" s="2" t="s">
        <v>74</v>
      </c>
      <c r="I7211" s="2" t="s">
        <v>18152</v>
      </c>
      <c r="J7211" s="3" t="str">
        <f>HYPERLINK("https://www.boe.es/gazeta/dias/1810/11/24/pdfs/GEI-1810-99.pdf#page=8","Abrir facsímil")</f>
        <v>Abrir facsímil</v>
      </c>
      <c r="K7211" s="3" t="s">
        <v>76</v>
      </c>
    </row>
    <row r="7212" spans="1:11" ht="42" customHeight="1">
      <c r="A7212" s="2" t="s">
        <v>18145</v>
      </c>
      <c r="B7212" s="2" t="s">
        <v>18146</v>
      </c>
      <c r="C7212" s="2" t="s">
        <v>26</v>
      </c>
      <c r="D7212" s="2" t="s">
        <v>27</v>
      </c>
      <c r="E7212" s="4">
        <v>-32515</v>
      </c>
      <c r="F7212" s="3" t="s">
        <v>351</v>
      </c>
      <c r="G7212" s="3" t="s">
        <v>352</v>
      </c>
      <c r="H7212" s="2" t="s">
        <v>74</v>
      </c>
      <c r="I7212" s="2" t="s">
        <v>18153</v>
      </c>
      <c r="J7212" s="3" t="str">
        <f>HYPERLINK("https://www.boe.es/gazeta/dias/1810/12/22/pdfs/GEI-1810-111.pdf#page=8","Abrir facsímil")</f>
        <v>Abrir facsímil</v>
      </c>
      <c r="K7212" s="3" t="s">
        <v>76</v>
      </c>
    </row>
    <row r="7213" spans="1:11" ht="42" customHeight="1">
      <c r="A7213" s="2" t="s">
        <v>18154</v>
      </c>
      <c r="B7213" s="2" t="s">
        <v>18155</v>
      </c>
      <c r="C7213" s="2" t="s">
        <v>26</v>
      </c>
      <c r="D7213" s="2" t="s">
        <v>39</v>
      </c>
      <c r="E7213" s="4">
        <v>-32661</v>
      </c>
      <c r="F7213" s="3" t="s">
        <v>157</v>
      </c>
      <c r="G7213" s="3" t="s">
        <v>158</v>
      </c>
      <c r="H7213" s="2" t="s">
        <v>74</v>
      </c>
      <c r="I7213" s="2" t="s">
        <v>18156</v>
      </c>
      <c r="J7213" s="3" t="str">
        <f>HYPERLINK("https://www.boe.es/gazeta/dias/1810/07/29/pdfs/GMD-C-1810-210.pdf#page=1","Abrir facsímil")</f>
        <v>Abrir facsímil</v>
      </c>
      <c r="K7213" s="3" t="s">
        <v>76</v>
      </c>
    </row>
    <row r="7214" spans="1:11" ht="42" customHeight="1">
      <c r="A7214" s="2" t="s">
        <v>18157</v>
      </c>
      <c r="B7214" s="2" t="s">
        <v>18158</v>
      </c>
      <c r="C7214" s="2" t="s">
        <v>33</v>
      </c>
      <c r="D7214" s="2" t="s">
        <v>27</v>
      </c>
      <c r="E7214" s="4">
        <v>-32733</v>
      </c>
      <c r="F7214" s="3" t="s">
        <v>955</v>
      </c>
      <c r="G7214" s="3" t="s">
        <v>20</v>
      </c>
      <c r="H7214" s="2" t="s">
        <v>74</v>
      </c>
      <c r="I7214" s="2" t="s">
        <v>18159</v>
      </c>
      <c r="J7214" s="3" t="str">
        <f>HYPERLINK("https://www.boe.es/gazeta/dias/1810/05/18/pdfs/GEI-1810-27.pdf#page=4","Abrir facsímil")</f>
        <v>Abrir facsímil</v>
      </c>
      <c r="K7214" s="3" t="s">
        <v>76</v>
      </c>
    </row>
    <row r="7215" spans="1:11" ht="42" customHeight="1">
      <c r="A7215" s="2" t="s">
        <v>18160</v>
      </c>
      <c r="B7215" s="2" t="s">
        <v>18161</v>
      </c>
      <c r="C7215" s="2" t="s">
        <v>88</v>
      </c>
      <c r="D7215" s="2" t="s">
        <v>27</v>
      </c>
      <c r="E7215" s="4">
        <v>-32713</v>
      </c>
      <c r="F7215" s="3" t="s">
        <v>959</v>
      </c>
      <c r="G7215" s="3" t="s">
        <v>960</v>
      </c>
      <c r="H7215" s="2" t="s">
        <v>74</v>
      </c>
      <c r="I7215" s="2" t="s">
        <v>18162</v>
      </c>
      <c r="J7215" s="3" t="str">
        <f>HYPERLINK("https://www.boe.es/gazeta/dias/1810/06/07/pdfs/GMD-1810-158.pdf#page=4","Abrir facsímil")</f>
        <v>Abrir facsímil</v>
      </c>
      <c r="K7215" s="3" t="s">
        <v>76</v>
      </c>
    </row>
    <row r="7216" spans="1:11" ht="42" customHeight="1">
      <c r="A7216" s="2" t="s">
        <v>18163</v>
      </c>
      <c r="B7216" s="2" t="s">
        <v>18164</v>
      </c>
      <c r="C7216" s="2" t="s">
        <v>26</v>
      </c>
      <c r="D7216" s="2" t="s">
        <v>27</v>
      </c>
      <c r="E7216" s="4">
        <v>-32707</v>
      </c>
      <c r="F7216" s="3" t="s">
        <v>1753</v>
      </c>
      <c r="G7216" s="3" t="s">
        <v>227</v>
      </c>
      <c r="H7216" s="2" t="s">
        <v>74</v>
      </c>
      <c r="I7216" s="2" t="s">
        <v>18165</v>
      </c>
      <c r="J7216" s="3" t="str">
        <f>HYPERLINK("https://www.boe.es/gazeta/dias/1810/06/13/pdfs/GMD-1810-164.pdf#page=4","Abrir facsímil")</f>
        <v>Abrir facsímil</v>
      </c>
      <c r="K7216" s="3" t="s">
        <v>76</v>
      </c>
    </row>
    <row r="7217" spans="1:11" ht="42" customHeight="1">
      <c r="A7217" s="2" t="s">
        <v>18166</v>
      </c>
      <c r="B7217" s="2" t="s">
        <v>18167</v>
      </c>
      <c r="C7217" s="2" t="s">
        <v>17</v>
      </c>
      <c r="D7217" s="2" t="s">
        <v>18</v>
      </c>
      <c r="E7217" s="4">
        <v>-32820</v>
      </c>
      <c r="F7217" s="3" t="s">
        <v>226</v>
      </c>
      <c r="G7217" s="3" t="s">
        <v>227</v>
      </c>
      <c r="H7217" s="2" t="s">
        <v>74</v>
      </c>
      <c r="I7217" s="2" t="s">
        <v>18168</v>
      </c>
      <c r="J7217" s="3" t="str">
        <f>HYPERLINK("https://www.boe.es/gazeta/dias/1810/02/20/pdfs/GMD-1810-51.pdf#page=4","Abrir facsímil")</f>
        <v>Abrir facsímil</v>
      </c>
      <c r="K7217" s="3" t="s">
        <v>76</v>
      </c>
    </row>
    <row r="7218" spans="1:11" ht="42" customHeight="1">
      <c r="A7218" s="2" t="s">
        <v>18169</v>
      </c>
      <c r="B7218" s="2" t="s">
        <v>18170</v>
      </c>
      <c r="C7218" s="2" t="s">
        <v>26</v>
      </c>
      <c r="D7218" s="2" t="s">
        <v>27</v>
      </c>
      <c r="E7218" s="4">
        <v>-32666</v>
      </c>
      <c r="F7218" s="3" t="s">
        <v>1913</v>
      </c>
      <c r="G7218" s="3" t="s">
        <v>1914</v>
      </c>
      <c r="H7218" s="2" t="s">
        <v>74</v>
      </c>
      <c r="I7218" s="2" t="s">
        <v>18171</v>
      </c>
      <c r="J7218" s="3" t="str">
        <f>HYPERLINK("https://www.boe.es/gazeta/dias/1810/07/24/pdfs/GMD-1810-205.pdf#page=4","Abrir facsímil")</f>
        <v>Abrir facsímil</v>
      </c>
      <c r="K7218" s="3" t="s">
        <v>76</v>
      </c>
    </row>
    <row r="7219" spans="1:11" ht="42" customHeight="1">
      <c r="A7219" s="2" t="s">
        <v>18172</v>
      </c>
      <c r="B7219" s="2" t="s">
        <v>18173</v>
      </c>
      <c r="C7219" s="2" t="s">
        <v>26</v>
      </c>
      <c r="D7219" s="2" t="s">
        <v>39</v>
      </c>
      <c r="E7219" s="4">
        <v>-32701</v>
      </c>
      <c r="F7219" s="3" t="s">
        <v>40</v>
      </c>
      <c r="G7219" s="3" t="s">
        <v>333</v>
      </c>
      <c r="H7219" s="2" t="s">
        <v>74</v>
      </c>
      <c r="I7219" s="2" t="s">
        <v>18174</v>
      </c>
      <c r="J7219" s="3" t="str">
        <f>HYPERLINK("https://www.boe.es/gazeta/dias/1810/06/19/pdfs/GMD-C-1810-170.pdf#page=4","Abrir facsímil")</f>
        <v>Abrir facsímil</v>
      </c>
      <c r="K7219" s="3" t="s">
        <v>76</v>
      </c>
    </row>
    <row r="7220" spans="1:11" ht="42" customHeight="1">
      <c r="A7220" s="2" t="s">
        <v>18175</v>
      </c>
      <c r="B7220" s="2" t="s">
        <v>18176</v>
      </c>
      <c r="C7220" s="2" t="s">
        <v>26</v>
      </c>
      <c r="D7220" s="2" t="s">
        <v>39</v>
      </c>
      <c r="E7220" s="4">
        <v>-32701</v>
      </c>
      <c r="F7220" s="3" t="s">
        <v>40</v>
      </c>
      <c r="G7220" s="3" t="s">
        <v>170</v>
      </c>
      <c r="H7220" s="2" t="s">
        <v>74</v>
      </c>
      <c r="I7220" s="2" t="s">
        <v>18177</v>
      </c>
      <c r="J7220" s="3" t="str">
        <f>HYPERLINK("https://www.boe.es/gazeta/dias/1810/06/19/pdfs/GMD-C-1810-170.pdf#page=1","Abrir facsímil")</f>
        <v>Abrir facsímil</v>
      </c>
      <c r="K7220" s="3" t="s">
        <v>76</v>
      </c>
    </row>
    <row r="7221" spans="1:11" ht="42" customHeight="1">
      <c r="A7221" s="2" t="s">
        <v>18178</v>
      </c>
      <c r="B7221" s="2" t="s">
        <v>18179</v>
      </c>
      <c r="C7221" s="2" t="s">
        <v>26</v>
      </c>
      <c r="D7221" s="2" t="s">
        <v>27</v>
      </c>
      <c r="E7221" s="4">
        <v>-32618</v>
      </c>
      <c r="F7221" s="3" t="s">
        <v>1501</v>
      </c>
      <c r="G7221" s="3" t="s">
        <v>20</v>
      </c>
      <c r="H7221" s="2" t="s">
        <v>74</v>
      </c>
      <c r="I7221" s="2" t="s">
        <v>18180</v>
      </c>
      <c r="J7221" s="3" t="str">
        <f>HYPERLINK("https://www.boe.es/gazeta/dias/1810/09/10/pdfs/GMD-1810-253.pdf#page=4","Abrir facsímil")</f>
        <v>Abrir facsímil</v>
      </c>
      <c r="K7221" s="3" t="s">
        <v>76</v>
      </c>
    </row>
    <row r="7222" spans="1:11" ht="42" customHeight="1">
      <c r="A7222" s="2" t="s">
        <v>18181</v>
      </c>
      <c r="B7222" s="2" t="s">
        <v>18181</v>
      </c>
      <c r="C7222" s="2" t="s">
        <v>26</v>
      </c>
      <c r="D7222" s="2" t="s">
        <v>27</v>
      </c>
      <c r="E7222" s="4">
        <v>-32528</v>
      </c>
      <c r="F7222" s="3" t="s">
        <v>3058</v>
      </c>
      <c r="G7222" s="3" t="s">
        <v>359</v>
      </c>
      <c r="H7222" s="2" t="s">
        <v>74</v>
      </c>
      <c r="I7222" s="2" t="s">
        <v>18182</v>
      </c>
      <c r="J7222" s="3" t="str">
        <f>HYPERLINK("https://www.boe.es/gazeta/dias/1810/12/09/pdfs/GMD-1810-343.pdf#page=3","Abrir facsímil")</f>
        <v>Abrir facsímil</v>
      </c>
      <c r="K7222" s="3" t="s">
        <v>76</v>
      </c>
    </row>
    <row r="7223" spans="1:11" ht="42" customHeight="1">
      <c r="A7223" s="2" t="s">
        <v>18183</v>
      </c>
      <c r="B7223" s="2" t="s">
        <v>18184</v>
      </c>
      <c r="C7223" s="2" t="s">
        <v>111</v>
      </c>
      <c r="D7223" s="2" t="s">
        <v>27</v>
      </c>
      <c r="E7223" s="4">
        <v>-32528</v>
      </c>
      <c r="F7223" s="3" t="s">
        <v>3058</v>
      </c>
      <c r="G7223" s="3" t="s">
        <v>359</v>
      </c>
      <c r="H7223" s="2" t="s">
        <v>74</v>
      </c>
      <c r="I7223" s="2" t="s">
        <v>18185</v>
      </c>
      <c r="J7223" s="3" t="str">
        <f>HYPERLINK("https://www.boe.es/gazeta/dias/1810/12/09/pdfs/GMD-1810-343.pdf#page=3","Abrir facsímil")</f>
        <v>Abrir facsímil</v>
      </c>
      <c r="K7223" s="3" t="s">
        <v>76</v>
      </c>
    </row>
    <row r="7224" spans="1:11" ht="42" customHeight="1">
      <c r="A7224" s="2" t="s">
        <v>18186</v>
      </c>
      <c r="B7224" s="2" t="s">
        <v>18187</v>
      </c>
      <c r="C7224" s="2" t="s">
        <v>26</v>
      </c>
      <c r="D7224" s="2" t="s">
        <v>27</v>
      </c>
      <c r="E7224" s="4">
        <v>-32693</v>
      </c>
      <c r="F7224" s="3" t="s">
        <v>54</v>
      </c>
      <c r="G7224" s="3" t="s">
        <v>20</v>
      </c>
      <c r="H7224" s="2" t="s">
        <v>74</v>
      </c>
      <c r="I7224" s="2" t="s">
        <v>18188</v>
      </c>
      <c r="J7224" s="3" t="str">
        <f>HYPERLINK("https://www.boe.es/gazeta/dias/1810/06/27/pdfs/GMD-1810-178.pdf#page=4","Abrir facsímil")</f>
        <v>Abrir facsímil</v>
      </c>
      <c r="K7224" s="3" t="s">
        <v>76</v>
      </c>
    </row>
    <row r="7225" spans="1:11" ht="42" customHeight="1">
      <c r="A7225" s="2" t="s">
        <v>18189</v>
      </c>
      <c r="B7225" s="2" t="s">
        <v>18190</v>
      </c>
      <c r="C7225" s="2" t="s">
        <v>88</v>
      </c>
      <c r="D7225" s="2" t="s">
        <v>18</v>
      </c>
      <c r="E7225" s="4">
        <v>-32732</v>
      </c>
      <c r="F7225" s="3" t="s">
        <v>545</v>
      </c>
      <c r="G7225" s="3" t="s">
        <v>90</v>
      </c>
      <c r="H7225" s="2" t="s">
        <v>74</v>
      </c>
      <c r="I7225" s="2" t="s">
        <v>18191</v>
      </c>
      <c r="J7225" s="3" t="str">
        <f>HYPERLINK("https://www.boe.es/gazeta/dias/1810/05/19/pdfs/GMD-1810-139.pdf#page=4","Abrir facsímil")</f>
        <v>Abrir facsímil</v>
      </c>
      <c r="K7225" s="3" t="s">
        <v>76</v>
      </c>
    </row>
    <row r="7226" spans="1:11" ht="42" customHeight="1">
      <c r="A7226" s="2" t="s">
        <v>18192</v>
      </c>
      <c r="B7226" s="2" t="s">
        <v>18193</v>
      </c>
      <c r="C7226" s="2" t="s">
        <v>88</v>
      </c>
      <c r="D7226" s="2" t="s">
        <v>117</v>
      </c>
      <c r="E7226" s="4">
        <v>-32728</v>
      </c>
      <c r="F7226" s="3" t="s">
        <v>269</v>
      </c>
      <c r="G7226" s="3" t="s">
        <v>119</v>
      </c>
      <c r="H7226" s="2" t="s">
        <v>74</v>
      </c>
      <c r="I7226" s="2" t="s">
        <v>18194</v>
      </c>
      <c r="J7226" s="3" t="str">
        <f>HYPERLINK("https://www.boe.es/gazeta/dias/1810/05/23/pdfs/GMD-1810-143.pdf#page=3","Abrir facsímil")</f>
        <v>Abrir facsímil</v>
      </c>
      <c r="K7226" s="3" t="s">
        <v>76</v>
      </c>
    </row>
    <row r="7227" spans="1:11" ht="42" customHeight="1">
      <c r="A7227" s="2" t="s">
        <v>18195</v>
      </c>
      <c r="B7227" s="2" t="s">
        <v>18196</v>
      </c>
      <c r="C7227" s="2" t="s">
        <v>26</v>
      </c>
      <c r="D7227" s="2" t="s">
        <v>27</v>
      </c>
      <c r="E7227" s="4">
        <v>-32647</v>
      </c>
      <c r="F7227" s="3" t="s">
        <v>118</v>
      </c>
      <c r="G7227" s="3" t="s">
        <v>20</v>
      </c>
      <c r="H7227" s="2" t="s">
        <v>74</v>
      </c>
      <c r="I7227" s="2" t="s">
        <v>18197</v>
      </c>
      <c r="J7227" s="3" t="str">
        <f>HYPERLINK("https://www.boe.es/gazeta/dias/1810/08/12/pdfs/GMD-1810-224.pdf#page=4","Abrir facsímil")</f>
        <v>Abrir facsímil</v>
      </c>
      <c r="K7227" s="3" t="s">
        <v>76</v>
      </c>
    </row>
    <row r="7228" spans="1:11" ht="42" customHeight="1">
      <c r="A7228" s="2" t="s">
        <v>18198</v>
      </c>
      <c r="B7228" s="2" t="s">
        <v>18199</v>
      </c>
      <c r="C7228" s="2" t="s">
        <v>195</v>
      </c>
      <c r="D7228" s="2" t="s">
        <v>27</v>
      </c>
      <c r="E7228" s="4">
        <v>-32837</v>
      </c>
      <c r="F7228" s="3" t="s">
        <v>196</v>
      </c>
      <c r="G7228" s="3" t="s">
        <v>140</v>
      </c>
      <c r="H7228" s="2" t="s">
        <v>74</v>
      </c>
      <c r="I7228" s="2" t="s">
        <v>18200</v>
      </c>
      <c r="J7228" s="3" t="str">
        <f>HYPERLINK("https://www.boe.es/gazeta/dias/1810/02/03/pdfs/GMD-1810-34.pdf#page=4","Abrir facsímil")</f>
        <v>Abrir facsímil</v>
      </c>
      <c r="K7228" s="3" t="s">
        <v>76</v>
      </c>
    </row>
    <row r="7229" spans="1:11" ht="42" customHeight="1">
      <c r="A7229" s="2" t="s">
        <v>18201</v>
      </c>
      <c r="B7229" s="2" t="s">
        <v>18202</v>
      </c>
      <c r="C7229" s="2" t="s">
        <v>88</v>
      </c>
      <c r="D7229" s="2" t="s">
        <v>58</v>
      </c>
      <c r="E7229" s="4">
        <v>-32651</v>
      </c>
      <c r="F7229" s="3" t="s">
        <v>59</v>
      </c>
      <c r="G7229" s="3" t="s">
        <v>5204</v>
      </c>
      <c r="H7229" s="2" t="s">
        <v>74</v>
      </c>
      <c r="I7229" s="2" t="s">
        <v>18203</v>
      </c>
      <c r="J7229" s="3" t="str">
        <f>HYPERLINK("https://www.boe.es/gazeta/dias/1810/08/08/pdfs/GEI-1810-53E.pdf#page=10","Abrir facsímil")</f>
        <v>Abrir facsímil</v>
      </c>
      <c r="K7229" s="3" t="s">
        <v>76</v>
      </c>
    </row>
    <row r="7230" spans="1:11" ht="42" customHeight="1">
      <c r="A7230" s="2" t="s">
        <v>18204</v>
      </c>
      <c r="B7230" s="2" t="s">
        <v>18205</v>
      </c>
      <c r="C7230" s="2" t="s">
        <v>26</v>
      </c>
      <c r="D7230" s="2" t="s">
        <v>27</v>
      </c>
      <c r="E7230" s="4">
        <v>-32608</v>
      </c>
      <c r="F7230" s="3" t="s">
        <v>781</v>
      </c>
      <c r="G7230" s="3" t="s">
        <v>782</v>
      </c>
      <c r="H7230" s="2" t="s">
        <v>74</v>
      </c>
      <c r="I7230" s="2" t="s">
        <v>18206</v>
      </c>
      <c r="J7230" s="3" t="str">
        <f>HYPERLINK("https://www.boe.es/gazeta/dias/1810/09/20/pdfs/GEI-1810-70.pdf#page=5","Abrir facsímil")</f>
        <v>Abrir facsímil</v>
      </c>
      <c r="K7230" s="3" t="s">
        <v>76</v>
      </c>
    </row>
    <row r="7231" spans="1:11" ht="42" customHeight="1">
      <c r="A7231" s="2" t="s">
        <v>18207</v>
      </c>
      <c r="B7231" s="2" t="s">
        <v>18208</v>
      </c>
      <c r="C7231" s="2" t="s">
        <v>26</v>
      </c>
      <c r="D7231" s="2" t="s">
        <v>27</v>
      </c>
      <c r="E7231" s="4">
        <v>-32756</v>
      </c>
      <c r="F7231" s="3" t="s">
        <v>203</v>
      </c>
      <c r="G7231" s="3" t="s">
        <v>180</v>
      </c>
      <c r="H7231" s="2" t="s">
        <v>74</v>
      </c>
      <c r="I7231" s="2" t="s">
        <v>18209</v>
      </c>
      <c r="J7231" s="3" t="str">
        <f>HYPERLINK("https://www.boe.es/gazeta/dias/1810/04/25/pdfs/GMD-1810-115.pdf#page=4","Abrir facsímil")</f>
        <v>Abrir facsímil</v>
      </c>
      <c r="K7231" s="3" t="s">
        <v>76</v>
      </c>
    </row>
    <row r="7232" spans="1:11" ht="42" customHeight="1">
      <c r="A7232" s="2" t="s">
        <v>18210</v>
      </c>
      <c r="B7232" s="2" t="s">
        <v>18211</v>
      </c>
      <c r="C7232" s="2" t="s">
        <v>26</v>
      </c>
      <c r="D7232" s="2" t="s">
        <v>27</v>
      </c>
      <c r="E7232" s="4">
        <v>-32596</v>
      </c>
      <c r="F7232" s="3" t="s">
        <v>1311</v>
      </c>
      <c r="G7232" s="3" t="s">
        <v>29</v>
      </c>
      <c r="H7232" s="2" t="s">
        <v>74</v>
      </c>
      <c r="I7232" s="2" t="s">
        <v>18212</v>
      </c>
      <c r="J7232" s="3" t="str">
        <f>HYPERLINK("https://www.boe.es/gazeta/dias/1810/10/02/pdfs/GMD-1810-275.pdf#page=4","Abrir facsímil")</f>
        <v>Abrir facsímil</v>
      </c>
      <c r="K7232" s="3" t="s">
        <v>76</v>
      </c>
    </row>
    <row r="7233" spans="1:11" ht="42" customHeight="1">
      <c r="A7233" s="2" t="s">
        <v>18213</v>
      </c>
      <c r="B7233" s="2" t="s">
        <v>18214</v>
      </c>
      <c r="C7233" s="2" t="s">
        <v>26</v>
      </c>
      <c r="D7233" s="2" t="s">
        <v>39</v>
      </c>
      <c r="E7233" s="4">
        <v>-32661</v>
      </c>
      <c r="F7233" s="3" t="s">
        <v>157</v>
      </c>
      <c r="G7233" s="3" t="s">
        <v>158</v>
      </c>
      <c r="H7233" s="2" t="s">
        <v>74</v>
      </c>
      <c r="I7233" s="2" t="s">
        <v>18215</v>
      </c>
      <c r="J7233" s="3" t="str">
        <f>HYPERLINK("https://www.boe.es/gazeta/dias/1810/07/29/pdfs/GMD-C-1810-210.pdf#page=1","Abrir facsímil")</f>
        <v>Abrir facsímil</v>
      </c>
      <c r="K7233" s="3" t="s">
        <v>76</v>
      </c>
    </row>
    <row r="7234" spans="1:11" ht="42" customHeight="1">
      <c r="A7234" s="2" t="s">
        <v>18216</v>
      </c>
      <c r="B7234" s="2" t="s">
        <v>18217</v>
      </c>
      <c r="C7234" s="2" t="s">
        <v>17</v>
      </c>
      <c r="D7234" s="2" t="s">
        <v>27</v>
      </c>
      <c r="E7234" s="4">
        <v>-32568</v>
      </c>
      <c r="F7234" s="3" t="s">
        <v>1233</v>
      </c>
      <c r="G7234" s="3" t="s">
        <v>140</v>
      </c>
      <c r="H7234" s="2" t="s">
        <v>74</v>
      </c>
      <c r="I7234" s="2" t="s">
        <v>18218</v>
      </c>
      <c r="J7234" s="3" t="str">
        <f>HYPERLINK("https://www.boe.es/gazeta/dias/1810/10/30/pdfs/GMD-1810-303.pdf#page=4","Abrir facsímil")</f>
        <v>Abrir facsímil</v>
      </c>
      <c r="K7234" s="3" t="s">
        <v>76</v>
      </c>
    </row>
    <row r="7235" spans="1:11" ht="42" customHeight="1">
      <c r="A7235" s="2" t="s">
        <v>18219</v>
      </c>
      <c r="B7235" s="2" t="s">
        <v>18220</v>
      </c>
      <c r="C7235" s="2" t="s">
        <v>88</v>
      </c>
      <c r="D7235" s="2" t="s">
        <v>117</v>
      </c>
      <c r="E7235" s="4">
        <v>-32659</v>
      </c>
      <c r="F7235" s="3" t="s">
        <v>328</v>
      </c>
      <c r="G7235" s="3" t="s">
        <v>329</v>
      </c>
      <c r="H7235" s="2" t="s">
        <v>74</v>
      </c>
      <c r="I7235" s="2" t="s">
        <v>18221</v>
      </c>
      <c r="J7235" s="3" t="str">
        <f>HYPERLINK("https://www.boe.es/gazeta/dias/1810/07/31/pdfs/GEI-1810-49.pdf#page=7","Abrir facsímil")</f>
        <v>Abrir facsímil</v>
      </c>
      <c r="K7235" s="3" t="s">
        <v>76</v>
      </c>
    </row>
    <row r="7236" spans="1:11" ht="42" customHeight="1">
      <c r="A7236" s="2" t="s">
        <v>18222</v>
      </c>
      <c r="B7236" s="2" t="s">
        <v>18223</v>
      </c>
      <c r="C7236" s="2" t="s">
        <v>26</v>
      </c>
      <c r="D7236" s="2" t="s">
        <v>39</v>
      </c>
      <c r="E7236" s="4">
        <v>-32687</v>
      </c>
      <c r="F7236" s="3" t="s">
        <v>304</v>
      </c>
      <c r="G7236" s="3" t="s">
        <v>213</v>
      </c>
      <c r="H7236" s="2" t="s">
        <v>74</v>
      </c>
      <c r="I7236" s="2" t="s">
        <v>18224</v>
      </c>
      <c r="J7236" s="3" t="str">
        <f>HYPERLINK("https://www.boe.es/gazeta/dias/1810/07/03/pdfs/GMD-C-1810-184.pdf#page=3","Abrir facsímil")</f>
        <v>Abrir facsímil</v>
      </c>
      <c r="K7236" s="3" t="s">
        <v>76</v>
      </c>
    </row>
    <row r="7237" spans="1:11" ht="42" customHeight="1">
      <c r="A7237" s="2" t="s">
        <v>18225</v>
      </c>
      <c r="B7237" s="2" t="s">
        <v>18225</v>
      </c>
      <c r="C7237" s="2" t="s">
        <v>88</v>
      </c>
      <c r="D7237" s="2" t="s">
        <v>27</v>
      </c>
      <c r="E7237" s="4">
        <v>-32862</v>
      </c>
      <c r="F7237" s="3" t="s">
        <v>694</v>
      </c>
      <c r="G7237" s="3" t="s">
        <v>715</v>
      </c>
      <c r="H7237" s="2" t="s">
        <v>74</v>
      </c>
      <c r="I7237" s="2" t="s">
        <v>18226</v>
      </c>
      <c r="J7237" s="3" t="str">
        <f>HYPERLINK("https://www.boe.es/gazeta/dias/1810/01/09/pdfs/GGB-1810-4.pdf#page=3","Abrir facsímil")</f>
        <v>Abrir facsímil</v>
      </c>
      <c r="K7237" s="3" t="s">
        <v>76</v>
      </c>
    </row>
    <row r="7238" spans="1:11" ht="42" customHeight="1">
      <c r="A7238" s="2" t="s">
        <v>18227</v>
      </c>
      <c r="B7238" s="2" t="s">
        <v>18227</v>
      </c>
      <c r="C7238" s="2" t="s">
        <v>33</v>
      </c>
      <c r="D7238" s="2" t="s">
        <v>220</v>
      </c>
      <c r="E7238" s="4">
        <v>-32659</v>
      </c>
      <c r="F7238" s="3" t="s">
        <v>328</v>
      </c>
      <c r="G7238" s="3" t="s">
        <v>18228</v>
      </c>
      <c r="H7238" s="2" t="s">
        <v>74</v>
      </c>
      <c r="I7238" s="2" t="s">
        <v>18229</v>
      </c>
      <c r="J7238" s="3" t="str">
        <f>HYPERLINK("https://www.boe.es/gazeta/dias/1810/07/31/pdfs/GEI-1810-49.pdf#page=1","Abrir facsímil")</f>
        <v>Abrir facsímil</v>
      </c>
      <c r="K7238" s="3" t="s">
        <v>76</v>
      </c>
    </row>
    <row r="7239" spans="1:11" ht="42" customHeight="1">
      <c r="A7239" s="2" t="s">
        <v>18230</v>
      </c>
      <c r="B7239" s="2" t="s">
        <v>18231</v>
      </c>
      <c r="C7239" s="2" t="s">
        <v>26</v>
      </c>
      <c r="D7239" s="2" t="s">
        <v>27</v>
      </c>
      <c r="E7239" s="4">
        <v>-32591</v>
      </c>
      <c r="F7239" s="3" t="s">
        <v>377</v>
      </c>
      <c r="G7239" s="3" t="s">
        <v>140</v>
      </c>
      <c r="H7239" s="2" t="s">
        <v>74</v>
      </c>
      <c r="I7239" s="2" t="s">
        <v>18232</v>
      </c>
      <c r="J7239" s="3" t="str">
        <f>HYPERLINK("https://www.boe.es/gazeta/dias/1810/10/07/pdfs/GMD-1810-280.pdf#page=4","Abrir facsímil")</f>
        <v>Abrir facsímil</v>
      </c>
      <c r="K7239" s="3" t="s">
        <v>76</v>
      </c>
    </row>
    <row r="7240" spans="1:11" ht="42" customHeight="1">
      <c r="A7240" s="2" t="s">
        <v>18233</v>
      </c>
      <c r="B7240" s="2" t="s">
        <v>18234</v>
      </c>
      <c r="C7240" s="2" t="s">
        <v>17</v>
      </c>
      <c r="D7240" s="2" t="s">
        <v>27</v>
      </c>
      <c r="E7240" s="4">
        <v>-32756</v>
      </c>
      <c r="F7240" s="3" t="s">
        <v>203</v>
      </c>
      <c r="G7240" s="3" t="s">
        <v>180</v>
      </c>
      <c r="H7240" s="2" t="s">
        <v>74</v>
      </c>
      <c r="I7240" s="2" t="s">
        <v>18235</v>
      </c>
      <c r="J7240" s="3" t="str">
        <f>HYPERLINK("https://www.boe.es/gazeta/dias/1810/04/25/pdfs/GMD-1810-115.pdf#page=4","Abrir facsímil")</f>
        <v>Abrir facsímil</v>
      </c>
      <c r="K7240" s="3" t="s">
        <v>76</v>
      </c>
    </row>
    <row r="7241" spans="1:11" ht="42" customHeight="1">
      <c r="A7241" s="2" t="s">
        <v>18236</v>
      </c>
      <c r="B7241" s="2" t="s">
        <v>18237</v>
      </c>
      <c r="C7241" s="2" t="s">
        <v>88</v>
      </c>
      <c r="D7241" s="2" t="s">
        <v>27</v>
      </c>
      <c r="E7241" s="4">
        <v>-32533</v>
      </c>
      <c r="F7241" s="3" t="s">
        <v>1357</v>
      </c>
      <c r="G7241" s="3" t="s">
        <v>701</v>
      </c>
      <c r="H7241" s="2" t="s">
        <v>74</v>
      </c>
      <c r="I7241" s="2" t="s">
        <v>18238</v>
      </c>
      <c r="J7241" s="3" t="str">
        <f>HYPERLINK("https://www.boe.es/gazeta/dias/1810/12/04/pdfs/GEI-1810-103.pdf#page=8","Abrir facsímil")</f>
        <v>Abrir facsímil</v>
      </c>
      <c r="K7241" s="3" t="s">
        <v>76</v>
      </c>
    </row>
    <row r="7242" spans="1:11" ht="42" customHeight="1">
      <c r="A7242" s="2" t="s">
        <v>18239</v>
      </c>
      <c r="B7242" s="2" t="s">
        <v>18240</v>
      </c>
      <c r="C7242" s="2" t="s">
        <v>26</v>
      </c>
      <c r="D7242" s="2" t="s">
        <v>18</v>
      </c>
      <c r="E7242" s="4">
        <v>-32618</v>
      </c>
      <c r="F7242" s="3" t="s">
        <v>1501</v>
      </c>
      <c r="G7242" s="3" t="s">
        <v>20</v>
      </c>
      <c r="H7242" s="2" t="s">
        <v>74</v>
      </c>
      <c r="I7242" s="2" t="s">
        <v>18241</v>
      </c>
      <c r="J7242" s="3" t="str">
        <f>HYPERLINK("https://www.boe.es/gazeta/dias/1810/09/10/pdfs/GMD-1810-253.pdf#page=4","Abrir facsímil")</f>
        <v>Abrir facsímil</v>
      </c>
      <c r="K7242" s="3" t="s">
        <v>76</v>
      </c>
    </row>
    <row r="7243" spans="1:11" ht="42" customHeight="1">
      <c r="A7243" s="2" t="s">
        <v>18242</v>
      </c>
      <c r="B7243" s="2" t="s">
        <v>18243</v>
      </c>
      <c r="C7243" s="2" t="s">
        <v>26</v>
      </c>
      <c r="D7243" s="2" t="s">
        <v>27</v>
      </c>
      <c r="E7243" s="4">
        <v>-32715</v>
      </c>
      <c r="F7243" s="3" t="s">
        <v>1029</v>
      </c>
      <c r="G7243" s="3" t="s">
        <v>1638</v>
      </c>
      <c r="H7243" s="2" t="s">
        <v>74</v>
      </c>
      <c r="I7243" s="2" t="s">
        <v>18244</v>
      </c>
      <c r="J7243" s="3" t="str">
        <f>HYPERLINK("https://www.boe.es/gazeta/dias/1810/06/05/pdfs/GEI-1810-33.pdf#page=10","Abrir facsímil")</f>
        <v>Abrir facsímil</v>
      </c>
      <c r="K7243" s="3" t="s">
        <v>76</v>
      </c>
    </row>
    <row r="7244" spans="1:11" ht="42" customHeight="1">
      <c r="A7244" s="2" t="s">
        <v>18242</v>
      </c>
      <c r="B7244" s="2" t="s">
        <v>18243</v>
      </c>
      <c r="C7244" s="2" t="s">
        <v>88</v>
      </c>
      <c r="D7244" s="2" t="s">
        <v>27</v>
      </c>
      <c r="E7244" s="4">
        <v>-32533</v>
      </c>
      <c r="F7244" s="3" t="s">
        <v>1357</v>
      </c>
      <c r="G7244" s="3" t="s">
        <v>701</v>
      </c>
      <c r="H7244" s="2" t="s">
        <v>74</v>
      </c>
      <c r="I7244" s="2" t="s">
        <v>18245</v>
      </c>
      <c r="J7244" s="3" t="str">
        <f>HYPERLINK("https://www.boe.es/gazeta/dias/1810/12/04/pdfs/GEI-1810-103.pdf#page=8","Abrir facsímil")</f>
        <v>Abrir facsímil</v>
      </c>
      <c r="K7244" s="3" t="s">
        <v>76</v>
      </c>
    </row>
    <row r="7245" spans="1:11" ht="42" customHeight="1">
      <c r="A7245" s="2" t="s">
        <v>18246</v>
      </c>
      <c r="B7245" s="2" t="s">
        <v>18247</v>
      </c>
      <c r="C7245" s="2" t="s">
        <v>26</v>
      </c>
      <c r="D7245" s="2" t="s">
        <v>27</v>
      </c>
      <c r="E7245" s="4">
        <v>-32563</v>
      </c>
      <c r="F7245" s="3" t="s">
        <v>535</v>
      </c>
      <c r="G7245" s="3" t="s">
        <v>8537</v>
      </c>
      <c r="H7245" s="2" t="s">
        <v>74</v>
      </c>
      <c r="I7245" s="2" t="s">
        <v>18248</v>
      </c>
      <c r="J7245" s="3" t="str">
        <f>HYPERLINK("https://www.boe.es/gazeta/dias/1810/11/04/pdfs/GMD-1810-308.pdf#page=24","Abrir facsímil")</f>
        <v>Abrir facsímil</v>
      </c>
      <c r="K7245" s="3" t="s">
        <v>76</v>
      </c>
    </row>
    <row r="7246" spans="1:11" ht="42" customHeight="1">
      <c r="A7246" s="2" t="s">
        <v>18249</v>
      </c>
      <c r="B7246" s="2" t="s">
        <v>18250</v>
      </c>
      <c r="C7246" s="2" t="s">
        <v>88</v>
      </c>
      <c r="D7246" s="2" t="s">
        <v>117</v>
      </c>
      <c r="E7246" s="4">
        <v>-32820</v>
      </c>
      <c r="F7246" s="3" t="s">
        <v>226</v>
      </c>
      <c r="G7246" s="3" t="s">
        <v>356</v>
      </c>
      <c r="H7246" s="2" t="s">
        <v>74</v>
      </c>
      <c r="I7246" s="2" t="s">
        <v>18251</v>
      </c>
      <c r="J7246" s="3" t="str">
        <f>HYPERLINK("https://www.boe.es/gazeta/dias/1810/02/20/pdfs/GMD-1810-51.pdf#page=3","Abrir facsímil")</f>
        <v>Abrir facsímil</v>
      </c>
      <c r="K7246" s="3" t="s">
        <v>76</v>
      </c>
    </row>
    <row r="7247" spans="1:11" ht="42" customHeight="1">
      <c r="A7247" s="2" t="s">
        <v>18252</v>
      </c>
      <c r="B7247" s="2" t="s">
        <v>18253</v>
      </c>
      <c r="C7247" s="2" t="s">
        <v>26</v>
      </c>
      <c r="D7247" s="2" t="s">
        <v>27</v>
      </c>
      <c r="E7247" s="4">
        <v>-32515</v>
      </c>
      <c r="F7247" s="3" t="s">
        <v>351</v>
      </c>
      <c r="G7247" s="3" t="s">
        <v>352</v>
      </c>
      <c r="H7247" s="2" t="s">
        <v>74</v>
      </c>
      <c r="I7247" s="2" t="s">
        <v>18254</v>
      </c>
      <c r="J7247" s="3" t="str">
        <f>HYPERLINK("https://www.boe.es/gazeta/dias/1810/12/22/pdfs/GEI-1810-111.pdf#page=8","Abrir facsímil")</f>
        <v>Abrir facsímil</v>
      </c>
      <c r="K7247" s="3" t="s">
        <v>76</v>
      </c>
    </row>
    <row r="7248" spans="1:11" ht="42" customHeight="1">
      <c r="A7248" s="2" t="s">
        <v>18255</v>
      </c>
      <c r="B7248" s="2" t="s">
        <v>18256</v>
      </c>
      <c r="C7248" s="2" t="s">
        <v>26</v>
      </c>
      <c r="D7248" s="2" t="s">
        <v>39</v>
      </c>
      <c r="E7248" s="4">
        <v>-32701</v>
      </c>
      <c r="F7248" s="3" t="s">
        <v>40</v>
      </c>
      <c r="G7248" s="3" t="s">
        <v>315</v>
      </c>
      <c r="H7248" s="2" t="s">
        <v>74</v>
      </c>
      <c r="I7248" s="2" t="s">
        <v>18257</v>
      </c>
      <c r="J7248" s="3" t="str">
        <f>HYPERLINK("https://www.boe.es/gazeta/dias/1810/06/19/pdfs/GMD-C-1810-170.pdf#page=2","Abrir facsímil")</f>
        <v>Abrir facsímil</v>
      </c>
      <c r="K7248" s="3" t="s">
        <v>76</v>
      </c>
    </row>
    <row r="7249" spans="1:11" ht="42" customHeight="1">
      <c r="A7249" s="2" t="s">
        <v>18258</v>
      </c>
      <c r="B7249" s="2" t="s">
        <v>18259</v>
      </c>
      <c r="C7249" s="2" t="s">
        <v>88</v>
      </c>
      <c r="D7249" s="2" t="s">
        <v>117</v>
      </c>
      <c r="E7249" s="4">
        <v>-32508</v>
      </c>
      <c r="F7249" s="3" t="s">
        <v>864</v>
      </c>
      <c r="G7249" s="3" t="s">
        <v>140</v>
      </c>
      <c r="H7249" s="2" t="s">
        <v>74</v>
      </c>
      <c r="I7249" s="2" t="s">
        <v>18260</v>
      </c>
      <c r="J7249" s="3" t="str">
        <f>HYPERLINK("https://www.boe.es/gazeta/dias/1810/12/29/pdfs/GEI-1810-114.pdf#page=5","Abrir facsímil")</f>
        <v>Abrir facsímil</v>
      </c>
      <c r="K7249" s="3" t="s">
        <v>76</v>
      </c>
    </row>
    <row r="7250" spans="1:11" ht="42" customHeight="1">
      <c r="A7250" s="2" t="s">
        <v>18261</v>
      </c>
      <c r="B7250" s="2" t="s">
        <v>18262</v>
      </c>
      <c r="C7250" s="2" t="s">
        <v>88</v>
      </c>
      <c r="D7250" s="2" t="s">
        <v>27</v>
      </c>
      <c r="E7250" s="4">
        <v>-32756</v>
      </c>
      <c r="F7250" s="3" t="s">
        <v>203</v>
      </c>
      <c r="G7250" s="3" t="s">
        <v>180</v>
      </c>
      <c r="H7250" s="2" t="s">
        <v>74</v>
      </c>
      <c r="I7250" s="2" t="s">
        <v>18263</v>
      </c>
      <c r="J7250" s="3" t="str">
        <f>HYPERLINK("https://www.boe.es/gazeta/dias/1810/04/25/pdfs/GMD-1810-115.pdf#page=4","Abrir facsímil")</f>
        <v>Abrir facsímil</v>
      </c>
      <c r="K7250" s="3" t="s">
        <v>76</v>
      </c>
    </row>
    <row r="7251" spans="1:11" ht="42" customHeight="1">
      <c r="A7251" s="2" t="s">
        <v>18264</v>
      </c>
      <c r="B7251" s="2" t="s">
        <v>18265</v>
      </c>
      <c r="C7251" s="2" t="s">
        <v>111</v>
      </c>
      <c r="D7251" s="2" t="s">
        <v>27</v>
      </c>
      <c r="E7251" s="4">
        <v>-32689</v>
      </c>
      <c r="F7251" s="3" t="s">
        <v>571</v>
      </c>
      <c r="G7251" s="3" t="s">
        <v>29</v>
      </c>
      <c r="H7251" s="2" t="s">
        <v>74</v>
      </c>
      <c r="I7251" s="2" t="s">
        <v>18266</v>
      </c>
      <c r="J7251" s="3" t="str">
        <f>HYPERLINK("https://www.boe.es/gazeta/dias/1810/07/01/pdfs/GMD-1810-182.pdf#page=3","Abrir facsímil")</f>
        <v>Abrir facsímil</v>
      </c>
      <c r="K7251" s="3" t="s">
        <v>76</v>
      </c>
    </row>
    <row r="7252" spans="1:11" ht="42" customHeight="1">
      <c r="A7252" s="2" t="s">
        <v>18267</v>
      </c>
      <c r="B7252" s="2" t="s">
        <v>18268</v>
      </c>
      <c r="C7252" s="2" t="s">
        <v>26</v>
      </c>
      <c r="D7252" s="2" t="s">
        <v>27</v>
      </c>
      <c r="E7252" s="4">
        <v>-32842</v>
      </c>
      <c r="F7252" s="3" t="s">
        <v>1291</v>
      </c>
      <c r="G7252" s="3" t="s">
        <v>70</v>
      </c>
      <c r="H7252" s="2" t="s">
        <v>74</v>
      </c>
      <c r="I7252" s="2" t="s">
        <v>18269</v>
      </c>
      <c r="J7252" s="3" t="str">
        <f>HYPERLINK("https://www.boe.es/gazeta/dias/1810/01/29/pdfs/GMD-1810-29.pdf#page=4","Abrir facsímil")</f>
        <v>Abrir facsímil</v>
      </c>
      <c r="K7252" s="3" t="s">
        <v>76</v>
      </c>
    </row>
    <row r="7253" spans="1:11" ht="42" customHeight="1">
      <c r="A7253" s="2" t="s">
        <v>18270</v>
      </c>
      <c r="B7253" s="2" t="s">
        <v>18271</v>
      </c>
      <c r="C7253" s="2" t="s">
        <v>225</v>
      </c>
      <c r="D7253" s="2" t="s">
        <v>27</v>
      </c>
      <c r="E7253" s="4">
        <v>-32766</v>
      </c>
      <c r="F7253" s="3" t="s">
        <v>492</v>
      </c>
      <c r="G7253" s="3" t="s">
        <v>493</v>
      </c>
      <c r="H7253" s="2" t="s">
        <v>74</v>
      </c>
      <c r="I7253" s="2" t="s">
        <v>18272</v>
      </c>
      <c r="J7253" s="3" t="str">
        <f>HYPERLINK("https://www.boe.es/gazeta/dias/1810/04/15/pdfs/GMD-1810-105.pdf#page=4","Abrir facsímil")</f>
        <v>Abrir facsímil</v>
      </c>
      <c r="K7253" s="3" t="s">
        <v>76</v>
      </c>
    </row>
    <row r="7254" spans="1:11" ht="42" customHeight="1">
      <c r="A7254" s="2" t="s">
        <v>18273</v>
      </c>
      <c r="B7254" s="2" t="s">
        <v>18274</v>
      </c>
      <c r="C7254" s="2" t="s">
        <v>88</v>
      </c>
      <c r="D7254" s="2" t="s">
        <v>27</v>
      </c>
      <c r="E7254" s="4">
        <v>-32509</v>
      </c>
      <c r="F7254" s="3" t="s">
        <v>212</v>
      </c>
      <c r="G7254" s="3" t="s">
        <v>213</v>
      </c>
      <c r="H7254" s="2" t="s">
        <v>74</v>
      </c>
      <c r="I7254" s="2" t="s">
        <v>18275</v>
      </c>
      <c r="J7254" s="3" t="str">
        <f>HYPERLINK("https://www.boe.es/gazeta/dias/1810/12/28/pdfs/GMD-1810-362.pdf#page=4","Abrir facsímil")</f>
        <v>Abrir facsímil</v>
      </c>
      <c r="K7254" s="3" t="s">
        <v>76</v>
      </c>
    </row>
    <row r="7255" spans="1:11" ht="42" customHeight="1">
      <c r="A7255" s="2" t="s">
        <v>18276</v>
      </c>
      <c r="B7255" s="2" t="s">
        <v>18277</v>
      </c>
      <c r="C7255" s="2" t="s">
        <v>26</v>
      </c>
      <c r="D7255" s="2" t="s">
        <v>27</v>
      </c>
      <c r="E7255" s="4">
        <v>-32649</v>
      </c>
      <c r="F7255" s="3" t="s">
        <v>1988</v>
      </c>
      <c r="G7255" s="3" t="s">
        <v>227</v>
      </c>
      <c r="H7255" s="2" t="s">
        <v>74</v>
      </c>
      <c r="I7255" s="2" t="s">
        <v>18278</v>
      </c>
      <c r="J7255" s="3" t="str">
        <f>HYPERLINK("https://www.boe.es/gazeta/dias/1810/08/10/pdfs/GMD-1810-222.pdf#page=4","Abrir facsímil")</f>
        <v>Abrir facsímil</v>
      </c>
      <c r="K7255" s="3" t="s">
        <v>76</v>
      </c>
    </row>
    <row r="7256" spans="1:11" ht="42" customHeight="1">
      <c r="A7256" s="2" t="s">
        <v>18279</v>
      </c>
      <c r="B7256" s="2" t="s">
        <v>18280</v>
      </c>
      <c r="C7256" s="2" t="s">
        <v>26</v>
      </c>
      <c r="D7256" s="2" t="s">
        <v>27</v>
      </c>
      <c r="E7256" s="4">
        <v>-32658</v>
      </c>
      <c r="F7256" s="3" t="s">
        <v>1224</v>
      </c>
      <c r="G7256" s="3" t="s">
        <v>140</v>
      </c>
      <c r="H7256" s="2" t="s">
        <v>74</v>
      </c>
      <c r="I7256" s="2" t="s">
        <v>18281</v>
      </c>
      <c r="J7256" s="3" t="str">
        <f>HYPERLINK("https://www.boe.es/gazeta/dias/1810/08/01/pdfs/GMD-1810-213.pdf#page=4","Abrir facsímil")</f>
        <v>Abrir facsímil</v>
      </c>
      <c r="K7256" s="3" t="s">
        <v>76</v>
      </c>
    </row>
    <row r="7257" spans="1:11" ht="42" customHeight="1">
      <c r="A7257" s="2" t="s">
        <v>18282</v>
      </c>
      <c r="B7257" s="2" t="s">
        <v>18283</v>
      </c>
      <c r="C7257" s="2" t="s">
        <v>26</v>
      </c>
      <c r="D7257" s="2" t="s">
        <v>39</v>
      </c>
      <c r="E7257" s="4">
        <v>-32701</v>
      </c>
      <c r="F7257" s="3" t="s">
        <v>40</v>
      </c>
      <c r="G7257" s="3" t="s">
        <v>315</v>
      </c>
      <c r="H7257" s="2" t="s">
        <v>74</v>
      </c>
      <c r="I7257" s="2" t="s">
        <v>18284</v>
      </c>
      <c r="J7257" s="3" t="str">
        <f>HYPERLINK("https://www.boe.es/gazeta/dias/1810/06/19/pdfs/GMD-C-1810-170.pdf#page=2","Abrir facsímil")</f>
        <v>Abrir facsímil</v>
      </c>
      <c r="K7257" s="3" t="s">
        <v>76</v>
      </c>
    </row>
    <row r="7258" spans="1:11" ht="42" customHeight="1">
      <c r="A7258" s="2" t="s">
        <v>18285</v>
      </c>
      <c r="B7258" s="2" t="s">
        <v>18286</v>
      </c>
      <c r="C7258" s="2" t="s">
        <v>88</v>
      </c>
      <c r="D7258" s="2" t="s">
        <v>27</v>
      </c>
      <c r="E7258" s="4">
        <v>-32550</v>
      </c>
      <c r="F7258" s="3" t="s">
        <v>1472</v>
      </c>
      <c r="G7258" s="3" t="s">
        <v>1473</v>
      </c>
      <c r="H7258" s="2" t="s">
        <v>74</v>
      </c>
      <c r="I7258" s="2" t="s">
        <v>18287</v>
      </c>
      <c r="J7258" s="3" t="str">
        <f>HYPERLINK("https://www.boe.es/gazeta/dias/1810/11/17/pdfs/GEI-1810-96.pdf#page=8","Abrir facsímil")</f>
        <v>Abrir facsímil</v>
      </c>
      <c r="K7258" s="3" t="s">
        <v>76</v>
      </c>
    </row>
    <row r="7259" spans="1:11" ht="42" customHeight="1">
      <c r="A7259" s="2" t="s">
        <v>18288</v>
      </c>
      <c r="B7259" s="2" t="s">
        <v>18289</v>
      </c>
      <c r="C7259" s="2" t="s">
        <v>26</v>
      </c>
      <c r="D7259" s="2" t="s">
        <v>27</v>
      </c>
      <c r="E7259" s="4">
        <v>-32550</v>
      </c>
      <c r="F7259" s="3" t="s">
        <v>1472</v>
      </c>
      <c r="G7259" s="3" t="s">
        <v>1473</v>
      </c>
      <c r="H7259" s="2" t="s">
        <v>74</v>
      </c>
      <c r="I7259" s="2" t="s">
        <v>18290</v>
      </c>
      <c r="J7259" s="3" t="str">
        <f>HYPERLINK("https://www.boe.es/gazeta/dias/1810/11/17/pdfs/GEI-1810-96.pdf#page=8","Abrir facsímil")</f>
        <v>Abrir facsímil</v>
      </c>
      <c r="K7259" s="3" t="s">
        <v>76</v>
      </c>
    </row>
    <row r="7260" spans="1:11" ht="42" customHeight="1">
      <c r="A7260" s="2" t="s">
        <v>18291</v>
      </c>
      <c r="B7260" s="2" t="s">
        <v>18292</v>
      </c>
      <c r="C7260" s="2" t="s">
        <v>26</v>
      </c>
      <c r="D7260" s="2" t="s">
        <v>18</v>
      </c>
      <c r="E7260" s="4">
        <v>-32701</v>
      </c>
      <c r="F7260" s="3" t="s">
        <v>40</v>
      </c>
      <c r="G7260" s="3" t="s">
        <v>333</v>
      </c>
      <c r="H7260" s="2" t="s">
        <v>74</v>
      </c>
      <c r="I7260" s="2" t="s">
        <v>18293</v>
      </c>
      <c r="J7260" s="3" t="str">
        <f>HYPERLINK("https://www.boe.es/gazeta/dias/1810/06/19/pdfs/GMD-C-1810-170.pdf#page=4","Abrir facsímil")</f>
        <v>Abrir facsímil</v>
      </c>
      <c r="K7260" s="3" t="s">
        <v>76</v>
      </c>
    </row>
    <row r="7261" spans="1:11" ht="42" customHeight="1">
      <c r="A7261" s="2" t="s">
        <v>18294</v>
      </c>
      <c r="B7261" s="2" t="s">
        <v>18294</v>
      </c>
      <c r="C7261" s="2" t="s">
        <v>88</v>
      </c>
      <c r="D7261" s="2" t="s">
        <v>27</v>
      </c>
      <c r="E7261" s="4">
        <v>-32842</v>
      </c>
      <c r="F7261" s="3" t="s">
        <v>1291</v>
      </c>
      <c r="G7261" s="3" t="s">
        <v>35</v>
      </c>
      <c r="H7261" s="2" t="s">
        <v>74</v>
      </c>
      <c r="I7261" s="2" t="s">
        <v>18295</v>
      </c>
      <c r="J7261" s="3" t="str">
        <f>HYPERLINK("https://www.boe.es/gazeta/dias/1810/01/29/pdfs/GMD-1810-29.pdf#page=2","Abrir facsímil")</f>
        <v>Abrir facsímil</v>
      </c>
      <c r="K7261" s="3" t="s">
        <v>76</v>
      </c>
    </row>
    <row r="7262" spans="1:11" ht="42" customHeight="1">
      <c r="A7262" s="2" t="s">
        <v>18296</v>
      </c>
      <c r="B7262" s="2" t="s">
        <v>18297</v>
      </c>
      <c r="C7262" s="2" t="s">
        <v>17</v>
      </c>
      <c r="D7262" s="2" t="s">
        <v>27</v>
      </c>
      <c r="E7262" s="4">
        <v>-32591</v>
      </c>
      <c r="F7262" s="3" t="s">
        <v>377</v>
      </c>
      <c r="G7262" s="3" t="s">
        <v>140</v>
      </c>
      <c r="H7262" s="2" t="s">
        <v>74</v>
      </c>
      <c r="I7262" s="2" t="s">
        <v>18298</v>
      </c>
      <c r="J7262" s="3" t="str">
        <f>HYPERLINK("https://www.boe.es/gazeta/dias/1810/10/07/pdfs/GMD-1810-280.pdf#page=4","Abrir facsímil")</f>
        <v>Abrir facsímil</v>
      </c>
      <c r="K7262" s="3" t="s">
        <v>76</v>
      </c>
    </row>
    <row r="7263" spans="1:11" ht="42" customHeight="1">
      <c r="A7263" s="2" t="s">
        <v>18299</v>
      </c>
      <c r="B7263" s="2" t="s">
        <v>18300</v>
      </c>
      <c r="C7263" s="2" t="s">
        <v>26</v>
      </c>
      <c r="D7263" s="2" t="s">
        <v>18</v>
      </c>
      <c r="E7263" s="4">
        <v>-32601</v>
      </c>
      <c r="F7263" s="3" t="s">
        <v>392</v>
      </c>
      <c r="G7263" s="3" t="s">
        <v>35</v>
      </c>
      <c r="H7263" s="2" t="s">
        <v>74</v>
      </c>
      <c r="I7263" s="2" t="s">
        <v>18301</v>
      </c>
      <c r="J7263" s="3" t="str">
        <f>HYPERLINK("https://www.boe.es/gazeta/dias/1810/09/27/pdfs/GEI-1810-74E.pdf#page=2","Abrir facsímil")</f>
        <v>Abrir facsímil</v>
      </c>
      <c r="K7263" s="3" t="s">
        <v>76</v>
      </c>
    </row>
    <row r="7264" spans="1:11" ht="42" customHeight="1">
      <c r="A7264" s="2" t="s">
        <v>18299</v>
      </c>
      <c r="B7264" s="2" t="s">
        <v>18300</v>
      </c>
      <c r="C7264" s="2" t="s">
        <v>26</v>
      </c>
      <c r="D7264" s="2" t="s">
        <v>27</v>
      </c>
      <c r="E7264" s="4">
        <v>-32575</v>
      </c>
      <c r="F7264" s="3" t="s">
        <v>135</v>
      </c>
      <c r="G7264" s="3" t="s">
        <v>136</v>
      </c>
      <c r="H7264" s="2" t="s">
        <v>74</v>
      </c>
      <c r="I7264" s="2" t="s">
        <v>18302</v>
      </c>
      <c r="J7264" s="3" t="str">
        <f>HYPERLINK("https://www.boe.es/gazeta/dias/1810/10/23/pdfs/GEI-1810-85.pdf#page=11","Abrir facsímil")</f>
        <v>Abrir facsímil</v>
      </c>
      <c r="K7264" s="3" t="s">
        <v>76</v>
      </c>
    </row>
    <row r="7265" spans="1:11" ht="42" customHeight="1">
      <c r="A7265" s="2" t="s">
        <v>18303</v>
      </c>
      <c r="B7265" s="2" t="s">
        <v>18303</v>
      </c>
      <c r="C7265" s="2" t="s">
        <v>26</v>
      </c>
      <c r="D7265" s="2" t="s">
        <v>27</v>
      </c>
      <c r="E7265" s="4">
        <v>-32856</v>
      </c>
      <c r="F7265" s="3" t="s">
        <v>963</v>
      </c>
      <c r="G7265" s="3" t="s">
        <v>99</v>
      </c>
      <c r="H7265" s="2" t="s">
        <v>74</v>
      </c>
      <c r="I7265" s="2" t="s">
        <v>18304</v>
      </c>
      <c r="J7265" s="3" t="str">
        <f>HYPERLINK("https://www.boe.es/gazeta/dias/1810/01/15/pdfs/GMD-1810-15.pdf#page=3","Abrir facsímil")</f>
        <v>Abrir facsímil</v>
      </c>
      <c r="K7265" s="3" t="s">
        <v>76</v>
      </c>
    </row>
    <row r="7266" spans="1:11" ht="42" customHeight="1">
      <c r="A7266" s="2" t="s">
        <v>18305</v>
      </c>
      <c r="B7266" s="2" t="s">
        <v>18306</v>
      </c>
      <c r="C7266" s="2" t="s">
        <v>88</v>
      </c>
      <c r="D7266" s="2" t="s">
        <v>27</v>
      </c>
      <c r="E7266" s="4">
        <v>-32614</v>
      </c>
      <c r="F7266" s="3" t="s">
        <v>1083</v>
      </c>
      <c r="G7266" s="3" t="s">
        <v>1084</v>
      </c>
      <c r="H7266" s="2" t="s">
        <v>74</v>
      </c>
      <c r="I7266" s="2" t="s">
        <v>18307</v>
      </c>
      <c r="J7266" s="3" t="str">
        <f>HYPERLINK("https://www.boe.es/gazeta/dias/1810/09/14/pdfs/GEI-1810-67.pdf#page=10","Abrir facsímil")</f>
        <v>Abrir facsímil</v>
      </c>
      <c r="K7266" s="3" t="s">
        <v>76</v>
      </c>
    </row>
    <row r="7267" spans="1:11" ht="42" customHeight="1">
      <c r="A7267" s="2" t="s">
        <v>18308</v>
      </c>
      <c r="B7267" s="2" t="s">
        <v>18309</v>
      </c>
      <c r="C7267" s="2" t="s">
        <v>225</v>
      </c>
      <c r="D7267" s="2" t="s">
        <v>27</v>
      </c>
      <c r="E7267" s="4">
        <v>-32802</v>
      </c>
      <c r="F7267" s="3" t="s">
        <v>1075</v>
      </c>
      <c r="G7267" s="3" t="s">
        <v>90</v>
      </c>
      <c r="H7267" s="2" t="s">
        <v>74</v>
      </c>
      <c r="I7267" s="2" t="s">
        <v>18310</v>
      </c>
      <c r="J7267" s="3" t="str">
        <f>HYPERLINK("https://www.boe.es/gazeta/dias/1810/03/10/pdfs/GMD-1810-69.pdf#page=3","Abrir facsímil")</f>
        <v>Abrir facsímil</v>
      </c>
      <c r="K7267" s="3" t="s">
        <v>76</v>
      </c>
    </row>
    <row r="7268" spans="1:11" ht="42" customHeight="1">
      <c r="A7268" s="2" t="s">
        <v>18311</v>
      </c>
      <c r="B7268" s="2" t="s">
        <v>18312</v>
      </c>
      <c r="C7268" s="2" t="s">
        <v>33</v>
      </c>
      <c r="D7268" s="2" t="s">
        <v>27</v>
      </c>
      <c r="E7268" s="4">
        <v>-32710</v>
      </c>
      <c r="F7268" s="3" t="s">
        <v>126</v>
      </c>
      <c r="G7268" s="3" t="s">
        <v>184</v>
      </c>
      <c r="H7268" s="2" t="s">
        <v>74</v>
      </c>
      <c r="I7268" s="2" t="s">
        <v>18313</v>
      </c>
      <c r="J7268" s="3" t="str">
        <f>HYPERLINK("https://www.boe.es/gazeta/dias/1810/06/10/pdfs/GMD-1810-161.pdf#page=3","Abrir facsímil")</f>
        <v>Abrir facsímil</v>
      </c>
      <c r="K7268" s="3" t="s">
        <v>76</v>
      </c>
    </row>
    <row r="7269" spans="1:11" ht="42" customHeight="1">
      <c r="A7269" s="2" t="s">
        <v>18314</v>
      </c>
      <c r="B7269" s="2" t="s">
        <v>18314</v>
      </c>
      <c r="C7269" s="2" t="s">
        <v>26</v>
      </c>
      <c r="D7269" s="2" t="s">
        <v>27</v>
      </c>
      <c r="E7269" s="4">
        <v>-32693</v>
      </c>
      <c r="F7269" s="3" t="s">
        <v>54</v>
      </c>
      <c r="G7269" s="3" t="s">
        <v>20</v>
      </c>
      <c r="H7269" s="2" t="s">
        <v>74</v>
      </c>
      <c r="I7269" s="2" t="s">
        <v>18315</v>
      </c>
      <c r="J7269" s="3" t="str">
        <f>HYPERLINK("https://www.boe.es/gazeta/dias/1810/06/27/pdfs/GMD-1810-178.pdf#page=4","Abrir facsímil")</f>
        <v>Abrir facsímil</v>
      </c>
      <c r="K7269" s="3" t="s">
        <v>76</v>
      </c>
    </row>
    <row r="7270" spans="1:11" ht="42" customHeight="1">
      <c r="A7270" s="2" t="s">
        <v>18316</v>
      </c>
      <c r="B7270" s="2" t="s">
        <v>18316</v>
      </c>
      <c r="C7270" s="2" t="s">
        <v>26</v>
      </c>
      <c r="D7270" s="2" t="s">
        <v>27</v>
      </c>
      <c r="E7270" s="4">
        <v>-32550</v>
      </c>
      <c r="F7270" s="3" t="s">
        <v>4222</v>
      </c>
      <c r="G7270" s="3" t="s">
        <v>735</v>
      </c>
      <c r="H7270" s="2" t="s">
        <v>74</v>
      </c>
      <c r="I7270" s="2" t="s">
        <v>18317</v>
      </c>
      <c r="J7270" s="3" t="str">
        <f>HYPERLINK("https://www.boe.es/gazeta/dias/1810/11/17/pdfs/GMD-1810-321.pdf#page=1","Abrir facsímil")</f>
        <v>Abrir facsímil</v>
      </c>
      <c r="K7270" s="3" t="s">
        <v>76</v>
      </c>
    </row>
    <row r="7271" spans="1:11" ht="42" customHeight="1">
      <c r="A7271" s="2" t="s">
        <v>18318</v>
      </c>
      <c r="B7271" s="2" t="s">
        <v>18318</v>
      </c>
      <c r="C7271" s="2" t="s">
        <v>26</v>
      </c>
      <c r="D7271" s="2" t="s">
        <v>27</v>
      </c>
      <c r="E7271" s="4">
        <v>-32563</v>
      </c>
      <c r="F7271" s="3" t="s">
        <v>535</v>
      </c>
      <c r="G7271" s="3" t="s">
        <v>180</v>
      </c>
      <c r="H7271" s="2" t="s">
        <v>74</v>
      </c>
      <c r="I7271" s="2" t="s">
        <v>18319</v>
      </c>
      <c r="J7271" s="3" t="str">
        <f>HYPERLINK("https://www.boe.es/gazeta/dias/1810/11/04/pdfs/GMD-1810-308.pdf#page=1","Abrir facsímil")</f>
        <v>Abrir facsímil</v>
      </c>
      <c r="K7271" s="3" t="s">
        <v>76</v>
      </c>
    </row>
    <row r="7272" spans="1:11" ht="42" customHeight="1">
      <c r="A7272" s="2" t="s">
        <v>18320</v>
      </c>
      <c r="B7272" s="2" t="s">
        <v>18320</v>
      </c>
      <c r="C7272" s="2" t="s">
        <v>930</v>
      </c>
      <c r="D7272" s="2" t="s">
        <v>220</v>
      </c>
      <c r="E7272" s="4">
        <v>-32580</v>
      </c>
      <c r="F7272" s="3" t="s">
        <v>833</v>
      </c>
      <c r="G7272" s="3" t="s">
        <v>465</v>
      </c>
      <c r="H7272" s="2" t="s">
        <v>74</v>
      </c>
      <c r="I7272" s="2" t="s">
        <v>18321</v>
      </c>
      <c r="J7272" s="3" t="str">
        <f>HYPERLINK("https://www.boe.es/gazeta/dias/1810/10/18/pdfs/GMD-1810-291.pdf#page=2","Abrir facsímil")</f>
        <v>Abrir facsímil</v>
      </c>
      <c r="K7272" s="3" t="s">
        <v>76</v>
      </c>
    </row>
    <row r="7273" spans="1:11" ht="42" customHeight="1">
      <c r="A7273" s="2" t="s">
        <v>18322</v>
      </c>
      <c r="B7273" s="2" t="s">
        <v>18323</v>
      </c>
      <c r="C7273" s="2" t="s">
        <v>26</v>
      </c>
      <c r="D7273" s="2" t="s">
        <v>27</v>
      </c>
      <c r="E7273" s="4">
        <v>-32568</v>
      </c>
      <c r="F7273" s="3" t="s">
        <v>1233</v>
      </c>
      <c r="G7273" s="3" t="s">
        <v>140</v>
      </c>
      <c r="H7273" s="2" t="s">
        <v>74</v>
      </c>
      <c r="I7273" s="2" t="s">
        <v>18324</v>
      </c>
      <c r="J7273" s="3" t="str">
        <f>HYPERLINK("https://www.boe.es/gazeta/dias/1810/10/30/pdfs/GMD-1810-303.pdf#page=4","Abrir facsímil")</f>
        <v>Abrir facsímil</v>
      </c>
      <c r="K7273" s="3" t="s">
        <v>76</v>
      </c>
    </row>
    <row r="7274" spans="1:11" ht="42" customHeight="1">
      <c r="A7274" s="2" t="s">
        <v>18325</v>
      </c>
      <c r="B7274" s="2" t="s">
        <v>18326</v>
      </c>
      <c r="C7274" s="2" t="s">
        <v>225</v>
      </c>
      <c r="D7274" s="2" t="s">
        <v>27</v>
      </c>
      <c r="E7274" s="4">
        <v>-32531</v>
      </c>
      <c r="F7274" s="3" t="s">
        <v>2023</v>
      </c>
      <c r="G7274" s="3" t="s">
        <v>29</v>
      </c>
      <c r="H7274" s="2" t="s">
        <v>74</v>
      </c>
      <c r="I7274" s="2" t="s">
        <v>18327</v>
      </c>
      <c r="J7274" s="3" t="str">
        <f>HYPERLINK("https://www.boe.es/gazeta/dias/1810/12/06/pdfs/GMD-1810-340.pdf#page=4","Abrir facsímil")</f>
        <v>Abrir facsímil</v>
      </c>
      <c r="K7274" s="3" t="s">
        <v>76</v>
      </c>
    </row>
    <row r="7275" spans="1:11" ht="42" customHeight="1">
      <c r="A7275" s="2" t="s">
        <v>18328</v>
      </c>
      <c r="B7275" s="2" t="s">
        <v>18328</v>
      </c>
      <c r="C7275" s="2" t="s">
        <v>17</v>
      </c>
      <c r="D7275" s="2" t="s">
        <v>27</v>
      </c>
      <c r="E7275" s="4">
        <v>-32596</v>
      </c>
      <c r="F7275" s="3" t="s">
        <v>1311</v>
      </c>
      <c r="G7275" s="3" t="s">
        <v>1667</v>
      </c>
      <c r="H7275" s="2" t="s">
        <v>74</v>
      </c>
      <c r="I7275" s="2" t="s">
        <v>18329</v>
      </c>
      <c r="J7275" s="3" t="str">
        <f>HYPERLINK("https://www.boe.es/gazeta/dias/1810/10/02/pdfs/GMD-1810-275.pdf#page=1","Abrir facsímil")</f>
        <v>Abrir facsímil</v>
      </c>
      <c r="K7275" s="3" t="s">
        <v>76</v>
      </c>
    </row>
    <row r="7276" spans="1:11" ht="42" customHeight="1">
      <c r="A7276" s="2" t="s">
        <v>18328</v>
      </c>
      <c r="B7276" s="2" t="s">
        <v>18328</v>
      </c>
      <c r="C7276" s="2" t="s">
        <v>17</v>
      </c>
      <c r="D7276" s="2" t="s">
        <v>220</v>
      </c>
      <c r="E7276" s="4">
        <v>-32595</v>
      </c>
      <c r="F7276" s="3" t="s">
        <v>700</v>
      </c>
      <c r="G7276" s="3" t="s">
        <v>465</v>
      </c>
      <c r="H7276" s="2" t="s">
        <v>74</v>
      </c>
      <c r="I7276" s="2" t="s">
        <v>18330</v>
      </c>
      <c r="J7276" s="3" t="str">
        <f>HYPERLINK("https://www.boe.es/gazeta/dias/1810/10/03/pdfs/GMD-1810-276.pdf#page=1","Abrir facsímil")</f>
        <v>Abrir facsímil</v>
      </c>
      <c r="K7276" s="3" t="s">
        <v>76</v>
      </c>
    </row>
    <row r="7277" spans="1:11" ht="42" customHeight="1">
      <c r="A7277" s="2" t="s">
        <v>18328</v>
      </c>
      <c r="B7277" s="2" t="s">
        <v>18328</v>
      </c>
      <c r="C7277" s="2" t="s">
        <v>26</v>
      </c>
      <c r="D7277" s="2" t="s">
        <v>220</v>
      </c>
      <c r="E7277" s="4">
        <v>-32564</v>
      </c>
      <c r="F7277" s="3" t="s">
        <v>1604</v>
      </c>
      <c r="G7277" s="3" t="s">
        <v>90</v>
      </c>
      <c r="H7277" s="2" t="s">
        <v>74</v>
      </c>
      <c r="I7277" s="2" t="s">
        <v>18331</v>
      </c>
      <c r="J7277" s="3" t="str">
        <f>HYPERLINK("https://www.boe.es/gazeta/dias/1810/11/03/pdfs/GMD-1810-307.pdf#page=1","Abrir facsímil")</f>
        <v>Abrir facsímil</v>
      </c>
      <c r="K7277" s="3" t="s">
        <v>76</v>
      </c>
    </row>
    <row r="7278" spans="1:11" ht="42" customHeight="1">
      <c r="A7278" s="2" t="s">
        <v>18332</v>
      </c>
      <c r="B7278" s="2" t="s">
        <v>18332</v>
      </c>
      <c r="C7278" s="2" t="s">
        <v>111</v>
      </c>
      <c r="D7278" s="2" t="s">
        <v>27</v>
      </c>
      <c r="E7278" s="4">
        <v>-32791</v>
      </c>
      <c r="F7278" s="3" t="s">
        <v>4314</v>
      </c>
      <c r="G7278" s="3" t="s">
        <v>35</v>
      </c>
      <c r="H7278" s="2" t="s">
        <v>74</v>
      </c>
      <c r="I7278" s="2" t="s">
        <v>18333</v>
      </c>
      <c r="J7278" s="3" t="str">
        <f>HYPERLINK("https://www.boe.es/gazeta/dias/1810/03/21/pdfs/GMD-1810-80.pdf#page=2","Abrir facsímil")</f>
        <v>Abrir facsímil</v>
      </c>
      <c r="K7278" s="3" t="s">
        <v>76</v>
      </c>
    </row>
    <row r="7279" spans="1:11" ht="42" customHeight="1">
      <c r="A7279" s="2" t="s">
        <v>18334</v>
      </c>
      <c r="B7279" s="2" t="s">
        <v>18335</v>
      </c>
      <c r="C7279" s="2" t="s">
        <v>26</v>
      </c>
      <c r="D7279" s="2" t="s">
        <v>27</v>
      </c>
      <c r="E7279" s="4">
        <v>-32647</v>
      </c>
      <c r="F7279" s="3" t="s">
        <v>118</v>
      </c>
      <c r="G7279" s="3" t="s">
        <v>140</v>
      </c>
      <c r="H7279" s="2" t="s">
        <v>74</v>
      </c>
      <c r="I7279" s="2" t="s">
        <v>18336</v>
      </c>
      <c r="J7279" s="3" t="str">
        <f>HYPERLINK("https://www.boe.es/gazeta/dias/1810/08/12/pdfs/GMD-1810-224.pdf#page=2","Abrir facsímil")</f>
        <v>Abrir facsímil</v>
      </c>
      <c r="K7279" s="3" t="s">
        <v>76</v>
      </c>
    </row>
    <row r="7280" spans="1:11" ht="42" customHeight="1">
      <c r="A7280" s="2" t="s">
        <v>18337</v>
      </c>
      <c r="B7280" s="2" t="s">
        <v>18337</v>
      </c>
      <c r="C7280" s="2" t="s">
        <v>317</v>
      </c>
      <c r="D7280" s="2" t="s">
        <v>27</v>
      </c>
      <c r="E7280" s="4">
        <v>-32529</v>
      </c>
      <c r="F7280" s="3" t="s">
        <v>112</v>
      </c>
      <c r="G7280" s="3" t="s">
        <v>2169</v>
      </c>
      <c r="H7280" s="2" t="s">
        <v>74</v>
      </c>
      <c r="I7280" s="2" t="s">
        <v>18338</v>
      </c>
      <c r="J7280" s="3" t="str">
        <f>HYPERLINK("https://www.boe.es/gazeta/dias/1810/12/08/pdfs/GEI-1810-105.pdf#page=5","Abrir facsímil")</f>
        <v>Abrir facsímil</v>
      </c>
      <c r="K7280" s="3" t="s">
        <v>76</v>
      </c>
    </row>
    <row r="7281" spans="1:11" ht="42" customHeight="1">
      <c r="A7281" s="2" t="s">
        <v>18339</v>
      </c>
      <c r="B7281" s="2" t="s">
        <v>18340</v>
      </c>
      <c r="C7281" s="2" t="s">
        <v>26</v>
      </c>
      <c r="D7281" s="2" t="s">
        <v>27</v>
      </c>
      <c r="E7281" s="4">
        <v>-32839</v>
      </c>
      <c r="F7281" s="3" t="s">
        <v>28</v>
      </c>
      <c r="G7281" s="3" t="s">
        <v>29</v>
      </c>
      <c r="H7281" s="2" t="s">
        <v>74</v>
      </c>
      <c r="I7281" s="2" t="s">
        <v>18341</v>
      </c>
      <c r="J7281" s="3" t="str">
        <f>HYPERLINK("https://www.boe.es/gazeta/dias/1810/02/01/pdfs/GMD-1810-32.pdf#page=3","Abrir facsímil")</f>
        <v>Abrir facsímil</v>
      </c>
      <c r="K7281" s="3" t="s">
        <v>76</v>
      </c>
    </row>
    <row r="7282" spans="1:11" ht="42" customHeight="1">
      <c r="A7282" s="2" t="s">
        <v>18342</v>
      </c>
      <c r="B7282" s="2" t="s">
        <v>18342</v>
      </c>
      <c r="C7282" s="2" t="s">
        <v>88</v>
      </c>
      <c r="D7282" s="2" t="s">
        <v>27</v>
      </c>
      <c r="E7282" s="4">
        <v>-32563</v>
      </c>
      <c r="F7282" s="3" t="s">
        <v>535</v>
      </c>
      <c r="G7282" s="3" t="s">
        <v>70</v>
      </c>
      <c r="H7282" s="2" t="s">
        <v>74</v>
      </c>
      <c r="I7282" s="2" t="s">
        <v>18343</v>
      </c>
      <c r="J7282" s="3" t="str">
        <f>HYPERLINK("https://www.boe.es/gazeta/dias/1810/11/04/pdfs/GMD-1810-308.pdf#page=2","Abrir facsímil")</f>
        <v>Abrir facsímil</v>
      </c>
      <c r="K7282" s="3" t="s">
        <v>76</v>
      </c>
    </row>
    <row r="7283" spans="1:11" ht="42" customHeight="1">
      <c r="A7283" s="2" t="s">
        <v>18344</v>
      </c>
      <c r="B7283" s="2" t="s">
        <v>18344</v>
      </c>
      <c r="C7283" s="2" t="s">
        <v>88</v>
      </c>
      <c r="D7283" s="2" t="s">
        <v>117</v>
      </c>
      <c r="E7283" s="4">
        <v>-32695</v>
      </c>
      <c r="F7283" s="3" t="s">
        <v>1646</v>
      </c>
      <c r="G7283" s="3" t="s">
        <v>29</v>
      </c>
      <c r="H7283" s="2" t="s">
        <v>74</v>
      </c>
      <c r="I7283" s="2" t="s">
        <v>18345</v>
      </c>
      <c r="J7283" s="3" t="str">
        <f>HYPERLINK("https://www.boe.es/gazeta/dias/1810/06/25/pdfs/GMD-1810-176.pdf#page=4","Abrir facsímil")</f>
        <v>Abrir facsímil</v>
      </c>
      <c r="K7283" s="3" t="s">
        <v>76</v>
      </c>
    </row>
    <row r="7284" spans="1:11" ht="42" customHeight="1">
      <c r="A7284" s="2" t="s">
        <v>18346</v>
      </c>
      <c r="B7284" s="2" t="s">
        <v>18346</v>
      </c>
      <c r="C7284" s="2" t="s">
        <v>88</v>
      </c>
      <c r="D7284" s="2" t="s">
        <v>27</v>
      </c>
      <c r="E7284" s="4">
        <v>-32695</v>
      </c>
      <c r="F7284" s="3" t="s">
        <v>1646</v>
      </c>
      <c r="G7284" s="3" t="s">
        <v>29</v>
      </c>
      <c r="H7284" s="2" t="s">
        <v>74</v>
      </c>
      <c r="I7284" s="2" t="s">
        <v>18347</v>
      </c>
      <c r="J7284" s="3" t="str">
        <f>HYPERLINK("https://www.boe.es/gazeta/dias/1810/06/25/pdfs/GMD-1810-176.pdf#page=4","Abrir facsímil")</f>
        <v>Abrir facsímil</v>
      </c>
      <c r="K7284" s="3" t="s">
        <v>76</v>
      </c>
    </row>
    <row r="7285" spans="1:11" ht="42" customHeight="1">
      <c r="A7285" s="2" t="s">
        <v>18348</v>
      </c>
      <c r="B7285" s="2" t="s">
        <v>18348</v>
      </c>
      <c r="C7285" s="2" t="s">
        <v>225</v>
      </c>
      <c r="D7285" s="2" t="s">
        <v>27</v>
      </c>
      <c r="E7285" s="4">
        <v>-32804</v>
      </c>
      <c r="F7285" s="3" t="s">
        <v>583</v>
      </c>
      <c r="G7285" s="3" t="s">
        <v>584</v>
      </c>
      <c r="H7285" s="2" t="s">
        <v>74</v>
      </c>
      <c r="I7285" s="2" t="s">
        <v>18349</v>
      </c>
      <c r="J7285" s="3" t="str">
        <f>HYPERLINK("https://www.boe.es/gazeta/dias/1810/03/08/pdfs/GMD-1810-67.pdf#page=1","Abrir facsímil")</f>
        <v>Abrir facsímil</v>
      </c>
      <c r="K7285" s="3" t="s">
        <v>76</v>
      </c>
    </row>
    <row r="7286" spans="1:11" ht="42" customHeight="1">
      <c r="A7286" s="2" t="s">
        <v>18350</v>
      </c>
      <c r="B7286" s="2" t="s">
        <v>18351</v>
      </c>
      <c r="C7286" s="2" t="s">
        <v>26</v>
      </c>
      <c r="D7286" s="2" t="s">
        <v>18</v>
      </c>
      <c r="E7286" s="4">
        <v>-32702</v>
      </c>
      <c r="F7286" s="3" t="s">
        <v>179</v>
      </c>
      <c r="G7286" s="3" t="s">
        <v>119</v>
      </c>
      <c r="H7286" s="2" t="s">
        <v>74</v>
      </c>
      <c r="I7286" s="2" t="s">
        <v>18352</v>
      </c>
      <c r="J7286" s="3" t="str">
        <f>HYPERLINK("https://www.boe.es/gazeta/dias/1810/06/18/pdfs/GMD-C-1810-169.pdf#page=1","Abrir facsímil")</f>
        <v>Abrir facsímil</v>
      </c>
      <c r="K7286" s="3" t="s">
        <v>76</v>
      </c>
    </row>
    <row r="7287" spans="1:11" ht="42" customHeight="1">
      <c r="A7287" s="2" t="s">
        <v>18353</v>
      </c>
      <c r="B7287" s="2" t="s">
        <v>18353</v>
      </c>
      <c r="C7287" s="2" t="s">
        <v>88</v>
      </c>
      <c r="D7287" s="2" t="s">
        <v>27</v>
      </c>
      <c r="E7287" s="4">
        <v>-32799</v>
      </c>
      <c r="F7287" s="3" t="s">
        <v>874</v>
      </c>
      <c r="G7287" s="3" t="s">
        <v>29</v>
      </c>
      <c r="H7287" s="2" t="s">
        <v>74</v>
      </c>
      <c r="I7287" s="2" t="s">
        <v>18354</v>
      </c>
      <c r="J7287" s="3" t="str">
        <f>HYPERLINK("https://www.boe.es/gazeta/dias/1810/03/13/pdfs/GEI-1810-1.pdf#page=8","Abrir facsímil")</f>
        <v>Abrir facsímil</v>
      </c>
      <c r="K7287" s="3" t="s">
        <v>76</v>
      </c>
    </row>
    <row r="7288" spans="1:11" ht="42" customHeight="1">
      <c r="A7288" s="2" t="s">
        <v>18355</v>
      </c>
      <c r="B7288" s="2" t="s">
        <v>18356</v>
      </c>
      <c r="C7288" s="2" t="s">
        <v>88</v>
      </c>
      <c r="D7288" s="2" t="s">
        <v>117</v>
      </c>
      <c r="E7288" s="4">
        <v>-32862</v>
      </c>
      <c r="F7288" s="3" t="s">
        <v>694</v>
      </c>
      <c r="G7288" s="3" t="s">
        <v>469</v>
      </c>
      <c r="H7288" s="2" t="s">
        <v>74</v>
      </c>
      <c r="I7288" s="2" t="s">
        <v>18357</v>
      </c>
      <c r="J7288" s="3" t="str">
        <f>HYPERLINK("https://www.boe.es/gazeta/dias/1810/01/09/pdfs/GGB-1810-4.pdf#page=6","Abrir facsímil")</f>
        <v>Abrir facsímil</v>
      </c>
      <c r="K7288" s="3" t="s">
        <v>76</v>
      </c>
    </row>
    <row r="7289" spans="1:11" ht="42" customHeight="1">
      <c r="A7289" s="2" t="s">
        <v>18358</v>
      </c>
      <c r="B7289" s="2" t="s">
        <v>18359</v>
      </c>
      <c r="C7289" s="2" t="s">
        <v>26</v>
      </c>
      <c r="D7289" s="2" t="s">
        <v>27</v>
      </c>
      <c r="E7289" s="4">
        <v>-32568</v>
      </c>
      <c r="F7289" s="3" t="s">
        <v>1233</v>
      </c>
      <c r="G7289" s="3" t="s">
        <v>140</v>
      </c>
      <c r="H7289" s="2" t="s">
        <v>74</v>
      </c>
      <c r="I7289" s="2" t="s">
        <v>18360</v>
      </c>
      <c r="J7289" s="3" t="str">
        <f>HYPERLINK("https://www.boe.es/gazeta/dias/1810/10/30/pdfs/GMD-1810-303.pdf#page=4","Abrir facsímil")</f>
        <v>Abrir facsímil</v>
      </c>
      <c r="K7289" s="3" t="s">
        <v>76</v>
      </c>
    </row>
    <row r="7290" spans="1:11" ht="42" customHeight="1">
      <c r="A7290" s="2" t="s">
        <v>18361</v>
      </c>
      <c r="B7290" s="2" t="s">
        <v>18361</v>
      </c>
      <c r="C7290" s="2" t="s">
        <v>88</v>
      </c>
      <c r="D7290" s="2" t="s">
        <v>27</v>
      </c>
      <c r="E7290" s="4">
        <v>-32844</v>
      </c>
      <c r="F7290" s="3" t="s">
        <v>4730</v>
      </c>
      <c r="G7290" s="3" t="s">
        <v>213</v>
      </c>
      <c r="H7290" s="2" t="s">
        <v>74</v>
      </c>
      <c r="I7290" s="2" t="s">
        <v>18362</v>
      </c>
      <c r="J7290" s="3" t="str">
        <f>HYPERLINK("https://www.boe.es/gazeta/dias/1810/01/27/pdfs/GMD-1810-27.pdf#page=1","Abrir facsímil")</f>
        <v>Abrir facsímil</v>
      </c>
      <c r="K7290" s="3" t="s">
        <v>76</v>
      </c>
    </row>
    <row r="7291" spans="1:11" ht="42" customHeight="1">
      <c r="A7291" s="2" t="s">
        <v>18363</v>
      </c>
      <c r="B7291" s="2" t="s">
        <v>18364</v>
      </c>
      <c r="C7291" s="2" t="s">
        <v>88</v>
      </c>
      <c r="D7291" s="2" t="s">
        <v>220</v>
      </c>
      <c r="E7291" s="4">
        <v>-32531</v>
      </c>
      <c r="F7291" s="3" t="s">
        <v>2023</v>
      </c>
      <c r="G7291" s="3" t="s">
        <v>29</v>
      </c>
      <c r="H7291" s="2" t="s">
        <v>74</v>
      </c>
      <c r="I7291" s="2" t="s">
        <v>18365</v>
      </c>
      <c r="J7291" s="3" t="str">
        <f>HYPERLINK("https://www.boe.es/gazeta/dias/1810/12/06/pdfs/GMD-1810-340.pdf#page=4","Abrir facsímil")</f>
        <v>Abrir facsímil</v>
      </c>
      <c r="K7291" s="3" t="s">
        <v>76</v>
      </c>
    </row>
    <row r="7292" spans="1:11" ht="42" customHeight="1">
      <c r="A7292" s="2" t="s">
        <v>18366</v>
      </c>
      <c r="B7292" s="2" t="s">
        <v>18367</v>
      </c>
      <c r="C7292" s="2" t="s">
        <v>88</v>
      </c>
      <c r="D7292" s="2" t="s">
        <v>27</v>
      </c>
      <c r="E7292" s="4">
        <v>-32782</v>
      </c>
      <c r="F7292" s="3" t="s">
        <v>79</v>
      </c>
      <c r="G7292" s="3" t="s">
        <v>80</v>
      </c>
      <c r="H7292" s="2" t="s">
        <v>74</v>
      </c>
      <c r="I7292" s="2" t="s">
        <v>18368</v>
      </c>
      <c r="J7292" s="3" t="str">
        <f>HYPERLINK("https://www.boe.es/gazeta/dias/1810/03/30/pdfs/GEI-1810-9.pdf#page=7","Abrir facsímil")</f>
        <v>Abrir facsímil</v>
      </c>
      <c r="K7292" s="3" t="s">
        <v>76</v>
      </c>
    </row>
    <row r="7293" spans="1:11" ht="42" customHeight="1">
      <c r="A7293" s="2" t="s">
        <v>18369</v>
      </c>
      <c r="B7293" s="2" t="s">
        <v>18370</v>
      </c>
      <c r="C7293" s="2" t="s">
        <v>33</v>
      </c>
      <c r="D7293" s="2" t="s">
        <v>27</v>
      </c>
      <c r="E7293" s="4">
        <v>-32569</v>
      </c>
      <c r="F7293" s="3" t="s">
        <v>421</v>
      </c>
      <c r="G7293" s="3" t="s">
        <v>20</v>
      </c>
      <c r="H7293" s="2" t="s">
        <v>74</v>
      </c>
      <c r="I7293" s="2" t="s">
        <v>18371</v>
      </c>
      <c r="J7293" s="3" t="str">
        <f>HYPERLINK("https://www.boe.es/gazeta/dias/1810/10/29/pdfs/GMD-1810-302.pdf#page=4","Abrir facsímil")</f>
        <v>Abrir facsímil</v>
      </c>
      <c r="K7293" s="3" t="s">
        <v>76</v>
      </c>
    </row>
    <row r="7294" spans="1:11" ht="42" customHeight="1">
      <c r="A7294" s="2" t="s">
        <v>18372</v>
      </c>
      <c r="B7294" s="2" t="s">
        <v>18373</v>
      </c>
      <c r="C7294" s="2" t="s">
        <v>26</v>
      </c>
      <c r="D7294" s="2" t="s">
        <v>39</v>
      </c>
      <c r="E7294" s="4">
        <v>-32701</v>
      </c>
      <c r="F7294" s="3" t="s">
        <v>40</v>
      </c>
      <c r="G7294" s="3" t="s">
        <v>41</v>
      </c>
      <c r="H7294" s="2" t="s">
        <v>74</v>
      </c>
      <c r="I7294" s="2" t="s">
        <v>18374</v>
      </c>
      <c r="J7294" s="3" t="str">
        <f>HYPERLINK("https://www.boe.es/gazeta/dias/1810/06/19/pdfs/GMD-C-1810-170.pdf#page=3","Abrir facsímil")</f>
        <v>Abrir facsímil</v>
      </c>
      <c r="K7294" s="3" t="s">
        <v>76</v>
      </c>
    </row>
    <row r="7295" spans="1:11" ht="42" customHeight="1">
      <c r="A7295" s="2" t="s">
        <v>18375</v>
      </c>
      <c r="B7295" s="2" t="s">
        <v>18376</v>
      </c>
      <c r="C7295" s="2" t="s">
        <v>26</v>
      </c>
      <c r="D7295" s="2" t="s">
        <v>39</v>
      </c>
      <c r="E7295" s="4">
        <v>-32701</v>
      </c>
      <c r="F7295" s="3" t="s">
        <v>40</v>
      </c>
      <c r="G7295" s="3" t="s">
        <v>41</v>
      </c>
      <c r="H7295" s="2" t="s">
        <v>74</v>
      </c>
      <c r="I7295" s="2" t="s">
        <v>18377</v>
      </c>
      <c r="J7295" s="3" t="str">
        <f>HYPERLINK("https://www.boe.es/gazeta/dias/1810/06/19/pdfs/GMD-C-1810-170.pdf#page=3","Abrir facsímil")</f>
        <v>Abrir facsímil</v>
      </c>
      <c r="K7295" s="3" t="s">
        <v>76</v>
      </c>
    </row>
    <row r="7296" spans="1:11" ht="42" customHeight="1">
      <c r="A7296" s="2" t="s">
        <v>18378</v>
      </c>
      <c r="B7296" s="2" t="s">
        <v>18379</v>
      </c>
      <c r="C7296" s="2" t="s">
        <v>26</v>
      </c>
      <c r="D7296" s="2" t="s">
        <v>18</v>
      </c>
      <c r="E7296" s="4">
        <v>-32661</v>
      </c>
      <c r="F7296" s="3" t="s">
        <v>157</v>
      </c>
      <c r="G7296" s="3" t="s">
        <v>158</v>
      </c>
      <c r="H7296" s="2" t="s">
        <v>74</v>
      </c>
      <c r="I7296" s="2" t="s">
        <v>18380</v>
      </c>
      <c r="J7296" s="3" t="str">
        <f>HYPERLINK("https://www.boe.es/gazeta/dias/1810/07/29/pdfs/GMD-C-1810-210.pdf#page=1","Abrir facsímil")</f>
        <v>Abrir facsímil</v>
      </c>
      <c r="K7296" s="3" t="s">
        <v>76</v>
      </c>
    </row>
    <row r="7297" spans="1:11" ht="42" customHeight="1">
      <c r="A7297" s="2" t="s">
        <v>18381</v>
      </c>
      <c r="B7297" s="2" t="s">
        <v>18382</v>
      </c>
      <c r="C7297" s="2" t="s">
        <v>33</v>
      </c>
      <c r="D7297" s="2" t="s">
        <v>27</v>
      </c>
      <c r="E7297" s="4">
        <v>-32761</v>
      </c>
      <c r="F7297" s="3" t="s">
        <v>811</v>
      </c>
      <c r="G7297" s="3" t="s">
        <v>140</v>
      </c>
      <c r="H7297" s="2" t="s">
        <v>74</v>
      </c>
      <c r="I7297" s="2" t="s">
        <v>18383</v>
      </c>
      <c r="J7297" s="3" t="str">
        <f>HYPERLINK("https://www.boe.es/gazeta/dias/1810/04/20/pdfs/GEI-1810-16.pdf#page=8","Abrir facsímil")</f>
        <v>Abrir facsímil</v>
      </c>
      <c r="K7297" s="3" t="s">
        <v>76</v>
      </c>
    </row>
    <row r="7298" spans="1:11" ht="42" customHeight="1">
      <c r="A7298" s="2" t="s">
        <v>18384</v>
      </c>
      <c r="B7298" s="2" t="s">
        <v>18385</v>
      </c>
      <c r="C7298" s="2" t="s">
        <v>225</v>
      </c>
      <c r="D7298" s="2" t="s">
        <v>27</v>
      </c>
      <c r="E7298" s="4">
        <v>-32784</v>
      </c>
      <c r="F7298" s="3" t="s">
        <v>429</v>
      </c>
      <c r="G7298" s="3" t="s">
        <v>131</v>
      </c>
      <c r="H7298" s="2" t="s">
        <v>74</v>
      </c>
      <c r="I7298" s="2" t="s">
        <v>18386</v>
      </c>
      <c r="J7298" s="3" t="str">
        <f>HYPERLINK("https://www.boe.es/gazeta/dias/1810/03/28/pdfs/GMD-1810-87.pdf#page=3","Abrir facsímil")</f>
        <v>Abrir facsímil</v>
      </c>
      <c r="K7298" s="3" t="s">
        <v>76</v>
      </c>
    </row>
    <row r="7299" spans="1:11" ht="42" customHeight="1">
      <c r="A7299" s="2" t="s">
        <v>18384</v>
      </c>
      <c r="B7299" s="2" t="s">
        <v>18385</v>
      </c>
      <c r="C7299" s="2" t="s">
        <v>88</v>
      </c>
      <c r="D7299" s="2" t="s">
        <v>27</v>
      </c>
      <c r="E7299" s="4">
        <v>-32710</v>
      </c>
      <c r="F7299" s="3" t="s">
        <v>126</v>
      </c>
      <c r="G7299" s="3" t="s">
        <v>20</v>
      </c>
      <c r="H7299" s="2" t="s">
        <v>74</v>
      </c>
      <c r="I7299" s="2" t="s">
        <v>18387</v>
      </c>
      <c r="J7299" s="3" t="str">
        <f>HYPERLINK("https://www.boe.es/gazeta/dias/1810/06/10/pdfs/GMD-1810-161.pdf#page=4","Abrir facsímil")</f>
        <v>Abrir facsímil</v>
      </c>
      <c r="K7299" s="3" t="s">
        <v>76</v>
      </c>
    </row>
    <row r="7300" spans="1:11" ht="42" customHeight="1">
      <c r="A7300" s="2" t="s">
        <v>18388</v>
      </c>
      <c r="B7300" s="2" t="s">
        <v>18389</v>
      </c>
      <c r="C7300" s="2" t="s">
        <v>26</v>
      </c>
      <c r="D7300" s="2" t="s">
        <v>27</v>
      </c>
      <c r="E7300" s="4">
        <v>-32543</v>
      </c>
      <c r="F7300" s="3" t="s">
        <v>69</v>
      </c>
      <c r="G7300" s="3" t="s">
        <v>70</v>
      </c>
      <c r="H7300" s="2" t="s">
        <v>74</v>
      </c>
      <c r="I7300" s="2" t="s">
        <v>18390</v>
      </c>
      <c r="J7300" s="3" t="str">
        <f>HYPERLINK("https://www.boe.es/gazeta/dias/1810/11/24/pdfs/GEI-1810-99.pdf#page=8","Abrir facsímil")</f>
        <v>Abrir facsímil</v>
      </c>
      <c r="K7300" s="3" t="s">
        <v>76</v>
      </c>
    </row>
    <row r="7301" spans="1:11" ht="42" customHeight="1">
      <c r="A7301" s="2" t="s">
        <v>18391</v>
      </c>
      <c r="B7301" s="2" t="s">
        <v>18392</v>
      </c>
      <c r="C7301" s="2" t="s">
        <v>26</v>
      </c>
      <c r="D7301" s="2" t="s">
        <v>39</v>
      </c>
      <c r="E7301" s="4">
        <v>-32684</v>
      </c>
      <c r="F7301" s="3" t="s">
        <v>295</v>
      </c>
      <c r="G7301" s="3" t="s">
        <v>296</v>
      </c>
      <c r="H7301" s="2" t="s">
        <v>74</v>
      </c>
      <c r="I7301" s="2" t="s">
        <v>18393</v>
      </c>
      <c r="J7301" s="3" t="str">
        <f>HYPERLINK("https://www.boe.es/gazeta/dias/1810/07/06/pdfs/GMD-C-1810-187.pdf#page=4","Abrir facsímil")</f>
        <v>Abrir facsímil</v>
      </c>
      <c r="K7301" s="3" t="s">
        <v>76</v>
      </c>
    </row>
    <row r="7302" spans="1:11" ht="42" customHeight="1">
      <c r="A7302" s="2" t="s">
        <v>18394</v>
      </c>
      <c r="B7302" s="2" t="s">
        <v>18395</v>
      </c>
      <c r="C7302" s="2" t="s">
        <v>26</v>
      </c>
      <c r="D7302" s="2" t="s">
        <v>27</v>
      </c>
      <c r="E7302" s="4">
        <v>-32679</v>
      </c>
      <c r="F7302" s="3" t="s">
        <v>616</v>
      </c>
      <c r="G7302" s="3" t="s">
        <v>29</v>
      </c>
      <c r="H7302" s="2" t="s">
        <v>74</v>
      </c>
      <c r="I7302" s="2" t="s">
        <v>18396</v>
      </c>
      <c r="J7302" s="3" t="str">
        <f>HYPERLINK("https://www.boe.es/gazeta/dias/1810/07/11/pdfs/GMD-1810-192.pdf#page=4","Abrir facsímil")</f>
        <v>Abrir facsímil</v>
      </c>
      <c r="K7302" s="3" t="s">
        <v>76</v>
      </c>
    </row>
    <row r="7303" spans="1:11" ht="42" customHeight="1">
      <c r="A7303" s="2" t="s">
        <v>18397</v>
      </c>
      <c r="B7303" s="2" t="s">
        <v>18398</v>
      </c>
      <c r="C7303" s="2" t="s">
        <v>225</v>
      </c>
      <c r="D7303" s="2" t="s">
        <v>27</v>
      </c>
      <c r="E7303" s="4">
        <v>-32729</v>
      </c>
      <c r="F7303" s="3" t="s">
        <v>174</v>
      </c>
      <c r="G7303" s="3" t="s">
        <v>2671</v>
      </c>
      <c r="H7303" s="2" t="s">
        <v>74</v>
      </c>
      <c r="I7303" s="2" t="s">
        <v>18399</v>
      </c>
      <c r="J7303" s="3" t="str">
        <f>HYPERLINK("https://www.boe.es/gazeta/dias/1810/05/22/pdfs/GEI-1810-28.pdf#page=6","Abrir facsímil")</f>
        <v>Abrir facsímil</v>
      </c>
      <c r="K7303" s="3" t="s">
        <v>76</v>
      </c>
    </row>
    <row r="7304" spans="1:11" ht="42" customHeight="1">
      <c r="A7304" s="2" t="s">
        <v>18400</v>
      </c>
      <c r="B7304" s="2" t="s">
        <v>18401</v>
      </c>
      <c r="C7304" s="2" t="s">
        <v>88</v>
      </c>
      <c r="D7304" s="2" t="s">
        <v>27</v>
      </c>
      <c r="E7304" s="4">
        <v>-32710</v>
      </c>
      <c r="F7304" s="3" t="s">
        <v>126</v>
      </c>
      <c r="G7304" s="3" t="s">
        <v>35</v>
      </c>
      <c r="H7304" s="2" t="s">
        <v>74</v>
      </c>
      <c r="I7304" s="2" t="s">
        <v>18402</v>
      </c>
      <c r="J7304" s="3" t="str">
        <f>HYPERLINK("https://www.boe.es/gazeta/dias/1810/06/10/pdfs/GMD-1810-161.pdf#page=2","Abrir facsímil")</f>
        <v>Abrir facsímil</v>
      </c>
      <c r="K7304" s="3" t="s">
        <v>76</v>
      </c>
    </row>
    <row r="7305" spans="1:11" ht="42" customHeight="1">
      <c r="A7305" s="2" t="s">
        <v>18403</v>
      </c>
      <c r="B7305" s="2" t="s">
        <v>18404</v>
      </c>
      <c r="C7305" s="2" t="s">
        <v>26</v>
      </c>
      <c r="D7305" s="2" t="s">
        <v>27</v>
      </c>
      <c r="E7305" s="4">
        <v>-32775</v>
      </c>
      <c r="F7305" s="3" t="s">
        <v>553</v>
      </c>
      <c r="G7305" s="3" t="s">
        <v>554</v>
      </c>
      <c r="H7305" s="2" t="s">
        <v>74</v>
      </c>
      <c r="I7305" s="2" t="s">
        <v>18405</v>
      </c>
      <c r="J7305" s="3" t="str">
        <f>HYPERLINK("https://www.boe.es/gazeta/dias/1810/04/06/pdfs/GEI-1810-12.pdf#page=12","Abrir facsímil")</f>
        <v>Abrir facsímil</v>
      </c>
      <c r="K7305" s="3" t="s">
        <v>76</v>
      </c>
    </row>
    <row r="7306" spans="1:11" ht="42" customHeight="1">
      <c r="A7306" s="2" t="s">
        <v>18406</v>
      </c>
      <c r="B7306" s="2" t="s">
        <v>18407</v>
      </c>
      <c r="C7306" s="2" t="s">
        <v>26</v>
      </c>
      <c r="D7306" s="2" t="s">
        <v>39</v>
      </c>
      <c r="E7306" s="4">
        <v>-32661</v>
      </c>
      <c r="F7306" s="3" t="s">
        <v>157</v>
      </c>
      <c r="G7306" s="3" t="s">
        <v>592</v>
      </c>
      <c r="H7306" s="2" t="s">
        <v>74</v>
      </c>
      <c r="I7306" s="2" t="s">
        <v>18408</v>
      </c>
      <c r="J7306" s="3" t="str">
        <f>HYPERLINK("https://www.boe.es/gazeta/dias/1810/07/29/pdfs/GMD-C-1810-210.pdf#page=2","Abrir facsímil")</f>
        <v>Abrir facsímil</v>
      </c>
      <c r="K7306" s="3" t="s">
        <v>76</v>
      </c>
    </row>
    <row r="7307" spans="1:11" ht="42" customHeight="1">
      <c r="A7307" s="2" t="s">
        <v>18406</v>
      </c>
      <c r="B7307" s="2" t="s">
        <v>18407</v>
      </c>
      <c r="C7307" s="2" t="s">
        <v>26</v>
      </c>
      <c r="D7307" s="2" t="s">
        <v>27</v>
      </c>
      <c r="E7307" s="4">
        <v>-32654</v>
      </c>
      <c r="F7307" s="3" t="s">
        <v>1226</v>
      </c>
      <c r="G7307" s="3" t="s">
        <v>732</v>
      </c>
      <c r="H7307" s="2" t="s">
        <v>74</v>
      </c>
      <c r="I7307" s="2" t="s">
        <v>18409</v>
      </c>
      <c r="J7307" s="3" t="str">
        <f>HYPERLINK("https://www.boe.es/gazeta/dias/1810/08/05/pdfs/GMD-1810-217.pdf#page=3","Abrir facsímil")</f>
        <v>Abrir facsímil</v>
      </c>
      <c r="K7307" s="3" t="s">
        <v>76</v>
      </c>
    </row>
    <row r="7308" spans="1:11" ht="42" customHeight="1">
      <c r="A7308" s="2" t="s">
        <v>18406</v>
      </c>
      <c r="B7308" s="2" t="s">
        <v>18407</v>
      </c>
      <c r="C7308" s="2" t="s">
        <v>26</v>
      </c>
      <c r="D7308" s="2" t="s">
        <v>27</v>
      </c>
      <c r="E7308" s="4">
        <v>-32632</v>
      </c>
      <c r="F7308" s="3" t="s">
        <v>358</v>
      </c>
      <c r="G7308" s="3" t="s">
        <v>359</v>
      </c>
      <c r="H7308" s="2" t="s">
        <v>74</v>
      </c>
      <c r="I7308" s="2" t="s">
        <v>18410</v>
      </c>
      <c r="J7308" s="3" t="str">
        <f>HYPERLINK("https://www.boe.es/gazeta/dias/1810/08/27/pdfs/GMD-1810-239.pdf#page=3","Abrir facsímil")</f>
        <v>Abrir facsímil</v>
      </c>
      <c r="K7308" s="3" t="s">
        <v>76</v>
      </c>
    </row>
    <row r="7309" spans="1:11" ht="42" customHeight="1">
      <c r="A7309" s="2" t="s">
        <v>18411</v>
      </c>
      <c r="B7309" s="2" t="s">
        <v>18412</v>
      </c>
      <c r="C7309" s="2" t="s">
        <v>26</v>
      </c>
      <c r="D7309" s="2" t="s">
        <v>39</v>
      </c>
      <c r="E7309" s="4">
        <v>-32701</v>
      </c>
      <c r="F7309" s="3" t="s">
        <v>40</v>
      </c>
      <c r="G7309" s="3" t="s">
        <v>41</v>
      </c>
      <c r="H7309" s="2" t="s">
        <v>74</v>
      </c>
      <c r="I7309" s="2" t="s">
        <v>18413</v>
      </c>
      <c r="J7309" s="3" t="str">
        <f>HYPERLINK("https://www.boe.es/gazeta/dias/1810/06/19/pdfs/GMD-C-1810-170.pdf#page=3","Abrir facsímil")</f>
        <v>Abrir facsímil</v>
      </c>
      <c r="K7309" s="3" t="s">
        <v>76</v>
      </c>
    </row>
    <row r="7310" spans="1:11" ht="42" customHeight="1">
      <c r="A7310" s="2" t="s">
        <v>18414</v>
      </c>
      <c r="B7310" s="2" t="s">
        <v>18415</v>
      </c>
      <c r="C7310" s="2" t="s">
        <v>26</v>
      </c>
      <c r="D7310" s="2" t="s">
        <v>27</v>
      </c>
      <c r="E7310" s="4">
        <v>-32837</v>
      </c>
      <c r="F7310" s="3" t="s">
        <v>196</v>
      </c>
      <c r="G7310" s="3" t="s">
        <v>213</v>
      </c>
      <c r="H7310" s="2" t="s">
        <v>74</v>
      </c>
      <c r="I7310" s="2" t="s">
        <v>18416</v>
      </c>
      <c r="J7310" s="3" t="str">
        <f>HYPERLINK("https://www.boe.es/gazeta/dias/1810/02/03/pdfs/GMD-1810-34.pdf#page=2","Abrir facsímil")</f>
        <v>Abrir facsímil</v>
      </c>
      <c r="K7310" s="3" t="s">
        <v>76</v>
      </c>
    </row>
    <row r="7311" spans="1:11" ht="42" customHeight="1">
      <c r="A7311" s="2" t="s">
        <v>18414</v>
      </c>
      <c r="B7311" s="2" t="s">
        <v>18415</v>
      </c>
      <c r="C7311" s="2" t="s">
        <v>88</v>
      </c>
      <c r="D7311" s="2" t="s">
        <v>58</v>
      </c>
      <c r="E7311" s="4">
        <v>-32795</v>
      </c>
      <c r="F7311" s="3" t="s">
        <v>2320</v>
      </c>
      <c r="G7311" s="3" t="s">
        <v>886</v>
      </c>
      <c r="H7311" s="2" t="s">
        <v>74</v>
      </c>
      <c r="I7311" s="2" t="s">
        <v>18417</v>
      </c>
      <c r="J7311" s="3" t="str">
        <f>HYPERLINK("https://www.boe.es/gazeta/dias/1810/03/17/pdfs/GEI-1810-3E.pdf#page=4","Abrir facsímil")</f>
        <v>Abrir facsímil</v>
      </c>
      <c r="K7311" s="3" t="s">
        <v>76</v>
      </c>
    </row>
    <row r="7312" spans="1:11" ht="42" customHeight="1">
      <c r="A7312" s="2" t="s">
        <v>18414</v>
      </c>
      <c r="B7312" s="2" t="s">
        <v>18415</v>
      </c>
      <c r="C7312" s="2" t="s">
        <v>88</v>
      </c>
      <c r="D7312" s="2" t="s">
        <v>27</v>
      </c>
      <c r="E7312" s="4">
        <v>-32584</v>
      </c>
      <c r="F7312" s="3" t="s">
        <v>1560</v>
      </c>
      <c r="G7312" s="3" t="s">
        <v>971</v>
      </c>
      <c r="H7312" s="2" t="s">
        <v>74</v>
      </c>
      <c r="I7312" s="2" t="s">
        <v>18418</v>
      </c>
      <c r="J7312" s="3" t="str">
        <f>HYPERLINK("https://www.boe.es/gazeta/dias/1810/10/14/pdfs/GMD-1810-287.pdf#page=3","Abrir facsímil")</f>
        <v>Abrir facsímil</v>
      </c>
      <c r="K7312" s="3" t="s">
        <v>76</v>
      </c>
    </row>
    <row r="7313" spans="1:11" ht="42" customHeight="1">
      <c r="A7313" s="2" t="s">
        <v>18414</v>
      </c>
      <c r="B7313" s="2" t="s">
        <v>18415</v>
      </c>
      <c r="C7313" s="2" t="s">
        <v>225</v>
      </c>
      <c r="D7313" s="2" t="s">
        <v>27</v>
      </c>
      <c r="E7313" s="4">
        <v>-32573</v>
      </c>
      <c r="F7313" s="3" t="s">
        <v>3120</v>
      </c>
      <c r="G7313" s="3" t="s">
        <v>16760</v>
      </c>
      <c r="H7313" s="2" t="s">
        <v>74</v>
      </c>
      <c r="I7313" s="2" t="s">
        <v>18419</v>
      </c>
      <c r="J7313" s="3" t="str">
        <f>HYPERLINK("https://www.boe.es/gazeta/dias/1810/10/25/pdfs/GEI-1810-86.pdf#page=8","Abrir facsímil")</f>
        <v>Abrir facsímil</v>
      </c>
      <c r="K7313" s="3" t="s">
        <v>76</v>
      </c>
    </row>
    <row r="7314" spans="1:11" ht="42" customHeight="1">
      <c r="A7314" s="2" t="s">
        <v>18420</v>
      </c>
      <c r="B7314" s="2" t="s">
        <v>18421</v>
      </c>
      <c r="C7314" s="2" t="s">
        <v>26</v>
      </c>
      <c r="D7314" s="2" t="s">
        <v>39</v>
      </c>
      <c r="E7314" s="4">
        <v>-32702</v>
      </c>
      <c r="F7314" s="3" t="s">
        <v>179</v>
      </c>
      <c r="G7314" s="3" t="s">
        <v>213</v>
      </c>
      <c r="H7314" s="2" t="s">
        <v>74</v>
      </c>
      <c r="I7314" s="2" t="s">
        <v>18422</v>
      </c>
      <c r="J7314" s="3" t="str">
        <f>HYPERLINK("https://www.boe.es/gazeta/dias/1810/06/18/pdfs/GMD-C-1810-169.pdf#page=4","Abrir facsímil")</f>
        <v>Abrir facsímil</v>
      </c>
      <c r="K7314" s="3" t="s">
        <v>76</v>
      </c>
    </row>
    <row r="7315" spans="1:11" ht="42" customHeight="1">
      <c r="A7315" s="2" t="s">
        <v>18423</v>
      </c>
      <c r="B7315" s="2" t="s">
        <v>18424</v>
      </c>
      <c r="C7315" s="2" t="s">
        <v>26</v>
      </c>
      <c r="D7315" s="2" t="s">
        <v>27</v>
      </c>
      <c r="E7315" s="4">
        <v>-32689</v>
      </c>
      <c r="F7315" s="3" t="s">
        <v>571</v>
      </c>
      <c r="G7315" s="3" t="s">
        <v>140</v>
      </c>
      <c r="H7315" s="2" t="s">
        <v>74</v>
      </c>
      <c r="I7315" s="2" t="s">
        <v>18425</v>
      </c>
      <c r="J7315" s="3" t="str">
        <f>HYPERLINK("https://www.boe.es/gazeta/dias/1810/07/01/pdfs/GMD-1810-182.pdf#page=4","Abrir facsímil")</f>
        <v>Abrir facsímil</v>
      </c>
      <c r="K7315" s="3" t="s">
        <v>76</v>
      </c>
    </row>
    <row r="7316" spans="1:11" ht="42" customHeight="1">
      <c r="A7316" s="2" t="s">
        <v>18426</v>
      </c>
      <c r="B7316" s="2" t="s">
        <v>18427</v>
      </c>
      <c r="C7316" s="2" t="s">
        <v>26</v>
      </c>
      <c r="D7316" s="2" t="s">
        <v>39</v>
      </c>
      <c r="E7316" s="4">
        <v>-32687</v>
      </c>
      <c r="F7316" s="3" t="s">
        <v>304</v>
      </c>
      <c r="G7316" s="3" t="s">
        <v>3237</v>
      </c>
      <c r="H7316" s="2" t="s">
        <v>74</v>
      </c>
      <c r="I7316" s="2" t="s">
        <v>18428</v>
      </c>
      <c r="J7316" s="3" t="str">
        <f>HYPERLINK("https://www.boe.es/gazeta/dias/1810/07/03/pdfs/GMD-C-1810-184.pdf#page=4","Abrir facsímil")</f>
        <v>Abrir facsímil</v>
      </c>
      <c r="K7316" s="3" t="s">
        <v>76</v>
      </c>
    </row>
    <row r="7317" spans="1:11" ht="42" customHeight="1">
      <c r="A7317" s="2" t="s">
        <v>18429</v>
      </c>
      <c r="B7317" s="2" t="s">
        <v>18430</v>
      </c>
      <c r="C7317" s="2" t="s">
        <v>26</v>
      </c>
      <c r="D7317" s="2" t="s">
        <v>27</v>
      </c>
      <c r="E7317" s="4">
        <v>-32517</v>
      </c>
      <c r="F7317" s="3" t="s">
        <v>566</v>
      </c>
      <c r="G7317" s="3" t="s">
        <v>762</v>
      </c>
      <c r="H7317" s="2" t="s">
        <v>74</v>
      </c>
      <c r="I7317" s="2" t="s">
        <v>18431</v>
      </c>
      <c r="J7317" s="3" t="str">
        <f>HYPERLINK("https://www.boe.es/gazeta/dias/1810/12/20/pdfs/GEI-1810-110.pdf#page=8","Abrir facsímil")</f>
        <v>Abrir facsímil</v>
      </c>
      <c r="K7317" s="3" t="s">
        <v>76</v>
      </c>
    </row>
    <row r="7318" spans="1:11" ht="42" customHeight="1">
      <c r="A7318" s="2" t="s">
        <v>18432</v>
      </c>
      <c r="B7318" s="2" t="s">
        <v>18433</v>
      </c>
      <c r="C7318" s="2" t="s">
        <v>26</v>
      </c>
      <c r="D7318" s="2" t="s">
        <v>39</v>
      </c>
      <c r="E7318" s="4">
        <v>-32701</v>
      </c>
      <c r="F7318" s="3" t="s">
        <v>40</v>
      </c>
      <c r="G7318" s="3" t="s">
        <v>315</v>
      </c>
      <c r="H7318" s="2" t="s">
        <v>74</v>
      </c>
      <c r="I7318" s="2" t="s">
        <v>18434</v>
      </c>
      <c r="J7318" s="3" t="str">
        <f>HYPERLINK("https://www.boe.es/gazeta/dias/1810/06/19/pdfs/GMD-C-1810-170.pdf#page=2","Abrir facsímil")</f>
        <v>Abrir facsímil</v>
      </c>
      <c r="K7318" s="3" t="s">
        <v>76</v>
      </c>
    </row>
    <row r="7319" spans="1:11" ht="42" customHeight="1">
      <c r="A7319" s="2" t="s">
        <v>18432</v>
      </c>
      <c r="B7319" s="2" t="s">
        <v>18433</v>
      </c>
      <c r="C7319" s="2" t="s">
        <v>26</v>
      </c>
      <c r="D7319" s="2" t="s">
        <v>27</v>
      </c>
      <c r="E7319" s="4">
        <v>-32591</v>
      </c>
      <c r="F7319" s="3" t="s">
        <v>377</v>
      </c>
      <c r="G7319" s="3" t="s">
        <v>140</v>
      </c>
      <c r="H7319" s="2" t="s">
        <v>74</v>
      </c>
      <c r="I7319" s="2" t="s">
        <v>18435</v>
      </c>
      <c r="J7319" s="3" t="str">
        <f>HYPERLINK("https://www.boe.es/gazeta/dias/1810/10/07/pdfs/GMD-1810-280.pdf#page=4","Abrir facsímil")</f>
        <v>Abrir facsímil</v>
      </c>
      <c r="K7319" s="3" t="s">
        <v>76</v>
      </c>
    </row>
    <row r="7320" spans="1:11" ht="42" customHeight="1">
      <c r="A7320" s="2" t="s">
        <v>18436</v>
      </c>
      <c r="B7320" s="2" t="s">
        <v>18437</v>
      </c>
      <c r="C7320" s="2" t="s">
        <v>26</v>
      </c>
      <c r="D7320" s="2" t="s">
        <v>27</v>
      </c>
      <c r="E7320" s="4">
        <v>-32740</v>
      </c>
      <c r="F7320" s="3" t="s">
        <v>721</v>
      </c>
      <c r="G7320" s="3" t="s">
        <v>18438</v>
      </c>
      <c r="H7320" s="2" t="s">
        <v>74</v>
      </c>
      <c r="I7320" s="2" t="s">
        <v>18439</v>
      </c>
      <c r="J7320" s="3" t="str">
        <f>HYPERLINK("https://www.boe.es/gazeta/dias/1810/05/11/pdfs/GEI-1810-24.pdf#page=9","Abrir facsímil")</f>
        <v>Abrir facsímil</v>
      </c>
      <c r="K7320" s="3" t="s">
        <v>76</v>
      </c>
    </row>
    <row r="7321" spans="1:11" ht="42" customHeight="1">
      <c r="A7321" s="2" t="s">
        <v>18440</v>
      </c>
      <c r="B7321" s="2" t="s">
        <v>18441</v>
      </c>
      <c r="C7321" s="2" t="s">
        <v>26</v>
      </c>
      <c r="D7321" s="2" t="s">
        <v>39</v>
      </c>
      <c r="E7321" s="4">
        <v>-32661</v>
      </c>
      <c r="F7321" s="3" t="s">
        <v>157</v>
      </c>
      <c r="G7321" s="3" t="s">
        <v>158</v>
      </c>
      <c r="H7321" s="2" t="s">
        <v>74</v>
      </c>
      <c r="I7321" s="2" t="s">
        <v>18442</v>
      </c>
      <c r="J7321" s="3" t="str">
        <f>HYPERLINK("https://www.boe.es/gazeta/dias/1810/07/29/pdfs/GMD-C-1810-210.pdf#page=1","Abrir facsímil")</f>
        <v>Abrir facsímil</v>
      </c>
      <c r="K7321" s="3" t="s">
        <v>76</v>
      </c>
    </row>
    <row r="7322" spans="1:11" ht="42" customHeight="1">
      <c r="A7322" s="2" t="s">
        <v>18440</v>
      </c>
      <c r="B7322" s="2" t="s">
        <v>18441</v>
      </c>
      <c r="C7322" s="2" t="s">
        <v>26</v>
      </c>
      <c r="D7322" s="2" t="s">
        <v>39</v>
      </c>
      <c r="E7322" s="4">
        <v>-32661</v>
      </c>
      <c r="F7322" s="3" t="s">
        <v>157</v>
      </c>
      <c r="G7322" s="3" t="s">
        <v>592</v>
      </c>
      <c r="H7322" s="2" t="s">
        <v>74</v>
      </c>
      <c r="I7322" s="2" t="s">
        <v>18443</v>
      </c>
      <c r="J7322" s="3" t="str">
        <f>HYPERLINK("https://www.boe.es/gazeta/dias/1810/07/29/pdfs/GMD-C-1810-210.pdf#page=2","Abrir facsímil")</f>
        <v>Abrir facsímil</v>
      </c>
      <c r="K7322" s="3" t="s">
        <v>76</v>
      </c>
    </row>
    <row r="7323" spans="1:11" ht="42" customHeight="1">
      <c r="A7323" s="2" t="s">
        <v>18444</v>
      </c>
      <c r="B7323" s="2" t="s">
        <v>18445</v>
      </c>
      <c r="C7323" s="2" t="s">
        <v>26</v>
      </c>
      <c r="D7323" s="2" t="s">
        <v>27</v>
      </c>
      <c r="E7323" s="4">
        <v>-32557</v>
      </c>
      <c r="F7323" s="3" t="s">
        <v>837</v>
      </c>
      <c r="G7323" s="3" t="s">
        <v>8451</v>
      </c>
      <c r="H7323" s="2" t="s">
        <v>74</v>
      </c>
      <c r="I7323" s="2" t="s">
        <v>18446</v>
      </c>
      <c r="J7323" s="3" t="str">
        <f>HYPERLINK("https://www.boe.es/gazeta/dias/1810/11/10/pdfs/GEI-1810-93.pdf#page=8","Abrir facsímil")</f>
        <v>Abrir facsímil</v>
      </c>
      <c r="K7323" s="3" t="s">
        <v>76</v>
      </c>
    </row>
    <row r="7324" spans="1:11" ht="42" customHeight="1">
      <c r="A7324" s="2" t="s">
        <v>18447</v>
      </c>
      <c r="B7324" s="2" t="s">
        <v>18448</v>
      </c>
      <c r="C7324" s="2" t="s">
        <v>26</v>
      </c>
      <c r="D7324" s="2" t="s">
        <v>39</v>
      </c>
      <c r="E7324" s="4">
        <v>-32701</v>
      </c>
      <c r="F7324" s="3" t="s">
        <v>40</v>
      </c>
      <c r="G7324" s="3" t="s">
        <v>41</v>
      </c>
      <c r="H7324" s="2" t="s">
        <v>74</v>
      </c>
      <c r="I7324" s="2" t="s">
        <v>18449</v>
      </c>
      <c r="J7324" s="3" t="str">
        <f>HYPERLINK("https://www.boe.es/gazeta/dias/1810/06/19/pdfs/GMD-C-1810-170.pdf#page=3","Abrir facsímil")</f>
        <v>Abrir facsímil</v>
      </c>
      <c r="K7324" s="3" t="s">
        <v>76</v>
      </c>
    </row>
    <row r="7325" spans="1:11" ht="42" customHeight="1">
      <c r="A7325" s="2" t="s">
        <v>18450</v>
      </c>
      <c r="B7325" s="2" t="s">
        <v>18450</v>
      </c>
      <c r="C7325" s="2" t="s">
        <v>33</v>
      </c>
      <c r="D7325" s="2" t="s">
        <v>27</v>
      </c>
      <c r="E7325" s="4">
        <v>-32854</v>
      </c>
      <c r="F7325" s="3" t="s">
        <v>11701</v>
      </c>
      <c r="G7325" s="3" t="s">
        <v>473</v>
      </c>
      <c r="H7325" s="2" t="s">
        <v>74</v>
      </c>
      <c r="I7325" s="2" t="s">
        <v>18451</v>
      </c>
      <c r="J7325" s="3" t="str">
        <f>HYPERLINK("https://www.boe.es/gazeta/dias/1810/01/17/pdfs/GMD-1810-17.pdf#page=1","Abrir facsímil")</f>
        <v>Abrir facsímil</v>
      </c>
      <c r="K7325" s="3" t="s">
        <v>76</v>
      </c>
    </row>
    <row r="7326" spans="1:11" ht="42" customHeight="1">
      <c r="A7326" s="2" t="s">
        <v>18452</v>
      </c>
      <c r="B7326" s="2" t="s">
        <v>18452</v>
      </c>
      <c r="C7326" s="2" t="s">
        <v>33</v>
      </c>
      <c r="D7326" s="2" t="s">
        <v>27</v>
      </c>
      <c r="E7326" s="4">
        <v>-32725</v>
      </c>
      <c r="F7326" s="3" t="s">
        <v>417</v>
      </c>
      <c r="G7326" s="3" t="s">
        <v>35</v>
      </c>
      <c r="H7326" s="2" t="s">
        <v>74</v>
      </c>
      <c r="I7326" s="2" t="s">
        <v>18453</v>
      </c>
      <c r="J7326" s="3" t="str">
        <f>HYPERLINK("https://www.boe.es/gazeta/dias/1810/05/26/pdfs/GMD-1810-146.pdf#page=2","Abrir facsímil")</f>
        <v>Abrir facsímil</v>
      </c>
      <c r="K7326" s="3" t="s">
        <v>76</v>
      </c>
    </row>
    <row r="7327" spans="1:11" ht="42" customHeight="1">
      <c r="A7327" s="2" t="s">
        <v>18454</v>
      </c>
      <c r="B7327" s="2" t="s">
        <v>18454</v>
      </c>
      <c r="C7327" s="2" t="s">
        <v>88</v>
      </c>
      <c r="D7327" s="2" t="s">
        <v>117</v>
      </c>
      <c r="E7327" s="4">
        <v>-32639</v>
      </c>
      <c r="F7327" s="3" t="s">
        <v>3411</v>
      </c>
      <c r="G7327" s="3" t="s">
        <v>8237</v>
      </c>
      <c r="H7327" s="2" t="s">
        <v>74</v>
      </c>
      <c r="I7327" s="2" t="s">
        <v>18455</v>
      </c>
      <c r="J7327" s="3" t="str">
        <f>HYPERLINK("https://www.boe.es/gazeta/dias/1810/08/20/pdfs/GMD-1810-232.pdf#page=2","Abrir facsímil")</f>
        <v>Abrir facsímil</v>
      </c>
      <c r="K7327" s="3" t="s">
        <v>76</v>
      </c>
    </row>
    <row r="7328" spans="1:11" ht="42" customHeight="1">
      <c r="A7328" s="2" t="s">
        <v>18454</v>
      </c>
      <c r="B7328" s="2" t="s">
        <v>18454</v>
      </c>
      <c r="C7328" s="2" t="s">
        <v>88</v>
      </c>
      <c r="D7328" s="2" t="s">
        <v>27</v>
      </c>
      <c r="E7328" s="4">
        <v>-32639</v>
      </c>
      <c r="F7328" s="3" t="s">
        <v>3411</v>
      </c>
      <c r="G7328" s="3" t="s">
        <v>3412</v>
      </c>
      <c r="H7328" s="2" t="s">
        <v>74</v>
      </c>
      <c r="I7328" s="2" t="s">
        <v>18456</v>
      </c>
      <c r="J7328" s="3" t="str">
        <f>HYPERLINK("https://www.boe.es/gazeta/dias/1810/08/20/pdfs/GMD-1810-232.pdf#page=4","Abrir facsímil")</f>
        <v>Abrir facsímil</v>
      </c>
      <c r="K7328" s="3" t="s">
        <v>76</v>
      </c>
    </row>
    <row r="7329" spans="1:11" ht="42" customHeight="1">
      <c r="A7329" s="2" t="s">
        <v>18457</v>
      </c>
      <c r="B7329" s="2" t="s">
        <v>18458</v>
      </c>
      <c r="C7329" s="2" t="s">
        <v>88</v>
      </c>
      <c r="D7329" s="2" t="s">
        <v>117</v>
      </c>
      <c r="E7329" s="4">
        <v>-32716</v>
      </c>
      <c r="F7329" s="3" t="s">
        <v>624</v>
      </c>
      <c r="G7329" s="3" t="s">
        <v>140</v>
      </c>
      <c r="H7329" s="2" t="s">
        <v>74</v>
      </c>
      <c r="I7329" s="2" t="s">
        <v>18459</v>
      </c>
      <c r="J7329" s="3" t="str">
        <f>HYPERLINK("https://www.boe.es/gazeta/dias/1810/06/04/pdfs/GMD-1810-155.pdf#page=4","Abrir facsímil")</f>
        <v>Abrir facsímil</v>
      </c>
      <c r="K7329" s="3" t="s">
        <v>76</v>
      </c>
    </row>
    <row r="7330" spans="1:11" ht="42" customHeight="1">
      <c r="A7330" s="2" t="s">
        <v>18460</v>
      </c>
      <c r="B7330" s="2" t="s">
        <v>18460</v>
      </c>
      <c r="C7330" s="2" t="s">
        <v>33</v>
      </c>
      <c r="D7330" s="2" t="s">
        <v>220</v>
      </c>
      <c r="E7330" s="4">
        <v>-32699</v>
      </c>
      <c r="F7330" s="3" t="s">
        <v>1216</v>
      </c>
      <c r="G7330" s="3" t="s">
        <v>1217</v>
      </c>
      <c r="H7330" s="2" t="s">
        <v>74</v>
      </c>
      <c r="I7330" s="2" t="s">
        <v>18461</v>
      </c>
      <c r="J7330" s="3" t="str">
        <f>HYPERLINK("https://www.boe.es/gazeta/dias/1810/06/21/pdfs/GMD-1810-172.pdf#page=1","Abrir facsímil")</f>
        <v>Abrir facsímil</v>
      </c>
      <c r="K7330" s="3" t="s">
        <v>76</v>
      </c>
    </row>
    <row r="7331" spans="1:11" ht="42" customHeight="1">
      <c r="A7331" s="2" t="s">
        <v>18462</v>
      </c>
      <c r="B7331" s="2" t="s">
        <v>18463</v>
      </c>
      <c r="C7331" s="2" t="s">
        <v>26</v>
      </c>
      <c r="D7331" s="2" t="s">
        <v>27</v>
      </c>
      <c r="E7331" s="4">
        <v>-32513</v>
      </c>
      <c r="F7331" s="3" t="s">
        <v>3702</v>
      </c>
      <c r="G7331" s="3" t="s">
        <v>465</v>
      </c>
      <c r="H7331" s="2" t="s">
        <v>21</v>
      </c>
      <c r="I7331" s="2" t="s">
        <v>18464</v>
      </c>
      <c r="J7331" s="3" t="str">
        <f>HYPERLINK("https://www.boe.es/gazeta/dias/1810/12/24/pdfs/GMD-1810-358.pdf#page=4","Abrir facsímil")</f>
        <v>Abrir facsímil</v>
      </c>
      <c r="K7331" s="3" t="s">
        <v>23</v>
      </c>
    </row>
    <row r="7332" spans="1:11" ht="42" customHeight="1">
      <c r="A7332" s="2" t="s">
        <v>18465</v>
      </c>
      <c r="B7332" s="2" t="s">
        <v>18466</v>
      </c>
      <c r="C7332" s="2" t="s">
        <v>26</v>
      </c>
      <c r="D7332" s="2" t="s">
        <v>39</v>
      </c>
      <c r="E7332" s="4">
        <v>-32701</v>
      </c>
      <c r="F7332" s="3" t="s">
        <v>40</v>
      </c>
      <c r="G7332" s="3" t="s">
        <v>170</v>
      </c>
      <c r="H7332" s="2" t="s">
        <v>21</v>
      </c>
      <c r="I7332" s="2" t="s">
        <v>18467</v>
      </c>
      <c r="J7332" s="3" t="str">
        <f>HYPERLINK("https://www.boe.es/gazeta/dias/1810/06/19/pdfs/GMD-C-1810-170.pdf#page=1","Abrir facsímil")</f>
        <v>Abrir facsímil</v>
      </c>
      <c r="K7332" s="3" t="s">
        <v>23</v>
      </c>
    </row>
    <row r="7333" spans="1:11" ht="42" customHeight="1">
      <c r="A7333" s="2" t="s">
        <v>18468</v>
      </c>
      <c r="B7333" s="2" t="s">
        <v>18469</v>
      </c>
      <c r="C7333" s="2" t="s">
        <v>26</v>
      </c>
      <c r="D7333" s="2" t="s">
        <v>39</v>
      </c>
      <c r="E7333" s="4">
        <v>-32701</v>
      </c>
      <c r="F7333" s="3" t="s">
        <v>40</v>
      </c>
      <c r="G7333" s="3" t="s">
        <v>41</v>
      </c>
      <c r="H7333" s="2" t="s">
        <v>21</v>
      </c>
      <c r="I7333" s="2" t="s">
        <v>18470</v>
      </c>
      <c r="J7333" s="3" t="str">
        <f>HYPERLINK("https://www.boe.es/gazeta/dias/1810/06/19/pdfs/GMD-C-1810-170.pdf#page=3","Abrir facsímil")</f>
        <v>Abrir facsímil</v>
      </c>
      <c r="K7333" s="3" t="s">
        <v>23</v>
      </c>
    </row>
    <row r="7334" spans="1:11" ht="42" customHeight="1">
      <c r="A7334" s="2" t="s">
        <v>18471</v>
      </c>
      <c r="B7334" s="2" t="s">
        <v>18472</v>
      </c>
      <c r="C7334" s="2" t="s">
        <v>225</v>
      </c>
      <c r="D7334" s="2" t="s">
        <v>27</v>
      </c>
      <c r="E7334" s="4">
        <v>-32766</v>
      </c>
      <c r="F7334" s="3" t="s">
        <v>492</v>
      </c>
      <c r="G7334" s="3" t="s">
        <v>291</v>
      </c>
      <c r="H7334" s="2" t="s">
        <v>21</v>
      </c>
      <c r="I7334" s="2" t="s">
        <v>18473</v>
      </c>
      <c r="J7334" s="3" t="str">
        <f>HYPERLINK("https://www.boe.es/gazeta/dias/1810/04/15/pdfs/GMD-1810-105.pdf#page=2","Abrir facsímil")</f>
        <v>Abrir facsímil</v>
      </c>
      <c r="K7334" s="3" t="s">
        <v>23</v>
      </c>
    </row>
    <row r="7335" spans="1:11" ht="42" customHeight="1">
      <c r="A7335" s="2" t="s">
        <v>18474</v>
      </c>
      <c r="B7335" s="2" t="s">
        <v>18475</v>
      </c>
      <c r="C7335" s="2" t="s">
        <v>88</v>
      </c>
      <c r="D7335" s="2" t="s">
        <v>27</v>
      </c>
      <c r="E7335" s="4">
        <v>-32710</v>
      </c>
      <c r="F7335" s="3" t="s">
        <v>126</v>
      </c>
      <c r="G7335" s="3" t="s">
        <v>35</v>
      </c>
      <c r="H7335" s="2" t="s">
        <v>21</v>
      </c>
      <c r="I7335" s="2" t="s">
        <v>18476</v>
      </c>
      <c r="J7335" s="3" t="str">
        <f>HYPERLINK("https://www.boe.es/gazeta/dias/1810/06/10/pdfs/GMD-1810-161.pdf#page=2","Abrir facsímil")</f>
        <v>Abrir facsímil</v>
      </c>
      <c r="K7335" s="3" t="s">
        <v>23</v>
      </c>
    </row>
    <row r="7336" spans="1:11" ht="42" customHeight="1">
      <c r="A7336" s="2" t="s">
        <v>18477</v>
      </c>
      <c r="B7336" s="2" t="s">
        <v>18478</v>
      </c>
      <c r="C7336" s="2" t="s">
        <v>225</v>
      </c>
      <c r="D7336" s="2" t="s">
        <v>27</v>
      </c>
      <c r="E7336" s="4">
        <v>-32509</v>
      </c>
      <c r="F7336" s="3" t="s">
        <v>212</v>
      </c>
      <c r="G7336" s="3" t="s">
        <v>213</v>
      </c>
      <c r="H7336" s="2" t="s">
        <v>21</v>
      </c>
      <c r="I7336" s="2" t="s">
        <v>18479</v>
      </c>
      <c r="J7336" s="3" t="str">
        <f>HYPERLINK("https://www.boe.es/gazeta/dias/1810/12/28/pdfs/GMD-1810-362.pdf#page=4","Abrir facsímil")</f>
        <v>Abrir facsímil</v>
      </c>
      <c r="K7336" s="3" t="s">
        <v>23</v>
      </c>
    </row>
    <row r="7337" spans="1:11" ht="42" customHeight="1">
      <c r="A7337" s="2" t="s">
        <v>18480</v>
      </c>
      <c r="B7337" s="2" t="s">
        <v>18481</v>
      </c>
      <c r="C7337" s="2" t="s">
        <v>33</v>
      </c>
      <c r="D7337" s="2" t="s">
        <v>27</v>
      </c>
      <c r="E7337" s="4">
        <v>-32755</v>
      </c>
      <c r="F7337" s="3" t="s">
        <v>1641</v>
      </c>
      <c r="G7337" s="3" t="s">
        <v>99</v>
      </c>
      <c r="H7337" s="2" t="s">
        <v>21</v>
      </c>
      <c r="I7337" s="2" t="s">
        <v>18482</v>
      </c>
      <c r="J7337" s="3" t="str">
        <f>HYPERLINK("https://www.boe.es/gazeta/dias/1810/04/26/pdfs/GMD-1810-116.pdf#page=3","Abrir facsímil")</f>
        <v>Abrir facsímil</v>
      </c>
      <c r="K7337" s="3" t="s">
        <v>23</v>
      </c>
    </row>
    <row r="7338" spans="1:11" ht="42" customHeight="1">
      <c r="A7338" s="2" t="s">
        <v>18483</v>
      </c>
      <c r="B7338" s="2" t="s">
        <v>18484</v>
      </c>
      <c r="C7338" s="2" t="s">
        <v>88</v>
      </c>
      <c r="D7338" s="2" t="s">
        <v>27</v>
      </c>
      <c r="E7338" s="4">
        <v>-32725</v>
      </c>
      <c r="F7338" s="3" t="s">
        <v>417</v>
      </c>
      <c r="G7338" s="3" t="s">
        <v>140</v>
      </c>
      <c r="H7338" s="2" t="s">
        <v>21</v>
      </c>
      <c r="I7338" s="2" t="s">
        <v>18485</v>
      </c>
      <c r="J7338" s="3" t="str">
        <f>HYPERLINK("https://www.boe.es/gazeta/dias/1810/05/26/pdfs/GMD-1810-146.pdf#page=4","Abrir facsímil")</f>
        <v>Abrir facsímil</v>
      </c>
      <c r="K7338" s="3" t="s">
        <v>23</v>
      </c>
    </row>
    <row r="7339" spans="1:11" ht="42" customHeight="1">
      <c r="A7339" s="2" t="s">
        <v>18483</v>
      </c>
      <c r="B7339" s="2" t="s">
        <v>18484</v>
      </c>
      <c r="C7339" s="2" t="s">
        <v>88</v>
      </c>
      <c r="D7339" s="2" t="s">
        <v>27</v>
      </c>
      <c r="E7339" s="4">
        <v>-32638</v>
      </c>
      <c r="F7339" s="3" t="s">
        <v>489</v>
      </c>
      <c r="G7339" s="3" t="s">
        <v>227</v>
      </c>
      <c r="H7339" s="2" t="s">
        <v>21</v>
      </c>
      <c r="I7339" s="2" t="s">
        <v>18486</v>
      </c>
      <c r="J7339" s="3" t="str">
        <f>HYPERLINK("https://www.boe.es/gazeta/dias/1810/08/21/pdfs/GMD-1810-233.pdf#page=2","Abrir facsímil")</f>
        <v>Abrir facsímil</v>
      </c>
      <c r="K7339" s="3" t="s">
        <v>23</v>
      </c>
    </row>
    <row r="7340" spans="1:11" ht="42" customHeight="1">
      <c r="A7340" s="2" t="s">
        <v>18487</v>
      </c>
      <c r="B7340" s="2" t="s">
        <v>18488</v>
      </c>
      <c r="C7340" s="2" t="s">
        <v>317</v>
      </c>
      <c r="D7340" s="2" t="s">
        <v>18</v>
      </c>
      <c r="E7340" s="4">
        <v>-32680</v>
      </c>
      <c r="F7340" s="3" t="s">
        <v>509</v>
      </c>
      <c r="G7340" s="3" t="s">
        <v>213</v>
      </c>
      <c r="H7340" s="2" t="s">
        <v>21</v>
      </c>
      <c r="I7340" s="2" t="s">
        <v>18489</v>
      </c>
      <c r="J7340" s="3" t="str">
        <f>HYPERLINK("https://www.boe.es/gazeta/dias/1810/07/10/pdfs/GMD-1810-191.pdf#page=4","Abrir facsímil")</f>
        <v>Abrir facsímil</v>
      </c>
      <c r="K7340" s="3" t="s">
        <v>23</v>
      </c>
    </row>
    <row r="7341" spans="1:11" ht="42" customHeight="1">
      <c r="A7341" s="2" t="s">
        <v>18490</v>
      </c>
      <c r="B7341" s="2" t="s">
        <v>18491</v>
      </c>
      <c r="C7341" s="2" t="s">
        <v>88</v>
      </c>
      <c r="D7341" s="2" t="s">
        <v>117</v>
      </c>
      <c r="E7341" s="4">
        <v>-32716</v>
      </c>
      <c r="F7341" s="3" t="s">
        <v>624</v>
      </c>
      <c r="G7341" s="3" t="s">
        <v>140</v>
      </c>
      <c r="H7341" s="2" t="s">
        <v>21</v>
      </c>
      <c r="I7341" s="2" t="s">
        <v>18492</v>
      </c>
      <c r="J7341" s="3" t="str">
        <f>HYPERLINK("https://www.boe.es/gazeta/dias/1810/06/04/pdfs/GMD-1810-155.pdf#page=4","Abrir facsímil")</f>
        <v>Abrir facsímil</v>
      </c>
      <c r="K7341" s="3" t="s">
        <v>23</v>
      </c>
    </row>
    <row r="7342" spans="1:11" ht="42" customHeight="1">
      <c r="A7342" s="2" t="s">
        <v>18493</v>
      </c>
      <c r="B7342" s="2" t="s">
        <v>18494</v>
      </c>
      <c r="C7342" s="2" t="s">
        <v>26</v>
      </c>
      <c r="D7342" s="2" t="s">
        <v>27</v>
      </c>
      <c r="E7342" s="4">
        <v>-32575</v>
      </c>
      <c r="F7342" s="3" t="s">
        <v>135</v>
      </c>
      <c r="G7342" s="3" t="s">
        <v>136</v>
      </c>
      <c r="H7342" s="2" t="s">
        <v>21</v>
      </c>
      <c r="I7342" s="2" t="s">
        <v>18495</v>
      </c>
      <c r="J7342" s="3" t="str">
        <f>HYPERLINK("https://www.boe.es/gazeta/dias/1810/10/23/pdfs/GEI-1810-85.pdf#page=11","Abrir facsímil")</f>
        <v>Abrir facsímil</v>
      </c>
      <c r="K7342" s="3" t="s">
        <v>23</v>
      </c>
    </row>
    <row r="7343" spans="1:11" ht="42" customHeight="1">
      <c r="A7343" s="2" t="s">
        <v>18496</v>
      </c>
      <c r="B7343" s="2" t="s">
        <v>18497</v>
      </c>
      <c r="C7343" s="2" t="s">
        <v>225</v>
      </c>
      <c r="D7343" s="2" t="s">
        <v>27</v>
      </c>
      <c r="E7343" s="4">
        <v>-32520</v>
      </c>
      <c r="F7343" s="3" t="s">
        <v>2109</v>
      </c>
      <c r="G7343" s="3" t="s">
        <v>2110</v>
      </c>
      <c r="H7343" s="2" t="s">
        <v>21</v>
      </c>
      <c r="I7343" s="2" t="s">
        <v>18498</v>
      </c>
      <c r="J7343" s="3" t="str">
        <f>HYPERLINK("https://www.boe.es/gazeta/dias/1810/12/17/pdfs/GMD-1810-351.pdf#page=2","Abrir facsímil")</f>
        <v>Abrir facsímil</v>
      </c>
      <c r="K7343" s="3" t="s">
        <v>23</v>
      </c>
    </row>
    <row r="7344" spans="1:11" ht="42" customHeight="1">
      <c r="A7344" s="2" t="s">
        <v>18499</v>
      </c>
      <c r="B7344" s="2" t="s">
        <v>18500</v>
      </c>
      <c r="C7344" s="2" t="s">
        <v>88</v>
      </c>
      <c r="D7344" s="2" t="s">
        <v>27</v>
      </c>
      <c r="E7344" s="4">
        <v>-32842</v>
      </c>
      <c r="F7344" s="3" t="s">
        <v>1291</v>
      </c>
      <c r="G7344" s="3" t="s">
        <v>1292</v>
      </c>
      <c r="H7344" s="2" t="s">
        <v>21</v>
      </c>
      <c r="I7344" s="2" t="s">
        <v>18501</v>
      </c>
      <c r="J7344" s="3" t="str">
        <f>HYPERLINK("https://www.boe.es/gazeta/dias/1810/01/29/pdfs/GMD-1810-29.pdf#page=3","Abrir facsímil")</f>
        <v>Abrir facsímil</v>
      </c>
      <c r="K7344" s="3" t="s">
        <v>23</v>
      </c>
    </row>
    <row r="7345" spans="1:11" ht="42" customHeight="1">
      <c r="A7345" s="2" t="s">
        <v>18502</v>
      </c>
      <c r="B7345" s="2" t="s">
        <v>18503</v>
      </c>
      <c r="C7345" s="2" t="s">
        <v>26</v>
      </c>
      <c r="D7345" s="2" t="s">
        <v>39</v>
      </c>
      <c r="E7345" s="4">
        <v>-32701</v>
      </c>
      <c r="F7345" s="3" t="s">
        <v>40</v>
      </c>
      <c r="G7345" s="3" t="s">
        <v>170</v>
      </c>
      <c r="H7345" s="2" t="s">
        <v>21</v>
      </c>
      <c r="I7345" s="2" t="s">
        <v>18504</v>
      </c>
      <c r="J7345" s="3" t="str">
        <f>HYPERLINK("https://www.boe.es/gazeta/dias/1810/06/19/pdfs/GMD-C-1810-170.pdf#page=1","Abrir facsímil")</f>
        <v>Abrir facsímil</v>
      </c>
      <c r="K7345" s="3" t="s">
        <v>23</v>
      </c>
    </row>
    <row r="7346" spans="1:11" ht="42" customHeight="1">
      <c r="A7346" s="2" t="s">
        <v>18505</v>
      </c>
      <c r="B7346" s="2" t="s">
        <v>18506</v>
      </c>
      <c r="C7346" s="2" t="s">
        <v>88</v>
      </c>
      <c r="D7346" s="2" t="s">
        <v>117</v>
      </c>
      <c r="E7346" s="4">
        <v>-32818</v>
      </c>
      <c r="F7346" s="3" t="s">
        <v>936</v>
      </c>
      <c r="G7346" s="3" t="s">
        <v>937</v>
      </c>
      <c r="H7346" s="2" t="s">
        <v>21</v>
      </c>
      <c r="I7346" s="2" t="s">
        <v>18507</v>
      </c>
      <c r="J7346" s="3" t="str">
        <f>HYPERLINK("https://www.boe.es/gazeta/dias/1810/02/22/pdfs/GMD-1810-53.pdf#page=1","Abrir facsímil")</f>
        <v>Abrir facsímil</v>
      </c>
      <c r="K7346" s="3" t="s">
        <v>23</v>
      </c>
    </row>
    <row r="7347" spans="1:11" ht="42" customHeight="1">
      <c r="A7347" s="2" t="s">
        <v>18508</v>
      </c>
      <c r="B7347" s="2" t="s">
        <v>18509</v>
      </c>
      <c r="C7347" s="2" t="s">
        <v>225</v>
      </c>
      <c r="D7347" s="2" t="s">
        <v>27</v>
      </c>
      <c r="E7347" s="4">
        <v>-32693</v>
      </c>
      <c r="F7347" s="3" t="s">
        <v>54</v>
      </c>
      <c r="G7347" s="3" t="s">
        <v>20</v>
      </c>
      <c r="H7347" s="2" t="s">
        <v>21</v>
      </c>
      <c r="I7347" s="2" t="s">
        <v>18510</v>
      </c>
      <c r="J7347" s="3" t="str">
        <f>HYPERLINK("https://www.boe.es/gazeta/dias/1810/06/27/pdfs/GMD-1810-178.pdf#page=4","Abrir facsímil")</f>
        <v>Abrir facsímil</v>
      </c>
      <c r="K7347" s="3" t="s">
        <v>23</v>
      </c>
    </row>
    <row r="7348" spans="1:11" ht="42" customHeight="1">
      <c r="A7348" s="2" t="s">
        <v>18511</v>
      </c>
      <c r="B7348" s="2" t="s">
        <v>18512</v>
      </c>
      <c r="C7348" s="2" t="s">
        <v>88</v>
      </c>
      <c r="D7348" s="2" t="s">
        <v>27</v>
      </c>
      <c r="E7348" s="4">
        <v>-32546</v>
      </c>
      <c r="F7348" s="3" t="s">
        <v>2222</v>
      </c>
      <c r="G7348" s="3" t="s">
        <v>35</v>
      </c>
      <c r="H7348" s="2" t="s">
        <v>21</v>
      </c>
      <c r="I7348" s="2" t="s">
        <v>18513</v>
      </c>
      <c r="J7348" s="3" t="str">
        <f>HYPERLINK("https://www.boe.es/gazeta/dias/1810/11/21/pdfs/GMD-1810-325.pdf#page=2","Abrir facsímil")</f>
        <v>Abrir facsímil</v>
      </c>
      <c r="K7348" s="3" t="s">
        <v>23</v>
      </c>
    </row>
    <row r="7349" spans="1:11" ht="42" customHeight="1">
      <c r="A7349" s="2" t="s">
        <v>18514</v>
      </c>
      <c r="B7349" s="2" t="s">
        <v>18515</v>
      </c>
      <c r="C7349" s="2" t="s">
        <v>33</v>
      </c>
      <c r="D7349" s="2" t="s">
        <v>27</v>
      </c>
      <c r="E7349" s="4">
        <v>-32664</v>
      </c>
      <c r="F7349" s="3" t="s">
        <v>618</v>
      </c>
      <c r="G7349" s="3" t="s">
        <v>1985</v>
      </c>
      <c r="H7349" s="2" t="s">
        <v>21</v>
      </c>
      <c r="I7349" s="2" t="s">
        <v>18516</v>
      </c>
      <c r="J7349" s="3" t="str">
        <f>HYPERLINK("https://www.boe.es/gazeta/dias/1810/07/26/pdfs/GMD-1810-207.pdf#page=4","Abrir facsímil")</f>
        <v>Abrir facsímil</v>
      </c>
      <c r="K7349" s="3" t="s">
        <v>23</v>
      </c>
    </row>
    <row r="7350" spans="1:11" ht="42" customHeight="1">
      <c r="A7350" s="2" t="s">
        <v>18517</v>
      </c>
      <c r="B7350" s="2" t="s">
        <v>18518</v>
      </c>
      <c r="C7350" s="2" t="s">
        <v>26</v>
      </c>
      <c r="D7350" s="2" t="s">
        <v>58</v>
      </c>
      <c r="E7350" s="4">
        <v>-32601</v>
      </c>
      <c r="F7350" s="3" t="s">
        <v>392</v>
      </c>
      <c r="G7350" s="3" t="s">
        <v>1430</v>
      </c>
      <c r="H7350" s="2" t="s">
        <v>21</v>
      </c>
      <c r="I7350" s="2" t="s">
        <v>18519</v>
      </c>
      <c r="J7350" s="3" t="str">
        <f>HYPERLINK("https://www.boe.es/gazeta/dias/1810/09/27/pdfs/GEI-1810-74E.pdf#page=3","Abrir facsímil")</f>
        <v>Abrir facsímil</v>
      </c>
      <c r="K7350" s="3" t="s">
        <v>23</v>
      </c>
    </row>
    <row r="7351" spans="1:11" ht="42" customHeight="1">
      <c r="A7351" s="2" t="s">
        <v>18520</v>
      </c>
      <c r="B7351" s="2" t="s">
        <v>18521</v>
      </c>
      <c r="C7351" s="2" t="s">
        <v>33</v>
      </c>
      <c r="D7351" s="2" t="s">
        <v>18</v>
      </c>
      <c r="E7351" s="4">
        <v>-32820</v>
      </c>
      <c r="F7351" s="3" t="s">
        <v>226</v>
      </c>
      <c r="G7351" s="3" t="s">
        <v>356</v>
      </c>
      <c r="H7351" s="2" t="s">
        <v>74</v>
      </c>
      <c r="I7351" s="2" t="s">
        <v>18522</v>
      </c>
      <c r="J7351" s="3" t="str">
        <f>HYPERLINK("https://www.boe.es/gazeta/dias/1810/02/20/pdfs/GMD-1810-51.pdf#page=3","Abrir facsímil")</f>
        <v>Abrir facsímil</v>
      </c>
      <c r="K7351" s="3" t="s">
        <v>76</v>
      </c>
    </row>
    <row r="7352" spans="1:11" ht="42" customHeight="1">
      <c r="A7352" s="2" t="s">
        <v>18523</v>
      </c>
      <c r="B7352" s="2" t="s">
        <v>18524</v>
      </c>
      <c r="C7352" s="2" t="s">
        <v>111</v>
      </c>
      <c r="D7352" s="2" t="s">
        <v>27</v>
      </c>
      <c r="E7352" s="4">
        <v>-32729</v>
      </c>
      <c r="F7352" s="3" t="s">
        <v>174</v>
      </c>
      <c r="G7352" s="3" t="s">
        <v>151</v>
      </c>
      <c r="H7352" s="2" t="s">
        <v>74</v>
      </c>
      <c r="I7352" s="2" t="s">
        <v>18525</v>
      </c>
      <c r="J7352" s="3" t="str">
        <f>HYPERLINK("https://www.boe.es/gazeta/dias/1810/05/22/pdfs/GEI-1810-28.pdf#page=12","Abrir facsímil")</f>
        <v>Abrir facsímil</v>
      </c>
      <c r="K7352" s="3" t="s">
        <v>76</v>
      </c>
    </row>
    <row r="7353" spans="1:11" ht="42" customHeight="1">
      <c r="A7353" s="2" t="s">
        <v>18526</v>
      </c>
      <c r="B7353" s="2" t="s">
        <v>18527</v>
      </c>
      <c r="C7353" s="2" t="s">
        <v>26</v>
      </c>
      <c r="D7353" s="2" t="s">
        <v>27</v>
      </c>
      <c r="E7353" s="4">
        <v>-32656</v>
      </c>
      <c r="F7353" s="3" t="s">
        <v>1909</v>
      </c>
      <c r="G7353" s="3" t="s">
        <v>151</v>
      </c>
      <c r="H7353" s="2" t="s">
        <v>74</v>
      </c>
      <c r="I7353" s="2" t="s">
        <v>18528</v>
      </c>
      <c r="J7353" s="3" t="str">
        <f>HYPERLINK("https://www.boe.es/gazeta/dias/1810/08/03/pdfs/GEI-1810-50.pdf#page=5","Abrir facsímil")</f>
        <v>Abrir facsímil</v>
      </c>
      <c r="K7353" s="3" t="s">
        <v>76</v>
      </c>
    </row>
    <row r="7354" spans="1:11" ht="42" customHeight="1">
      <c r="A7354" s="2" t="s">
        <v>18529</v>
      </c>
      <c r="B7354" s="2" t="s">
        <v>18530</v>
      </c>
      <c r="C7354" s="2" t="s">
        <v>26</v>
      </c>
      <c r="D7354" s="2" t="s">
        <v>27</v>
      </c>
      <c r="E7354" s="4">
        <v>-32771</v>
      </c>
      <c r="F7354" s="3" t="s">
        <v>543</v>
      </c>
      <c r="G7354" s="3" t="s">
        <v>65</v>
      </c>
      <c r="H7354" s="2" t="s">
        <v>74</v>
      </c>
      <c r="I7354" s="2" t="s">
        <v>18531</v>
      </c>
      <c r="J7354" s="3" t="str">
        <f>HYPERLINK("https://www.boe.es/gazeta/dias/1810/04/10/pdfs/GEI-1810-13.pdf#page=7","Abrir facsímil")</f>
        <v>Abrir facsímil</v>
      </c>
      <c r="K7354" s="3" t="s">
        <v>76</v>
      </c>
    </row>
    <row r="7355" spans="1:11" ht="42" customHeight="1">
      <c r="A7355" s="2" t="s">
        <v>18532</v>
      </c>
      <c r="B7355" s="2" t="s">
        <v>18533</v>
      </c>
      <c r="C7355" s="2" t="s">
        <v>225</v>
      </c>
      <c r="D7355" s="2" t="s">
        <v>27</v>
      </c>
      <c r="E7355" s="4">
        <v>-32509</v>
      </c>
      <c r="F7355" s="3" t="s">
        <v>212</v>
      </c>
      <c r="G7355" s="3" t="s">
        <v>213</v>
      </c>
      <c r="H7355" s="2" t="s">
        <v>74</v>
      </c>
      <c r="I7355" s="2" t="s">
        <v>18534</v>
      </c>
      <c r="J7355" s="3" t="str">
        <f>HYPERLINK("https://www.boe.es/gazeta/dias/1810/12/28/pdfs/GMD-1810-362.pdf#page=4","Abrir facsímil")</f>
        <v>Abrir facsímil</v>
      </c>
      <c r="K7355" s="3" t="s">
        <v>76</v>
      </c>
    </row>
    <row r="7356" spans="1:11" ht="42" customHeight="1">
      <c r="A7356" s="2" t="s">
        <v>18535</v>
      </c>
      <c r="B7356" s="2" t="s">
        <v>18535</v>
      </c>
      <c r="C7356" s="2" t="s">
        <v>26</v>
      </c>
      <c r="D7356" s="2" t="s">
        <v>27</v>
      </c>
      <c r="E7356" s="4">
        <v>-32766</v>
      </c>
      <c r="F7356" s="3" t="s">
        <v>492</v>
      </c>
      <c r="G7356" s="3" t="s">
        <v>180</v>
      </c>
      <c r="H7356" s="2" t="s">
        <v>74</v>
      </c>
      <c r="I7356" s="2" t="s">
        <v>18536</v>
      </c>
      <c r="J7356" s="3" t="str">
        <f>HYPERLINK("https://www.boe.es/gazeta/dias/1810/04/15/pdfs/GMD-1810-105.pdf#page=1","Abrir facsímil")</f>
        <v>Abrir facsímil</v>
      </c>
      <c r="K7356" s="3" t="s">
        <v>76</v>
      </c>
    </row>
    <row r="7357" spans="1:11" ht="42" customHeight="1">
      <c r="A7357" s="2" t="s">
        <v>18537</v>
      </c>
      <c r="B7357" s="2" t="s">
        <v>18538</v>
      </c>
      <c r="C7357" s="2" t="s">
        <v>88</v>
      </c>
      <c r="D7357" s="2" t="s">
        <v>18</v>
      </c>
      <c r="E7357" s="4">
        <v>-32820</v>
      </c>
      <c r="F7357" s="3" t="s">
        <v>226</v>
      </c>
      <c r="G7357" s="3" t="s">
        <v>227</v>
      </c>
      <c r="H7357" s="2" t="s">
        <v>74</v>
      </c>
      <c r="I7357" s="2" t="s">
        <v>18539</v>
      </c>
      <c r="J7357" s="3" t="str">
        <f>HYPERLINK("https://www.boe.es/gazeta/dias/1810/02/20/pdfs/GMD-1810-51.pdf#page=4","Abrir facsímil")</f>
        <v>Abrir facsímil</v>
      </c>
      <c r="K7357" s="3" t="s">
        <v>76</v>
      </c>
    </row>
    <row r="7358" spans="1:11" ht="42" customHeight="1">
      <c r="A7358" s="2" t="s">
        <v>18540</v>
      </c>
      <c r="B7358" s="2" t="s">
        <v>18541</v>
      </c>
      <c r="C7358" s="2" t="s">
        <v>26</v>
      </c>
      <c r="D7358" s="2" t="s">
        <v>27</v>
      </c>
      <c r="E7358" s="4">
        <v>-32590</v>
      </c>
      <c r="F7358" s="3" t="s">
        <v>4283</v>
      </c>
      <c r="G7358" s="3" t="s">
        <v>20</v>
      </c>
      <c r="H7358" s="2" t="s">
        <v>74</v>
      </c>
      <c r="I7358" s="2" t="s">
        <v>18542</v>
      </c>
      <c r="J7358" s="3" t="str">
        <f>HYPERLINK("https://www.boe.es/gazeta/dias/1810/10/08/pdfs/GMD-1810-281.pdf#page=4","Abrir facsímil")</f>
        <v>Abrir facsímil</v>
      </c>
      <c r="K7358" s="3" t="s">
        <v>76</v>
      </c>
    </row>
    <row r="7359" spans="1:11" ht="42" customHeight="1">
      <c r="A7359" s="2" t="s">
        <v>18543</v>
      </c>
      <c r="B7359" s="2" t="s">
        <v>18544</v>
      </c>
      <c r="C7359" s="2" t="s">
        <v>88</v>
      </c>
      <c r="D7359" s="2" t="s">
        <v>27</v>
      </c>
      <c r="E7359" s="4">
        <v>-32853</v>
      </c>
      <c r="F7359" s="3" t="s">
        <v>516</v>
      </c>
      <c r="G7359" s="3" t="s">
        <v>517</v>
      </c>
      <c r="H7359" s="2" t="s">
        <v>74</v>
      </c>
      <c r="I7359" s="2" t="s">
        <v>18545</v>
      </c>
      <c r="J7359" s="3" t="str">
        <f>HYPERLINK("https://www.boe.es/gazeta/dias/1810/01/18/pdfs/GGB-1810-8.pdf#page=7","Abrir facsímil")</f>
        <v>Abrir facsímil</v>
      </c>
      <c r="K7359" s="3" t="s">
        <v>76</v>
      </c>
    </row>
    <row r="7360" spans="1:11" ht="42" customHeight="1">
      <c r="A7360" s="2" t="s">
        <v>18546</v>
      </c>
      <c r="B7360" s="2" t="s">
        <v>18547</v>
      </c>
      <c r="C7360" s="2" t="s">
        <v>225</v>
      </c>
      <c r="D7360" s="2" t="s">
        <v>27</v>
      </c>
      <c r="E7360" s="4">
        <v>-32738</v>
      </c>
      <c r="F7360" s="3" t="s">
        <v>321</v>
      </c>
      <c r="G7360" s="3" t="s">
        <v>140</v>
      </c>
      <c r="H7360" s="2" t="s">
        <v>74</v>
      </c>
      <c r="I7360" s="2" t="s">
        <v>18548</v>
      </c>
      <c r="J7360" s="3" t="str">
        <f>HYPERLINK("https://www.boe.es/gazeta/dias/1810/05/13/pdfs/GMD-1810-133.pdf#page=4","Abrir facsímil")</f>
        <v>Abrir facsímil</v>
      </c>
      <c r="K7360" s="3" t="s">
        <v>76</v>
      </c>
    </row>
    <row r="7361" spans="1:11" ht="42" customHeight="1">
      <c r="A7361" s="2" t="s">
        <v>18549</v>
      </c>
      <c r="B7361" s="2" t="s">
        <v>18550</v>
      </c>
      <c r="C7361" s="2" t="s">
        <v>88</v>
      </c>
      <c r="D7361" s="2" t="s">
        <v>117</v>
      </c>
      <c r="E7361" s="4">
        <v>-32658</v>
      </c>
      <c r="F7361" s="3" t="s">
        <v>1224</v>
      </c>
      <c r="G7361" s="3" t="s">
        <v>140</v>
      </c>
      <c r="H7361" s="2" t="s">
        <v>74</v>
      </c>
      <c r="I7361" s="2" t="s">
        <v>18551</v>
      </c>
      <c r="J7361" s="3" t="str">
        <f>HYPERLINK("https://www.boe.es/gazeta/dias/1810/08/01/pdfs/GMD-1810-213.pdf#page=4","Abrir facsímil")</f>
        <v>Abrir facsímil</v>
      </c>
      <c r="K7361" s="3" t="s">
        <v>76</v>
      </c>
    </row>
    <row r="7362" spans="1:11" ht="42" customHeight="1">
      <c r="A7362" s="2" t="s">
        <v>18552</v>
      </c>
      <c r="B7362" s="2" t="s">
        <v>18553</v>
      </c>
      <c r="C7362" s="2" t="s">
        <v>88</v>
      </c>
      <c r="D7362" s="2" t="s">
        <v>18</v>
      </c>
      <c r="E7362" s="4">
        <v>-32820</v>
      </c>
      <c r="F7362" s="3" t="s">
        <v>226</v>
      </c>
      <c r="G7362" s="3" t="s">
        <v>356</v>
      </c>
      <c r="H7362" s="2" t="s">
        <v>74</v>
      </c>
      <c r="I7362" s="2" t="s">
        <v>18554</v>
      </c>
      <c r="J7362" s="3" t="str">
        <f>HYPERLINK("https://www.boe.es/gazeta/dias/1810/02/20/pdfs/GMD-1810-51.pdf#page=3","Abrir facsímil")</f>
        <v>Abrir facsímil</v>
      </c>
      <c r="K7362" s="3" t="s">
        <v>76</v>
      </c>
    </row>
    <row r="7363" spans="1:11" ht="42" customHeight="1">
      <c r="A7363" s="2" t="s">
        <v>18555</v>
      </c>
      <c r="B7363" s="2" t="s">
        <v>18555</v>
      </c>
      <c r="C7363" s="2" t="s">
        <v>88</v>
      </c>
      <c r="D7363" s="2" t="s">
        <v>27</v>
      </c>
      <c r="E7363" s="4">
        <v>-32621</v>
      </c>
      <c r="F7363" s="3" t="s">
        <v>1897</v>
      </c>
      <c r="G7363" s="3" t="s">
        <v>213</v>
      </c>
      <c r="H7363" s="2" t="s">
        <v>74</v>
      </c>
      <c r="I7363" s="2" t="s">
        <v>18556</v>
      </c>
      <c r="J7363" s="3" t="str">
        <f>HYPERLINK("https://www.boe.es/gazeta/dias/1810/09/07/pdfs/GMD-1810-250.pdf#page=1","Abrir facsímil")</f>
        <v>Abrir facsímil</v>
      </c>
      <c r="K7363" s="3" t="s">
        <v>76</v>
      </c>
    </row>
    <row r="7364" spans="1:11" ht="42" customHeight="1">
      <c r="A7364" s="2" t="s">
        <v>18557</v>
      </c>
      <c r="B7364" s="2" t="s">
        <v>18557</v>
      </c>
      <c r="C7364" s="2" t="s">
        <v>88</v>
      </c>
      <c r="D7364" s="2" t="s">
        <v>27</v>
      </c>
      <c r="E7364" s="4">
        <v>-32621</v>
      </c>
      <c r="F7364" s="3" t="s">
        <v>1897</v>
      </c>
      <c r="G7364" s="3" t="s">
        <v>213</v>
      </c>
      <c r="H7364" s="2" t="s">
        <v>74</v>
      </c>
      <c r="I7364" s="2" t="s">
        <v>18558</v>
      </c>
      <c r="J7364" s="3" t="str">
        <f>HYPERLINK("https://www.boe.es/gazeta/dias/1810/09/07/pdfs/GMD-1810-250.pdf#page=1","Abrir facsímil")</f>
        <v>Abrir facsímil</v>
      </c>
      <c r="K7364" s="3" t="s">
        <v>76</v>
      </c>
    </row>
    <row r="7365" spans="1:11" ht="42" customHeight="1">
      <c r="A7365" s="2" t="s">
        <v>18559</v>
      </c>
      <c r="B7365" s="2" t="s">
        <v>18559</v>
      </c>
      <c r="C7365" s="2" t="s">
        <v>88</v>
      </c>
      <c r="D7365" s="2" t="s">
        <v>27</v>
      </c>
      <c r="E7365" s="4">
        <v>-32606</v>
      </c>
      <c r="F7365" s="3" t="s">
        <v>1676</v>
      </c>
      <c r="G7365" s="3" t="s">
        <v>180</v>
      </c>
      <c r="H7365" s="2" t="s">
        <v>74</v>
      </c>
      <c r="I7365" s="2" t="s">
        <v>18560</v>
      </c>
      <c r="J7365" s="3" t="str">
        <f>HYPERLINK("https://www.boe.es/gazeta/dias/1810/09/22/pdfs/GMD-1810-265.pdf#page=1","Abrir facsímil")</f>
        <v>Abrir facsímil</v>
      </c>
      <c r="K7365" s="3" t="s">
        <v>76</v>
      </c>
    </row>
    <row r="7366" spans="1:11" ht="42" customHeight="1">
      <c r="A7366" s="2" t="s">
        <v>18561</v>
      </c>
      <c r="B7366" s="2" t="s">
        <v>18561</v>
      </c>
      <c r="C7366" s="2" t="s">
        <v>88</v>
      </c>
      <c r="D7366" s="2" t="s">
        <v>27</v>
      </c>
      <c r="E7366" s="4">
        <v>-32848</v>
      </c>
      <c r="F7366" s="3" t="s">
        <v>8598</v>
      </c>
      <c r="G7366" s="3" t="s">
        <v>29</v>
      </c>
      <c r="H7366" s="2" t="s">
        <v>74</v>
      </c>
      <c r="I7366" s="2" t="s">
        <v>18562</v>
      </c>
      <c r="J7366" s="3" t="str">
        <f>HYPERLINK("https://www.boe.es/gazeta/dias/1810/01/23/pdfs/GMD-1810-23.pdf#page=3","Abrir facsímil")</f>
        <v>Abrir facsímil</v>
      </c>
      <c r="K7366" s="3" t="s">
        <v>76</v>
      </c>
    </row>
    <row r="7367" spans="1:11" ht="42" customHeight="1">
      <c r="A7367" s="2" t="s">
        <v>18563</v>
      </c>
      <c r="B7367" s="2" t="s">
        <v>18564</v>
      </c>
      <c r="C7367" s="2" t="s">
        <v>88</v>
      </c>
      <c r="D7367" s="2" t="s">
        <v>27</v>
      </c>
      <c r="E7367" s="4">
        <v>-32728</v>
      </c>
      <c r="F7367" s="3" t="s">
        <v>269</v>
      </c>
      <c r="G7367" s="3" t="s">
        <v>119</v>
      </c>
      <c r="H7367" s="2" t="s">
        <v>74</v>
      </c>
      <c r="I7367" s="2" t="s">
        <v>18565</v>
      </c>
      <c r="J7367" s="3" t="str">
        <f>HYPERLINK("https://www.boe.es/gazeta/dias/1810/05/23/pdfs/GMD-1810-143.pdf#page=3","Abrir facsímil")</f>
        <v>Abrir facsímil</v>
      </c>
      <c r="K7367" s="3" t="s">
        <v>76</v>
      </c>
    </row>
    <row r="7368" spans="1:11" ht="42" customHeight="1">
      <c r="A7368" s="2" t="s">
        <v>18566</v>
      </c>
      <c r="B7368" s="2" t="s">
        <v>18567</v>
      </c>
      <c r="C7368" s="2" t="s">
        <v>26</v>
      </c>
      <c r="D7368" s="2" t="s">
        <v>27</v>
      </c>
      <c r="E7368" s="4">
        <v>-32743</v>
      </c>
      <c r="F7368" s="3" t="s">
        <v>2265</v>
      </c>
      <c r="G7368" s="3" t="s">
        <v>1540</v>
      </c>
      <c r="H7368" s="2" t="s">
        <v>74</v>
      </c>
      <c r="I7368" s="2" t="s">
        <v>18568</v>
      </c>
      <c r="J7368" s="3" t="str">
        <f>HYPERLINK("https://www.boe.es/gazeta/dias/1810/05/08/pdfs/GEI-1810-22.pdf#page=4","Abrir facsímil")</f>
        <v>Abrir facsímil</v>
      </c>
      <c r="K7368" s="3" t="s">
        <v>76</v>
      </c>
    </row>
    <row r="7369" spans="1:11" ht="42" customHeight="1">
      <c r="A7369" s="2" t="s">
        <v>18569</v>
      </c>
      <c r="B7369" s="2" t="s">
        <v>18569</v>
      </c>
      <c r="C7369" s="2" t="s">
        <v>88</v>
      </c>
      <c r="D7369" s="2" t="s">
        <v>117</v>
      </c>
      <c r="E7369" s="4">
        <v>-32638</v>
      </c>
      <c r="F7369" s="3" t="s">
        <v>489</v>
      </c>
      <c r="G7369" s="3" t="s">
        <v>1590</v>
      </c>
      <c r="H7369" s="2" t="s">
        <v>74</v>
      </c>
      <c r="I7369" s="2" t="s">
        <v>18570</v>
      </c>
      <c r="J7369" s="3" t="str">
        <f>HYPERLINK("https://www.boe.es/gazeta/dias/1810/08/21/pdfs/GMD-1810-233.pdf#page=1","Abrir facsímil")</f>
        <v>Abrir facsímil</v>
      </c>
      <c r="K7369" s="3" t="s">
        <v>76</v>
      </c>
    </row>
    <row r="7370" spans="1:11" ht="42" customHeight="1">
      <c r="A7370" s="2" t="s">
        <v>18571</v>
      </c>
      <c r="B7370" s="2" t="s">
        <v>18572</v>
      </c>
      <c r="C7370" s="2" t="s">
        <v>88</v>
      </c>
      <c r="D7370" s="2" t="s">
        <v>27</v>
      </c>
      <c r="E7370" s="4">
        <v>-32756</v>
      </c>
      <c r="F7370" s="3" t="s">
        <v>203</v>
      </c>
      <c r="G7370" s="3" t="s">
        <v>180</v>
      </c>
      <c r="H7370" s="2" t="s">
        <v>74</v>
      </c>
      <c r="I7370" s="2" t="s">
        <v>18573</v>
      </c>
      <c r="J7370" s="3" t="str">
        <f>HYPERLINK("https://www.boe.es/gazeta/dias/1810/04/25/pdfs/GMD-1810-115.pdf#page=4","Abrir facsímil")</f>
        <v>Abrir facsímil</v>
      </c>
      <c r="K7370" s="3" t="s">
        <v>76</v>
      </c>
    </row>
    <row r="7371" spans="1:11" ht="42" customHeight="1">
      <c r="A7371" s="2" t="s">
        <v>18574</v>
      </c>
      <c r="B7371" s="2" t="s">
        <v>18575</v>
      </c>
      <c r="C7371" s="2" t="s">
        <v>225</v>
      </c>
      <c r="D7371" s="2" t="s">
        <v>27</v>
      </c>
      <c r="E7371" s="4">
        <v>-32757</v>
      </c>
      <c r="F7371" s="3" t="s">
        <v>1136</v>
      </c>
      <c r="G7371" s="3" t="s">
        <v>1901</v>
      </c>
      <c r="H7371" s="2" t="s">
        <v>74</v>
      </c>
      <c r="I7371" s="2" t="s">
        <v>18576</v>
      </c>
      <c r="J7371" s="3" t="str">
        <f>HYPERLINK("https://www.boe.es/gazeta/dias/1810/04/24/pdfs/GEI-1810-17.pdf#page=8","Abrir facsímil")</f>
        <v>Abrir facsímil</v>
      </c>
      <c r="K7371" s="3" t="s">
        <v>76</v>
      </c>
    </row>
    <row r="7372" spans="1:11" ht="42" customHeight="1">
      <c r="A7372" s="2" t="s">
        <v>18577</v>
      </c>
      <c r="B7372" s="2" t="s">
        <v>18578</v>
      </c>
      <c r="C7372" s="2" t="s">
        <v>88</v>
      </c>
      <c r="D7372" s="2" t="s">
        <v>117</v>
      </c>
      <c r="E7372" s="4">
        <v>-32729</v>
      </c>
      <c r="F7372" s="3" t="s">
        <v>174</v>
      </c>
      <c r="G7372" s="3" t="s">
        <v>175</v>
      </c>
      <c r="H7372" s="2" t="s">
        <v>74</v>
      </c>
      <c r="I7372" s="2" t="s">
        <v>18579</v>
      </c>
      <c r="J7372" s="3" t="str">
        <f>HYPERLINK("https://www.boe.es/gazeta/dias/1810/05/22/pdfs/GEI-1810-28.pdf#page=10","Abrir facsímil")</f>
        <v>Abrir facsímil</v>
      </c>
      <c r="K7372" s="3" t="s">
        <v>76</v>
      </c>
    </row>
    <row r="7373" spans="1:11" ht="42" customHeight="1">
      <c r="A7373" s="2" t="s">
        <v>18577</v>
      </c>
      <c r="B7373" s="2" t="s">
        <v>18578</v>
      </c>
      <c r="C7373" s="2" t="s">
        <v>88</v>
      </c>
      <c r="D7373" s="2" t="s">
        <v>117</v>
      </c>
      <c r="E7373" s="4">
        <v>-32684</v>
      </c>
      <c r="F7373" s="3" t="s">
        <v>372</v>
      </c>
      <c r="G7373" s="3" t="s">
        <v>373</v>
      </c>
      <c r="H7373" s="2" t="s">
        <v>74</v>
      </c>
      <c r="I7373" s="2" t="s">
        <v>18580</v>
      </c>
      <c r="J7373" s="3" t="str">
        <f>HYPERLINK("https://www.boe.es/gazeta/dias/1810/07/06/pdfs/GEI-D-1810-42.pdf#page=8","Abrir facsímil")</f>
        <v>Abrir facsímil</v>
      </c>
      <c r="K7373" s="3" t="s">
        <v>76</v>
      </c>
    </row>
    <row r="7374" spans="1:11" ht="42" customHeight="1">
      <c r="A7374" s="2" t="s">
        <v>18581</v>
      </c>
      <c r="B7374" s="2" t="s">
        <v>18582</v>
      </c>
      <c r="C7374" s="2" t="s">
        <v>26</v>
      </c>
      <c r="D7374" s="2" t="s">
        <v>27</v>
      </c>
      <c r="E7374" s="4">
        <v>-32647</v>
      </c>
      <c r="F7374" s="3" t="s">
        <v>118</v>
      </c>
      <c r="G7374" s="3" t="s">
        <v>140</v>
      </c>
      <c r="H7374" s="2" t="s">
        <v>74</v>
      </c>
      <c r="I7374" s="2" t="s">
        <v>18583</v>
      </c>
      <c r="J7374" s="3" t="str">
        <f>HYPERLINK("https://www.boe.es/gazeta/dias/1810/08/12/pdfs/GMD-1810-224.pdf#page=2","Abrir facsímil")</f>
        <v>Abrir facsímil</v>
      </c>
      <c r="K7374" s="3" t="s">
        <v>76</v>
      </c>
    </row>
    <row r="7375" spans="1:11" ht="42" customHeight="1">
      <c r="A7375" s="2" t="s">
        <v>18584</v>
      </c>
      <c r="B7375" s="2" t="s">
        <v>18585</v>
      </c>
      <c r="C7375" s="2" t="s">
        <v>26</v>
      </c>
      <c r="D7375" s="2" t="s">
        <v>27</v>
      </c>
      <c r="E7375" s="4">
        <v>-32710</v>
      </c>
      <c r="F7375" s="3" t="s">
        <v>126</v>
      </c>
      <c r="G7375" s="3" t="s">
        <v>20</v>
      </c>
      <c r="H7375" s="2" t="s">
        <v>74</v>
      </c>
      <c r="I7375" s="2" t="s">
        <v>18586</v>
      </c>
      <c r="J7375" s="3" t="str">
        <f>HYPERLINK("https://www.boe.es/gazeta/dias/1810/06/10/pdfs/GMD-1810-161.pdf#page=4","Abrir facsímil")</f>
        <v>Abrir facsímil</v>
      </c>
      <c r="K7375" s="3" t="s">
        <v>76</v>
      </c>
    </row>
    <row r="7376" spans="1:11" ht="42" customHeight="1">
      <c r="A7376" s="2" t="s">
        <v>18587</v>
      </c>
      <c r="B7376" s="2" t="s">
        <v>18588</v>
      </c>
      <c r="C7376" s="2" t="s">
        <v>26</v>
      </c>
      <c r="D7376" s="2" t="s">
        <v>39</v>
      </c>
      <c r="E7376" s="4">
        <v>-32710</v>
      </c>
      <c r="F7376" s="3" t="s">
        <v>1735</v>
      </c>
      <c r="G7376" s="3" t="s">
        <v>1736</v>
      </c>
      <c r="H7376" s="2" t="s">
        <v>74</v>
      </c>
      <c r="I7376" s="2" t="s">
        <v>18589</v>
      </c>
      <c r="J7376" s="3" t="str">
        <f>HYPERLINK("https://www.boe.es/gazeta/dias/1810/06/10/pdfs/GMD-C-1810-161.pdf#page=2","Abrir facsímil")</f>
        <v>Abrir facsímil</v>
      </c>
      <c r="K7376" s="3" t="s">
        <v>76</v>
      </c>
    </row>
    <row r="7377" spans="1:11" ht="42" customHeight="1">
      <c r="A7377" s="2" t="s">
        <v>18590</v>
      </c>
      <c r="B7377" s="2" t="s">
        <v>18591</v>
      </c>
      <c r="C7377" s="2" t="s">
        <v>26</v>
      </c>
      <c r="D7377" s="2" t="s">
        <v>27</v>
      </c>
      <c r="E7377" s="4">
        <v>-32710</v>
      </c>
      <c r="F7377" s="3" t="s">
        <v>126</v>
      </c>
      <c r="G7377" s="3" t="s">
        <v>184</v>
      </c>
      <c r="H7377" s="2" t="s">
        <v>74</v>
      </c>
      <c r="I7377" s="2" t="s">
        <v>18592</v>
      </c>
      <c r="J7377" s="3" t="str">
        <f>HYPERLINK("https://www.boe.es/gazeta/dias/1810/06/10/pdfs/GMD-1810-161.pdf#page=3","Abrir facsímil")</f>
        <v>Abrir facsímil</v>
      </c>
      <c r="K7377" s="3" t="s">
        <v>76</v>
      </c>
    </row>
    <row r="7378" spans="1:11" ht="42" customHeight="1">
      <c r="A7378" s="2" t="s">
        <v>18593</v>
      </c>
      <c r="B7378" s="2" t="s">
        <v>18594</v>
      </c>
      <c r="C7378" s="2" t="s">
        <v>26</v>
      </c>
      <c r="D7378" s="2" t="s">
        <v>27</v>
      </c>
      <c r="E7378" s="4">
        <v>-32710</v>
      </c>
      <c r="F7378" s="3" t="s">
        <v>126</v>
      </c>
      <c r="G7378" s="3" t="s">
        <v>35</v>
      </c>
      <c r="H7378" s="2" t="s">
        <v>74</v>
      </c>
      <c r="I7378" s="2" t="s">
        <v>18595</v>
      </c>
      <c r="J7378" s="3" t="str">
        <f>HYPERLINK("https://www.boe.es/gazeta/dias/1810/06/10/pdfs/GMD-1810-161.pdf#page=2","Abrir facsímil")</f>
        <v>Abrir facsímil</v>
      </c>
      <c r="K7378" s="3" t="s">
        <v>76</v>
      </c>
    </row>
    <row r="7379" spans="1:11" ht="42" customHeight="1">
      <c r="A7379" s="2" t="s">
        <v>18596</v>
      </c>
      <c r="B7379" s="2" t="s">
        <v>18597</v>
      </c>
      <c r="C7379" s="2" t="s">
        <v>26</v>
      </c>
      <c r="D7379" s="2" t="s">
        <v>27</v>
      </c>
      <c r="E7379" s="4">
        <v>-32710</v>
      </c>
      <c r="F7379" s="3" t="s">
        <v>126</v>
      </c>
      <c r="G7379" s="3" t="s">
        <v>35</v>
      </c>
      <c r="H7379" s="2" t="s">
        <v>74</v>
      </c>
      <c r="I7379" s="2" t="s">
        <v>18598</v>
      </c>
      <c r="J7379" s="3" t="str">
        <f>HYPERLINK("https://www.boe.es/gazeta/dias/1810/06/10/pdfs/GMD-1810-161.pdf#page=2","Abrir facsímil")</f>
        <v>Abrir facsímil</v>
      </c>
      <c r="K7379" s="3" t="s">
        <v>76</v>
      </c>
    </row>
    <row r="7380" spans="1:11" ht="42" customHeight="1">
      <c r="A7380" s="2" t="s">
        <v>18599</v>
      </c>
      <c r="B7380" s="2" t="s">
        <v>18600</v>
      </c>
      <c r="C7380" s="2" t="s">
        <v>26</v>
      </c>
      <c r="D7380" s="2" t="s">
        <v>39</v>
      </c>
      <c r="E7380" s="4">
        <v>-32710</v>
      </c>
      <c r="F7380" s="3" t="s">
        <v>1735</v>
      </c>
      <c r="G7380" s="3" t="s">
        <v>1736</v>
      </c>
      <c r="H7380" s="2" t="s">
        <v>74</v>
      </c>
      <c r="I7380" s="2" t="s">
        <v>18601</v>
      </c>
      <c r="J7380" s="3" t="str">
        <f>HYPERLINK("https://www.boe.es/gazeta/dias/1810/06/10/pdfs/GMD-C-1810-161.pdf#page=2","Abrir facsímil")</f>
        <v>Abrir facsímil</v>
      </c>
      <c r="K7380" s="3" t="s">
        <v>76</v>
      </c>
    </row>
    <row r="7381" spans="1:11" ht="42" customHeight="1">
      <c r="A7381" s="2" t="s">
        <v>18602</v>
      </c>
      <c r="B7381" s="2" t="s">
        <v>18603</v>
      </c>
      <c r="C7381" s="2" t="s">
        <v>88</v>
      </c>
      <c r="D7381" s="2" t="s">
        <v>220</v>
      </c>
      <c r="E7381" s="4">
        <v>-32763</v>
      </c>
      <c r="F7381" s="3" t="s">
        <v>1146</v>
      </c>
      <c r="G7381" s="3" t="s">
        <v>140</v>
      </c>
      <c r="H7381" s="2" t="s">
        <v>74</v>
      </c>
      <c r="I7381" s="2" t="s">
        <v>18604</v>
      </c>
      <c r="J7381" s="3" t="str">
        <f>HYPERLINK("https://www.boe.es/gazeta/dias/1810/04/18/pdfs/GMD-1810-108.pdf#page=3","Abrir facsímil")</f>
        <v>Abrir facsímil</v>
      </c>
      <c r="K7381" s="3" t="s">
        <v>76</v>
      </c>
    </row>
    <row r="7382" spans="1:11" ht="42" customHeight="1">
      <c r="A7382" s="2" t="s">
        <v>18605</v>
      </c>
      <c r="B7382" s="2" t="s">
        <v>18606</v>
      </c>
      <c r="C7382" s="2" t="s">
        <v>88</v>
      </c>
      <c r="D7382" s="2" t="s">
        <v>117</v>
      </c>
      <c r="E7382" s="4">
        <v>-32704</v>
      </c>
      <c r="F7382" s="3" t="s">
        <v>94</v>
      </c>
      <c r="G7382" s="3" t="s">
        <v>20</v>
      </c>
      <c r="H7382" s="2" t="s">
        <v>74</v>
      </c>
      <c r="I7382" s="2" t="s">
        <v>18607</v>
      </c>
      <c r="J7382" s="3" t="str">
        <f>HYPERLINK("https://www.boe.es/gazeta/dias/1810/06/16/pdfs/GMD-1810-167.pdf#page=4","Abrir facsímil")</f>
        <v>Abrir facsímil</v>
      </c>
      <c r="K7382" s="3" t="s">
        <v>76</v>
      </c>
    </row>
    <row r="7383" spans="1:11" ht="42" customHeight="1">
      <c r="A7383" s="2" t="s">
        <v>18608</v>
      </c>
      <c r="B7383" s="2" t="s">
        <v>18609</v>
      </c>
      <c r="C7383" s="2" t="s">
        <v>225</v>
      </c>
      <c r="D7383" s="2" t="s">
        <v>117</v>
      </c>
      <c r="E7383" s="4">
        <v>-32729</v>
      </c>
      <c r="F7383" s="3" t="s">
        <v>174</v>
      </c>
      <c r="G7383" s="3" t="s">
        <v>70</v>
      </c>
      <c r="H7383" s="2" t="s">
        <v>74</v>
      </c>
      <c r="I7383" s="2" t="s">
        <v>18610</v>
      </c>
      <c r="J7383" s="3" t="str">
        <f>HYPERLINK("https://www.boe.es/gazeta/dias/1810/05/22/pdfs/GEI-1810-28.pdf#page=7","Abrir facsímil")</f>
        <v>Abrir facsímil</v>
      </c>
      <c r="K7383" s="3" t="s">
        <v>76</v>
      </c>
    </row>
    <row r="7384" spans="1:11" ht="42" customHeight="1">
      <c r="A7384" s="2" t="s">
        <v>18611</v>
      </c>
      <c r="B7384" s="2" t="s">
        <v>18612</v>
      </c>
      <c r="C7384" s="2" t="s">
        <v>225</v>
      </c>
      <c r="D7384" s="2" t="s">
        <v>117</v>
      </c>
      <c r="E7384" s="4">
        <v>-32697</v>
      </c>
      <c r="F7384" s="3" t="s">
        <v>1859</v>
      </c>
      <c r="G7384" s="3" t="s">
        <v>70</v>
      </c>
      <c r="H7384" s="2" t="s">
        <v>74</v>
      </c>
      <c r="I7384" s="2" t="s">
        <v>18613</v>
      </c>
      <c r="J7384" s="3" t="str">
        <f>HYPERLINK("https://www.boe.es/gazeta/dias/1810/06/23/pdfs/GMD-1810-174.pdf#page=4","Abrir facsímil")</f>
        <v>Abrir facsímil</v>
      </c>
      <c r="K7384" s="3" t="s">
        <v>76</v>
      </c>
    </row>
    <row r="7385" spans="1:11" ht="42" customHeight="1">
      <c r="A7385" s="2" t="s">
        <v>18614</v>
      </c>
      <c r="B7385" s="2" t="s">
        <v>18615</v>
      </c>
      <c r="C7385" s="2" t="s">
        <v>88</v>
      </c>
      <c r="D7385" s="2" t="s">
        <v>27</v>
      </c>
      <c r="E7385" s="4">
        <v>-32533</v>
      </c>
      <c r="F7385" s="3" t="s">
        <v>1357</v>
      </c>
      <c r="G7385" s="3" t="s">
        <v>701</v>
      </c>
      <c r="H7385" s="2" t="s">
        <v>74</v>
      </c>
      <c r="I7385" s="2" t="s">
        <v>18616</v>
      </c>
      <c r="J7385" s="3" t="str">
        <f>HYPERLINK("https://www.boe.es/gazeta/dias/1810/12/04/pdfs/GEI-1810-103.pdf#page=8","Abrir facsímil")</f>
        <v>Abrir facsímil</v>
      </c>
      <c r="K7385" s="3" t="s">
        <v>76</v>
      </c>
    </row>
    <row r="7386" spans="1:11" ht="42" customHeight="1">
      <c r="A7386" s="2" t="s">
        <v>18617</v>
      </c>
      <c r="B7386" s="2" t="s">
        <v>18617</v>
      </c>
      <c r="C7386" s="2" t="s">
        <v>111</v>
      </c>
      <c r="D7386" s="2" t="s">
        <v>27</v>
      </c>
      <c r="E7386" s="4">
        <v>-32769</v>
      </c>
      <c r="F7386" s="3" t="s">
        <v>1543</v>
      </c>
      <c r="G7386" s="3" t="s">
        <v>2861</v>
      </c>
      <c r="H7386" s="2" t="s">
        <v>74</v>
      </c>
      <c r="I7386" s="2" t="s">
        <v>18618</v>
      </c>
      <c r="J7386" s="3" t="str">
        <f>HYPERLINK("https://www.boe.es/gazeta/dias/1810/04/12/pdfs/GMD-1810-102.pdf#page=3","Abrir facsímil")</f>
        <v>Abrir facsímil</v>
      </c>
      <c r="K7386" s="3" t="s">
        <v>76</v>
      </c>
    </row>
    <row r="7387" spans="1:11" ht="42" customHeight="1">
      <c r="A7387" s="2" t="s">
        <v>18619</v>
      </c>
      <c r="B7387" s="2" t="s">
        <v>18619</v>
      </c>
      <c r="C7387" s="2" t="s">
        <v>88</v>
      </c>
      <c r="D7387" s="2" t="s">
        <v>27</v>
      </c>
      <c r="E7387" s="4">
        <v>-32723</v>
      </c>
      <c r="F7387" s="3" t="s">
        <v>464</v>
      </c>
      <c r="G7387" s="3" t="s">
        <v>113</v>
      </c>
      <c r="H7387" s="2" t="s">
        <v>74</v>
      </c>
      <c r="I7387" s="2" t="s">
        <v>18620</v>
      </c>
      <c r="J7387" s="3" t="str">
        <f>HYPERLINK("https://www.boe.es/gazeta/dias/1810/05/28/pdfs/GMD-1810-148.pdf#page=2","Abrir facsímil")</f>
        <v>Abrir facsímil</v>
      </c>
      <c r="K7387" s="3" t="s">
        <v>76</v>
      </c>
    </row>
    <row r="7388" spans="1:11" ht="42" customHeight="1">
      <c r="A7388" s="2" t="s">
        <v>18621</v>
      </c>
      <c r="B7388" s="2" t="s">
        <v>18621</v>
      </c>
      <c r="C7388" s="2" t="s">
        <v>88</v>
      </c>
      <c r="D7388" s="2" t="s">
        <v>27</v>
      </c>
      <c r="E7388" s="4">
        <v>-32796</v>
      </c>
      <c r="F7388" s="3" t="s">
        <v>1129</v>
      </c>
      <c r="G7388" s="3" t="s">
        <v>119</v>
      </c>
      <c r="H7388" s="2" t="s">
        <v>74</v>
      </c>
      <c r="I7388" s="2" t="s">
        <v>18622</v>
      </c>
      <c r="J7388" s="3" t="str">
        <f>HYPERLINK("https://www.boe.es/gazeta/dias/1810/03/16/pdfs/GMD-1810-75.pdf#page=1","Abrir facsímil")</f>
        <v>Abrir facsímil</v>
      </c>
      <c r="K7388" s="3" t="s">
        <v>76</v>
      </c>
    </row>
    <row r="7389" spans="1:11" ht="42" customHeight="1">
      <c r="A7389" s="2" t="s">
        <v>18623</v>
      </c>
      <c r="B7389" s="2" t="s">
        <v>18623</v>
      </c>
      <c r="C7389" s="2" t="s">
        <v>88</v>
      </c>
      <c r="D7389" s="2" t="s">
        <v>27</v>
      </c>
      <c r="E7389" s="4">
        <v>-32765</v>
      </c>
      <c r="F7389" s="3" t="s">
        <v>1842</v>
      </c>
      <c r="G7389" s="3" t="s">
        <v>1843</v>
      </c>
      <c r="H7389" s="2" t="s">
        <v>74</v>
      </c>
      <c r="I7389" s="2" t="s">
        <v>18624</v>
      </c>
      <c r="J7389" s="3" t="str">
        <f>HYPERLINK("https://www.boe.es/gazeta/dias/1810/04/16/pdfs/GMD-1810-106.pdf#page=1","Abrir facsímil")</f>
        <v>Abrir facsímil</v>
      </c>
      <c r="K7389" s="3" t="s">
        <v>76</v>
      </c>
    </row>
    <row r="7390" spans="1:11" ht="42" customHeight="1">
      <c r="A7390" s="2" t="s">
        <v>18625</v>
      </c>
      <c r="B7390" s="2" t="s">
        <v>18625</v>
      </c>
      <c r="C7390" s="2" t="s">
        <v>88</v>
      </c>
      <c r="D7390" s="2" t="s">
        <v>117</v>
      </c>
      <c r="E7390" s="4">
        <v>-32768</v>
      </c>
      <c r="F7390" s="3" t="s">
        <v>1930</v>
      </c>
      <c r="G7390" s="3" t="s">
        <v>18626</v>
      </c>
      <c r="H7390" s="2" t="s">
        <v>74</v>
      </c>
      <c r="I7390" s="2" t="s">
        <v>18627</v>
      </c>
      <c r="J7390" s="3" t="str">
        <f>HYPERLINK("https://www.boe.es/gazeta/dias/1810/04/13/pdfs/GEI-1810-14.pdf#page=7","Abrir facsímil")</f>
        <v>Abrir facsímil</v>
      </c>
      <c r="K7390" s="3" t="s">
        <v>76</v>
      </c>
    </row>
    <row r="7391" spans="1:11" ht="42" customHeight="1">
      <c r="A7391" s="2" t="s">
        <v>18628</v>
      </c>
      <c r="B7391" s="2" t="s">
        <v>18628</v>
      </c>
      <c r="C7391" s="2" t="s">
        <v>88</v>
      </c>
      <c r="D7391" s="2" t="s">
        <v>117</v>
      </c>
      <c r="E7391" s="4">
        <v>-32507</v>
      </c>
      <c r="F7391" s="3" t="s">
        <v>11205</v>
      </c>
      <c r="G7391" s="3" t="s">
        <v>140</v>
      </c>
      <c r="H7391" s="2" t="s">
        <v>74</v>
      </c>
      <c r="I7391" s="2" t="s">
        <v>18629</v>
      </c>
      <c r="J7391" s="3" t="str">
        <f>HYPERLINK("https://www.boe.es/gazeta/dias/1810/12/30/pdfs/GMD-1810-364.pdf#page=3","Abrir facsímil")</f>
        <v>Abrir facsímil</v>
      </c>
      <c r="K7391" s="3" t="s">
        <v>76</v>
      </c>
    </row>
    <row r="7392" spans="1:11" ht="42" customHeight="1">
      <c r="A7392" s="2" t="s">
        <v>18630</v>
      </c>
      <c r="B7392" s="2" t="s">
        <v>18631</v>
      </c>
      <c r="C7392" s="2" t="s">
        <v>26</v>
      </c>
      <c r="D7392" s="2" t="s">
        <v>39</v>
      </c>
      <c r="E7392" s="4">
        <v>-32702</v>
      </c>
      <c r="F7392" s="3" t="s">
        <v>179</v>
      </c>
      <c r="G7392" s="3" t="s">
        <v>119</v>
      </c>
      <c r="H7392" s="2" t="s">
        <v>74</v>
      </c>
      <c r="I7392" s="2" t="s">
        <v>18632</v>
      </c>
      <c r="J7392" s="3" t="str">
        <f>HYPERLINK("https://www.boe.es/gazeta/dias/1810/06/18/pdfs/GMD-C-1810-169.pdf#page=1","Abrir facsímil")</f>
        <v>Abrir facsímil</v>
      </c>
      <c r="K7392" s="3" t="s">
        <v>76</v>
      </c>
    </row>
    <row r="7393" spans="1:11" ht="42" customHeight="1">
      <c r="A7393" s="2" t="s">
        <v>18633</v>
      </c>
      <c r="B7393" s="2" t="s">
        <v>18634</v>
      </c>
      <c r="C7393" s="2" t="s">
        <v>26</v>
      </c>
      <c r="D7393" s="2" t="s">
        <v>27</v>
      </c>
      <c r="E7393" s="4">
        <v>-32761</v>
      </c>
      <c r="F7393" s="3" t="s">
        <v>811</v>
      </c>
      <c r="G7393" s="3" t="s">
        <v>140</v>
      </c>
      <c r="H7393" s="2" t="s">
        <v>74</v>
      </c>
      <c r="I7393" s="2" t="s">
        <v>18635</v>
      </c>
      <c r="J7393" s="3" t="str">
        <f>HYPERLINK("https://www.boe.es/gazeta/dias/1810/04/20/pdfs/GEI-1810-16.pdf#page=8","Abrir facsímil")</f>
        <v>Abrir facsímil</v>
      </c>
      <c r="K7393" s="3" t="s">
        <v>76</v>
      </c>
    </row>
    <row r="7394" spans="1:11" ht="42" customHeight="1">
      <c r="A7394" s="2" t="s">
        <v>18636</v>
      </c>
      <c r="B7394" s="2" t="s">
        <v>18637</v>
      </c>
      <c r="C7394" s="2" t="s">
        <v>26</v>
      </c>
      <c r="D7394" s="2" t="s">
        <v>220</v>
      </c>
      <c r="E7394" s="4">
        <v>-32827</v>
      </c>
      <c r="F7394" s="3" t="s">
        <v>290</v>
      </c>
      <c r="G7394" s="3" t="s">
        <v>291</v>
      </c>
      <c r="H7394" s="2" t="s">
        <v>74</v>
      </c>
      <c r="I7394" s="2" t="s">
        <v>18638</v>
      </c>
      <c r="J7394" s="3" t="str">
        <f>HYPERLINK("https://www.boe.es/gazeta/dias/1810/02/13/pdfs/GMD-1810-44.pdf#page=4","Abrir facsímil")</f>
        <v>Abrir facsímil</v>
      </c>
      <c r="K7394" s="3" t="s">
        <v>76</v>
      </c>
    </row>
    <row r="7395" spans="1:11" ht="42" customHeight="1">
      <c r="A7395" s="2" t="s">
        <v>18639</v>
      </c>
      <c r="B7395" s="2" t="s">
        <v>18639</v>
      </c>
      <c r="C7395" s="2" t="s">
        <v>88</v>
      </c>
      <c r="D7395" s="2" t="s">
        <v>27</v>
      </c>
      <c r="E7395" s="4">
        <v>-32687</v>
      </c>
      <c r="F7395" s="3" t="s">
        <v>221</v>
      </c>
      <c r="G7395" s="3" t="s">
        <v>4739</v>
      </c>
      <c r="H7395" s="2" t="s">
        <v>74</v>
      </c>
      <c r="I7395" s="2" t="s">
        <v>18640</v>
      </c>
      <c r="J7395" s="3" t="str">
        <f>HYPERLINK("https://www.boe.es/gazeta/dias/1810/07/03/pdfs/GMD-1810-184.pdf#page=3","Abrir facsímil")</f>
        <v>Abrir facsímil</v>
      </c>
      <c r="K7395" s="3" t="s">
        <v>76</v>
      </c>
    </row>
    <row r="7396" spans="1:11" ht="42" customHeight="1">
      <c r="A7396" s="2" t="s">
        <v>18641</v>
      </c>
      <c r="B7396" s="2" t="s">
        <v>18641</v>
      </c>
      <c r="C7396" s="2" t="s">
        <v>88</v>
      </c>
      <c r="D7396" s="2" t="s">
        <v>117</v>
      </c>
      <c r="E7396" s="4">
        <v>-32568</v>
      </c>
      <c r="F7396" s="3" t="s">
        <v>1233</v>
      </c>
      <c r="G7396" s="3" t="s">
        <v>2902</v>
      </c>
      <c r="H7396" s="2" t="s">
        <v>74</v>
      </c>
      <c r="I7396" s="2" t="s">
        <v>18642</v>
      </c>
      <c r="J7396" s="3" t="str">
        <f>HYPERLINK("https://www.boe.es/gazeta/dias/1810/10/30/pdfs/GMD-1810-303.pdf#page=1","Abrir facsímil")</f>
        <v>Abrir facsímil</v>
      </c>
      <c r="K7396" s="3" t="s">
        <v>76</v>
      </c>
    </row>
    <row r="7397" spans="1:11" ht="42" customHeight="1">
      <c r="A7397" s="2" t="s">
        <v>18643</v>
      </c>
      <c r="B7397" s="2" t="s">
        <v>18643</v>
      </c>
      <c r="C7397" s="2" t="s">
        <v>88</v>
      </c>
      <c r="D7397" s="2" t="s">
        <v>27</v>
      </c>
      <c r="E7397" s="4">
        <v>-32621</v>
      </c>
      <c r="F7397" s="3" t="s">
        <v>674</v>
      </c>
      <c r="G7397" s="3" t="s">
        <v>20</v>
      </c>
      <c r="H7397" s="2" t="s">
        <v>74</v>
      </c>
      <c r="I7397" s="2" t="s">
        <v>18644</v>
      </c>
      <c r="J7397" s="3" t="str">
        <f>HYPERLINK("https://www.boe.es/gazeta/dias/1810/09/07/pdfs/GEI-1810-65.pdf#page=4","Abrir facsímil")</f>
        <v>Abrir facsímil</v>
      </c>
      <c r="K7397" s="3" t="s">
        <v>76</v>
      </c>
    </row>
    <row r="7398" spans="1:11" ht="42" customHeight="1">
      <c r="A7398" s="2" t="s">
        <v>18645</v>
      </c>
      <c r="B7398" s="2" t="s">
        <v>18645</v>
      </c>
      <c r="C7398" s="2" t="s">
        <v>26</v>
      </c>
      <c r="D7398" s="2" t="s">
        <v>27</v>
      </c>
      <c r="E7398" s="4">
        <v>-32744</v>
      </c>
      <c r="F7398" s="3" t="s">
        <v>1570</v>
      </c>
      <c r="G7398" s="3" t="s">
        <v>136</v>
      </c>
      <c r="H7398" s="2" t="s">
        <v>74</v>
      </c>
      <c r="I7398" s="2" t="s">
        <v>18646</v>
      </c>
      <c r="J7398" s="3" t="str">
        <f>HYPERLINK("https://www.boe.es/gazeta/dias/1810/05/07/pdfs/GMD-1810-127.pdf#page=4","Abrir facsímil")</f>
        <v>Abrir facsímil</v>
      </c>
      <c r="K7398" s="3" t="s">
        <v>76</v>
      </c>
    </row>
    <row r="7399" spans="1:11" ht="42" customHeight="1">
      <c r="A7399" s="2" t="s">
        <v>18647</v>
      </c>
      <c r="B7399" s="2" t="s">
        <v>18648</v>
      </c>
      <c r="C7399" s="2" t="s">
        <v>26</v>
      </c>
      <c r="D7399" s="2" t="s">
        <v>39</v>
      </c>
      <c r="E7399" s="4">
        <v>-32670</v>
      </c>
      <c r="F7399" s="3" t="s">
        <v>2457</v>
      </c>
      <c r="G7399" s="3" t="s">
        <v>473</v>
      </c>
      <c r="H7399" s="2" t="s">
        <v>74</v>
      </c>
      <c r="I7399" s="2" t="s">
        <v>18649</v>
      </c>
      <c r="J7399" s="3" t="str">
        <f>HYPERLINK("https://www.boe.es/gazeta/dias/1810/07/20/pdfs/GMD-C-1810-201.pdf#page=4","Abrir facsímil")</f>
        <v>Abrir facsímil</v>
      </c>
      <c r="K7399" s="3" t="s">
        <v>76</v>
      </c>
    </row>
    <row r="7400" spans="1:11" ht="42" customHeight="1">
      <c r="A7400" s="2" t="s">
        <v>18650</v>
      </c>
      <c r="B7400" s="2" t="s">
        <v>18651</v>
      </c>
      <c r="C7400" s="2" t="s">
        <v>17</v>
      </c>
      <c r="D7400" s="2" t="s">
        <v>27</v>
      </c>
      <c r="E7400" s="4">
        <v>-32827</v>
      </c>
      <c r="F7400" s="3" t="s">
        <v>290</v>
      </c>
      <c r="G7400" s="3" t="s">
        <v>291</v>
      </c>
      <c r="H7400" s="2" t="s">
        <v>74</v>
      </c>
      <c r="I7400" s="2" t="s">
        <v>18652</v>
      </c>
      <c r="J7400" s="3" t="str">
        <f>HYPERLINK("https://www.boe.es/gazeta/dias/1810/02/13/pdfs/GMD-1810-44.pdf#page=4","Abrir facsímil")</f>
        <v>Abrir facsímil</v>
      </c>
      <c r="K7400" s="3" t="s">
        <v>76</v>
      </c>
    </row>
    <row r="7401" spans="1:11" ht="42" customHeight="1">
      <c r="A7401" s="2" t="s">
        <v>18653</v>
      </c>
      <c r="B7401" s="2" t="s">
        <v>18653</v>
      </c>
      <c r="C7401" s="2" t="s">
        <v>26</v>
      </c>
      <c r="D7401" s="2" t="s">
        <v>39</v>
      </c>
      <c r="E7401" s="4">
        <v>-32698</v>
      </c>
      <c r="F7401" s="3" t="s">
        <v>2657</v>
      </c>
      <c r="G7401" s="3" t="s">
        <v>3327</v>
      </c>
      <c r="H7401" s="2" t="s">
        <v>74</v>
      </c>
      <c r="I7401" s="2" t="s">
        <v>18654</v>
      </c>
      <c r="J7401" s="3" t="str">
        <f>HYPERLINK("https://www.boe.es/gazeta/dias/1810/06/22/pdfs/GEI-D-1810-38.pdf#page=2","Abrir facsímil")</f>
        <v>Abrir facsímil</v>
      </c>
      <c r="K7401" s="3" t="s">
        <v>76</v>
      </c>
    </row>
    <row r="7402" spans="1:11" ht="42" customHeight="1">
      <c r="A7402" s="2" t="s">
        <v>18655</v>
      </c>
      <c r="B7402" s="2" t="s">
        <v>18656</v>
      </c>
      <c r="C7402" s="2" t="s">
        <v>26</v>
      </c>
      <c r="D7402" s="2" t="s">
        <v>27</v>
      </c>
      <c r="E7402" s="4">
        <v>-32549</v>
      </c>
      <c r="F7402" s="3" t="s">
        <v>1237</v>
      </c>
      <c r="G7402" s="3" t="s">
        <v>493</v>
      </c>
      <c r="H7402" s="2" t="s">
        <v>74</v>
      </c>
      <c r="I7402" s="2" t="s">
        <v>18657</v>
      </c>
      <c r="J7402" s="3" t="str">
        <f>HYPERLINK("https://www.boe.es/gazeta/dias/1810/11/18/pdfs/GMD-1810-322.pdf#page=2","Abrir facsímil")</f>
        <v>Abrir facsímil</v>
      </c>
      <c r="K7402" s="3" t="s">
        <v>76</v>
      </c>
    </row>
    <row r="7403" spans="1:11" ht="42" customHeight="1">
      <c r="A7403" s="2" t="s">
        <v>18658</v>
      </c>
      <c r="B7403" s="2" t="s">
        <v>18659</v>
      </c>
      <c r="C7403" s="2" t="s">
        <v>26</v>
      </c>
      <c r="D7403" s="2" t="s">
        <v>27</v>
      </c>
      <c r="E7403" s="4">
        <v>-32543</v>
      </c>
      <c r="F7403" s="3" t="s">
        <v>69</v>
      </c>
      <c r="G7403" s="3" t="s">
        <v>84</v>
      </c>
      <c r="H7403" s="2" t="s">
        <v>74</v>
      </c>
      <c r="I7403" s="2" t="s">
        <v>18660</v>
      </c>
      <c r="J7403" s="3" t="str">
        <f>HYPERLINK("https://www.boe.es/gazeta/dias/1810/11/24/pdfs/GEI-1810-99.pdf#page=7","Abrir facsímil")</f>
        <v>Abrir facsímil</v>
      </c>
      <c r="K7403" s="3" t="s">
        <v>76</v>
      </c>
    </row>
    <row r="7404" spans="1:11" ht="42" customHeight="1">
      <c r="A7404" s="2" t="s">
        <v>18661</v>
      </c>
      <c r="B7404" s="2" t="s">
        <v>18662</v>
      </c>
      <c r="C7404" s="2" t="s">
        <v>111</v>
      </c>
      <c r="D7404" s="2" t="s">
        <v>18</v>
      </c>
      <c r="E7404" s="4">
        <v>-32603</v>
      </c>
      <c r="F7404" s="3" t="s">
        <v>2163</v>
      </c>
      <c r="G7404" s="3" t="s">
        <v>29</v>
      </c>
      <c r="H7404" s="2" t="s">
        <v>74</v>
      </c>
      <c r="I7404" s="2" t="s">
        <v>18663</v>
      </c>
      <c r="J7404" s="3" t="str">
        <f>HYPERLINK("https://www.boe.es/gazeta/dias/1810/09/25/pdfs/GEI-1810-72.pdf#page=8","Abrir facsímil")</f>
        <v>Abrir facsímil</v>
      </c>
      <c r="K7404" s="3" t="s">
        <v>76</v>
      </c>
    </row>
    <row r="7405" spans="1:11" ht="42" customHeight="1">
      <c r="A7405" s="2" t="s">
        <v>18664</v>
      </c>
      <c r="B7405" s="2" t="s">
        <v>18665</v>
      </c>
      <c r="C7405" s="2" t="s">
        <v>88</v>
      </c>
      <c r="D7405" s="2" t="s">
        <v>39</v>
      </c>
      <c r="E7405" s="4">
        <v>-32677</v>
      </c>
      <c r="F7405" s="3" t="s">
        <v>549</v>
      </c>
      <c r="G7405" s="3" t="s">
        <v>18666</v>
      </c>
      <c r="H7405" s="2" t="s">
        <v>74</v>
      </c>
      <c r="I7405" s="2" t="s">
        <v>18667</v>
      </c>
      <c r="J7405" s="3" t="str">
        <f>HYPERLINK("https://www.boe.es/gazeta/dias/1810/07/13/pdfs/GEI-D-1810-44.pdf#page=1","Abrir facsímil")</f>
        <v>Abrir facsímil</v>
      </c>
      <c r="K7405" s="3" t="s">
        <v>76</v>
      </c>
    </row>
    <row r="7406" spans="1:11" ht="42" customHeight="1">
      <c r="A7406" s="2" t="s">
        <v>18668</v>
      </c>
      <c r="B7406" s="2" t="s">
        <v>18669</v>
      </c>
      <c r="C7406" s="2" t="s">
        <v>88</v>
      </c>
      <c r="D7406" s="2" t="s">
        <v>27</v>
      </c>
      <c r="E7406" s="4">
        <v>-32510</v>
      </c>
      <c r="F7406" s="3" t="s">
        <v>1955</v>
      </c>
      <c r="G7406" s="3" t="s">
        <v>140</v>
      </c>
      <c r="H7406" s="2" t="s">
        <v>74</v>
      </c>
      <c r="I7406" s="2" t="s">
        <v>18670</v>
      </c>
      <c r="J7406" s="3" t="str">
        <f>HYPERLINK("https://www.boe.es/gazeta/dias/1810/12/27/pdfs/GEI-1810-113.pdf#page=8","Abrir facsímil")</f>
        <v>Abrir facsímil</v>
      </c>
      <c r="K7406" s="3" t="s">
        <v>76</v>
      </c>
    </row>
    <row r="7407" spans="1:11" ht="42" customHeight="1">
      <c r="A7407" s="2" t="s">
        <v>18671</v>
      </c>
      <c r="B7407" s="2" t="s">
        <v>18672</v>
      </c>
      <c r="C7407" s="2" t="s">
        <v>88</v>
      </c>
      <c r="D7407" s="2" t="s">
        <v>27</v>
      </c>
      <c r="E7407" s="4">
        <v>-32608</v>
      </c>
      <c r="F7407" s="3" t="s">
        <v>781</v>
      </c>
      <c r="G7407" s="3" t="s">
        <v>782</v>
      </c>
      <c r="H7407" s="2" t="s">
        <v>74</v>
      </c>
      <c r="I7407" s="2" t="s">
        <v>18673</v>
      </c>
      <c r="J7407" s="3" t="str">
        <f>HYPERLINK("https://www.boe.es/gazeta/dias/1810/09/20/pdfs/GEI-1810-70.pdf#page=5","Abrir facsímil")</f>
        <v>Abrir facsímil</v>
      </c>
      <c r="K7407" s="3" t="s">
        <v>76</v>
      </c>
    </row>
    <row r="7408" spans="1:11" ht="42" customHeight="1">
      <c r="A7408" s="2" t="s">
        <v>18674</v>
      </c>
      <c r="B7408" s="2" t="s">
        <v>18675</v>
      </c>
      <c r="C7408" s="2" t="s">
        <v>88</v>
      </c>
      <c r="D7408" s="2" t="s">
        <v>117</v>
      </c>
      <c r="E7408" s="4">
        <v>-32783</v>
      </c>
      <c r="F7408" s="3" t="s">
        <v>896</v>
      </c>
      <c r="G7408" s="3" t="s">
        <v>20</v>
      </c>
      <c r="H7408" s="2" t="s">
        <v>74</v>
      </c>
      <c r="I7408" s="2" t="s">
        <v>18676</v>
      </c>
      <c r="J7408" s="3" t="str">
        <f>HYPERLINK("https://www.boe.es/gazeta/dias/1810/03/29/pdfs/GMD-1810-88.pdf#page=4","Abrir facsímil")</f>
        <v>Abrir facsímil</v>
      </c>
      <c r="K7408" s="3" t="s">
        <v>76</v>
      </c>
    </row>
    <row r="7409" spans="1:11" ht="42" customHeight="1">
      <c r="A7409" s="2" t="s">
        <v>18677</v>
      </c>
      <c r="B7409" s="2" t="s">
        <v>18678</v>
      </c>
      <c r="C7409" s="2" t="s">
        <v>88</v>
      </c>
      <c r="D7409" s="2" t="s">
        <v>27</v>
      </c>
      <c r="E7409" s="4">
        <v>-32764</v>
      </c>
      <c r="F7409" s="3" t="s">
        <v>640</v>
      </c>
      <c r="G7409" s="3" t="s">
        <v>641</v>
      </c>
      <c r="H7409" s="2" t="s">
        <v>74</v>
      </c>
      <c r="I7409" s="2" t="s">
        <v>18679</v>
      </c>
      <c r="J7409" s="3" t="str">
        <f>HYPERLINK("https://www.boe.es/gazeta/dias/1810/04/17/pdfs/GEI-1810-15.pdf#page=8","Abrir facsímil")</f>
        <v>Abrir facsímil</v>
      </c>
      <c r="K7409" s="3" t="s">
        <v>76</v>
      </c>
    </row>
    <row r="7410" spans="1:11" ht="42" customHeight="1">
      <c r="A7410" s="2" t="s">
        <v>18680</v>
      </c>
      <c r="B7410" s="2" t="s">
        <v>18681</v>
      </c>
      <c r="C7410" s="2" t="s">
        <v>26</v>
      </c>
      <c r="D7410" s="2" t="s">
        <v>39</v>
      </c>
      <c r="E7410" s="4">
        <v>-32702</v>
      </c>
      <c r="F7410" s="3" t="s">
        <v>179</v>
      </c>
      <c r="G7410" s="3" t="s">
        <v>180</v>
      </c>
      <c r="H7410" s="2" t="s">
        <v>74</v>
      </c>
      <c r="I7410" s="2" t="s">
        <v>18682</v>
      </c>
      <c r="J7410" s="3" t="str">
        <f>HYPERLINK("https://www.boe.es/gazeta/dias/1810/06/18/pdfs/GMD-C-1810-169.pdf#page=2","Abrir facsímil")</f>
        <v>Abrir facsímil</v>
      </c>
      <c r="K7410" s="3" t="s">
        <v>76</v>
      </c>
    </row>
    <row r="7411" spans="1:11" ht="42" customHeight="1">
      <c r="A7411" s="2" t="s">
        <v>18683</v>
      </c>
      <c r="B7411" s="2" t="s">
        <v>18684</v>
      </c>
      <c r="C7411" s="2" t="s">
        <v>26</v>
      </c>
      <c r="D7411" s="2" t="s">
        <v>39</v>
      </c>
      <c r="E7411" s="4">
        <v>-32670</v>
      </c>
      <c r="F7411" s="3" t="s">
        <v>2457</v>
      </c>
      <c r="G7411" s="3" t="s">
        <v>1464</v>
      </c>
      <c r="H7411" s="2" t="s">
        <v>74</v>
      </c>
      <c r="I7411" s="2" t="s">
        <v>18685</v>
      </c>
      <c r="J7411" s="3" t="str">
        <f>HYPERLINK("https://www.boe.es/gazeta/dias/1810/07/20/pdfs/GMD-C-1810-201.pdf#page=3","Abrir facsímil")</f>
        <v>Abrir facsímil</v>
      </c>
      <c r="K7411" s="3" t="s">
        <v>76</v>
      </c>
    </row>
    <row r="7412" spans="1:11" ht="42" customHeight="1">
      <c r="A7412" s="2" t="s">
        <v>18686</v>
      </c>
      <c r="B7412" s="2" t="s">
        <v>18687</v>
      </c>
      <c r="C7412" s="2" t="s">
        <v>26</v>
      </c>
      <c r="D7412" s="2" t="s">
        <v>27</v>
      </c>
      <c r="E7412" s="4">
        <v>-32715</v>
      </c>
      <c r="F7412" s="3" t="s">
        <v>1029</v>
      </c>
      <c r="G7412" s="3" t="s">
        <v>1638</v>
      </c>
      <c r="H7412" s="2" t="s">
        <v>74</v>
      </c>
      <c r="I7412" s="2" t="s">
        <v>18688</v>
      </c>
      <c r="J7412" s="3" t="str">
        <f>HYPERLINK("https://www.boe.es/gazeta/dias/1810/06/05/pdfs/GEI-1810-33.pdf#page=10","Abrir facsímil")</f>
        <v>Abrir facsímil</v>
      </c>
      <c r="K7412" s="3" t="s">
        <v>76</v>
      </c>
    </row>
    <row r="7413" spans="1:11" ht="42" customHeight="1">
      <c r="A7413" s="2" t="s">
        <v>18689</v>
      </c>
      <c r="B7413" s="2" t="s">
        <v>18690</v>
      </c>
      <c r="C7413" s="2" t="s">
        <v>33</v>
      </c>
      <c r="D7413" s="2" t="s">
        <v>27</v>
      </c>
      <c r="E7413" s="4">
        <v>-32691</v>
      </c>
      <c r="F7413" s="3" t="s">
        <v>3021</v>
      </c>
      <c r="G7413" s="3" t="s">
        <v>3022</v>
      </c>
      <c r="H7413" s="2" t="s">
        <v>74</v>
      </c>
      <c r="I7413" s="2" t="s">
        <v>18691</v>
      </c>
      <c r="J7413" s="3" t="str">
        <f>HYPERLINK("https://www.boe.es/gazeta/dias/1810/06/29/pdfs/GEI-1810-40.pdf#page=7","Abrir facsímil")</f>
        <v>Abrir facsímil</v>
      </c>
      <c r="K7413" s="3" t="s">
        <v>76</v>
      </c>
    </row>
    <row r="7414" spans="1:11" ht="42" customHeight="1">
      <c r="A7414" s="2" t="s">
        <v>18692</v>
      </c>
      <c r="B7414" s="2" t="s">
        <v>18693</v>
      </c>
      <c r="C7414" s="2" t="s">
        <v>26</v>
      </c>
      <c r="D7414" s="2" t="s">
        <v>39</v>
      </c>
      <c r="E7414" s="4">
        <v>-32635</v>
      </c>
      <c r="F7414" s="3" t="s">
        <v>2674</v>
      </c>
      <c r="G7414" s="3" t="s">
        <v>886</v>
      </c>
      <c r="H7414" s="2" t="s">
        <v>74</v>
      </c>
      <c r="I7414" s="2" t="s">
        <v>18694</v>
      </c>
      <c r="J7414" s="3" t="str">
        <f>HYPERLINK("https://www.boe.es/gazeta/dias/1810/08/24/pdfs/GEI-D-1810-59.pdf#page=1","Abrir facsímil")</f>
        <v>Abrir facsímil</v>
      </c>
      <c r="K7414" s="3" t="s">
        <v>76</v>
      </c>
    </row>
    <row r="7415" spans="1:11" ht="42" customHeight="1">
      <c r="A7415" s="2" t="s">
        <v>18695</v>
      </c>
      <c r="B7415" s="2" t="s">
        <v>18696</v>
      </c>
      <c r="C7415" s="2" t="s">
        <v>26</v>
      </c>
      <c r="D7415" s="2" t="s">
        <v>39</v>
      </c>
      <c r="E7415" s="4">
        <v>-32702</v>
      </c>
      <c r="F7415" s="3" t="s">
        <v>179</v>
      </c>
      <c r="G7415" s="3" t="s">
        <v>180</v>
      </c>
      <c r="H7415" s="2" t="s">
        <v>74</v>
      </c>
      <c r="I7415" s="2" t="s">
        <v>18697</v>
      </c>
      <c r="J7415" s="3" t="str">
        <f>HYPERLINK("https://www.boe.es/gazeta/dias/1810/06/18/pdfs/GMD-C-1810-169.pdf#page=2","Abrir facsímil")</f>
        <v>Abrir facsímil</v>
      </c>
      <c r="K7415" s="3" t="s">
        <v>76</v>
      </c>
    </row>
    <row r="7416" spans="1:11" ht="42" customHeight="1">
      <c r="A7416" s="2" t="s">
        <v>18695</v>
      </c>
      <c r="B7416" s="2" t="s">
        <v>18696</v>
      </c>
      <c r="C7416" s="2" t="s">
        <v>26</v>
      </c>
      <c r="D7416" s="2" t="s">
        <v>39</v>
      </c>
      <c r="E7416" s="4">
        <v>-32670</v>
      </c>
      <c r="F7416" s="3" t="s">
        <v>2457</v>
      </c>
      <c r="G7416" s="3" t="s">
        <v>473</v>
      </c>
      <c r="H7416" s="2" t="s">
        <v>74</v>
      </c>
      <c r="I7416" s="2" t="s">
        <v>18698</v>
      </c>
      <c r="J7416" s="3" t="str">
        <f>HYPERLINK("https://www.boe.es/gazeta/dias/1810/07/20/pdfs/GMD-C-1810-201.pdf#page=4","Abrir facsímil")</f>
        <v>Abrir facsímil</v>
      </c>
      <c r="K7416" s="3" t="s">
        <v>76</v>
      </c>
    </row>
    <row r="7417" spans="1:11" ht="42" customHeight="1">
      <c r="A7417" s="2" t="s">
        <v>18699</v>
      </c>
      <c r="B7417" s="2" t="s">
        <v>18700</v>
      </c>
      <c r="C7417" s="2" t="s">
        <v>317</v>
      </c>
      <c r="D7417" s="2" t="s">
        <v>39</v>
      </c>
      <c r="E7417" s="4">
        <v>-32670</v>
      </c>
      <c r="F7417" s="3" t="s">
        <v>2457</v>
      </c>
      <c r="G7417" s="3" t="s">
        <v>473</v>
      </c>
      <c r="H7417" s="2" t="s">
        <v>74</v>
      </c>
      <c r="I7417" s="2" t="s">
        <v>18701</v>
      </c>
      <c r="J7417" s="3" t="str">
        <f>HYPERLINK("https://www.boe.es/gazeta/dias/1810/07/20/pdfs/GMD-C-1810-201.pdf#page=4","Abrir facsímil")</f>
        <v>Abrir facsímil</v>
      </c>
      <c r="K7417" s="3" t="s">
        <v>76</v>
      </c>
    </row>
    <row r="7418" spans="1:11" ht="42" customHeight="1">
      <c r="A7418" s="2" t="s">
        <v>18702</v>
      </c>
      <c r="B7418" s="2" t="s">
        <v>18703</v>
      </c>
      <c r="C7418" s="2" t="s">
        <v>26</v>
      </c>
      <c r="D7418" s="2" t="s">
        <v>27</v>
      </c>
      <c r="E7418" s="4">
        <v>-32543</v>
      </c>
      <c r="F7418" s="3" t="s">
        <v>69</v>
      </c>
      <c r="G7418" s="3" t="s">
        <v>70</v>
      </c>
      <c r="H7418" s="2" t="s">
        <v>74</v>
      </c>
      <c r="I7418" s="2" t="s">
        <v>18704</v>
      </c>
      <c r="J7418" s="3" t="str">
        <f>HYPERLINK("https://www.boe.es/gazeta/dias/1810/11/24/pdfs/GEI-1810-99.pdf#page=8","Abrir facsímil")</f>
        <v>Abrir facsímil</v>
      </c>
      <c r="K7418" s="3" t="s">
        <v>76</v>
      </c>
    </row>
    <row r="7419" spans="1:11" ht="42" customHeight="1">
      <c r="A7419" s="2" t="s">
        <v>18705</v>
      </c>
      <c r="B7419" s="2" t="s">
        <v>18706</v>
      </c>
      <c r="C7419" s="2" t="s">
        <v>26</v>
      </c>
      <c r="D7419" s="2" t="s">
        <v>39</v>
      </c>
      <c r="E7419" s="4">
        <v>-32599</v>
      </c>
      <c r="F7419" s="3" t="s">
        <v>662</v>
      </c>
      <c r="G7419" s="3" t="s">
        <v>3097</v>
      </c>
      <c r="H7419" s="2" t="s">
        <v>74</v>
      </c>
      <c r="I7419" s="2" t="s">
        <v>18707</v>
      </c>
      <c r="J7419" s="3" t="str">
        <f>HYPERLINK("https://www.boe.es/gazeta/dias/1810/09/29/pdfs/GMD-C-1810-272.pdf#page=7","Abrir facsímil")</f>
        <v>Abrir facsímil</v>
      </c>
      <c r="K7419" s="3" t="s">
        <v>76</v>
      </c>
    </row>
    <row r="7420" spans="1:11" ht="42" customHeight="1">
      <c r="A7420" s="2" t="s">
        <v>18708</v>
      </c>
      <c r="B7420" s="2" t="s">
        <v>18709</v>
      </c>
      <c r="C7420" s="2" t="s">
        <v>26</v>
      </c>
      <c r="D7420" s="2" t="s">
        <v>39</v>
      </c>
      <c r="E7420" s="4">
        <v>-32701</v>
      </c>
      <c r="F7420" s="3" t="s">
        <v>40</v>
      </c>
      <c r="G7420" s="3" t="s">
        <v>333</v>
      </c>
      <c r="H7420" s="2" t="s">
        <v>74</v>
      </c>
      <c r="I7420" s="2" t="s">
        <v>18710</v>
      </c>
      <c r="J7420" s="3" t="str">
        <f>HYPERLINK("https://www.boe.es/gazeta/dias/1810/06/19/pdfs/GMD-C-1810-170.pdf#page=4","Abrir facsímil")</f>
        <v>Abrir facsímil</v>
      </c>
      <c r="K7420" s="3" t="s">
        <v>76</v>
      </c>
    </row>
    <row r="7421" spans="1:11" ht="42" customHeight="1">
      <c r="A7421" s="2" t="s">
        <v>18711</v>
      </c>
      <c r="B7421" s="2" t="s">
        <v>18712</v>
      </c>
      <c r="C7421" s="2" t="s">
        <v>88</v>
      </c>
      <c r="D7421" s="2" t="s">
        <v>27</v>
      </c>
      <c r="E7421" s="4">
        <v>-32700</v>
      </c>
      <c r="F7421" s="3" t="s">
        <v>89</v>
      </c>
      <c r="G7421" s="3" t="s">
        <v>29</v>
      </c>
      <c r="H7421" s="2" t="s">
        <v>74</v>
      </c>
      <c r="I7421" s="2" t="s">
        <v>18713</v>
      </c>
      <c r="J7421" s="3" t="str">
        <f>HYPERLINK("https://www.boe.es/gazeta/dias/1810/06/20/pdfs/GMD-1810-171.pdf#page=3","Abrir facsímil")</f>
        <v>Abrir facsímil</v>
      </c>
      <c r="K7421" s="3" t="s">
        <v>76</v>
      </c>
    </row>
    <row r="7422" spans="1:11" ht="42" customHeight="1">
      <c r="A7422" s="2" t="s">
        <v>18714</v>
      </c>
      <c r="B7422" s="2" t="s">
        <v>18715</v>
      </c>
      <c r="C7422" s="2" t="s">
        <v>195</v>
      </c>
      <c r="D7422" s="2" t="s">
        <v>27</v>
      </c>
      <c r="E7422" s="4">
        <v>-32517</v>
      </c>
      <c r="F7422" s="3" t="s">
        <v>566</v>
      </c>
      <c r="G7422" s="3" t="s">
        <v>762</v>
      </c>
      <c r="H7422" s="2" t="s">
        <v>74</v>
      </c>
      <c r="I7422" s="2" t="s">
        <v>18716</v>
      </c>
      <c r="J7422" s="3" t="str">
        <f>HYPERLINK("https://www.boe.es/gazeta/dias/1810/12/20/pdfs/GEI-1810-110.pdf#page=8","Abrir facsímil")</f>
        <v>Abrir facsímil</v>
      </c>
      <c r="K7422" s="3" t="s">
        <v>76</v>
      </c>
    </row>
    <row r="7423" spans="1:11" ht="42" customHeight="1">
      <c r="A7423" s="2" t="s">
        <v>18717</v>
      </c>
      <c r="B7423" s="2" t="s">
        <v>18718</v>
      </c>
      <c r="C7423" s="2" t="s">
        <v>26</v>
      </c>
      <c r="D7423" s="2" t="s">
        <v>39</v>
      </c>
      <c r="E7423" s="4">
        <v>-32661</v>
      </c>
      <c r="F7423" s="3" t="s">
        <v>157</v>
      </c>
      <c r="G7423" s="3" t="s">
        <v>592</v>
      </c>
      <c r="H7423" s="2" t="s">
        <v>74</v>
      </c>
      <c r="I7423" s="2" t="s">
        <v>18719</v>
      </c>
      <c r="J7423" s="3" t="str">
        <f>HYPERLINK("https://www.boe.es/gazeta/dias/1810/07/29/pdfs/GMD-C-1810-210.pdf#page=2","Abrir facsímil")</f>
        <v>Abrir facsímil</v>
      </c>
      <c r="K7423" s="3" t="s">
        <v>76</v>
      </c>
    </row>
    <row r="7424" spans="1:11" ht="42" customHeight="1">
      <c r="A7424" s="2" t="s">
        <v>18720</v>
      </c>
      <c r="B7424" s="2" t="s">
        <v>18721</v>
      </c>
      <c r="C7424" s="2" t="s">
        <v>88</v>
      </c>
      <c r="D7424" s="2" t="s">
        <v>117</v>
      </c>
      <c r="E7424" s="4">
        <v>-32771</v>
      </c>
      <c r="F7424" s="3" t="s">
        <v>543</v>
      </c>
      <c r="G7424" s="3" t="s">
        <v>274</v>
      </c>
      <c r="H7424" s="2" t="s">
        <v>74</v>
      </c>
      <c r="I7424" s="2" t="s">
        <v>18722</v>
      </c>
      <c r="J7424" s="3" t="str">
        <f>HYPERLINK("https://www.boe.es/gazeta/dias/1810/04/10/pdfs/GEI-1810-13.pdf#page=8","Abrir facsímil")</f>
        <v>Abrir facsímil</v>
      </c>
      <c r="K7424" s="3" t="s">
        <v>76</v>
      </c>
    </row>
    <row r="7425" spans="1:11" ht="42" customHeight="1">
      <c r="A7425" s="2" t="s">
        <v>18723</v>
      </c>
      <c r="B7425" s="2" t="s">
        <v>18724</v>
      </c>
      <c r="C7425" s="2" t="s">
        <v>26</v>
      </c>
      <c r="D7425" s="2" t="s">
        <v>27</v>
      </c>
      <c r="E7425" s="4">
        <v>-32575</v>
      </c>
      <c r="F7425" s="3" t="s">
        <v>135</v>
      </c>
      <c r="G7425" s="3" t="s">
        <v>140</v>
      </c>
      <c r="H7425" s="2" t="s">
        <v>74</v>
      </c>
      <c r="I7425" s="2" t="s">
        <v>18725</v>
      </c>
      <c r="J7425" s="3" t="str">
        <f>HYPERLINK("https://www.boe.es/gazeta/dias/1810/10/23/pdfs/GEI-1810-85.pdf#page=10","Abrir facsímil")</f>
        <v>Abrir facsímil</v>
      </c>
      <c r="K7425" s="3" t="s">
        <v>76</v>
      </c>
    </row>
    <row r="7426" spans="1:11" ht="42" customHeight="1">
      <c r="A7426" s="2" t="s">
        <v>18726</v>
      </c>
      <c r="B7426" s="2" t="s">
        <v>18726</v>
      </c>
      <c r="C7426" s="2" t="s">
        <v>26</v>
      </c>
      <c r="D7426" s="2" t="s">
        <v>27</v>
      </c>
      <c r="E7426" s="4">
        <v>-32581</v>
      </c>
      <c r="F7426" s="3" t="s">
        <v>6102</v>
      </c>
      <c r="G7426" s="3" t="s">
        <v>6103</v>
      </c>
      <c r="H7426" s="2" t="s">
        <v>74</v>
      </c>
      <c r="I7426" s="2" t="s">
        <v>18727</v>
      </c>
      <c r="J7426" s="3" t="str">
        <f>HYPERLINK("https://www.boe.es/gazeta/dias/1810/10/17/pdfs/GMD-1810-290.pdf#page=3","Abrir facsímil")</f>
        <v>Abrir facsímil</v>
      </c>
      <c r="K7426" s="3" t="s">
        <v>76</v>
      </c>
    </row>
    <row r="7427" spans="1:11" ht="42" customHeight="1">
      <c r="A7427" s="2" t="s">
        <v>18728</v>
      </c>
      <c r="B7427" s="2" t="s">
        <v>18728</v>
      </c>
      <c r="C7427" s="2" t="s">
        <v>26</v>
      </c>
      <c r="D7427" s="2" t="s">
        <v>27</v>
      </c>
      <c r="E7427" s="4">
        <v>-32699</v>
      </c>
      <c r="F7427" s="3" t="s">
        <v>1216</v>
      </c>
      <c r="G7427" s="3" t="s">
        <v>35</v>
      </c>
      <c r="H7427" s="2" t="s">
        <v>74</v>
      </c>
      <c r="I7427" s="2" t="s">
        <v>18729</v>
      </c>
      <c r="J7427" s="3" t="str">
        <f>HYPERLINK("https://www.boe.es/gazeta/dias/1810/06/21/pdfs/GMD-1810-172.pdf#page=2","Abrir facsímil")</f>
        <v>Abrir facsímil</v>
      </c>
      <c r="K7427" s="3" t="s">
        <v>76</v>
      </c>
    </row>
    <row r="7428" spans="1:11" ht="42" customHeight="1">
      <c r="A7428" s="2" t="s">
        <v>18730</v>
      </c>
      <c r="B7428" s="2" t="s">
        <v>18731</v>
      </c>
      <c r="C7428" s="2" t="s">
        <v>33</v>
      </c>
      <c r="D7428" s="2" t="s">
        <v>27</v>
      </c>
      <c r="E7428" s="4">
        <v>-32610</v>
      </c>
      <c r="F7428" s="3" t="s">
        <v>4991</v>
      </c>
      <c r="G7428" s="3" t="s">
        <v>6139</v>
      </c>
      <c r="H7428" s="2" t="s">
        <v>74</v>
      </c>
      <c r="I7428" s="2" t="s">
        <v>18732</v>
      </c>
      <c r="J7428" s="3" t="str">
        <f>HYPERLINK("https://www.boe.es/gazeta/dias/1810/09/18/pdfs/GEI-1810-69.pdf#page=11","Abrir facsímil")</f>
        <v>Abrir facsímil</v>
      </c>
      <c r="K7428" s="3" t="s">
        <v>76</v>
      </c>
    </row>
    <row r="7429" spans="1:11" ht="42" customHeight="1">
      <c r="A7429" s="2" t="s">
        <v>18733</v>
      </c>
      <c r="B7429" s="2" t="s">
        <v>18734</v>
      </c>
      <c r="C7429" s="2" t="s">
        <v>17</v>
      </c>
      <c r="D7429" s="2" t="s">
        <v>27</v>
      </c>
      <c r="E7429" s="4">
        <v>-32610</v>
      </c>
      <c r="F7429" s="3" t="s">
        <v>4991</v>
      </c>
      <c r="G7429" s="3" t="s">
        <v>5554</v>
      </c>
      <c r="H7429" s="2" t="s">
        <v>74</v>
      </c>
      <c r="I7429" s="2" t="s">
        <v>18735</v>
      </c>
      <c r="J7429" s="3" t="str">
        <f>HYPERLINK("https://www.boe.es/gazeta/dias/1810/09/18/pdfs/GEI-1810-69.pdf#page=12","Abrir facsímil")</f>
        <v>Abrir facsímil</v>
      </c>
      <c r="K7429" s="3" t="s">
        <v>76</v>
      </c>
    </row>
    <row r="7430" spans="1:11" ht="42" customHeight="1">
      <c r="A7430" s="2" t="s">
        <v>18736</v>
      </c>
      <c r="B7430" s="2" t="s">
        <v>18737</v>
      </c>
      <c r="C7430" s="2" t="s">
        <v>88</v>
      </c>
      <c r="D7430" s="2" t="s">
        <v>117</v>
      </c>
      <c r="E7430" s="4">
        <v>-32715</v>
      </c>
      <c r="F7430" s="3" t="s">
        <v>6792</v>
      </c>
      <c r="G7430" s="3" t="s">
        <v>99</v>
      </c>
      <c r="H7430" s="2" t="s">
        <v>74</v>
      </c>
      <c r="I7430" s="2" t="s">
        <v>18738</v>
      </c>
      <c r="J7430" s="3" t="str">
        <f>HYPERLINK("https://www.boe.es/gazeta/dias/1810/06/05/pdfs/GEI-D-1810-33.pdf#page=3","Abrir facsímil")</f>
        <v>Abrir facsímil</v>
      </c>
      <c r="K7430" s="3" t="s">
        <v>76</v>
      </c>
    </row>
    <row r="7431" spans="1:11" ht="42" customHeight="1">
      <c r="A7431" s="2" t="s">
        <v>18739</v>
      </c>
      <c r="B7431" s="2" t="s">
        <v>18740</v>
      </c>
      <c r="C7431" s="2" t="s">
        <v>26</v>
      </c>
      <c r="D7431" s="2" t="s">
        <v>39</v>
      </c>
      <c r="E7431" s="4">
        <v>-32702</v>
      </c>
      <c r="F7431" s="3" t="s">
        <v>179</v>
      </c>
      <c r="G7431" s="3" t="s">
        <v>213</v>
      </c>
      <c r="H7431" s="2" t="s">
        <v>74</v>
      </c>
      <c r="I7431" s="2" t="s">
        <v>18741</v>
      </c>
      <c r="J7431" s="3" t="str">
        <f>HYPERLINK("https://www.boe.es/gazeta/dias/1810/06/18/pdfs/GMD-C-1810-169.pdf#page=4","Abrir facsímil")</f>
        <v>Abrir facsímil</v>
      </c>
      <c r="K7431" s="3" t="s">
        <v>76</v>
      </c>
    </row>
    <row r="7432" spans="1:11" ht="42" customHeight="1">
      <c r="A7432" s="2" t="s">
        <v>18742</v>
      </c>
      <c r="B7432" s="2" t="s">
        <v>18743</v>
      </c>
      <c r="C7432" s="2" t="s">
        <v>88</v>
      </c>
      <c r="D7432" s="2" t="s">
        <v>27</v>
      </c>
      <c r="E7432" s="4">
        <v>-32729</v>
      </c>
      <c r="F7432" s="3" t="s">
        <v>174</v>
      </c>
      <c r="G7432" s="3" t="s">
        <v>151</v>
      </c>
      <c r="H7432" s="2" t="s">
        <v>74</v>
      </c>
      <c r="I7432" s="2" t="s">
        <v>18744</v>
      </c>
      <c r="J7432" s="3" t="str">
        <f>HYPERLINK("https://www.boe.es/gazeta/dias/1810/05/22/pdfs/GEI-1810-28.pdf#page=12","Abrir facsímil")</f>
        <v>Abrir facsímil</v>
      </c>
      <c r="K7432" s="3" t="s">
        <v>76</v>
      </c>
    </row>
    <row r="7433" spans="1:11" ht="42" customHeight="1">
      <c r="A7433" s="2" t="s">
        <v>18745</v>
      </c>
      <c r="B7433" s="2" t="s">
        <v>18746</v>
      </c>
      <c r="C7433" s="2" t="s">
        <v>26</v>
      </c>
      <c r="D7433" s="2" t="s">
        <v>27</v>
      </c>
      <c r="E7433" s="4">
        <v>-32543</v>
      </c>
      <c r="F7433" s="3" t="s">
        <v>69</v>
      </c>
      <c r="G7433" s="3" t="s">
        <v>65</v>
      </c>
      <c r="H7433" s="2" t="s">
        <v>74</v>
      </c>
      <c r="I7433" s="2" t="s">
        <v>18747</v>
      </c>
      <c r="J7433" s="3" t="str">
        <f>HYPERLINK("https://www.boe.es/gazeta/dias/1810/11/24/pdfs/GEI-1810-99.pdf#page=3","Abrir facsímil")</f>
        <v>Abrir facsímil</v>
      </c>
      <c r="K7433" s="3" t="s">
        <v>76</v>
      </c>
    </row>
    <row r="7434" spans="1:11" ht="42" customHeight="1">
      <c r="A7434" s="2" t="s">
        <v>18748</v>
      </c>
      <c r="B7434" s="2" t="s">
        <v>18749</v>
      </c>
      <c r="C7434" s="2" t="s">
        <v>26</v>
      </c>
      <c r="D7434" s="2" t="s">
        <v>27</v>
      </c>
      <c r="E7434" s="4">
        <v>-32563</v>
      </c>
      <c r="F7434" s="3" t="s">
        <v>535</v>
      </c>
      <c r="G7434" s="3" t="s">
        <v>13005</v>
      </c>
      <c r="H7434" s="2" t="s">
        <v>74</v>
      </c>
      <c r="I7434" s="2" t="s">
        <v>18750</v>
      </c>
      <c r="J7434" s="3" t="str">
        <f>HYPERLINK("https://www.boe.es/gazeta/dias/1810/11/04/pdfs/GMD-1810-308.pdf#page=22","Abrir facsímil")</f>
        <v>Abrir facsímil</v>
      </c>
      <c r="K7434" s="3" t="s">
        <v>76</v>
      </c>
    </row>
    <row r="7435" spans="1:11" ht="42" customHeight="1">
      <c r="A7435" s="2" t="s">
        <v>18751</v>
      </c>
      <c r="B7435" s="2" t="s">
        <v>18752</v>
      </c>
      <c r="C7435" s="2" t="s">
        <v>88</v>
      </c>
      <c r="D7435" s="2" t="s">
        <v>27</v>
      </c>
      <c r="E7435" s="4">
        <v>-32564</v>
      </c>
      <c r="F7435" s="3" t="s">
        <v>108</v>
      </c>
      <c r="G7435" s="3" t="s">
        <v>227</v>
      </c>
      <c r="H7435" s="2" t="s">
        <v>74</v>
      </c>
      <c r="I7435" s="2" t="s">
        <v>18753</v>
      </c>
      <c r="J7435" s="3" t="str">
        <f>HYPERLINK("https://www.boe.es/gazeta/dias/1810/11/03/pdfs/GEI-1810-90.pdf#page=2","Abrir facsímil")</f>
        <v>Abrir facsímil</v>
      </c>
      <c r="K7435" s="3" t="s">
        <v>76</v>
      </c>
    </row>
    <row r="7436" spans="1:11" ht="42" customHeight="1">
      <c r="A7436" s="2" t="s">
        <v>18754</v>
      </c>
      <c r="B7436" s="2" t="s">
        <v>18755</v>
      </c>
      <c r="C7436" s="2" t="s">
        <v>26</v>
      </c>
      <c r="D7436" s="2" t="s">
        <v>39</v>
      </c>
      <c r="E7436" s="4">
        <v>-32701</v>
      </c>
      <c r="F7436" s="3" t="s">
        <v>40</v>
      </c>
      <c r="G7436" s="3" t="s">
        <v>170</v>
      </c>
      <c r="H7436" s="2" t="s">
        <v>74</v>
      </c>
      <c r="I7436" s="2" t="s">
        <v>18756</v>
      </c>
      <c r="J7436" s="3" t="str">
        <f>HYPERLINK("https://www.boe.es/gazeta/dias/1810/06/19/pdfs/GMD-C-1810-170.pdf#page=1","Abrir facsímil")</f>
        <v>Abrir facsímil</v>
      </c>
      <c r="K7436" s="3" t="s">
        <v>76</v>
      </c>
    </row>
    <row r="7437" spans="1:11" ht="42" customHeight="1">
      <c r="A7437" s="2" t="s">
        <v>18757</v>
      </c>
      <c r="B7437" s="2" t="s">
        <v>18758</v>
      </c>
      <c r="C7437" s="2" t="s">
        <v>88</v>
      </c>
      <c r="D7437" s="2" t="s">
        <v>27</v>
      </c>
      <c r="E7437" s="4">
        <v>-32771</v>
      </c>
      <c r="F7437" s="3" t="s">
        <v>543</v>
      </c>
      <c r="G7437" s="3" t="s">
        <v>65</v>
      </c>
      <c r="H7437" s="2" t="s">
        <v>74</v>
      </c>
      <c r="I7437" s="2" t="s">
        <v>18759</v>
      </c>
      <c r="J7437" s="3" t="str">
        <f>HYPERLINK("https://www.boe.es/gazeta/dias/1810/04/10/pdfs/GEI-1810-13.pdf#page=7","Abrir facsímil")</f>
        <v>Abrir facsímil</v>
      </c>
      <c r="K7437" s="3" t="s">
        <v>76</v>
      </c>
    </row>
    <row r="7438" spans="1:11" ht="42" customHeight="1">
      <c r="A7438" s="2" t="s">
        <v>18760</v>
      </c>
      <c r="B7438" s="2" t="s">
        <v>18761</v>
      </c>
      <c r="C7438" s="2" t="s">
        <v>88</v>
      </c>
      <c r="D7438" s="2" t="s">
        <v>27</v>
      </c>
      <c r="E7438" s="4">
        <v>-32703</v>
      </c>
      <c r="F7438" s="3" t="s">
        <v>1213</v>
      </c>
      <c r="G7438" s="3" t="s">
        <v>1214</v>
      </c>
      <c r="H7438" s="2" t="s">
        <v>74</v>
      </c>
      <c r="I7438" s="2" t="s">
        <v>18762</v>
      </c>
      <c r="J7438" s="3" t="str">
        <f>HYPERLINK("https://www.boe.es/gazeta/dias/1810/06/17/pdfs/GMD-1810-168.pdf#page=4","Abrir facsímil")</f>
        <v>Abrir facsímil</v>
      </c>
      <c r="K7438" s="3" t="s">
        <v>76</v>
      </c>
    </row>
    <row r="7439" spans="1:11" ht="42" customHeight="1">
      <c r="A7439" s="2" t="s">
        <v>18763</v>
      </c>
      <c r="B7439" s="2" t="s">
        <v>18764</v>
      </c>
      <c r="C7439" s="2" t="s">
        <v>225</v>
      </c>
      <c r="D7439" s="2" t="s">
        <v>27</v>
      </c>
      <c r="E7439" s="4">
        <v>-32691</v>
      </c>
      <c r="F7439" s="3" t="s">
        <v>727</v>
      </c>
      <c r="G7439" s="3" t="s">
        <v>140</v>
      </c>
      <c r="H7439" s="2" t="s">
        <v>74</v>
      </c>
      <c r="I7439" s="2" t="s">
        <v>18765</v>
      </c>
      <c r="J7439" s="3" t="str">
        <f>HYPERLINK("https://www.boe.es/gazeta/dias/1810/06/29/pdfs/GMD-1810-180.pdf#page=4","Abrir facsímil")</f>
        <v>Abrir facsímil</v>
      </c>
      <c r="K7439" s="3" t="s">
        <v>76</v>
      </c>
    </row>
    <row r="7440" spans="1:11" ht="42" customHeight="1">
      <c r="A7440" s="2" t="s">
        <v>18766</v>
      </c>
      <c r="B7440" s="2" t="s">
        <v>18767</v>
      </c>
      <c r="C7440" s="2" t="s">
        <v>17</v>
      </c>
      <c r="D7440" s="2" t="s">
        <v>18</v>
      </c>
      <c r="E7440" s="4">
        <v>-32703</v>
      </c>
      <c r="F7440" s="3" t="s">
        <v>1213</v>
      </c>
      <c r="G7440" s="3" t="s">
        <v>1214</v>
      </c>
      <c r="H7440" s="2" t="s">
        <v>74</v>
      </c>
      <c r="I7440" s="2" t="s">
        <v>18768</v>
      </c>
      <c r="J7440" s="3" t="str">
        <f>HYPERLINK("https://www.boe.es/gazeta/dias/1810/06/17/pdfs/GMD-1810-168.pdf#page=4","Abrir facsímil")</f>
        <v>Abrir facsímil</v>
      </c>
      <c r="K7440" s="3" t="s">
        <v>76</v>
      </c>
    </row>
    <row r="7441" spans="1:11" ht="42" customHeight="1">
      <c r="A7441" s="2" t="s">
        <v>18769</v>
      </c>
      <c r="B7441" s="2" t="s">
        <v>18770</v>
      </c>
      <c r="C7441" s="2" t="s">
        <v>26</v>
      </c>
      <c r="D7441" s="2" t="s">
        <v>27</v>
      </c>
      <c r="E7441" s="4">
        <v>-32557</v>
      </c>
      <c r="F7441" s="3" t="s">
        <v>837</v>
      </c>
      <c r="G7441" s="3" t="s">
        <v>2073</v>
      </c>
      <c r="H7441" s="2" t="s">
        <v>74</v>
      </c>
      <c r="I7441" s="2" t="s">
        <v>18771</v>
      </c>
      <c r="J7441" s="3" t="str">
        <f>HYPERLINK("https://www.boe.es/gazeta/dias/1810/11/10/pdfs/GEI-1810-93.pdf#page=7","Abrir facsímil")</f>
        <v>Abrir facsímil</v>
      </c>
      <c r="K7441" s="3" t="s">
        <v>76</v>
      </c>
    </row>
    <row r="7442" spans="1:11" ht="42" customHeight="1">
      <c r="A7442" s="2" t="s">
        <v>18772</v>
      </c>
      <c r="B7442" s="2" t="s">
        <v>18773</v>
      </c>
      <c r="C7442" s="2" t="s">
        <v>195</v>
      </c>
      <c r="D7442" s="2" t="s">
        <v>27</v>
      </c>
      <c r="E7442" s="4">
        <v>-32837</v>
      </c>
      <c r="F7442" s="3" t="s">
        <v>196</v>
      </c>
      <c r="G7442" s="3" t="s">
        <v>140</v>
      </c>
      <c r="H7442" s="2" t="s">
        <v>74</v>
      </c>
      <c r="I7442" s="2" t="s">
        <v>18774</v>
      </c>
      <c r="J7442" s="3" t="str">
        <f>HYPERLINK("https://www.boe.es/gazeta/dias/1810/02/03/pdfs/GMD-1810-34.pdf#page=4","Abrir facsímil")</f>
        <v>Abrir facsímil</v>
      </c>
      <c r="K7442" s="3" t="s">
        <v>76</v>
      </c>
    </row>
    <row r="7443" spans="1:11" ht="42" customHeight="1">
      <c r="A7443" s="2" t="s">
        <v>18772</v>
      </c>
      <c r="B7443" s="2" t="s">
        <v>18773</v>
      </c>
      <c r="C7443" s="2" t="s">
        <v>26</v>
      </c>
      <c r="D7443" s="2" t="s">
        <v>39</v>
      </c>
      <c r="E7443" s="4">
        <v>-32702</v>
      </c>
      <c r="F7443" s="3" t="s">
        <v>179</v>
      </c>
      <c r="G7443" s="3" t="s">
        <v>180</v>
      </c>
      <c r="H7443" s="2" t="s">
        <v>74</v>
      </c>
      <c r="I7443" s="2" t="s">
        <v>18775</v>
      </c>
      <c r="J7443" s="3" t="str">
        <f>HYPERLINK("https://www.boe.es/gazeta/dias/1810/06/18/pdfs/GMD-C-1810-169.pdf#page=2","Abrir facsímil")</f>
        <v>Abrir facsímil</v>
      </c>
      <c r="K7443" s="3" t="s">
        <v>76</v>
      </c>
    </row>
    <row r="7444" spans="1:11" ht="42" customHeight="1">
      <c r="A7444" s="2" t="s">
        <v>18772</v>
      </c>
      <c r="B7444" s="2" t="s">
        <v>18773</v>
      </c>
      <c r="C7444" s="2" t="s">
        <v>26</v>
      </c>
      <c r="D7444" s="2" t="s">
        <v>27</v>
      </c>
      <c r="E7444" s="4">
        <v>-32543</v>
      </c>
      <c r="F7444" s="3" t="s">
        <v>69</v>
      </c>
      <c r="G7444" s="3" t="s">
        <v>465</v>
      </c>
      <c r="H7444" s="2" t="s">
        <v>74</v>
      </c>
      <c r="I7444" s="2" t="s">
        <v>18776</v>
      </c>
      <c r="J7444" s="3" t="str">
        <f>HYPERLINK("https://www.boe.es/gazeta/dias/1810/11/24/pdfs/GEI-1810-99.pdf#page=2","Abrir facsímil")</f>
        <v>Abrir facsímil</v>
      </c>
      <c r="K7444" s="3" t="s">
        <v>76</v>
      </c>
    </row>
    <row r="7445" spans="1:11" ht="42" customHeight="1">
      <c r="A7445" s="2" t="s">
        <v>18777</v>
      </c>
      <c r="B7445" s="2" t="s">
        <v>18778</v>
      </c>
      <c r="C7445" s="2" t="s">
        <v>26</v>
      </c>
      <c r="D7445" s="2" t="s">
        <v>27</v>
      </c>
      <c r="E7445" s="4">
        <v>-32632</v>
      </c>
      <c r="F7445" s="3" t="s">
        <v>358</v>
      </c>
      <c r="G7445" s="3" t="s">
        <v>359</v>
      </c>
      <c r="H7445" s="2" t="s">
        <v>74</v>
      </c>
      <c r="I7445" s="2" t="s">
        <v>18779</v>
      </c>
      <c r="J7445" s="3" t="str">
        <f>HYPERLINK("https://www.boe.es/gazeta/dias/1810/08/27/pdfs/GMD-1810-239.pdf#page=3","Abrir facsímil")</f>
        <v>Abrir facsímil</v>
      </c>
      <c r="K7445" s="3" t="s">
        <v>76</v>
      </c>
    </row>
    <row r="7446" spans="1:11" ht="42" customHeight="1">
      <c r="A7446" s="2" t="s">
        <v>18780</v>
      </c>
      <c r="B7446" s="2" t="s">
        <v>18781</v>
      </c>
      <c r="C7446" s="2" t="s">
        <v>33</v>
      </c>
      <c r="D7446" s="2" t="s">
        <v>27</v>
      </c>
      <c r="E7446" s="4">
        <v>-32647</v>
      </c>
      <c r="F7446" s="3" t="s">
        <v>118</v>
      </c>
      <c r="G7446" s="3" t="s">
        <v>20</v>
      </c>
      <c r="H7446" s="2" t="s">
        <v>74</v>
      </c>
      <c r="I7446" s="2" t="s">
        <v>18782</v>
      </c>
      <c r="J7446" s="3" t="str">
        <f>HYPERLINK("https://www.boe.es/gazeta/dias/1810/08/12/pdfs/GMD-1810-224.pdf#page=4","Abrir facsímil")</f>
        <v>Abrir facsímil</v>
      </c>
      <c r="K7446" s="3" t="s">
        <v>76</v>
      </c>
    </row>
    <row r="7447" spans="1:11" ht="42" customHeight="1">
      <c r="A7447" s="2" t="s">
        <v>18783</v>
      </c>
      <c r="B7447" s="2" t="s">
        <v>18784</v>
      </c>
      <c r="C7447" s="2" t="s">
        <v>88</v>
      </c>
      <c r="D7447" s="2" t="s">
        <v>117</v>
      </c>
      <c r="E7447" s="4">
        <v>-32533</v>
      </c>
      <c r="F7447" s="3" t="s">
        <v>1357</v>
      </c>
      <c r="G7447" s="3" t="s">
        <v>1894</v>
      </c>
      <c r="H7447" s="2" t="s">
        <v>74</v>
      </c>
      <c r="I7447" s="2" t="s">
        <v>18785</v>
      </c>
      <c r="J7447" s="3" t="str">
        <f>HYPERLINK("https://www.boe.es/gazeta/dias/1810/12/04/pdfs/GEI-1810-103.pdf#page=7","Abrir facsímil")</f>
        <v>Abrir facsímil</v>
      </c>
      <c r="K7447" s="3" t="s">
        <v>76</v>
      </c>
    </row>
    <row r="7448" spans="1:11" ht="42" customHeight="1">
      <c r="A7448" s="2" t="s">
        <v>18786</v>
      </c>
      <c r="B7448" s="2" t="s">
        <v>18787</v>
      </c>
      <c r="C7448" s="2" t="s">
        <v>26</v>
      </c>
      <c r="D7448" s="2" t="s">
        <v>27</v>
      </c>
      <c r="E7448" s="4">
        <v>-32543</v>
      </c>
      <c r="F7448" s="3" t="s">
        <v>69</v>
      </c>
      <c r="G7448" s="3" t="s">
        <v>70</v>
      </c>
      <c r="H7448" s="2" t="s">
        <v>74</v>
      </c>
      <c r="I7448" s="2" t="s">
        <v>18788</v>
      </c>
      <c r="J7448" s="3" t="str">
        <f>HYPERLINK("https://www.boe.es/gazeta/dias/1810/11/24/pdfs/GEI-1810-99.pdf#page=8","Abrir facsímil")</f>
        <v>Abrir facsímil</v>
      </c>
      <c r="K7448" s="3" t="s">
        <v>76</v>
      </c>
    </row>
    <row r="7449" spans="1:11" ht="42" customHeight="1">
      <c r="A7449" s="2" t="s">
        <v>18789</v>
      </c>
      <c r="B7449" s="2" t="s">
        <v>18790</v>
      </c>
      <c r="C7449" s="2" t="s">
        <v>26</v>
      </c>
      <c r="D7449" s="2" t="s">
        <v>39</v>
      </c>
      <c r="E7449" s="4">
        <v>-32701</v>
      </c>
      <c r="F7449" s="3" t="s">
        <v>40</v>
      </c>
      <c r="G7449" s="3" t="s">
        <v>170</v>
      </c>
      <c r="H7449" s="2" t="s">
        <v>74</v>
      </c>
      <c r="I7449" s="2" t="s">
        <v>18791</v>
      </c>
      <c r="J7449" s="3" t="str">
        <f>HYPERLINK("https://www.boe.es/gazeta/dias/1810/06/19/pdfs/GMD-C-1810-170.pdf#page=1","Abrir facsímil")</f>
        <v>Abrir facsímil</v>
      </c>
      <c r="K7449" s="3" t="s">
        <v>76</v>
      </c>
    </row>
    <row r="7450" spans="1:11" ht="42" customHeight="1">
      <c r="A7450" s="2" t="s">
        <v>18789</v>
      </c>
      <c r="B7450" s="2" t="s">
        <v>18790</v>
      </c>
      <c r="C7450" s="2" t="s">
        <v>26</v>
      </c>
      <c r="D7450" s="2" t="s">
        <v>39</v>
      </c>
      <c r="E7450" s="4">
        <v>-32661</v>
      </c>
      <c r="F7450" s="3" t="s">
        <v>157</v>
      </c>
      <c r="G7450" s="3" t="s">
        <v>158</v>
      </c>
      <c r="H7450" s="2" t="s">
        <v>74</v>
      </c>
      <c r="I7450" s="2" t="s">
        <v>18792</v>
      </c>
      <c r="J7450" s="3" t="str">
        <f>HYPERLINK("https://www.boe.es/gazeta/dias/1810/07/29/pdfs/GMD-C-1810-210.pdf#page=1","Abrir facsímil")</f>
        <v>Abrir facsímil</v>
      </c>
      <c r="K7450" s="3" t="s">
        <v>76</v>
      </c>
    </row>
    <row r="7451" spans="1:11" ht="42" customHeight="1">
      <c r="A7451" s="2" t="s">
        <v>18789</v>
      </c>
      <c r="B7451" s="2" t="s">
        <v>18790</v>
      </c>
      <c r="C7451" s="2" t="s">
        <v>26</v>
      </c>
      <c r="D7451" s="2" t="s">
        <v>27</v>
      </c>
      <c r="E7451" s="4">
        <v>-32595</v>
      </c>
      <c r="F7451" s="3" t="s">
        <v>700</v>
      </c>
      <c r="G7451" s="3" t="s">
        <v>29</v>
      </c>
      <c r="H7451" s="2" t="s">
        <v>74</v>
      </c>
      <c r="I7451" s="2" t="s">
        <v>18793</v>
      </c>
      <c r="J7451" s="3" t="str">
        <f>HYPERLINK("https://www.boe.es/gazeta/dias/1810/10/03/pdfs/GMD-1810-276.pdf#page=4","Abrir facsímil")</f>
        <v>Abrir facsímil</v>
      </c>
      <c r="K7451" s="3" t="s">
        <v>76</v>
      </c>
    </row>
    <row r="7452" spans="1:11" ht="42" customHeight="1">
      <c r="A7452" s="2" t="s">
        <v>18794</v>
      </c>
      <c r="B7452" s="2" t="s">
        <v>18795</v>
      </c>
      <c r="C7452" s="2" t="s">
        <v>26</v>
      </c>
      <c r="D7452" s="2" t="s">
        <v>27</v>
      </c>
      <c r="E7452" s="4">
        <v>-32756</v>
      </c>
      <c r="F7452" s="3" t="s">
        <v>203</v>
      </c>
      <c r="G7452" s="3" t="s">
        <v>180</v>
      </c>
      <c r="H7452" s="2" t="s">
        <v>74</v>
      </c>
      <c r="I7452" s="2" t="s">
        <v>18796</v>
      </c>
      <c r="J7452" s="3" t="str">
        <f>HYPERLINK("https://www.boe.es/gazeta/dias/1810/04/25/pdfs/GMD-1810-115.pdf#page=4","Abrir facsímil")</f>
        <v>Abrir facsímil</v>
      </c>
      <c r="K7452" s="3" t="s">
        <v>76</v>
      </c>
    </row>
    <row r="7453" spans="1:11" ht="42" customHeight="1">
      <c r="A7453" s="2" t="s">
        <v>18797</v>
      </c>
      <c r="B7453" s="2" t="s">
        <v>18798</v>
      </c>
      <c r="C7453" s="2" t="s">
        <v>26</v>
      </c>
      <c r="D7453" s="2" t="s">
        <v>27</v>
      </c>
      <c r="E7453" s="4">
        <v>-32729</v>
      </c>
      <c r="F7453" s="3" t="s">
        <v>174</v>
      </c>
      <c r="G7453" s="3" t="s">
        <v>70</v>
      </c>
      <c r="H7453" s="2" t="s">
        <v>74</v>
      </c>
      <c r="I7453" s="2" t="s">
        <v>18799</v>
      </c>
      <c r="J7453" s="3" t="str">
        <f>HYPERLINK("https://www.boe.es/gazeta/dias/1810/05/22/pdfs/GEI-1810-28.pdf#page=7","Abrir facsímil")</f>
        <v>Abrir facsímil</v>
      </c>
      <c r="K7453" s="3" t="s">
        <v>76</v>
      </c>
    </row>
    <row r="7454" spans="1:11" ht="42" customHeight="1">
      <c r="A7454" s="2" t="s">
        <v>18800</v>
      </c>
      <c r="B7454" s="2" t="s">
        <v>18801</v>
      </c>
      <c r="C7454" s="2" t="s">
        <v>26</v>
      </c>
      <c r="D7454" s="2" t="s">
        <v>27</v>
      </c>
      <c r="E7454" s="4">
        <v>-32756</v>
      </c>
      <c r="F7454" s="3" t="s">
        <v>203</v>
      </c>
      <c r="G7454" s="3" t="s">
        <v>180</v>
      </c>
      <c r="H7454" s="2" t="s">
        <v>74</v>
      </c>
      <c r="I7454" s="2" t="s">
        <v>18802</v>
      </c>
      <c r="J7454" s="3" t="str">
        <f>HYPERLINK("https://www.boe.es/gazeta/dias/1810/04/25/pdfs/GMD-1810-115.pdf#page=4","Abrir facsímil")</f>
        <v>Abrir facsímil</v>
      </c>
      <c r="K7454" s="3" t="s">
        <v>76</v>
      </c>
    </row>
    <row r="7455" spans="1:11" ht="42" customHeight="1">
      <c r="A7455" s="2" t="s">
        <v>18803</v>
      </c>
      <c r="B7455" s="2" t="s">
        <v>18804</v>
      </c>
      <c r="C7455" s="2" t="s">
        <v>88</v>
      </c>
      <c r="D7455" s="2" t="s">
        <v>58</v>
      </c>
      <c r="E7455" s="4">
        <v>-32785</v>
      </c>
      <c r="F7455" s="3" t="s">
        <v>1927</v>
      </c>
      <c r="G7455" s="3" t="s">
        <v>4341</v>
      </c>
      <c r="H7455" s="2" t="s">
        <v>74</v>
      </c>
      <c r="I7455" s="2" t="s">
        <v>18805</v>
      </c>
      <c r="J7455" s="3" t="str">
        <f>HYPERLINK("https://www.boe.es/gazeta/dias/1810/03/27/pdfs/GEI-1810-8E.pdf#page=3","Abrir facsímil")</f>
        <v>Abrir facsímil</v>
      </c>
      <c r="K7455" s="3" t="s">
        <v>76</v>
      </c>
    </row>
    <row r="7456" spans="1:11" ht="42" customHeight="1">
      <c r="A7456" s="2" t="s">
        <v>18803</v>
      </c>
      <c r="B7456" s="2" t="s">
        <v>18804</v>
      </c>
      <c r="C7456" s="2" t="s">
        <v>88</v>
      </c>
      <c r="D7456" s="2" t="s">
        <v>117</v>
      </c>
      <c r="E7456" s="4">
        <v>-32733</v>
      </c>
      <c r="F7456" s="3" t="s">
        <v>955</v>
      </c>
      <c r="G7456" s="3" t="s">
        <v>3434</v>
      </c>
      <c r="H7456" s="2" t="s">
        <v>74</v>
      </c>
      <c r="I7456" s="2" t="s">
        <v>18806</v>
      </c>
      <c r="J7456" s="3" t="str">
        <f>HYPERLINK("https://www.boe.es/gazeta/dias/1810/05/18/pdfs/GEI-1810-27.pdf#page=2","Abrir facsímil")</f>
        <v>Abrir facsímil</v>
      </c>
      <c r="K7456" s="3" t="s">
        <v>76</v>
      </c>
    </row>
    <row r="7457" spans="1:11" ht="42" customHeight="1">
      <c r="A7457" s="2" t="s">
        <v>18803</v>
      </c>
      <c r="B7457" s="2" t="s">
        <v>18804</v>
      </c>
      <c r="C7457" s="2" t="s">
        <v>26</v>
      </c>
      <c r="D7457" s="2" t="s">
        <v>27</v>
      </c>
      <c r="E7457" s="4">
        <v>-32691</v>
      </c>
      <c r="F7457" s="3" t="s">
        <v>3021</v>
      </c>
      <c r="G7457" s="3" t="s">
        <v>1540</v>
      </c>
      <c r="H7457" s="2" t="s">
        <v>74</v>
      </c>
      <c r="I7457" s="2" t="s">
        <v>18807</v>
      </c>
      <c r="J7457" s="3" t="str">
        <f>HYPERLINK("https://www.boe.es/gazeta/dias/1810/06/29/pdfs/GEI-1810-40.pdf#page=1","Abrir facsímil")</f>
        <v>Abrir facsímil</v>
      </c>
      <c r="K7457" s="3" t="s">
        <v>76</v>
      </c>
    </row>
    <row r="7458" spans="1:11" ht="42" customHeight="1">
      <c r="A7458" s="2" t="s">
        <v>18803</v>
      </c>
      <c r="B7458" s="2" t="s">
        <v>18804</v>
      </c>
      <c r="C7458" s="2" t="s">
        <v>317</v>
      </c>
      <c r="D7458" s="2" t="s">
        <v>27</v>
      </c>
      <c r="E7458" s="4">
        <v>-32677</v>
      </c>
      <c r="F7458" s="3" t="s">
        <v>1940</v>
      </c>
      <c r="G7458" s="3" t="s">
        <v>7931</v>
      </c>
      <c r="H7458" s="2" t="s">
        <v>74</v>
      </c>
      <c r="I7458" s="2" t="s">
        <v>18808</v>
      </c>
      <c r="J7458" s="3" t="str">
        <f>HYPERLINK("https://www.boe.es/gazeta/dias/1810/07/13/pdfs/GEI-1810-44.pdf#page=6","Abrir facsímil")</f>
        <v>Abrir facsímil</v>
      </c>
      <c r="K7458" s="3" t="s">
        <v>76</v>
      </c>
    </row>
    <row r="7459" spans="1:11" ht="42" customHeight="1">
      <c r="A7459" s="2" t="s">
        <v>18803</v>
      </c>
      <c r="B7459" s="2" t="s">
        <v>18804</v>
      </c>
      <c r="C7459" s="2" t="s">
        <v>26</v>
      </c>
      <c r="D7459" s="2" t="s">
        <v>27</v>
      </c>
      <c r="E7459" s="4">
        <v>-32659</v>
      </c>
      <c r="F7459" s="3" t="s">
        <v>328</v>
      </c>
      <c r="G7459" s="3" t="s">
        <v>18809</v>
      </c>
      <c r="H7459" s="2" t="s">
        <v>74</v>
      </c>
      <c r="I7459" s="2" t="s">
        <v>18810</v>
      </c>
      <c r="J7459" s="3" t="str">
        <f>HYPERLINK("https://www.boe.es/gazeta/dias/1810/07/31/pdfs/GEI-1810-49.pdf#page=3","Abrir facsímil")</f>
        <v>Abrir facsímil</v>
      </c>
      <c r="K7459" s="3" t="s">
        <v>76</v>
      </c>
    </row>
    <row r="7460" spans="1:11" ht="42" customHeight="1">
      <c r="A7460" s="2" t="s">
        <v>18803</v>
      </c>
      <c r="B7460" s="2" t="s">
        <v>18804</v>
      </c>
      <c r="C7460" s="2" t="s">
        <v>88</v>
      </c>
      <c r="D7460" s="2" t="s">
        <v>117</v>
      </c>
      <c r="E7460" s="4">
        <v>-32645</v>
      </c>
      <c r="F7460" s="3" t="s">
        <v>122</v>
      </c>
      <c r="G7460" s="3" t="s">
        <v>588</v>
      </c>
      <c r="H7460" s="2" t="s">
        <v>74</v>
      </c>
      <c r="I7460" s="2" t="s">
        <v>18811</v>
      </c>
      <c r="J7460" s="3" t="str">
        <f>HYPERLINK("https://www.boe.es/gazeta/dias/1810/08/14/pdfs/GEI-1810-56.pdf#page=15","Abrir facsímil")</f>
        <v>Abrir facsímil</v>
      </c>
      <c r="K7460" s="3" t="s">
        <v>76</v>
      </c>
    </row>
    <row r="7461" spans="1:11" ht="42" customHeight="1">
      <c r="A7461" s="2" t="s">
        <v>18803</v>
      </c>
      <c r="B7461" s="2" t="s">
        <v>18804</v>
      </c>
      <c r="C7461" s="2" t="s">
        <v>26</v>
      </c>
      <c r="D7461" s="2" t="s">
        <v>39</v>
      </c>
      <c r="E7461" s="4">
        <v>-32624</v>
      </c>
      <c r="F7461" s="3" t="s">
        <v>6736</v>
      </c>
      <c r="G7461" s="3" t="s">
        <v>12205</v>
      </c>
      <c r="H7461" s="2" t="s">
        <v>74</v>
      </c>
      <c r="I7461" s="2" t="s">
        <v>18812</v>
      </c>
      <c r="J7461" s="3" t="str">
        <f>HYPERLINK("https://www.boe.es/gazeta/dias/1810/09/04/pdfs/GEI-D-1810-64.pdf#page=3","Abrir facsímil")</f>
        <v>Abrir facsímil</v>
      </c>
      <c r="K7461" s="3" t="s">
        <v>76</v>
      </c>
    </row>
    <row r="7462" spans="1:11" ht="42" customHeight="1">
      <c r="A7462" s="2" t="s">
        <v>18803</v>
      </c>
      <c r="B7462" s="2" t="s">
        <v>18804</v>
      </c>
      <c r="C7462" s="2" t="s">
        <v>26</v>
      </c>
      <c r="D7462" s="2" t="s">
        <v>18</v>
      </c>
      <c r="E7462" s="4">
        <v>-32543</v>
      </c>
      <c r="F7462" s="3" t="s">
        <v>69</v>
      </c>
      <c r="G7462" s="3" t="s">
        <v>18813</v>
      </c>
      <c r="H7462" s="2" t="s">
        <v>74</v>
      </c>
      <c r="I7462" s="2" t="s">
        <v>18814</v>
      </c>
      <c r="J7462" s="3" t="str">
        <f>HYPERLINK("https://www.boe.es/gazeta/dias/1810/11/24/pdfs/GEI-1810-99.pdf#page=5","Abrir facsímil")</f>
        <v>Abrir facsímil</v>
      </c>
      <c r="K7462" s="3" t="s">
        <v>76</v>
      </c>
    </row>
    <row r="7463" spans="1:11" ht="42" customHeight="1">
      <c r="A7463" s="2" t="s">
        <v>18803</v>
      </c>
      <c r="B7463" s="2" t="s">
        <v>18804</v>
      </c>
      <c r="C7463" s="2" t="s">
        <v>88</v>
      </c>
      <c r="D7463" s="2" t="s">
        <v>117</v>
      </c>
      <c r="E7463" s="4">
        <v>-32531</v>
      </c>
      <c r="F7463" s="3" t="s">
        <v>2483</v>
      </c>
      <c r="G7463" s="3" t="s">
        <v>2686</v>
      </c>
      <c r="H7463" s="2" t="s">
        <v>74</v>
      </c>
      <c r="I7463" s="2" t="s">
        <v>18815</v>
      </c>
      <c r="J7463" s="3" t="str">
        <f>HYPERLINK("https://www.boe.es/gazeta/dias/1810/12/06/pdfs/GEI-1810-104.pdf#page=8","Abrir facsímil")</f>
        <v>Abrir facsímil</v>
      </c>
      <c r="K7463" s="3" t="s">
        <v>76</v>
      </c>
    </row>
    <row r="7464" spans="1:11" ht="42" customHeight="1">
      <c r="A7464" s="2" t="s">
        <v>18803</v>
      </c>
      <c r="B7464" s="2" t="s">
        <v>18804</v>
      </c>
      <c r="C7464" s="2" t="s">
        <v>26</v>
      </c>
      <c r="D7464" s="2" t="s">
        <v>220</v>
      </c>
      <c r="E7464" s="4">
        <v>-32519</v>
      </c>
      <c r="F7464" s="3" t="s">
        <v>2299</v>
      </c>
      <c r="G7464" s="3" t="s">
        <v>2739</v>
      </c>
      <c r="H7464" s="2" t="s">
        <v>74</v>
      </c>
      <c r="I7464" s="2" t="s">
        <v>18816</v>
      </c>
      <c r="J7464" s="3" t="str">
        <f>HYPERLINK("https://www.boe.es/gazeta/dias/1810/12/18/pdfs/GEI-1810-109.pdf#page=6","Abrir facsímil")</f>
        <v>Abrir facsímil</v>
      </c>
      <c r="K7464" s="3" t="s">
        <v>76</v>
      </c>
    </row>
    <row r="7465" spans="1:11" ht="42" customHeight="1">
      <c r="A7465" s="2" t="s">
        <v>18817</v>
      </c>
      <c r="B7465" s="2" t="s">
        <v>18818</v>
      </c>
      <c r="C7465" s="2" t="s">
        <v>17</v>
      </c>
      <c r="D7465" s="2" t="s">
        <v>18</v>
      </c>
      <c r="E7465" s="4">
        <v>-32704</v>
      </c>
      <c r="F7465" s="3" t="s">
        <v>94</v>
      </c>
      <c r="G7465" s="3" t="s">
        <v>20</v>
      </c>
      <c r="H7465" s="2" t="s">
        <v>74</v>
      </c>
      <c r="I7465" s="2" t="s">
        <v>18819</v>
      </c>
      <c r="J7465" s="3" t="str">
        <f>HYPERLINK("https://www.boe.es/gazeta/dias/1810/06/16/pdfs/GMD-1810-167.pdf#page=4","Abrir facsímil")</f>
        <v>Abrir facsímil</v>
      </c>
      <c r="K7465" s="3" t="s">
        <v>76</v>
      </c>
    </row>
    <row r="7466" spans="1:11" ht="42" customHeight="1">
      <c r="A7466" s="2" t="s">
        <v>18820</v>
      </c>
      <c r="B7466" s="2" t="s">
        <v>18821</v>
      </c>
      <c r="C7466" s="2" t="s">
        <v>26</v>
      </c>
      <c r="D7466" s="2" t="s">
        <v>27</v>
      </c>
      <c r="E7466" s="4">
        <v>-32591</v>
      </c>
      <c r="F7466" s="3" t="s">
        <v>377</v>
      </c>
      <c r="G7466" s="3" t="s">
        <v>140</v>
      </c>
      <c r="H7466" s="2" t="s">
        <v>74</v>
      </c>
      <c r="I7466" s="2" t="s">
        <v>18822</v>
      </c>
      <c r="J7466" s="3" t="str">
        <f>HYPERLINK("https://www.boe.es/gazeta/dias/1810/10/07/pdfs/GMD-1810-280.pdf#page=4","Abrir facsímil")</f>
        <v>Abrir facsímil</v>
      </c>
      <c r="K7466" s="3" t="s">
        <v>76</v>
      </c>
    </row>
    <row r="7467" spans="1:11" ht="42" customHeight="1">
      <c r="A7467" s="2" t="s">
        <v>18823</v>
      </c>
      <c r="B7467" s="2" t="s">
        <v>18824</v>
      </c>
      <c r="C7467" s="2" t="s">
        <v>26</v>
      </c>
      <c r="D7467" s="2" t="s">
        <v>39</v>
      </c>
      <c r="E7467" s="4">
        <v>-32701</v>
      </c>
      <c r="F7467" s="3" t="s">
        <v>40</v>
      </c>
      <c r="G7467" s="3" t="s">
        <v>333</v>
      </c>
      <c r="H7467" s="2" t="s">
        <v>74</v>
      </c>
      <c r="I7467" s="2" t="s">
        <v>18825</v>
      </c>
      <c r="J7467" s="3" t="str">
        <f>HYPERLINK("https://www.boe.es/gazeta/dias/1810/06/19/pdfs/GMD-C-1810-170.pdf#page=4","Abrir facsímil")</f>
        <v>Abrir facsímil</v>
      </c>
      <c r="K7467" s="3" t="s">
        <v>76</v>
      </c>
    </row>
    <row r="7468" spans="1:11" ht="42" customHeight="1">
      <c r="A7468" s="2" t="s">
        <v>18826</v>
      </c>
      <c r="B7468" s="2" t="s">
        <v>18827</v>
      </c>
      <c r="C7468" s="2" t="s">
        <v>17</v>
      </c>
      <c r="D7468" s="2" t="s">
        <v>27</v>
      </c>
      <c r="E7468" s="4">
        <v>-32732</v>
      </c>
      <c r="F7468" s="3" t="s">
        <v>545</v>
      </c>
      <c r="G7468" s="3" t="s">
        <v>140</v>
      </c>
      <c r="H7468" s="2" t="s">
        <v>74</v>
      </c>
      <c r="I7468" s="2" t="s">
        <v>18828</v>
      </c>
      <c r="J7468" s="3" t="str">
        <f>HYPERLINK("https://www.boe.es/gazeta/dias/1810/05/19/pdfs/GMD-1810-139.pdf#page=3","Abrir facsímil")</f>
        <v>Abrir facsímil</v>
      </c>
      <c r="K7468" s="3" t="s">
        <v>76</v>
      </c>
    </row>
    <row r="7469" spans="1:11" ht="42" customHeight="1">
      <c r="A7469" s="2" t="s">
        <v>18829</v>
      </c>
      <c r="B7469" s="2" t="s">
        <v>18830</v>
      </c>
      <c r="C7469" s="2" t="s">
        <v>26</v>
      </c>
      <c r="D7469" s="2" t="s">
        <v>27</v>
      </c>
      <c r="E7469" s="4">
        <v>-32771</v>
      </c>
      <c r="F7469" s="3" t="s">
        <v>543</v>
      </c>
      <c r="G7469" s="3" t="s">
        <v>65</v>
      </c>
      <c r="H7469" s="2" t="s">
        <v>74</v>
      </c>
      <c r="I7469" s="2" t="s">
        <v>18831</v>
      </c>
      <c r="J7469" s="3" t="str">
        <f>HYPERLINK("https://www.boe.es/gazeta/dias/1810/04/10/pdfs/GEI-1810-13.pdf#page=7","Abrir facsímil")</f>
        <v>Abrir facsímil</v>
      </c>
      <c r="K7469" s="3" t="s">
        <v>76</v>
      </c>
    </row>
    <row r="7470" spans="1:11" ht="42" customHeight="1">
      <c r="A7470" s="2" t="s">
        <v>18832</v>
      </c>
      <c r="B7470" s="2" t="s">
        <v>18833</v>
      </c>
      <c r="C7470" s="2" t="s">
        <v>88</v>
      </c>
      <c r="D7470" s="2" t="s">
        <v>27</v>
      </c>
      <c r="E7470" s="4">
        <v>-32533</v>
      </c>
      <c r="F7470" s="3" t="s">
        <v>1357</v>
      </c>
      <c r="G7470" s="3" t="s">
        <v>1894</v>
      </c>
      <c r="H7470" s="2" t="s">
        <v>21</v>
      </c>
      <c r="I7470" s="2" t="s">
        <v>18834</v>
      </c>
      <c r="J7470" s="3" t="str">
        <f>HYPERLINK("https://www.boe.es/gazeta/dias/1810/12/04/pdfs/GEI-1810-103.pdf#page=7","Abrir facsímil")</f>
        <v>Abrir facsímil</v>
      </c>
      <c r="K7470" s="3" t="s">
        <v>23</v>
      </c>
    </row>
    <row r="7471" spans="1:11" ht="42" customHeight="1">
      <c r="A7471" s="2" t="s">
        <v>18835</v>
      </c>
      <c r="B7471" s="2" t="s">
        <v>18836</v>
      </c>
      <c r="C7471" s="2" t="s">
        <v>26</v>
      </c>
      <c r="D7471" s="2" t="s">
        <v>39</v>
      </c>
      <c r="E7471" s="4">
        <v>-32701</v>
      </c>
      <c r="F7471" s="3" t="s">
        <v>40</v>
      </c>
      <c r="G7471" s="3" t="s">
        <v>170</v>
      </c>
      <c r="H7471" s="2" t="s">
        <v>74</v>
      </c>
      <c r="I7471" s="2" t="s">
        <v>18837</v>
      </c>
      <c r="J7471" s="3" t="str">
        <f>HYPERLINK("https://www.boe.es/gazeta/dias/1810/06/19/pdfs/GMD-C-1810-170.pdf#page=1","Abrir facsímil")</f>
        <v>Abrir facsímil</v>
      </c>
      <c r="K7471" s="3" t="s">
        <v>76</v>
      </c>
    </row>
    <row r="7472" spans="1:11" ht="42" customHeight="1">
      <c r="A7472" s="2" t="s">
        <v>18838</v>
      </c>
      <c r="B7472" s="2" t="s">
        <v>18839</v>
      </c>
      <c r="C7472" s="2" t="s">
        <v>88</v>
      </c>
      <c r="D7472" s="2" t="s">
        <v>27</v>
      </c>
      <c r="E7472" s="4">
        <v>-32517</v>
      </c>
      <c r="F7472" s="3" t="s">
        <v>566</v>
      </c>
      <c r="G7472" s="3" t="s">
        <v>762</v>
      </c>
      <c r="H7472" s="2" t="s">
        <v>74</v>
      </c>
      <c r="I7472" s="2" t="s">
        <v>18840</v>
      </c>
      <c r="J7472" s="3" t="str">
        <f>HYPERLINK("https://www.boe.es/gazeta/dias/1810/12/20/pdfs/GEI-1810-110.pdf#page=8","Abrir facsímil")</f>
        <v>Abrir facsímil</v>
      </c>
      <c r="K7472" s="3" t="s">
        <v>76</v>
      </c>
    </row>
    <row r="7473" spans="1:11" ht="42" customHeight="1">
      <c r="A7473" s="2" t="s">
        <v>18841</v>
      </c>
      <c r="B7473" s="2" t="s">
        <v>18842</v>
      </c>
      <c r="C7473" s="2" t="s">
        <v>88</v>
      </c>
      <c r="D7473" s="2" t="s">
        <v>39</v>
      </c>
      <c r="E7473" s="4">
        <v>-32642</v>
      </c>
      <c r="F7473" s="3" t="s">
        <v>2273</v>
      </c>
      <c r="G7473" s="3" t="s">
        <v>274</v>
      </c>
      <c r="H7473" s="2" t="s">
        <v>74</v>
      </c>
      <c r="I7473" s="2" t="s">
        <v>18843</v>
      </c>
      <c r="J7473" s="3" t="str">
        <f>HYPERLINK("https://www.boe.es/gazeta/dias/1810/08/17/pdfs/GEI-D-1810-57.pdf#page=8","Abrir facsímil")</f>
        <v>Abrir facsímil</v>
      </c>
      <c r="K7473" s="3" t="s">
        <v>76</v>
      </c>
    </row>
    <row r="7474" spans="1:11" ht="42" customHeight="1">
      <c r="A7474" s="2" t="s">
        <v>18844</v>
      </c>
      <c r="B7474" s="2" t="s">
        <v>18844</v>
      </c>
      <c r="C7474" s="2" t="s">
        <v>26</v>
      </c>
      <c r="D7474" s="2" t="s">
        <v>39</v>
      </c>
      <c r="E7474" s="4">
        <v>-32664</v>
      </c>
      <c r="F7474" s="3" t="s">
        <v>18845</v>
      </c>
      <c r="G7474" s="3" t="s">
        <v>119</v>
      </c>
      <c r="H7474" s="2" t="s">
        <v>74</v>
      </c>
      <c r="I7474" s="2" t="s">
        <v>18846</v>
      </c>
      <c r="J7474" s="3" t="str">
        <f>HYPERLINK("https://www.boe.es/gazeta/dias/1810/07/26/pdfs/GMD-C-1810-207.pdf#page=1","Abrir facsímil")</f>
        <v>Abrir facsímil</v>
      </c>
      <c r="K7474" s="3" t="s">
        <v>76</v>
      </c>
    </row>
    <row r="7475" spans="1:11" ht="42" customHeight="1">
      <c r="A7475" s="2" t="s">
        <v>18847</v>
      </c>
      <c r="B7475" s="2" t="s">
        <v>18847</v>
      </c>
      <c r="C7475" s="2" t="s">
        <v>225</v>
      </c>
      <c r="D7475" s="2" t="s">
        <v>27</v>
      </c>
      <c r="E7475" s="4">
        <v>-32684</v>
      </c>
      <c r="F7475" s="3" t="s">
        <v>4741</v>
      </c>
      <c r="G7475" s="3" t="s">
        <v>70</v>
      </c>
      <c r="H7475" s="2" t="s">
        <v>74</v>
      </c>
      <c r="I7475" s="2" t="s">
        <v>18848</v>
      </c>
      <c r="J7475" s="3" t="str">
        <f>HYPERLINK("https://www.boe.es/gazeta/dias/1810/07/06/pdfs/GMD-1810-187.pdf#page=1","Abrir facsímil")</f>
        <v>Abrir facsímil</v>
      </c>
      <c r="K7475" s="3" t="s">
        <v>76</v>
      </c>
    </row>
    <row r="7476" spans="1:11" ht="42" customHeight="1">
      <c r="A7476" s="2" t="s">
        <v>18849</v>
      </c>
      <c r="B7476" s="2" t="s">
        <v>18850</v>
      </c>
      <c r="C7476" s="2" t="s">
        <v>26</v>
      </c>
      <c r="D7476" s="2" t="s">
        <v>27</v>
      </c>
      <c r="E7476" s="4">
        <v>-32543</v>
      </c>
      <c r="F7476" s="3" t="s">
        <v>69</v>
      </c>
      <c r="G7476" s="3" t="s">
        <v>84</v>
      </c>
      <c r="H7476" s="2" t="s">
        <v>74</v>
      </c>
      <c r="I7476" s="2" t="s">
        <v>18851</v>
      </c>
      <c r="J7476" s="3" t="str">
        <f>HYPERLINK("https://www.boe.es/gazeta/dias/1810/11/24/pdfs/GEI-1810-99.pdf#page=7","Abrir facsímil")</f>
        <v>Abrir facsímil</v>
      </c>
      <c r="K7476" s="3" t="s">
        <v>76</v>
      </c>
    </row>
    <row r="7477" spans="1:11" ht="42" customHeight="1">
      <c r="A7477" s="2" t="s">
        <v>18852</v>
      </c>
      <c r="B7477" s="2" t="s">
        <v>18853</v>
      </c>
      <c r="C7477" s="2" t="s">
        <v>26</v>
      </c>
      <c r="D7477" s="2" t="s">
        <v>27</v>
      </c>
      <c r="E7477" s="4">
        <v>-32647</v>
      </c>
      <c r="F7477" s="3" t="s">
        <v>118</v>
      </c>
      <c r="G7477" s="3" t="s">
        <v>119</v>
      </c>
      <c r="H7477" s="2" t="s">
        <v>74</v>
      </c>
      <c r="I7477" s="2" t="s">
        <v>18854</v>
      </c>
      <c r="J7477" s="3" t="str">
        <f>HYPERLINK("https://www.boe.es/gazeta/dias/1810/08/12/pdfs/GMD-1810-224.pdf#page=3","Abrir facsímil")</f>
        <v>Abrir facsímil</v>
      </c>
      <c r="K7477" s="3" t="s">
        <v>76</v>
      </c>
    </row>
    <row r="7478" spans="1:11" ht="42" customHeight="1">
      <c r="A7478" s="2" t="s">
        <v>18855</v>
      </c>
      <c r="B7478" s="2" t="s">
        <v>18856</v>
      </c>
      <c r="C7478" s="2" t="s">
        <v>88</v>
      </c>
      <c r="D7478" s="2" t="s">
        <v>220</v>
      </c>
      <c r="E7478" s="4">
        <v>-32696</v>
      </c>
      <c r="F7478" s="3" t="s">
        <v>1863</v>
      </c>
      <c r="G7478" s="3" t="s">
        <v>701</v>
      </c>
      <c r="H7478" s="2" t="s">
        <v>74</v>
      </c>
      <c r="I7478" s="2" t="s">
        <v>18857</v>
      </c>
      <c r="J7478" s="3" t="str">
        <f>HYPERLINK("https://www.boe.es/gazeta/dias/1810/06/24/pdfs/GMD-1810-175.pdf#page=4","Abrir facsímil")</f>
        <v>Abrir facsímil</v>
      </c>
      <c r="K7478" s="3" t="s">
        <v>76</v>
      </c>
    </row>
    <row r="7479" spans="1:11" ht="42" customHeight="1">
      <c r="A7479" s="2" t="s">
        <v>18858</v>
      </c>
      <c r="B7479" s="2" t="s">
        <v>18859</v>
      </c>
      <c r="C7479" s="2" t="s">
        <v>88</v>
      </c>
      <c r="D7479" s="2" t="s">
        <v>27</v>
      </c>
      <c r="E7479" s="4">
        <v>-32573</v>
      </c>
      <c r="F7479" s="3" t="s">
        <v>3120</v>
      </c>
      <c r="G7479" s="3" t="s">
        <v>1656</v>
      </c>
      <c r="H7479" s="2" t="s">
        <v>74</v>
      </c>
      <c r="I7479" s="2" t="s">
        <v>18860</v>
      </c>
      <c r="J7479" s="3" t="str">
        <f>HYPERLINK("https://www.boe.es/gazeta/dias/1810/10/25/pdfs/GEI-1810-86.pdf#page=3","Abrir facsímil")</f>
        <v>Abrir facsímil</v>
      </c>
      <c r="K7479" s="3" t="s">
        <v>76</v>
      </c>
    </row>
    <row r="7480" spans="1:11" ht="42" customHeight="1">
      <c r="A7480" s="2" t="s">
        <v>18861</v>
      </c>
      <c r="B7480" s="2" t="s">
        <v>18861</v>
      </c>
      <c r="C7480" s="2" t="s">
        <v>26</v>
      </c>
      <c r="D7480" s="2" t="s">
        <v>27</v>
      </c>
      <c r="E7480" s="4">
        <v>-32568</v>
      </c>
      <c r="F7480" s="3" t="s">
        <v>683</v>
      </c>
      <c r="G7480" s="3" t="s">
        <v>18862</v>
      </c>
      <c r="H7480" s="2" t="s">
        <v>74</v>
      </c>
      <c r="I7480" s="2" t="s">
        <v>18863</v>
      </c>
      <c r="J7480" s="3" t="str">
        <f>HYPERLINK("https://www.boe.es/gazeta/dias/1810/10/30/pdfs/GEI-1810-88.pdf#page=4","Abrir facsímil")</f>
        <v>Abrir facsímil</v>
      </c>
      <c r="K7480" s="3" t="s">
        <v>76</v>
      </c>
    </row>
    <row r="7481" spans="1:11" ht="42" customHeight="1">
      <c r="A7481" s="2" t="s">
        <v>18864</v>
      </c>
      <c r="B7481" s="2" t="s">
        <v>18865</v>
      </c>
      <c r="C7481" s="2" t="s">
        <v>225</v>
      </c>
      <c r="D7481" s="2" t="s">
        <v>117</v>
      </c>
      <c r="E7481" s="4">
        <v>-32761</v>
      </c>
      <c r="F7481" s="3" t="s">
        <v>811</v>
      </c>
      <c r="G7481" s="3" t="s">
        <v>140</v>
      </c>
      <c r="H7481" s="2" t="s">
        <v>74</v>
      </c>
      <c r="I7481" s="2" t="s">
        <v>18866</v>
      </c>
      <c r="J7481" s="3" t="str">
        <f>HYPERLINK("https://www.boe.es/gazeta/dias/1810/04/20/pdfs/GEI-1810-16.pdf#page=8","Abrir facsímil")</f>
        <v>Abrir facsímil</v>
      </c>
      <c r="K7481" s="3" t="s">
        <v>76</v>
      </c>
    </row>
    <row r="7482" spans="1:11" ht="42" customHeight="1">
      <c r="A7482" s="2" t="s">
        <v>18867</v>
      </c>
      <c r="B7482" s="2" t="s">
        <v>18868</v>
      </c>
      <c r="C7482" s="2" t="s">
        <v>225</v>
      </c>
      <c r="D7482" s="2" t="s">
        <v>27</v>
      </c>
      <c r="E7482" s="4">
        <v>-32729</v>
      </c>
      <c r="F7482" s="3" t="s">
        <v>174</v>
      </c>
      <c r="G7482" s="3" t="s">
        <v>70</v>
      </c>
      <c r="H7482" s="2" t="s">
        <v>74</v>
      </c>
      <c r="I7482" s="2" t="s">
        <v>18869</v>
      </c>
      <c r="J7482" s="3" t="str">
        <f>HYPERLINK("https://www.boe.es/gazeta/dias/1810/05/22/pdfs/GEI-1810-28.pdf#page=7","Abrir facsímil")</f>
        <v>Abrir facsímil</v>
      </c>
      <c r="K7482" s="3" t="s">
        <v>76</v>
      </c>
    </row>
    <row r="7483" spans="1:11" ht="42" customHeight="1">
      <c r="A7483" s="2" t="s">
        <v>18870</v>
      </c>
      <c r="B7483" s="2" t="s">
        <v>18870</v>
      </c>
      <c r="C7483" s="2" t="s">
        <v>225</v>
      </c>
      <c r="D7483" s="2" t="s">
        <v>220</v>
      </c>
      <c r="E7483" s="4">
        <v>-32631</v>
      </c>
      <c r="F7483" s="3" t="s">
        <v>497</v>
      </c>
      <c r="G7483" s="3" t="s">
        <v>16035</v>
      </c>
      <c r="H7483" s="2" t="s">
        <v>74</v>
      </c>
      <c r="I7483" s="2" t="s">
        <v>18871</v>
      </c>
      <c r="J7483" s="3" t="str">
        <f>HYPERLINK("https://www.boe.es/gazeta/dias/1810/08/28/pdfs/GMD-1810-240.pdf#page=1","Abrir facsímil")</f>
        <v>Abrir facsímil</v>
      </c>
      <c r="K7483" s="3" t="s">
        <v>76</v>
      </c>
    </row>
    <row r="7484" spans="1:11" ht="42" customHeight="1">
      <c r="A7484" s="2" t="s">
        <v>18872</v>
      </c>
      <c r="B7484" s="2" t="s">
        <v>18873</v>
      </c>
      <c r="C7484" s="2" t="s">
        <v>26</v>
      </c>
      <c r="D7484" s="2" t="s">
        <v>27</v>
      </c>
      <c r="E7484" s="4">
        <v>-32754</v>
      </c>
      <c r="F7484" s="3" t="s">
        <v>1057</v>
      </c>
      <c r="G7484" s="3" t="s">
        <v>18874</v>
      </c>
      <c r="H7484" s="2" t="s">
        <v>74</v>
      </c>
      <c r="I7484" s="2" t="s">
        <v>18875</v>
      </c>
      <c r="J7484" s="3" t="str">
        <f>HYPERLINK("https://www.boe.es/gazeta/dias/1810/04/27/pdfs/GEI-1810-18.pdf#page=4","Abrir facsímil")</f>
        <v>Abrir facsímil</v>
      </c>
      <c r="K7484" s="3" t="s">
        <v>76</v>
      </c>
    </row>
    <row r="7485" spans="1:11" ht="42" customHeight="1">
      <c r="A7485" s="2" t="s">
        <v>18876</v>
      </c>
      <c r="B7485" s="2" t="s">
        <v>18877</v>
      </c>
      <c r="C7485" s="2" t="s">
        <v>26</v>
      </c>
      <c r="D7485" s="2" t="s">
        <v>27</v>
      </c>
      <c r="E7485" s="4">
        <v>-32719</v>
      </c>
      <c r="F7485" s="3" t="s">
        <v>5543</v>
      </c>
      <c r="G7485" s="3" t="s">
        <v>1616</v>
      </c>
      <c r="H7485" s="2" t="s">
        <v>74</v>
      </c>
      <c r="I7485" s="2" t="s">
        <v>18878</v>
      </c>
      <c r="J7485" s="3" t="str">
        <f>HYPERLINK("https://www.boe.es/gazeta/dias/1810/06/01/pdfs/GEI-1810-32.pdf#page=8","Abrir facsímil")</f>
        <v>Abrir facsímil</v>
      </c>
      <c r="K7485" s="3" t="s">
        <v>76</v>
      </c>
    </row>
    <row r="7486" spans="1:11" ht="42" customHeight="1">
      <c r="A7486" s="2" t="s">
        <v>18879</v>
      </c>
      <c r="B7486" s="2" t="s">
        <v>18879</v>
      </c>
      <c r="C7486" s="2" t="s">
        <v>88</v>
      </c>
      <c r="D7486" s="2" t="s">
        <v>27</v>
      </c>
      <c r="E7486" s="4">
        <v>-32603</v>
      </c>
      <c r="F7486" s="3" t="s">
        <v>2163</v>
      </c>
      <c r="G7486" s="3" t="s">
        <v>140</v>
      </c>
      <c r="H7486" s="2" t="s">
        <v>74</v>
      </c>
      <c r="I7486" s="2" t="s">
        <v>18880</v>
      </c>
      <c r="J7486" s="3" t="str">
        <f>HYPERLINK("https://www.boe.es/gazeta/dias/1810/09/25/pdfs/GEI-1810-72.pdf#page=1","Abrir facsímil")</f>
        <v>Abrir facsímil</v>
      </c>
      <c r="K7486" s="3" t="s">
        <v>76</v>
      </c>
    </row>
    <row r="7487" spans="1:11" ht="42" customHeight="1">
      <c r="A7487" s="2" t="s">
        <v>18881</v>
      </c>
      <c r="B7487" s="2" t="s">
        <v>18882</v>
      </c>
      <c r="C7487" s="2" t="s">
        <v>26</v>
      </c>
      <c r="D7487" s="2" t="s">
        <v>18</v>
      </c>
      <c r="E7487" s="4">
        <v>-32734</v>
      </c>
      <c r="F7487" s="3" t="s">
        <v>19</v>
      </c>
      <c r="G7487" s="3" t="s">
        <v>20</v>
      </c>
      <c r="H7487" s="2" t="s">
        <v>74</v>
      </c>
      <c r="I7487" s="2" t="s">
        <v>18883</v>
      </c>
      <c r="J7487" s="3" t="str">
        <f>HYPERLINK("https://www.boe.es/gazeta/dias/1810/05/17/pdfs/GMD-1810-137.pdf#page=4","Abrir facsímil")</f>
        <v>Abrir facsímil</v>
      </c>
      <c r="K7487" s="3" t="s">
        <v>76</v>
      </c>
    </row>
    <row r="7488" spans="1:11" ht="42" customHeight="1">
      <c r="A7488" s="2" t="s">
        <v>18881</v>
      </c>
      <c r="B7488" s="2" t="s">
        <v>18882</v>
      </c>
      <c r="C7488" s="2" t="s">
        <v>26</v>
      </c>
      <c r="D7488" s="2" t="s">
        <v>27</v>
      </c>
      <c r="E7488" s="4">
        <v>-32733</v>
      </c>
      <c r="F7488" s="3" t="s">
        <v>955</v>
      </c>
      <c r="G7488" s="3" t="s">
        <v>20</v>
      </c>
      <c r="H7488" s="2" t="s">
        <v>74</v>
      </c>
      <c r="I7488" s="2" t="s">
        <v>18884</v>
      </c>
      <c r="J7488" s="3" t="str">
        <f>HYPERLINK("https://www.boe.es/gazeta/dias/1810/05/18/pdfs/GEI-1810-27.pdf#page=4","Abrir facsímil")</f>
        <v>Abrir facsímil</v>
      </c>
      <c r="K7488" s="3" t="s">
        <v>76</v>
      </c>
    </row>
    <row r="7489" spans="1:11" ht="42" customHeight="1">
      <c r="A7489" s="2" t="s">
        <v>18885</v>
      </c>
      <c r="B7489" s="2" t="s">
        <v>18886</v>
      </c>
      <c r="C7489" s="2" t="s">
        <v>88</v>
      </c>
      <c r="D7489" s="2" t="s">
        <v>27</v>
      </c>
      <c r="E7489" s="4">
        <v>-32710</v>
      </c>
      <c r="F7489" s="3" t="s">
        <v>126</v>
      </c>
      <c r="G7489" s="3" t="s">
        <v>20</v>
      </c>
      <c r="H7489" s="2" t="s">
        <v>74</v>
      </c>
      <c r="I7489" s="2" t="s">
        <v>18887</v>
      </c>
      <c r="J7489" s="3" t="str">
        <f>HYPERLINK("https://www.boe.es/gazeta/dias/1810/06/10/pdfs/GMD-1810-161.pdf#page=4","Abrir facsímil")</f>
        <v>Abrir facsímil</v>
      </c>
      <c r="K7489" s="3" t="s">
        <v>76</v>
      </c>
    </row>
    <row r="7490" spans="1:11" ht="42" customHeight="1">
      <c r="A7490" s="2" t="s">
        <v>18888</v>
      </c>
      <c r="B7490" s="2" t="s">
        <v>18888</v>
      </c>
      <c r="C7490" s="2" t="s">
        <v>26</v>
      </c>
      <c r="D7490" s="2" t="s">
        <v>27</v>
      </c>
      <c r="E7490" s="4">
        <v>-32809</v>
      </c>
      <c r="F7490" s="3" t="s">
        <v>1873</v>
      </c>
      <c r="G7490" s="3" t="s">
        <v>735</v>
      </c>
      <c r="H7490" s="2" t="s">
        <v>74</v>
      </c>
      <c r="I7490" s="2" t="s">
        <v>18889</v>
      </c>
      <c r="J7490" s="3" t="str">
        <f>HYPERLINK("https://www.boe.es/gazeta/dias/1810/03/03/pdfs/GMD-1810-62.pdf#page=4","Abrir facsímil")</f>
        <v>Abrir facsímil</v>
      </c>
      <c r="K7490" s="3" t="s">
        <v>76</v>
      </c>
    </row>
    <row r="7491" spans="1:11" ht="42" customHeight="1">
      <c r="A7491" s="2" t="s">
        <v>18888</v>
      </c>
      <c r="B7491" s="2" t="s">
        <v>18888</v>
      </c>
      <c r="C7491" s="2" t="s">
        <v>26</v>
      </c>
      <c r="D7491" s="2" t="s">
        <v>39</v>
      </c>
      <c r="E7491" s="4">
        <v>-32701</v>
      </c>
      <c r="F7491" s="3" t="s">
        <v>40</v>
      </c>
      <c r="G7491" s="3" t="s">
        <v>333</v>
      </c>
      <c r="H7491" s="2" t="s">
        <v>74</v>
      </c>
      <c r="I7491" s="2" t="s">
        <v>18890</v>
      </c>
      <c r="J7491" s="3" t="str">
        <f>HYPERLINK("https://www.boe.es/gazeta/dias/1810/06/19/pdfs/GMD-C-1810-170.pdf#page=4","Abrir facsímil")</f>
        <v>Abrir facsímil</v>
      </c>
      <c r="K7491" s="3" t="s">
        <v>76</v>
      </c>
    </row>
    <row r="7492" spans="1:11" ht="42" customHeight="1">
      <c r="A7492" s="2" t="s">
        <v>18888</v>
      </c>
      <c r="B7492" s="2" t="s">
        <v>18888</v>
      </c>
      <c r="C7492" s="2" t="s">
        <v>88</v>
      </c>
      <c r="D7492" s="2" t="s">
        <v>27</v>
      </c>
      <c r="E7492" s="4">
        <v>-32566</v>
      </c>
      <c r="F7492" s="3" t="s">
        <v>405</v>
      </c>
      <c r="G7492" s="3" t="s">
        <v>469</v>
      </c>
      <c r="H7492" s="2" t="s">
        <v>74</v>
      </c>
      <c r="I7492" s="2" t="s">
        <v>18891</v>
      </c>
      <c r="J7492" s="3" t="str">
        <f>HYPERLINK("https://www.boe.es/gazeta/dias/1810/11/01/pdfs/GMD-1810-305.pdf#page=2","Abrir facsímil")</f>
        <v>Abrir facsímil</v>
      </c>
      <c r="K7492" s="3" t="s">
        <v>76</v>
      </c>
    </row>
    <row r="7493" spans="1:11" ht="42" customHeight="1">
      <c r="A7493" s="2" t="s">
        <v>18888</v>
      </c>
      <c r="B7493" s="2" t="s">
        <v>18888</v>
      </c>
      <c r="C7493" s="2" t="s">
        <v>88</v>
      </c>
      <c r="D7493" s="2" t="s">
        <v>27</v>
      </c>
      <c r="E7493" s="4">
        <v>-32566</v>
      </c>
      <c r="F7493" s="3" t="s">
        <v>405</v>
      </c>
      <c r="G7493" s="3" t="s">
        <v>99</v>
      </c>
      <c r="H7493" s="2" t="s">
        <v>74</v>
      </c>
      <c r="I7493" s="2" t="s">
        <v>18892</v>
      </c>
      <c r="J7493" s="3" t="str">
        <f>HYPERLINK("https://www.boe.es/gazeta/dias/1810/11/01/pdfs/GMD-1810-305.pdf#page=3","Abrir facsímil")</f>
        <v>Abrir facsímil</v>
      </c>
      <c r="K7493" s="3" t="s">
        <v>76</v>
      </c>
    </row>
    <row r="7494" spans="1:11" ht="42" customHeight="1">
      <c r="A7494" s="2" t="s">
        <v>18893</v>
      </c>
      <c r="B7494" s="2" t="s">
        <v>18894</v>
      </c>
      <c r="C7494" s="2" t="s">
        <v>26</v>
      </c>
      <c r="D7494" s="2" t="s">
        <v>27</v>
      </c>
      <c r="E7494" s="4">
        <v>-32584</v>
      </c>
      <c r="F7494" s="3" t="s">
        <v>1560</v>
      </c>
      <c r="G7494" s="3" t="s">
        <v>971</v>
      </c>
      <c r="H7494" s="2" t="s">
        <v>74</v>
      </c>
      <c r="I7494" s="2" t="s">
        <v>18895</v>
      </c>
      <c r="J7494" s="3" t="str">
        <f>HYPERLINK("https://www.boe.es/gazeta/dias/1810/10/14/pdfs/GMD-1810-287.pdf#page=3","Abrir facsímil")</f>
        <v>Abrir facsímil</v>
      </c>
      <c r="K7494" s="3" t="s">
        <v>76</v>
      </c>
    </row>
    <row r="7495" spans="1:11" ht="42" customHeight="1">
      <c r="A7495" s="2" t="s">
        <v>18896</v>
      </c>
      <c r="B7495" s="2" t="s">
        <v>18897</v>
      </c>
      <c r="C7495" s="2" t="s">
        <v>17</v>
      </c>
      <c r="D7495" s="2" t="s">
        <v>27</v>
      </c>
      <c r="E7495" s="4">
        <v>-32637</v>
      </c>
      <c r="F7495" s="3" t="s">
        <v>18898</v>
      </c>
      <c r="G7495" s="3" t="s">
        <v>9795</v>
      </c>
      <c r="H7495" s="2" t="s">
        <v>74</v>
      </c>
      <c r="I7495" s="2" t="s">
        <v>18899</v>
      </c>
      <c r="J7495" s="3" t="str">
        <f>HYPERLINK("https://www.boe.es/gazeta/dias/1810/08/22/pdfs/GMD-1810-234.pdf#page=4","Abrir facsímil")</f>
        <v>Abrir facsímil</v>
      </c>
      <c r="K7495" s="3" t="s">
        <v>76</v>
      </c>
    </row>
    <row r="7496" spans="1:11" ht="42" customHeight="1">
      <c r="A7496" s="2" t="s">
        <v>18900</v>
      </c>
      <c r="B7496" s="2" t="s">
        <v>18901</v>
      </c>
      <c r="C7496" s="2" t="s">
        <v>26</v>
      </c>
      <c r="D7496" s="2" t="s">
        <v>27</v>
      </c>
      <c r="E7496" s="4">
        <v>-32674</v>
      </c>
      <c r="F7496" s="3" t="s">
        <v>1319</v>
      </c>
      <c r="G7496" s="3" t="s">
        <v>235</v>
      </c>
      <c r="H7496" s="2" t="s">
        <v>74</v>
      </c>
      <c r="I7496" s="2" t="s">
        <v>18902</v>
      </c>
      <c r="J7496" s="3" t="str">
        <f>HYPERLINK("https://www.boe.es/gazeta/dias/1810/07/16/pdfs/GMD-1810-197.pdf#page=4","Abrir facsímil")</f>
        <v>Abrir facsímil</v>
      </c>
      <c r="K7496" s="3" t="s">
        <v>76</v>
      </c>
    </row>
    <row r="7497" spans="1:11" ht="42" customHeight="1">
      <c r="A7497" s="2" t="s">
        <v>18903</v>
      </c>
      <c r="B7497" s="2" t="s">
        <v>18904</v>
      </c>
      <c r="C7497" s="2" t="s">
        <v>17</v>
      </c>
      <c r="D7497" s="2" t="s">
        <v>18</v>
      </c>
      <c r="E7497" s="4">
        <v>-32562</v>
      </c>
      <c r="F7497" s="3" t="s">
        <v>1186</v>
      </c>
      <c r="G7497" s="3" t="s">
        <v>29</v>
      </c>
      <c r="H7497" s="2" t="s">
        <v>74</v>
      </c>
      <c r="I7497" s="2" t="s">
        <v>18905</v>
      </c>
      <c r="J7497" s="3" t="str">
        <f>HYPERLINK("https://www.boe.es/gazeta/dias/1810/11/05/pdfs/GMD-1810-309.pdf#page=2","Abrir facsímil")</f>
        <v>Abrir facsímil</v>
      </c>
      <c r="K7497" s="3" t="s">
        <v>76</v>
      </c>
    </row>
    <row r="7498" spans="1:11" ht="42" customHeight="1">
      <c r="A7498" s="2" t="s">
        <v>18906</v>
      </c>
      <c r="B7498" s="2" t="s">
        <v>18906</v>
      </c>
      <c r="C7498" s="2" t="s">
        <v>88</v>
      </c>
      <c r="D7498" s="2" t="s">
        <v>18</v>
      </c>
      <c r="E7498" s="4">
        <v>-32566</v>
      </c>
      <c r="F7498" s="3" t="s">
        <v>405</v>
      </c>
      <c r="G7498" s="3" t="s">
        <v>469</v>
      </c>
      <c r="H7498" s="2" t="s">
        <v>74</v>
      </c>
      <c r="I7498" s="2" t="s">
        <v>18907</v>
      </c>
      <c r="J7498" s="3" t="str">
        <f>HYPERLINK("https://www.boe.es/gazeta/dias/1810/11/01/pdfs/GMD-1810-305.pdf#page=2","Abrir facsímil")</f>
        <v>Abrir facsímil</v>
      </c>
      <c r="K7498" s="3" t="s">
        <v>76</v>
      </c>
    </row>
    <row r="7499" spans="1:11" ht="42" customHeight="1">
      <c r="A7499" s="2" t="s">
        <v>18908</v>
      </c>
      <c r="B7499" s="2" t="s">
        <v>18909</v>
      </c>
      <c r="C7499" s="2" t="s">
        <v>26</v>
      </c>
      <c r="D7499" s="2" t="s">
        <v>39</v>
      </c>
      <c r="E7499" s="4">
        <v>-32701</v>
      </c>
      <c r="F7499" s="3" t="s">
        <v>40</v>
      </c>
      <c r="G7499" s="3" t="s">
        <v>315</v>
      </c>
      <c r="H7499" s="2" t="s">
        <v>74</v>
      </c>
      <c r="I7499" s="2" t="s">
        <v>18910</v>
      </c>
      <c r="J7499" s="3" t="str">
        <f>HYPERLINK("https://www.boe.es/gazeta/dias/1810/06/19/pdfs/GMD-C-1810-170.pdf#page=2","Abrir facsímil")</f>
        <v>Abrir facsímil</v>
      </c>
      <c r="K7499" s="3" t="s">
        <v>76</v>
      </c>
    </row>
    <row r="7500" spans="1:11" ht="42" customHeight="1">
      <c r="A7500" s="2" t="s">
        <v>18911</v>
      </c>
      <c r="B7500" s="2" t="s">
        <v>18911</v>
      </c>
      <c r="C7500" s="2" t="s">
        <v>26</v>
      </c>
      <c r="D7500" s="2" t="s">
        <v>39</v>
      </c>
      <c r="E7500" s="4">
        <v>-32684</v>
      </c>
      <c r="F7500" s="3" t="s">
        <v>295</v>
      </c>
      <c r="G7500" s="3" t="s">
        <v>296</v>
      </c>
      <c r="H7500" s="2" t="s">
        <v>74</v>
      </c>
      <c r="I7500" s="2" t="s">
        <v>18912</v>
      </c>
      <c r="J7500" s="3" t="str">
        <f>HYPERLINK("https://www.boe.es/gazeta/dias/1810/07/06/pdfs/GMD-C-1810-187.pdf#page=4","Abrir facsímil")</f>
        <v>Abrir facsímil</v>
      </c>
      <c r="K7500" s="3" t="s">
        <v>76</v>
      </c>
    </row>
    <row r="7501" spans="1:11" ht="42" customHeight="1">
      <c r="A7501" s="2" t="s">
        <v>18913</v>
      </c>
      <c r="B7501" s="2" t="s">
        <v>18914</v>
      </c>
      <c r="C7501" s="2" t="s">
        <v>88</v>
      </c>
      <c r="D7501" s="2" t="s">
        <v>27</v>
      </c>
      <c r="E7501" s="4">
        <v>-32510</v>
      </c>
      <c r="F7501" s="3" t="s">
        <v>1955</v>
      </c>
      <c r="G7501" s="3" t="s">
        <v>140</v>
      </c>
      <c r="H7501" s="2" t="s">
        <v>74</v>
      </c>
      <c r="I7501" s="2" t="s">
        <v>18915</v>
      </c>
      <c r="J7501" s="3" t="str">
        <f>HYPERLINK("https://www.boe.es/gazeta/dias/1810/12/27/pdfs/GEI-1810-113.pdf#page=8","Abrir facsímil")</f>
        <v>Abrir facsímil</v>
      </c>
      <c r="K7501" s="3" t="s">
        <v>76</v>
      </c>
    </row>
    <row r="7502" spans="1:11" ht="42" customHeight="1">
      <c r="A7502" s="2" t="s">
        <v>18916</v>
      </c>
      <c r="B7502" s="2" t="s">
        <v>18917</v>
      </c>
      <c r="C7502" s="2" t="s">
        <v>26</v>
      </c>
      <c r="D7502" s="2" t="s">
        <v>18</v>
      </c>
      <c r="E7502" s="4">
        <v>-32809</v>
      </c>
      <c r="F7502" s="3" t="s">
        <v>1873</v>
      </c>
      <c r="G7502" s="3" t="s">
        <v>735</v>
      </c>
      <c r="H7502" s="2" t="s">
        <v>74</v>
      </c>
      <c r="I7502" s="2" t="s">
        <v>18918</v>
      </c>
      <c r="J7502" s="3" t="str">
        <f>HYPERLINK("https://www.boe.es/gazeta/dias/1810/03/03/pdfs/GMD-1810-62.pdf#page=4","Abrir facsímil")</f>
        <v>Abrir facsímil</v>
      </c>
      <c r="K7502" s="3" t="s">
        <v>76</v>
      </c>
    </row>
    <row r="7503" spans="1:11" ht="42" customHeight="1">
      <c r="A7503" s="2" t="s">
        <v>18919</v>
      </c>
      <c r="B7503" s="2" t="s">
        <v>18920</v>
      </c>
      <c r="C7503" s="2" t="s">
        <v>225</v>
      </c>
      <c r="D7503" s="2" t="s">
        <v>27</v>
      </c>
      <c r="E7503" s="4">
        <v>-32761</v>
      </c>
      <c r="F7503" s="3" t="s">
        <v>811</v>
      </c>
      <c r="G7503" s="3" t="s">
        <v>140</v>
      </c>
      <c r="H7503" s="2" t="s">
        <v>74</v>
      </c>
      <c r="I7503" s="2" t="s">
        <v>18921</v>
      </c>
      <c r="J7503" s="3" t="str">
        <f>HYPERLINK("https://www.boe.es/gazeta/dias/1810/04/20/pdfs/GEI-1810-16.pdf#page=8","Abrir facsímil")</f>
        <v>Abrir facsímil</v>
      </c>
      <c r="K7503" s="3" t="s">
        <v>76</v>
      </c>
    </row>
    <row r="7504" spans="1:11" ht="42" customHeight="1">
      <c r="A7504" s="2" t="s">
        <v>18922</v>
      </c>
      <c r="B7504" s="2" t="s">
        <v>18923</v>
      </c>
      <c r="C7504" s="2" t="s">
        <v>88</v>
      </c>
      <c r="D7504" s="2" t="s">
        <v>27</v>
      </c>
      <c r="E7504" s="4">
        <v>-32657</v>
      </c>
      <c r="F7504" s="3" t="s">
        <v>7977</v>
      </c>
      <c r="G7504" s="3" t="s">
        <v>119</v>
      </c>
      <c r="H7504" s="2" t="s">
        <v>74</v>
      </c>
      <c r="I7504" s="2" t="s">
        <v>18924</v>
      </c>
      <c r="J7504" s="3" t="str">
        <f>HYPERLINK("https://www.boe.es/gazeta/dias/1810/08/02/pdfs/GMD-1810-214.pdf#page=2","Abrir facsímil")</f>
        <v>Abrir facsímil</v>
      </c>
      <c r="K7504" s="3" t="s">
        <v>76</v>
      </c>
    </row>
    <row r="7505" spans="1:11" ht="42" customHeight="1">
      <c r="A7505" s="2" t="s">
        <v>18925</v>
      </c>
      <c r="B7505" s="2" t="s">
        <v>18926</v>
      </c>
      <c r="C7505" s="2" t="s">
        <v>26</v>
      </c>
      <c r="D7505" s="2" t="s">
        <v>39</v>
      </c>
      <c r="E7505" s="4">
        <v>-32701</v>
      </c>
      <c r="F7505" s="3" t="s">
        <v>40</v>
      </c>
      <c r="G7505" s="3" t="s">
        <v>315</v>
      </c>
      <c r="H7505" s="2" t="s">
        <v>74</v>
      </c>
      <c r="I7505" s="2" t="s">
        <v>18927</v>
      </c>
      <c r="J7505" s="3" t="str">
        <f>HYPERLINK("https://www.boe.es/gazeta/dias/1810/06/19/pdfs/GMD-C-1810-170.pdf#page=2","Abrir facsímil")</f>
        <v>Abrir facsímil</v>
      </c>
      <c r="K7505" s="3" t="s">
        <v>76</v>
      </c>
    </row>
    <row r="7506" spans="1:11" ht="42" customHeight="1">
      <c r="A7506" s="2" t="s">
        <v>18928</v>
      </c>
      <c r="B7506" s="2" t="s">
        <v>18929</v>
      </c>
      <c r="C7506" s="2" t="s">
        <v>26</v>
      </c>
      <c r="D7506" s="2" t="s">
        <v>27</v>
      </c>
      <c r="E7506" s="4">
        <v>-32543</v>
      </c>
      <c r="F7506" s="3" t="s">
        <v>69</v>
      </c>
      <c r="G7506" s="3" t="s">
        <v>70</v>
      </c>
      <c r="H7506" s="2" t="s">
        <v>74</v>
      </c>
      <c r="I7506" s="2" t="s">
        <v>18930</v>
      </c>
      <c r="J7506" s="3" t="str">
        <f>HYPERLINK("https://www.boe.es/gazeta/dias/1810/11/24/pdfs/GEI-1810-99.pdf#page=8","Abrir facsímil")</f>
        <v>Abrir facsímil</v>
      </c>
      <c r="K7506" s="3" t="s">
        <v>76</v>
      </c>
    </row>
    <row r="7507" spans="1:11" ht="42" customHeight="1">
      <c r="A7507" s="2" t="s">
        <v>18931</v>
      </c>
      <c r="B7507" s="2" t="s">
        <v>18932</v>
      </c>
      <c r="C7507" s="2" t="s">
        <v>88</v>
      </c>
      <c r="D7507" s="2" t="s">
        <v>27</v>
      </c>
      <c r="E7507" s="4">
        <v>-32745</v>
      </c>
      <c r="F7507" s="3" t="s">
        <v>7101</v>
      </c>
      <c r="G7507" s="3" t="s">
        <v>70</v>
      </c>
      <c r="H7507" s="2" t="s">
        <v>74</v>
      </c>
      <c r="I7507" s="2" t="s">
        <v>18933</v>
      </c>
      <c r="J7507" s="3" t="str">
        <f>HYPERLINK("https://www.boe.es/gazeta/dias/1810/05/06/pdfs/GMD-1810-126.pdf#page=4","Abrir facsímil")</f>
        <v>Abrir facsímil</v>
      </c>
      <c r="K7507" s="3" t="s">
        <v>76</v>
      </c>
    </row>
    <row r="7508" spans="1:11" ht="42" customHeight="1">
      <c r="A7508" s="2" t="s">
        <v>18934</v>
      </c>
      <c r="B7508" s="2" t="s">
        <v>18935</v>
      </c>
      <c r="C7508" s="2" t="s">
        <v>225</v>
      </c>
      <c r="D7508" s="2" t="s">
        <v>27</v>
      </c>
      <c r="E7508" s="4">
        <v>-32729</v>
      </c>
      <c r="F7508" s="3" t="s">
        <v>174</v>
      </c>
      <c r="G7508" s="3" t="s">
        <v>70</v>
      </c>
      <c r="H7508" s="2" t="s">
        <v>74</v>
      </c>
      <c r="I7508" s="2" t="s">
        <v>18936</v>
      </c>
      <c r="J7508" s="3" t="str">
        <f>HYPERLINK("https://www.boe.es/gazeta/dias/1810/05/22/pdfs/GEI-1810-28.pdf#page=7","Abrir facsímil")</f>
        <v>Abrir facsímil</v>
      </c>
      <c r="K7508" s="3" t="s">
        <v>76</v>
      </c>
    </row>
    <row r="7509" spans="1:11" ht="42" customHeight="1">
      <c r="A7509" s="2" t="s">
        <v>18937</v>
      </c>
      <c r="B7509" s="2" t="s">
        <v>18938</v>
      </c>
      <c r="C7509" s="2" t="s">
        <v>88</v>
      </c>
      <c r="D7509" s="2" t="s">
        <v>117</v>
      </c>
      <c r="E7509" s="4">
        <v>-32691</v>
      </c>
      <c r="F7509" s="3" t="s">
        <v>727</v>
      </c>
      <c r="G7509" s="3" t="s">
        <v>807</v>
      </c>
      <c r="H7509" s="2" t="s">
        <v>74</v>
      </c>
      <c r="I7509" s="2" t="s">
        <v>18939</v>
      </c>
      <c r="J7509" s="3" t="str">
        <f>HYPERLINK("https://www.boe.es/gazeta/dias/1810/06/29/pdfs/GMD-1810-180.pdf#page=3","Abrir facsímil")</f>
        <v>Abrir facsímil</v>
      </c>
      <c r="K7509" s="3" t="s">
        <v>76</v>
      </c>
    </row>
    <row r="7510" spans="1:11" ht="42" customHeight="1">
      <c r="A7510" s="2" t="s">
        <v>18940</v>
      </c>
      <c r="B7510" s="2" t="s">
        <v>18941</v>
      </c>
      <c r="C7510" s="2" t="s">
        <v>26</v>
      </c>
      <c r="D7510" s="2" t="s">
        <v>27</v>
      </c>
      <c r="E7510" s="4">
        <v>-32761</v>
      </c>
      <c r="F7510" s="3" t="s">
        <v>811</v>
      </c>
      <c r="G7510" s="3" t="s">
        <v>140</v>
      </c>
      <c r="H7510" s="2" t="s">
        <v>74</v>
      </c>
      <c r="I7510" s="2" t="s">
        <v>18942</v>
      </c>
      <c r="J7510" s="3" t="str">
        <f>HYPERLINK("https://www.boe.es/gazeta/dias/1810/04/20/pdfs/GEI-1810-16.pdf#page=8","Abrir facsímil")</f>
        <v>Abrir facsímil</v>
      </c>
      <c r="K7510" s="3" t="s">
        <v>76</v>
      </c>
    </row>
    <row r="7511" spans="1:11" ht="42" customHeight="1">
      <c r="A7511" s="2" t="s">
        <v>18943</v>
      </c>
      <c r="B7511" s="2" t="s">
        <v>18944</v>
      </c>
      <c r="C7511" s="2" t="s">
        <v>88</v>
      </c>
      <c r="D7511" s="2" t="s">
        <v>117</v>
      </c>
      <c r="E7511" s="4">
        <v>-32647</v>
      </c>
      <c r="F7511" s="3" t="s">
        <v>118</v>
      </c>
      <c r="G7511" s="3" t="s">
        <v>119</v>
      </c>
      <c r="H7511" s="2" t="s">
        <v>74</v>
      </c>
      <c r="I7511" s="2" t="s">
        <v>18945</v>
      </c>
      <c r="J7511" s="3" t="str">
        <f>HYPERLINK("https://www.boe.es/gazeta/dias/1810/08/12/pdfs/GMD-1810-224.pdf#page=3","Abrir facsímil")</f>
        <v>Abrir facsímil</v>
      </c>
      <c r="K7511" s="3" t="s">
        <v>76</v>
      </c>
    </row>
    <row r="7512" spans="1:11" ht="42" customHeight="1">
      <c r="A7512" s="2" t="s">
        <v>18946</v>
      </c>
      <c r="B7512" s="2" t="s">
        <v>18947</v>
      </c>
      <c r="C7512" s="2" t="s">
        <v>26</v>
      </c>
      <c r="D7512" s="2" t="s">
        <v>18</v>
      </c>
      <c r="E7512" s="4">
        <v>-32701</v>
      </c>
      <c r="F7512" s="3" t="s">
        <v>40</v>
      </c>
      <c r="G7512" s="3" t="s">
        <v>333</v>
      </c>
      <c r="H7512" s="2" t="s">
        <v>74</v>
      </c>
      <c r="I7512" s="2" t="s">
        <v>18948</v>
      </c>
      <c r="J7512" s="3" t="str">
        <f>HYPERLINK("https://www.boe.es/gazeta/dias/1810/06/19/pdfs/GMD-C-1810-170.pdf#page=4","Abrir facsímil")</f>
        <v>Abrir facsímil</v>
      </c>
      <c r="K7512" s="3" t="s">
        <v>76</v>
      </c>
    </row>
    <row r="7513" spans="1:11" ht="42" customHeight="1">
      <c r="A7513" s="2" t="s">
        <v>18949</v>
      </c>
      <c r="B7513" s="2" t="s">
        <v>18950</v>
      </c>
      <c r="C7513" s="2" t="s">
        <v>26</v>
      </c>
      <c r="D7513" s="2" t="s">
        <v>27</v>
      </c>
      <c r="E7513" s="4">
        <v>-32708</v>
      </c>
      <c r="F7513" s="3" t="s">
        <v>654</v>
      </c>
      <c r="G7513" s="3" t="s">
        <v>655</v>
      </c>
      <c r="H7513" s="2" t="s">
        <v>74</v>
      </c>
      <c r="I7513" s="2" t="s">
        <v>18951</v>
      </c>
      <c r="J7513" s="3" t="str">
        <f>HYPERLINK("https://www.boe.es/gazeta/dias/1810/06/12/pdfs/GEI-1810-35.pdf#page=3","Abrir facsímil")</f>
        <v>Abrir facsímil</v>
      </c>
      <c r="K7513" s="3" t="s">
        <v>76</v>
      </c>
    </row>
    <row r="7514" spans="1:11" ht="42" customHeight="1">
      <c r="A7514" s="2" t="s">
        <v>18949</v>
      </c>
      <c r="B7514" s="2" t="s">
        <v>18950</v>
      </c>
      <c r="C7514" s="2" t="s">
        <v>111</v>
      </c>
      <c r="D7514" s="2" t="s">
        <v>27</v>
      </c>
      <c r="E7514" s="4">
        <v>-32603</v>
      </c>
      <c r="F7514" s="3" t="s">
        <v>2163</v>
      </c>
      <c r="G7514" s="3" t="s">
        <v>14924</v>
      </c>
      <c r="H7514" s="2" t="s">
        <v>74</v>
      </c>
      <c r="I7514" s="2" t="s">
        <v>18952</v>
      </c>
      <c r="J7514" s="3" t="str">
        <f>HYPERLINK("https://www.boe.es/gazeta/dias/1810/09/25/pdfs/GEI-1810-72.pdf#page=6","Abrir facsímil")</f>
        <v>Abrir facsímil</v>
      </c>
      <c r="K7514" s="3" t="s">
        <v>76</v>
      </c>
    </row>
    <row r="7515" spans="1:11" ht="42" customHeight="1">
      <c r="A7515" s="2" t="s">
        <v>18953</v>
      </c>
      <c r="B7515" s="2" t="s">
        <v>18953</v>
      </c>
      <c r="C7515" s="2" t="s">
        <v>33</v>
      </c>
      <c r="D7515" s="2" t="s">
        <v>27</v>
      </c>
      <c r="E7515" s="4">
        <v>-32636</v>
      </c>
      <c r="F7515" s="3" t="s">
        <v>10232</v>
      </c>
      <c r="G7515" s="3" t="s">
        <v>104</v>
      </c>
      <c r="H7515" s="2" t="s">
        <v>74</v>
      </c>
      <c r="I7515" s="2" t="s">
        <v>18954</v>
      </c>
      <c r="J7515" s="3" t="str">
        <f>HYPERLINK("https://www.boe.es/gazeta/dias/1810/08/23/pdfs/GMD-1810-235.pdf#page=2","Abrir facsímil")</f>
        <v>Abrir facsímil</v>
      </c>
      <c r="K7515" s="3" t="s">
        <v>76</v>
      </c>
    </row>
    <row r="7516" spans="1:11" ht="42" customHeight="1">
      <c r="A7516" s="2" t="s">
        <v>18955</v>
      </c>
      <c r="B7516" s="2" t="s">
        <v>18956</v>
      </c>
      <c r="C7516" s="2" t="s">
        <v>26</v>
      </c>
      <c r="D7516" s="2" t="s">
        <v>58</v>
      </c>
      <c r="E7516" s="4">
        <v>-32601</v>
      </c>
      <c r="F7516" s="3" t="s">
        <v>392</v>
      </c>
      <c r="G7516" s="3" t="s">
        <v>35</v>
      </c>
      <c r="H7516" s="2" t="s">
        <v>74</v>
      </c>
      <c r="I7516" s="2" t="s">
        <v>18957</v>
      </c>
      <c r="J7516" s="3" t="str">
        <f>HYPERLINK("https://www.boe.es/gazeta/dias/1810/09/27/pdfs/GEI-1810-74E.pdf#page=2","Abrir facsímil")</f>
        <v>Abrir facsímil</v>
      </c>
      <c r="K7516" s="3" t="s">
        <v>76</v>
      </c>
    </row>
    <row r="7517" spans="1:11" ht="42" customHeight="1">
      <c r="A7517" s="2" t="s">
        <v>18958</v>
      </c>
      <c r="B7517" s="2" t="s">
        <v>18959</v>
      </c>
      <c r="C7517" s="2" t="s">
        <v>26</v>
      </c>
      <c r="D7517" s="2" t="s">
        <v>220</v>
      </c>
      <c r="E7517" s="4">
        <v>-32738</v>
      </c>
      <c r="F7517" s="3" t="s">
        <v>321</v>
      </c>
      <c r="G7517" s="3" t="s">
        <v>140</v>
      </c>
      <c r="H7517" s="2" t="s">
        <v>74</v>
      </c>
      <c r="I7517" s="2" t="s">
        <v>18960</v>
      </c>
      <c r="J7517" s="3" t="str">
        <f>HYPERLINK("https://www.boe.es/gazeta/dias/1810/05/13/pdfs/GMD-1810-133.pdf#page=4","Abrir facsímil")</f>
        <v>Abrir facsímil</v>
      </c>
      <c r="K7517" s="3" t="s">
        <v>76</v>
      </c>
    </row>
    <row r="7518" spans="1:11" ht="42" customHeight="1">
      <c r="A7518" s="2" t="s">
        <v>18961</v>
      </c>
      <c r="B7518" s="2" t="s">
        <v>18961</v>
      </c>
      <c r="C7518" s="2" t="s">
        <v>88</v>
      </c>
      <c r="D7518" s="2" t="s">
        <v>117</v>
      </c>
      <c r="E7518" s="4">
        <v>-32680</v>
      </c>
      <c r="F7518" s="3" t="s">
        <v>519</v>
      </c>
      <c r="G7518" s="3" t="s">
        <v>131</v>
      </c>
      <c r="H7518" s="2" t="s">
        <v>74</v>
      </c>
      <c r="I7518" s="2" t="s">
        <v>18962</v>
      </c>
      <c r="J7518" s="3" t="str">
        <f>HYPERLINK("https://www.boe.es/gazeta/dias/1810/07/10/pdfs/GEI-1810-43.pdf#page=1","Abrir facsímil")</f>
        <v>Abrir facsímil</v>
      </c>
      <c r="K7518" s="3" t="s">
        <v>76</v>
      </c>
    </row>
    <row r="7519" spans="1:11" ht="42" customHeight="1">
      <c r="A7519" s="2" t="s">
        <v>18963</v>
      </c>
      <c r="B7519" s="2" t="s">
        <v>18963</v>
      </c>
      <c r="C7519" s="2" t="s">
        <v>26</v>
      </c>
      <c r="D7519" s="2" t="s">
        <v>27</v>
      </c>
      <c r="E7519" s="4">
        <v>-32754</v>
      </c>
      <c r="F7519" s="3" t="s">
        <v>1057</v>
      </c>
      <c r="G7519" s="3" t="s">
        <v>18964</v>
      </c>
      <c r="H7519" s="2" t="s">
        <v>74</v>
      </c>
      <c r="I7519" s="2" t="s">
        <v>18965</v>
      </c>
      <c r="J7519" s="3" t="str">
        <f>HYPERLINK("https://www.boe.es/gazeta/dias/1810/04/27/pdfs/GEI-1810-18.pdf#page=9","Abrir facsímil")</f>
        <v>Abrir facsímil</v>
      </c>
      <c r="K7519" s="3" t="s">
        <v>76</v>
      </c>
    </row>
    <row r="7520" spans="1:11" ht="42" customHeight="1">
      <c r="A7520" s="2" t="s">
        <v>18966</v>
      </c>
      <c r="B7520" s="2" t="s">
        <v>18966</v>
      </c>
      <c r="C7520" s="2" t="s">
        <v>88</v>
      </c>
      <c r="D7520" s="2" t="s">
        <v>27</v>
      </c>
      <c r="E7520" s="4">
        <v>-32655</v>
      </c>
      <c r="F7520" s="3" t="s">
        <v>1040</v>
      </c>
      <c r="G7520" s="3" t="s">
        <v>213</v>
      </c>
      <c r="H7520" s="2" t="s">
        <v>74</v>
      </c>
      <c r="I7520" s="2" t="s">
        <v>18967</v>
      </c>
      <c r="J7520" s="3" t="str">
        <f>HYPERLINK("https://www.boe.es/gazeta/dias/1810/08/04/pdfs/GMD-1810-216.pdf#page=1","Abrir facsímil")</f>
        <v>Abrir facsímil</v>
      </c>
      <c r="K7520" s="3" t="s">
        <v>76</v>
      </c>
    </row>
    <row r="7521" spans="1:11" ht="42" customHeight="1">
      <c r="A7521" s="2" t="s">
        <v>18966</v>
      </c>
      <c r="B7521" s="2" t="s">
        <v>18966</v>
      </c>
      <c r="C7521" s="2" t="s">
        <v>88</v>
      </c>
      <c r="D7521" s="2" t="s">
        <v>27</v>
      </c>
      <c r="E7521" s="4">
        <v>-32634</v>
      </c>
      <c r="F7521" s="3" t="s">
        <v>4472</v>
      </c>
      <c r="G7521" s="3" t="s">
        <v>180</v>
      </c>
      <c r="H7521" s="2" t="s">
        <v>74</v>
      </c>
      <c r="I7521" s="2" t="s">
        <v>18968</v>
      </c>
      <c r="J7521" s="3" t="str">
        <f>HYPERLINK("https://www.boe.es/gazeta/dias/1810/08/25/pdfs/GMD-1810-237.pdf#page=1","Abrir facsímil")</f>
        <v>Abrir facsímil</v>
      </c>
      <c r="K7521" s="3" t="s">
        <v>76</v>
      </c>
    </row>
    <row r="7522" spans="1:11" ht="42" customHeight="1">
      <c r="A7522" s="2" t="s">
        <v>18966</v>
      </c>
      <c r="B7522" s="2" t="s">
        <v>18966</v>
      </c>
      <c r="C7522" s="2" t="s">
        <v>88</v>
      </c>
      <c r="D7522" s="2" t="s">
        <v>117</v>
      </c>
      <c r="E7522" s="4">
        <v>-32621</v>
      </c>
      <c r="F7522" s="3" t="s">
        <v>1897</v>
      </c>
      <c r="G7522" s="3" t="s">
        <v>213</v>
      </c>
      <c r="H7522" s="2" t="s">
        <v>74</v>
      </c>
      <c r="I7522" s="2" t="s">
        <v>18969</v>
      </c>
      <c r="J7522" s="3" t="str">
        <f>HYPERLINK("https://www.boe.es/gazeta/dias/1810/09/07/pdfs/GMD-1810-250.pdf#page=1","Abrir facsímil")</f>
        <v>Abrir facsímil</v>
      </c>
      <c r="K7522" s="3" t="s">
        <v>76</v>
      </c>
    </row>
    <row r="7523" spans="1:11" ht="42" customHeight="1">
      <c r="A7523" s="2" t="s">
        <v>18966</v>
      </c>
      <c r="B7523" s="2" t="s">
        <v>18966</v>
      </c>
      <c r="C7523" s="2" t="s">
        <v>88</v>
      </c>
      <c r="D7523" s="2" t="s">
        <v>27</v>
      </c>
      <c r="E7523" s="4">
        <v>-32619</v>
      </c>
      <c r="F7523" s="3" t="s">
        <v>1270</v>
      </c>
      <c r="G7523" s="3" t="s">
        <v>70</v>
      </c>
      <c r="H7523" s="2" t="s">
        <v>74</v>
      </c>
      <c r="I7523" s="2" t="s">
        <v>18970</v>
      </c>
      <c r="J7523" s="3" t="str">
        <f>HYPERLINK("https://www.boe.es/gazeta/dias/1810/09/09/pdfs/GMD-1810-252.pdf#page=1","Abrir facsímil")</f>
        <v>Abrir facsímil</v>
      </c>
      <c r="K7523" s="3" t="s">
        <v>76</v>
      </c>
    </row>
    <row r="7524" spans="1:11" ht="42" customHeight="1">
      <c r="A7524" s="2" t="s">
        <v>18966</v>
      </c>
      <c r="B7524" s="2" t="s">
        <v>18966</v>
      </c>
      <c r="C7524" s="2" t="s">
        <v>317</v>
      </c>
      <c r="D7524" s="2" t="s">
        <v>27</v>
      </c>
      <c r="E7524" s="4">
        <v>-32538</v>
      </c>
      <c r="F7524" s="3" t="s">
        <v>17740</v>
      </c>
      <c r="G7524" s="3" t="s">
        <v>17741</v>
      </c>
      <c r="H7524" s="2" t="s">
        <v>74</v>
      </c>
      <c r="I7524" s="2" t="s">
        <v>18971</v>
      </c>
      <c r="J7524" s="3" t="str">
        <f>HYPERLINK("https://www.boe.es/gazeta/dias/1810/11/29/pdfs/GMD-1810-333.pdf#page=1","Abrir facsímil")</f>
        <v>Abrir facsímil</v>
      </c>
      <c r="K7524" s="3" t="s">
        <v>76</v>
      </c>
    </row>
    <row r="7525" spans="1:11" ht="42" customHeight="1">
      <c r="A7525" s="2" t="s">
        <v>18966</v>
      </c>
      <c r="B7525" s="2" t="s">
        <v>18966</v>
      </c>
      <c r="C7525" s="2" t="s">
        <v>88</v>
      </c>
      <c r="D7525" s="2" t="s">
        <v>117</v>
      </c>
      <c r="E7525" s="4">
        <v>-32537</v>
      </c>
      <c r="F7525" s="3" t="s">
        <v>1091</v>
      </c>
      <c r="G7525" s="3" t="s">
        <v>14661</v>
      </c>
      <c r="H7525" s="2" t="s">
        <v>74</v>
      </c>
      <c r="I7525" s="2" t="s">
        <v>18972</v>
      </c>
      <c r="J7525" s="3" t="str">
        <f>HYPERLINK("https://www.boe.es/gazeta/dias/1810/11/30/pdfs/GMD-1810-334.pdf#page=1","Abrir facsímil")</f>
        <v>Abrir facsímil</v>
      </c>
      <c r="K7525" s="3" t="s">
        <v>76</v>
      </c>
    </row>
    <row r="7526" spans="1:11" ht="42" customHeight="1">
      <c r="A7526" s="2" t="s">
        <v>18966</v>
      </c>
      <c r="B7526" s="2" t="s">
        <v>18966</v>
      </c>
      <c r="C7526" s="2" t="s">
        <v>88</v>
      </c>
      <c r="D7526" s="2" t="s">
        <v>27</v>
      </c>
      <c r="E7526" s="4">
        <v>-32521</v>
      </c>
      <c r="F7526" s="3" t="s">
        <v>3569</v>
      </c>
      <c r="G7526" s="3" t="s">
        <v>291</v>
      </c>
      <c r="H7526" s="2" t="s">
        <v>74</v>
      </c>
      <c r="I7526" s="2" t="s">
        <v>18973</v>
      </c>
      <c r="J7526" s="3" t="str">
        <f>HYPERLINK("https://www.boe.es/gazeta/dias/1810/12/16/pdfs/GMD-1810-350.pdf#page=1","Abrir facsímil")</f>
        <v>Abrir facsímil</v>
      </c>
      <c r="K7526" s="3" t="s">
        <v>76</v>
      </c>
    </row>
    <row r="7527" spans="1:11" ht="42" customHeight="1">
      <c r="A7527" s="2" t="s">
        <v>18966</v>
      </c>
      <c r="B7527" s="2" t="s">
        <v>18966</v>
      </c>
      <c r="C7527" s="2" t="s">
        <v>88</v>
      </c>
      <c r="D7527" s="2" t="s">
        <v>117</v>
      </c>
      <c r="E7527" s="4">
        <v>-32517</v>
      </c>
      <c r="F7527" s="3" t="s">
        <v>979</v>
      </c>
      <c r="G7527" s="3" t="s">
        <v>29</v>
      </c>
      <c r="H7527" s="2" t="s">
        <v>74</v>
      </c>
      <c r="I7527" s="2" t="s">
        <v>18974</v>
      </c>
      <c r="J7527" s="3" t="str">
        <f>HYPERLINK("https://www.boe.es/gazeta/dias/1810/12/20/pdfs/GMD-1810-354.pdf#page=3","Abrir facsímil")</f>
        <v>Abrir facsímil</v>
      </c>
      <c r="K7527" s="3" t="s">
        <v>76</v>
      </c>
    </row>
    <row r="7528" spans="1:11" ht="42" customHeight="1">
      <c r="A7528" s="2" t="s">
        <v>18966</v>
      </c>
      <c r="B7528" s="2" t="s">
        <v>18966</v>
      </c>
      <c r="C7528" s="2" t="s">
        <v>88</v>
      </c>
      <c r="D7528" s="2" t="s">
        <v>117</v>
      </c>
      <c r="E7528" s="4">
        <v>-32514</v>
      </c>
      <c r="F7528" s="3" t="s">
        <v>3658</v>
      </c>
      <c r="G7528" s="3" t="s">
        <v>213</v>
      </c>
      <c r="H7528" s="2" t="s">
        <v>74</v>
      </c>
      <c r="I7528" s="2" t="s">
        <v>18975</v>
      </c>
      <c r="J7528" s="3" t="str">
        <f>HYPERLINK("https://www.boe.es/gazeta/dias/1810/12/23/pdfs/GMD-1810-357.pdf#page=1","Abrir facsímil")</f>
        <v>Abrir facsímil</v>
      </c>
      <c r="K7528" s="3" t="s">
        <v>76</v>
      </c>
    </row>
    <row r="7529" spans="1:11" ht="42" customHeight="1">
      <c r="A7529" s="2" t="s">
        <v>18966</v>
      </c>
      <c r="B7529" s="2" t="s">
        <v>18966</v>
      </c>
      <c r="C7529" s="2" t="s">
        <v>88</v>
      </c>
      <c r="D7529" s="2" t="s">
        <v>27</v>
      </c>
      <c r="E7529" s="4">
        <v>-32508</v>
      </c>
      <c r="F7529" s="3" t="s">
        <v>2609</v>
      </c>
      <c r="G7529" s="3" t="s">
        <v>18976</v>
      </c>
      <c r="H7529" s="2" t="s">
        <v>74</v>
      </c>
      <c r="I7529" s="2" t="s">
        <v>18977</v>
      </c>
      <c r="J7529" s="3" t="str">
        <f>HYPERLINK("https://www.boe.es/gazeta/dias/1810/12/29/pdfs/GMD-1810-363.pdf#page=1","Abrir facsímil")</f>
        <v>Abrir facsímil</v>
      </c>
      <c r="K7529" s="3" t="s">
        <v>76</v>
      </c>
    </row>
    <row r="7530" spans="1:11" ht="42" customHeight="1">
      <c r="A7530" s="2" t="s">
        <v>18966</v>
      </c>
      <c r="B7530" s="2" t="s">
        <v>18966</v>
      </c>
      <c r="C7530" s="2" t="s">
        <v>88</v>
      </c>
      <c r="D7530" s="2" t="s">
        <v>27</v>
      </c>
      <c r="E7530" s="4">
        <v>-32506</v>
      </c>
      <c r="F7530" s="3" t="s">
        <v>7076</v>
      </c>
      <c r="G7530" s="3" t="s">
        <v>90</v>
      </c>
      <c r="H7530" s="2" t="s">
        <v>74</v>
      </c>
      <c r="I7530" s="2" t="s">
        <v>18978</v>
      </c>
      <c r="J7530" s="3" t="str">
        <f>HYPERLINK("https://www.boe.es/gazeta/dias/1810/12/31/pdfs/GMD-1810-365.pdf#page=1","Abrir facsímil")</f>
        <v>Abrir facsímil</v>
      </c>
      <c r="K7530" s="3" t="s">
        <v>76</v>
      </c>
    </row>
    <row r="7531" spans="1:11" ht="42" customHeight="1">
      <c r="A7531" s="2" t="s">
        <v>18979</v>
      </c>
      <c r="B7531" s="2" t="s">
        <v>18980</v>
      </c>
      <c r="C7531" s="2" t="s">
        <v>26</v>
      </c>
      <c r="D7531" s="2" t="s">
        <v>39</v>
      </c>
      <c r="E7531" s="4">
        <v>-32684</v>
      </c>
      <c r="F7531" s="3" t="s">
        <v>372</v>
      </c>
      <c r="G7531" s="3" t="s">
        <v>2049</v>
      </c>
      <c r="H7531" s="2" t="s">
        <v>74</v>
      </c>
      <c r="I7531" s="2" t="s">
        <v>18981</v>
      </c>
      <c r="J7531" s="3" t="str">
        <f>HYPERLINK("https://www.boe.es/gazeta/dias/1810/07/06/pdfs/GEI-D-1810-42.pdf#page=7","Abrir facsímil")</f>
        <v>Abrir facsímil</v>
      </c>
      <c r="K7531" s="3" t="s">
        <v>76</v>
      </c>
    </row>
    <row r="7532" spans="1:11" ht="42" customHeight="1">
      <c r="A7532" s="2" t="s">
        <v>18982</v>
      </c>
      <c r="B7532" s="2" t="s">
        <v>18983</v>
      </c>
      <c r="C7532" s="2" t="s">
        <v>26</v>
      </c>
      <c r="D7532" s="2" t="s">
        <v>39</v>
      </c>
      <c r="E7532" s="4">
        <v>-32684</v>
      </c>
      <c r="F7532" s="3" t="s">
        <v>372</v>
      </c>
      <c r="G7532" s="3" t="s">
        <v>373</v>
      </c>
      <c r="H7532" s="2" t="s">
        <v>74</v>
      </c>
      <c r="I7532" s="2" t="s">
        <v>18984</v>
      </c>
      <c r="J7532" s="3" t="str">
        <f>HYPERLINK("https://www.boe.es/gazeta/dias/1810/07/06/pdfs/GEI-D-1810-42.pdf#page=8","Abrir facsímil")</f>
        <v>Abrir facsímil</v>
      </c>
      <c r="K7532" s="3" t="s">
        <v>76</v>
      </c>
    </row>
    <row r="7533" spans="1:11" ht="42" customHeight="1">
      <c r="A7533" s="2" t="s">
        <v>18985</v>
      </c>
      <c r="B7533" s="2" t="s">
        <v>18985</v>
      </c>
      <c r="C7533" s="2" t="s">
        <v>88</v>
      </c>
      <c r="D7533" s="2" t="s">
        <v>27</v>
      </c>
      <c r="E7533" s="4">
        <v>-32692</v>
      </c>
      <c r="F7533" s="3" t="s">
        <v>3698</v>
      </c>
      <c r="G7533" s="3" t="s">
        <v>1590</v>
      </c>
      <c r="H7533" s="2" t="s">
        <v>74</v>
      </c>
      <c r="I7533" s="2" t="s">
        <v>18986</v>
      </c>
      <c r="J7533" s="3" t="str">
        <f>HYPERLINK("https://www.boe.es/gazeta/dias/1810/06/28/pdfs/GMD-1810-179.pdf#page=3","Abrir facsímil")</f>
        <v>Abrir facsímil</v>
      </c>
      <c r="K7533" s="3" t="s">
        <v>76</v>
      </c>
    </row>
    <row r="7534" spans="1:11" ht="42" customHeight="1">
      <c r="A7534" s="2" t="s">
        <v>18987</v>
      </c>
      <c r="B7534" s="2" t="s">
        <v>18987</v>
      </c>
      <c r="C7534" s="2" t="s">
        <v>88</v>
      </c>
      <c r="D7534" s="2" t="s">
        <v>117</v>
      </c>
      <c r="E7534" s="4">
        <v>-32754</v>
      </c>
      <c r="F7534" s="3" t="s">
        <v>1057</v>
      </c>
      <c r="G7534" s="3" t="s">
        <v>15756</v>
      </c>
      <c r="H7534" s="2" t="s">
        <v>74</v>
      </c>
      <c r="I7534" s="2" t="s">
        <v>18988</v>
      </c>
      <c r="J7534" s="3" t="str">
        <f>HYPERLINK("https://www.boe.es/gazeta/dias/1810/04/27/pdfs/GEI-1810-18.pdf#page=7","Abrir facsímil")</f>
        <v>Abrir facsímil</v>
      </c>
      <c r="K7534" s="3" t="s">
        <v>76</v>
      </c>
    </row>
    <row r="7535" spans="1:11" ht="42" customHeight="1">
      <c r="A7535" s="2" t="s">
        <v>18989</v>
      </c>
      <c r="B7535" s="2" t="s">
        <v>18989</v>
      </c>
      <c r="C7535" s="2" t="s">
        <v>26</v>
      </c>
      <c r="D7535" s="2" t="s">
        <v>27</v>
      </c>
      <c r="E7535" s="4">
        <v>-32754</v>
      </c>
      <c r="F7535" s="3" t="s">
        <v>1057</v>
      </c>
      <c r="G7535" s="3" t="s">
        <v>15756</v>
      </c>
      <c r="H7535" s="2" t="s">
        <v>74</v>
      </c>
      <c r="I7535" s="2" t="s">
        <v>18990</v>
      </c>
      <c r="J7535" s="3" t="str">
        <f>HYPERLINK("https://www.boe.es/gazeta/dias/1810/04/27/pdfs/GEI-1810-18.pdf#page=7","Abrir facsímil")</f>
        <v>Abrir facsímil</v>
      </c>
      <c r="K7535" s="3" t="s">
        <v>76</v>
      </c>
    </row>
    <row r="7536" spans="1:11" ht="42" customHeight="1">
      <c r="A7536" s="2" t="s">
        <v>18991</v>
      </c>
      <c r="B7536" s="2" t="s">
        <v>18991</v>
      </c>
      <c r="C7536" s="2" t="s">
        <v>26</v>
      </c>
      <c r="D7536" s="2" t="s">
        <v>27</v>
      </c>
      <c r="E7536" s="4">
        <v>-32579</v>
      </c>
      <c r="F7536" s="3" t="s">
        <v>6949</v>
      </c>
      <c r="G7536" s="3" t="s">
        <v>35</v>
      </c>
      <c r="H7536" s="2" t="s">
        <v>74</v>
      </c>
      <c r="I7536" s="2" t="s">
        <v>18992</v>
      </c>
      <c r="J7536" s="3" t="str">
        <f>HYPERLINK("https://www.boe.es/gazeta/dias/1810/10/19/pdfs/GMD-1810-292.pdf#page=2","Abrir facsímil")</f>
        <v>Abrir facsímil</v>
      </c>
      <c r="K7536" s="3" t="s">
        <v>76</v>
      </c>
    </row>
    <row r="7537" spans="1:11" ht="42" customHeight="1">
      <c r="A7537" s="2" t="s">
        <v>18993</v>
      </c>
      <c r="B7537" s="2" t="s">
        <v>18994</v>
      </c>
      <c r="C7537" s="2" t="s">
        <v>88</v>
      </c>
      <c r="D7537" s="2" t="s">
        <v>117</v>
      </c>
      <c r="E7537" s="4">
        <v>-32631</v>
      </c>
      <c r="F7537" s="3" t="s">
        <v>130</v>
      </c>
      <c r="G7537" s="3" t="s">
        <v>131</v>
      </c>
      <c r="H7537" s="2" t="s">
        <v>74</v>
      </c>
      <c r="I7537" s="2" t="s">
        <v>18995</v>
      </c>
      <c r="J7537" s="3" t="str">
        <f>HYPERLINK("https://www.boe.es/gazeta/dias/1810/08/28/pdfs/GEI-1810-60.pdf#page=4","Abrir facsímil")</f>
        <v>Abrir facsímil</v>
      </c>
      <c r="K7537" s="3" t="s">
        <v>76</v>
      </c>
    </row>
    <row r="7538" spans="1:11" ht="42" customHeight="1">
      <c r="A7538" s="2" t="s">
        <v>18996</v>
      </c>
      <c r="B7538" s="2" t="s">
        <v>18997</v>
      </c>
      <c r="C7538" s="2" t="s">
        <v>26</v>
      </c>
      <c r="D7538" s="2" t="s">
        <v>18</v>
      </c>
      <c r="E7538" s="4">
        <v>-32666</v>
      </c>
      <c r="F7538" s="3" t="s">
        <v>1913</v>
      </c>
      <c r="G7538" s="3" t="s">
        <v>1914</v>
      </c>
      <c r="H7538" s="2" t="s">
        <v>74</v>
      </c>
      <c r="I7538" s="2" t="s">
        <v>18998</v>
      </c>
      <c r="J7538" s="3" t="str">
        <f>HYPERLINK("https://www.boe.es/gazeta/dias/1810/07/24/pdfs/GMD-1810-205.pdf#page=4","Abrir facsímil")</f>
        <v>Abrir facsímil</v>
      </c>
      <c r="K7538" s="3" t="s">
        <v>76</v>
      </c>
    </row>
    <row r="7539" spans="1:11" ht="42" customHeight="1">
      <c r="A7539" s="2" t="s">
        <v>18999</v>
      </c>
      <c r="B7539" s="2" t="s">
        <v>18999</v>
      </c>
      <c r="C7539" s="2" t="s">
        <v>111</v>
      </c>
      <c r="D7539" s="2" t="s">
        <v>27</v>
      </c>
      <c r="E7539" s="4">
        <v>-32565</v>
      </c>
      <c r="F7539" s="3" t="s">
        <v>743</v>
      </c>
      <c r="G7539" s="3" t="s">
        <v>915</v>
      </c>
      <c r="H7539" s="2" t="s">
        <v>74</v>
      </c>
      <c r="I7539" s="2" t="s">
        <v>19000</v>
      </c>
      <c r="J7539" s="3" t="str">
        <f>HYPERLINK("https://www.boe.es/gazeta/dias/1810/11/02/pdfs/GMD-1810-306.pdf#page=1","Abrir facsímil")</f>
        <v>Abrir facsímil</v>
      </c>
      <c r="K7539" s="3" t="s">
        <v>76</v>
      </c>
    </row>
    <row r="7540" spans="1:11" ht="42" customHeight="1">
      <c r="A7540" s="2" t="s">
        <v>19001</v>
      </c>
      <c r="B7540" s="2" t="s">
        <v>19002</v>
      </c>
      <c r="C7540" s="2" t="s">
        <v>26</v>
      </c>
      <c r="D7540" s="2" t="s">
        <v>27</v>
      </c>
      <c r="E7540" s="4">
        <v>-32764</v>
      </c>
      <c r="F7540" s="3" t="s">
        <v>640</v>
      </c>
      <c r="G7540" s="3" t="s">
        <v>641</v>
      </c>
      <c r="H7540" s="2" t="s">
        <v>74</v>
      </c>
      <c r="I7540" s="2" t="s">
        <v>19003</v>
      </c>
      <c r="J7540" s="3" t="str">
        <f>HYPERLINK("https://www.boe.es/gazeta/dias/1810/04/17/pdfs/GEI-1810-15.pdf#page=8","Abrir facsímil")</f>
        <v>Abrir facsímil</v>
      </c>
      <c r="K7540" s="3" t="s">
        <v>76</v>
      </c>
    </row>
    <row r="7541" spans="1:11" ht="42" customHeight="1">
      <c r="A7541" s="2" t="s">
        <v>19004</v>
      </c>
      <c r="B7541" s="2" t="s">
        <v>19005</v>
      </c>
      <c r="C7541" s="2" t="s">
        <v>26</v>
      </c>
      <c r="D7541" s="2" t="s">
        <v>58</v>
      </c>
      <c r="E7541" s="4">
        <v>-32601</v>
      </c>
      <c r="F7541" s="3" t="s">
        <v>392</v>
      </c>
      <c r="G7541" s="3" t="s">
        <v>1430</v>
      </c>
      <c r="H7541" s="2" t="s">
        <v>74</v>
      </c>
      <c r="I7541" s="2" t="s">
        <v>19006</v>
      </c>
      <c r="J7541" s="3" t="str">
        <f>HYPERLINK("https://www.boe.es/gazeta/dias/1810/09/27/pdfs/GEI-1810-74E.pdf#page=3","Abrir facsímil")</f>
        <v>Abrir facsímil</v>
      </c>
      <c r="K7541" s="3" t="s">
        <v>76</v>
      </c>
    </row>
    <row r="7542" spans="1:11" ht="42" customHeight="1">
      <c r="A7542" s="2" t="s">
        <v>19007</v>
      </c>
      <c r="B7542" s="2" t="s">
        <v>19007</v>
      </c>
      <c r="C7542" s="2" t="s">
        <v>88</v>
      </c>
      <c r="D7542" s="2" t="s">
        <v>27</v>
      </c>
      <c r="E7542" s="4">
        <v>-32680</v>
      </c>
      <c r="F7542" s="3" t="s">
        <v>519</v>
      </c>
      <c r="G7542" s="3" t="s">
        <v>227</v>
      </c>
      <c r="H7542" s="2" t="s">
        <v>74</v>
      </c>
      <c r="I7542" s="2" t="s">
        <v>19008</v>
      </c>
      <c r="J7542" s="3" t="str">
        <f>HYPERLINK("https://www.boe.es/gazeta/dias/1810/07/10/pdfs/GEI-1810-43.pdf#page=2","Abrir facsímil")</f>
        <v>Abrir facsímil</v>
      </c>
      <c r="K7542" s="3" t="s">
        <v>76</v>
      </c>
    </row>
    <row r="7543" spans="1:11" ht="42" customHeight="1">
      <c r="A7543" s="2" t="s">
        <v>19009</v>
      </c>
      <c r="B7543" s="2" t="s">
        <v>19010</v>
      </c>
      <c r="C7543" s="2" t="s">
        <v>26</v>
      </c>
      <c r="D7543" s="2" t="s">
        <v>27</v>
      </c>
      <c r="E7543" s="4">
        <v>-32659</v>
      </c>
      <c r="F7543" s="3" t="s">
        <v>328</v>
      </c>
      <c r="G7543" s="3" t="s">
        <v>119</v>
      </c>
      <c r="H7543" s="2" t="s">
        <v>74</v>
      </c>
      <c r="I7543" s="2" t="s">
        <v>19011</v>
      </c>
      <c r="J7543" s="3" t="str">
        <f>HYPERLINK("https://www.boe.es/gazeta/dias/1810/07/31/pdfs/GEI-1810-49.pdf#page=8","Abrir facsímil")</f>
        <v>Abrir facsímil</v>
      </c>
      <c r="K7543" s="3" t="s">
        <v>76</v>
      </c>
    </row>
    <row r="7544" spans="1:11" ht="42" customHeight="1">
      <c r="A7544" s="2" t="s">
        <v>19012</v>
      </c>
      <c r="B7544" s="2" t="s">
        <v>19012</v>
      </c>
      <c r="C7544" s="2" t="s">
        <v>33</v>
      </c>
      <c r="D7544" s="2" t="s">
        <v>27</v>
      </c>
      <c r="E7544" s="4">
        <v>-32652</v>
      </c>
      <c r="F7544" s="3" t="s">
        <v>3295</v>
      </c>
      <c r="G7544" s="3" t="s">
        <v>3296</v>
      </c>
      <c r="H7544" s="2" t="s">
        <v>74</v>
      </c>
      <c r="I7544" s="2" t="s">
        <v>19013</v>
      </c>
      <c r="J7544" s="3" t="str">
        <f>HYPERLINK("https://www.boe.es/gazeta/dias/1810/08/07/pdfs/GEI-1810-52.pdf#page=4","Abrir facsímil")</f>
        <v>Abrir facsímil</v>
      </c>
      <c r="K7544" s="3" t="s">
        <v>76</v>
      </c>
    </row>
    <row r="7545" spans="1:11" ht="42" customHeight="1">
      <c r="A7545" s="2" t="s">
        <v>19014</v>
      </c>
      <c r="B7545" s="2" t="s">
        <v>19014</v>
      </c>
      <c r="C7545" s="2" t="s">
        <v>88</v>
      </c>
      <c r="D7545" s="2" t="s">
        <v>117</v>
      </c>
      <c r="E7545" s="4">
        <v>-32611</v>
      </c>
      <c r="F7545" s="3" t="s">
        <v>604</v>
      </c>
      <c r="G7545" s="3" t="s">
        <v>29</v>
      </c>
      <c r="H7545" s="2" t="s">
        <v>74</v>
      </c>
      <c r="I7545" s="2" t="s">
        <v>19015</v>
      </c>
      <c r="J7545" s="3" t="str">
        <f>HYPERLINK("https://www.boe.es/gazeta/dias/1810/09/17/pdfs/GMD-1810-260.pdf#page=4","Abrir facsímil")</f>
        <v>Abrir facsímil</v>
      </c>
      <c r="K7545" s="3" t="s">
        <v>76</v>
      </c>
    </row>
    <row r="7546" spans="1:11" ht="42" customHeight="1">
      <c r="A7546" s="2" t="s">
        <v>19016</v>
      </c>
      <c r="B7546" s="2" t="s">
        <v>19016</v>
      </c>
      <c r="C7546" s="2" t="s">
        <v>88</v>
      </c>
      <c r="D7546" s="2" t="s">
        <v>27</v>
      </c>
      <c r="E7546" s="4">
        <v>-32650</v>
      </c>
      <c r="F7546" s="3" t="s">
        <v>9008</v>
      </c>
      <c r="G7546" s="3" t="s">
        <v>1540</v>
      </c>
      <c r="H7546" s="2" t="s">
        <v>74</v>
      </c>
      <c r="I7546" s="2" t="s">
        <v>19017</v>
      </c>
      <c r="J7546" s="3" t="str">
        <f>HYPERLINK("https://www.boe.es/gazeta/dias/1810/08/09/pdfs/GMD-1810-221.pdf#page=3","Abrir facsímil")</f>
        <v>Abrir facsímil</v>
      </c>
      <c r="K7546" s="3" t="s">
        <v>76</v>
      </c>
    </row>
    <row r="7547" spans="1:11" ht="42" customHeight="1">
      <c r="A7547" s="2" t="s">
        <v>19018</v>
      </c>
      <c r="B7547" s="2" t="s">
        <v>19018</v>
      </c>
      <c r="C7547" s="2" t="s">
        <v>88</v>
      </c>
      <c r="D7547" s="2" t="s">
        <v>27</v>
      </c>
      <c r="E7547" s="4">
        <v>-32821</v>
      </c>
      <c r="F7547" s="3" t="s">
        <v>1743</v>
      </c>
      <c r="G7547" s="3" t="s">
        <v>99</v>
      </c>
      <c r="H7547" s="2" t="s">
        <v>74</v>
      </c>
      <c r="I7547" s="2" t="s">
        <v>19019</v>
      </c>
      <c r="J7547" s="3" t="str">
        <f>HYPERLINK("https://www.boe.es/gazeta/dias/1810/02/19/pdfs/GMD-1810-50.pdf#page=3","Abrir facsímil")</f>
        <v>Abrir facsímil</v>
      </c>
      <c r="K7547" s="3" t="s">
        <v>76</v>
      </c>
    </row>
    <row r="7548" spans="1:11" ht="42" customHeight="1">
      <c r="A7548" s="2" t="s">
        <v>19020</v>
      </c>
      <c r="B7548" s="2" t="s">
        <v>19020</v>
      </c>
      <c r="C7548" s="2" t="s">
        <v>88</v>
      </c>
      <c r="D7548" s="2" t="s">
        <v>27</v>
      </c>
      <c r="E7548" s="4">
        <v>-32589</v>
      </c>
      <c r="F7548" s="3" t="s">
        <v>3026</v>
      </c>
      <c r="G7548" s="3" t="s">
        <v>180</v>
      </c>
      <c r="H7548" s="2" t="s">
        <v>74</v>
      </c>
      <c r="I7548" s="2" t="s">
        <v>19021</v>
      </c>
      <c r="J7548" s="3" t="str">
        <f>HYPERLINK("https://www.boe.es/gazeta/dias/1810/10/09/pdfs/GEI-1810-79.pdf#page=7","Abrir facsímil")</f>
        <v>Abrir facsímil</v>
      </c>
      <c r="K7548" s="3" t="s">
        <v>76</v>
      </c>
    </row>
    <row r="7549" spans="1:11" ht="42" customHeight="1">
      <c r="A7549" s="2" t="s">
        <v>19022</v>
      </c>
      <c r="B7549" s="2" t="s">
        <v>19022</v>
      </c>
      <c r="C7549" s="2" t="s">
        <v>88</v>
      </c>
      <c r="D7549" s="2" t="s">
        <v>27</v>
      </c>
      <c r="E7549" s="4">
        <v>-32531</v>
      </c>
      <c r="F7549" s="3" t="s">
        <v>2023</v>
      </c>
      <c r="G7549" s="3" t="s">
        <v>180</v>
      </c>
      <c r="H7549" s="2" t="s">
        <v>74</v>
      </c>
      <c r="I7549" s="2" t="s">
        <v>19023</v>
      </c>
      <c r="J7549" s="3" t="str">
        <f>HYPERLINK("https://www.boe.es/gazeta/dias/1810/12/06/pdfs/GMD-1810-340.pdf#page=1","Abrir facsímil")</f>
        <v>Abrir facsímil</v>
      </c>
      <c r="K7549" s="3" t="s">
        <v>76</v>
      </c>
    </row>
    <row r="7550" spans="1:11" ht="42" customHeight="1">
      <c r="A7550" s="2" t="s">
        <v>19024</v>
      </c>
      <c r="B7550" s="2" t="s">
        <v>19024</v>
      </c>
      <c r="C7550" s="2" t="s">
        <v>88</v>
      </c>
      <c r="D7550" s="2" t="s">
        <v>117</v>
      </c>
      <c r="E7550" s="4">
        <v>-32711</v>
      </c>
      <c r="F7550" s="3" t="s">
        <v>1888</v>
      </c>
      <c r="G7550" s="3" t="s">
        <v>517</v>
      </c>
      <c r="H7550" s="2" t="s">
        <v>74</v>
      </c>
      <c r="I7550" s="2" t="s">
        <v>19025</v>
      </c>
      <c r="J7550" s="3" t="str">
        <f>HYPERLINK("https://www.boe.es/gazeta/dias/1810/06/09/pdfs/GMD-1810-160.pdf#page=1","Abrir facsímil")</f>
        <v>Abrir facsímil</v>
      </c>
      <c r="K7550" s="3" t="s">
        <v>76</v>
      </c>
    </row>
    <row r="7551" spans="1:11" ht="42" customHeight="1">
      <c r="A7551" s="2" t="s">
        <v>19026</v>
      </c>
      <c r="B7551" s="2" t="s">
        <v>19027</v>
      </c>
      <c r="C7551" s="2" t="s">
        <v>26</v>
      </c>
      <c r="D7551" s="2" t="s">
        <v>39</v>
      </c>
      <c r="E7551" s="4">
        <v>-32701</v>
      </c>
      <c r="F7551" s="3" t="s">
        <v>40</v>
      </c>
      <c r="G7551" s="3" t="s">
        <v>315</v>
      </c>
      <c r="H7551" s="2" t="s">
        <v>74</v>
      </c>
      <c r="I7551" s="2" t="s">
        <v>19028</v>
      </c>
      <c r="J7551" s="3" t="str">
        <f>HYPERLINK("https://www.boe.es/gazeta/dias/1810/06/19/pdfs/GMD-C-1810-170.pdf#page=2","Abrir facsímil")</f>
        <v>Abrir facsímil</v>
      </c>
      <c r="K7551" s="3" t="s">
        <v>76</v>
      </c>
    </row>
    <row r="7552" spans="1:11" ht="42" customHeight="1">
      <c r="A7552" s="2" t="s">
        <v>19029</v>
      </c>
      <c r="B7552" s="2" t="s">
        <v>19029</v>
      </c>
      <c r="C7552" s="2" t="s">
        <v>17</v>
      </c>
      <c r="D7552" s="2" t="s">
        <v>18</v>
      </c>
      <c r="E7552" s="4">
        <v>-32707</v>
      </c>
      <c r="F7552" s="3" t="s">
        <v>1753</v>
      </c>
      <c r="G7552" s="3" t="s">
        <v>291</v>
      </c>
      <c r="H7552" s="2" t="s">
        <v>74</v>
      </c>
      <c r="I7552" s="2" t="s">
        <v>19030</v>
      </c>
      <c r="J7552" s="3" t="str">
        <f>HYPERLINK("https://www.boe.es/gazeta/dias/1810/06/13/pdfs/GMD-1810-164.pdf#page=3","Abrir facsímil")</f>
        <v>Abrir facsímil</v>
      </c>
      <c r="K7552" s="3" t="s">
        <v>76</v>
      </c>
    </row>
    <row r="7553" spans="1:11" ht="42" customHeight="1">
      <c r="A7553" s="2" t="s">
        <v>19031</v>
      </c>
      <c r="B7553" s="2" t="s">
        <v>19031</v>
      </c>
      <c r="C7553" s="2" t="s">
        <v>225</v>
      </c>
      <c r="D7553" s="2" t="s">
        <v>27</v>
      </c>
      <c r="E7553" s="4">
        <v>-32554</v>
      </c>
      <c r="F7553" s="3" t="s">
        <v>990</v>
      </c>
      <c r="G7553" s="3" t="s">
        <v>235</v>
      </c>
      <c r="H7553" s="2" t="s">
        <v>74</v>
      </c>
      <c r="I7553" s="2" t="s">
        <v>19032</v>
      </c>
      <c r="J7553" s="3" t="str">
        <f>HYPERLINK("https://www.boe.es/gazeta/dias/1810/11/13/pdfs/GMD-1810-317.pdf#page=3","Abrir facsímil")</f>
        <v>Abrir facsímil</v>
      </c>
      <c r="K7553" s="3" t="s">
        <v>76</v>
      </c>
    </row>
    <row r="7554" spans="1:11" ht="42" customHeight="1">
      <c r="A7554" s="2" t="s">
        <v>19033</v>
      </c>
      <c r="B7554" s="2" t="s">
        <v>19033</v>
      </c>
      <c r="C7554" s="2" t="s">
        <v>88</v>
      </c>
      <c r="D7554" s="2" t="s">
        <v>27</v>
      </c>
      <c r="E7554" s="4">
        <v>-32688</v>
      </c>
      <c r="F7554" s="3" t="s">
        <v>997</v>
      </c>
      <c r="G7554" s="3" t="s">
        <v>10544</v>
      </c>
      <c r="H7554" s="2" t="s">
        <v>74</v>
      </c>
      <c r="I7554" s="2" t="s">
        <v>19034</v>
      </c>
      <c r="J7554" s="3" t="str">
        <f>HYPERLINK("https://www.boe.es/gazeta/dias/1810/07/02/pdfs/GMD-1810-183.pdf#page=2","Abrir facsímil")</f>
        <v>Abrir facsímil</v>
      </c>
      <c r="K7554" s="3" t="s">
        <v>76</v>
      </c>
    </row>
    <row r="7555" spans="1:11" ht="42" customHeight="1">
      <c r="A7555" s="2" t="s">
        <v>19035</v>
      </c>
      <c r="B7555" s="2" t="s">
        <v>19035</v>
      </c>
      <c r="C7555" s="2" t="s">
        <v>33</v>
      </c>
      <c r="D7555" s="2" t="s">
        <v>27</v>
      </c>
      <c r="E7555" s="4">
        <v>-32851</v>
      </c>
      <c r="F7555" s="3" t="s">
        <v>9862</v>
      </c>
      <c r="G7555" s="3" t="s">
        <v>180</v>
      </c>
      <c r="H7555" s="2" t="s">
        <v>74</v>
      </c>
      <c r="I7555" s="2" t="s">
        <v>19036</v>
      </c>
      <c r="J7555" s="3" t="str">
        <f>HYPERLINK("https://www.boe.es/gazeta/dias/1810/01/20/pdfs/GGB-1810-9.pdf#page=3","Abrir facsímil")</f>
        <v>Abrir facsímil</v>
      </c>
      <c r="K7555" s="3" t="s">
        <v>76</v>
      </c>
    </row>
    <row r="7556" spans="1:11" ht="42" customHeight="1">
      <c r="A7556" s="2" t="s">
        <v>19037</v>
      </c>
      <c r="B7556" s="2" t="s">
        <v>19037</v>
      </c>
      <c r="C7556" s="2" t="s">
        <v>26</v>
      </c>
      <c r="D7556" s="2" t="s">
        <v>27</v>
      </c>
      <c r="E7556" s="4">
        <v>-32830</v>
      </c>
      <c r="F7556" s="3" t="s">
        <v>3354</v>
      </c>
      <c r="G7556" s="3" t="s">
        <v>227</v>
      </c>
      <c r="H7556" s="2" t="s">
        <v>74</v>
      </c>
      <c r="I7556" s="2" t="s">
        <v>19038</v>
      </c>
      <c r="J7556" s="3" t="str">
        <f>HYPERLINK("https://www.boe.es/gazeta/dias/1810/02/10/pdfs/GMD-1810-41.pdf#page=2","Abrir facsímil")</f>
        <v>Abrir facsímil</v>
      </c>
      <c r="K7556" s="3" t="s">
        <v>76</v>
      </c>
    </row>
    <row r="7557" spans="1:11" ht="42" customHeight="1">
      <c r="A7557" s="2" t="s">
        <v>19039</v>
      </c>
      <c r="B7557" s="2" t="s">
        <v>19039</v>
      </c>
      <c r="C7557" s="2" t="s">
        <v>26</v>
      </c>
      <c r="D7557" s="2" t="s">
        <v>27</v>
      </c>
      <c r="E7557" s="4">
        <v>-32744</v>
      </c>
      <c r="F7557" s="3" t="s">
        <v>1570</v>
      </c>
      <c r="G7557" s="3" t="s">
        <v>35</v>
      </c>
      <c r="H7557" s="2" t="s">
        <v>74</v>
      </c>
      <c r="I7557" s="2" t="s">
        <v>19040</v>
      </c>
      <c r="J7557" s="3" t="str">
        <f>HYPERLINK("https://www.boe.es/gazeta/dias/1810/05/07/pdfs/GMD-1810-127.pdf#page=2","Abrir facsímil")</f>
        <v>Abrir facsímil</v>
      </c>
      <c r="K7557" s="3" t="s">
        <v>76</v>
      </c>
    </row>
    <row r="7558" spans="1:11" ht="42" customHeight="1">
      <c r="A7558" s="2" t="s">
        <v>19041</v>
      </c>
      <c r="B7558" s="2" t="s">
        <v>19041</v>
      </c>
      <c r="C7558" s="2" t="s">
        <v>225</v>
      </c>
      <c r="D7558" s="2" t="s">
        <v>27</v>
      </c>
      <c r="E7558" s="4">
        <v>-32680</v>
      </c>
      <c r="F7558" s="3" t="s">
        <v>509</v>
      </c>
      <c r="G7558" s="3" t="s">
        <v>29</v>
      </c>
      <c r="H7558" s="2" t="s">
        <v>74</v>
      </c>
      <c r="I7558" s="2" t="s">
        <v>19042</v>
      </c>
      <c r="J7558" s="3" t="str">
        <f>HYPERLINK("https://www.boe.es/gazeta/dias/1810/07/10/pdfs/GMD-1810-191.pdf#page=2","Abrir facsímil")</f>
        <v>Abrir facsímil</v>
      </c>
      <c r="K7558" s="3" t="s">
        <v>76</v>
      </c>
    </row>
    <row r="7559" spans="1:11" ht="42" customHeight="1">
      <c r="A7559" s="2" t="s">
        <v>19043</v>
      </c>
      <c r="B7559" s="2" t="s">
        <v>19043</v>
      </c>
      <c r="C7559" s="2" t="s">
        <v>17</v>
      </c>
      <c r="D7559" s="2" t="s">
        <v>220</v>
      </c>
      <c r="E7559" s="4">
        <v>-32654</v>
      </c>
      <c r="F7559" s="3" t="s">
        <v>1226</v>
      </c>
      <c r="G7559" s="3" t="s">
        <v>465</v>
      </c>
      <c r="H7559" s="2" t="s">
        <v>74</v>
      </c>
      <c r="I7559" s="2" t="s">
        <v>19044</v>
      </c>
      <c r="J7559" s="3" t="str">
        <f>HYPERLINK("https://www.boe.es/gazeta/dias/1810/08/05/pdfs/GMD-1810-217.pdf#page=1","Abrir facsímil")</f>
        <v>Abrir facsímil</v>
      </c>
      <c r="K7559" s="3" t="s">
        <v>76</v>
      </c>
    </row>
    <row r="7560" spans="1:11" ht="42" customHeight="1">
      <c r="A7560" s="2" t="s">
        <v>19045</v>
      </c>
      <c r="B7560" s="2" t="s">
        <v>19045</v>
      </c>
      <c r="C7560" s="2" t="s">
        <v>225</v>
      </c>
      <c r="D7560" s="2" t="s">
        <v>27</v>
      </c>
      <c r="E7560" s="4">
        <v>-32561</v>
      </c>
      <c r="F7560" s="3" t="s">
        <v>3469</v>
      </c>
      <c r="G7560" s="3" t="s">
        <v>10962</v>
      </c>
      <c r="H7560" s="2" t="s">
        <v>74</v>
      </c>
      <c r="I7560" s="2" t="s">
        <v>19046</v>
      </c>
      <c r="J7560" s="3" t="str">
        <f>HYPERLINK("https://www.boe.es/gazeta/dias/1810/11/06/pdfs/GMD-1810-310.pdf#page=1","Abrir facsímil")</f>
        <v>Abrir facsímil</v>
      </c>
      <c r="K7560" s="3" t="s">
        <v>76</v>
      </c>
    </row>
    <row r="7561" spans="1:11" ht="42" customHeight="1">
      <c r="A7561" s="2" t="s">
        <v>19047</v>
      </c>
      <c r="B7561" s="2" t="s">
        <v>19048</v>
      </c>
      <c r="C7561" s="2" t="s">
        <v>26</v>
      </c>
      <c r="D7561" s="2" t="s">
        <v>39</v>
      </c>
      <c r="E7561" s="4">
        <v>-32661</v>
      </c>
      <c r="F7561" s="3" t="s">
        <v>157</v>
      </c>
      <c r="G7561" s="3" t="s">
        <v>158</v>
      </c>
      <c r="H7561" s="2" t="s">
        <v>74</v>
      </c>
      <c r="I7561" s="2" t="s">
        <v>19049</v>
      </c>
      <c r="J7561" s="3" t="str">
        <f>HYPERLINK("https://www.boe.es/gazeta/dias/1810/07/29/pdfs/GMD-C-1810-210.pdf#page=1","Abrir facsímil")</f>
        <v>Abrir facsímil</v>
      </c>
      <c r="K7561" s="3" t="s">
        <v>76</v>
      </c>
    </row>
    <row r="7562" spans="1:11" ht="42" customHeight="1">
      <c r="A7562" s="2" t="s">
        <v>19050</v>
      </c>
      <c r="B7562" s="2" t="s">
        <v>19050</v>
      </c>
      <c r="C7562" s="2" t="s">
        <v>88</v>
      </c>
      <c r="D7562" s="2" t="s">
        <v>27</v>
      </c>
      <c r="E7562" s="4">
        <v>-32568</v>
      </c>
      <c r="F7562" s="3" t="s">
        <v>683</v>
      </c>
      <c r="G7562" s="3" t="s">
        <v>1851</v>
      </c>
      <c r="H7562" s="2" t="s">
        <v>74</v>
      </c>
      <c r="I7562" s="2" t="s">
        <v>19051</v>
      </c>
      <c r="J7562" s="3" t="str">
        <f>HYPERLINK("https://www.boe.es/gazeta/dias/1810/10/30/pdfs/GEI-1810-88.pdf#page=5","Abrir facsímil")</f>
        <v>Abrir facsímil</v>
      </c>
      <c r="K7562" s="3" t="s">
        <v>76</v>
      </c>
    </row>
    <row r="7563" spans="1:11" ht="42" customHeight="1">
      <c r="A7563" s="2" t="s">
        <v>19052</v>
      </c>
      <c r="B7563" s="2" t="s">
        <v>19052</v>
      </c>
      <c r="C7563" s="2" t="s">
        <v>88</v>
      </c>
      <c r="D7563" s="2" t="s">
        <v>39</v>
      </c>
      <c r="E7563" s="4">
        <v>-32754</v>
      </c>
      <c r="F7563" s="3" t="s">
        <v>19053</v>
      </c>
      <c r="G7563" s="3" t="s">
        <v>11473</v>
      </c>
      <c r="H7563" s="2" t="s">
        <v>74</v>
      </c>
      <c r="I7563" s="2" t="s">
        <v>19054</v>
      </c>
      <c r="J7563" s="3" t="str">
        <f>HYPERLINK("https://www.boe.es/gazeta/dias/1810/04/27/pdfs/GEI-D-1810-18.pdf#page=2","Abrir facsímil")</f>
        <v>Abrir facsímil</v>
      </c>
      <c r="K7563" s="3" t="s">
        <v>76</v>
      </c>
    </row>
    <row r="7564" spans="1:11" ht="42" customHeight="1">
      <c r="A7564" s="2" t="s">
        <v>19052</v>
      </c>
      <c r="B7564" s="2" t="s">
        <v>19052</v>
      </c>
      <c r="C7564" s="2" t="s">
        <v>88</v>
      </c>
      <c r="D7564" s="2" t="s">
        <v>117</v>
      </c>
      <c r="E7564" s="4">
        <v>-32592</v>
      </c>
      <c r="F7564" s="3" t="s">
        <v>771</v>
      </c>
      <c r="G7564" s="3" t="s">
        <v>13167</v>
      </c>
      <c r="H7564" s="2" t="s">
        <v>74</v>
      </c>
      <c r="I7564" s="2" t="s">
        <v>19055</v>
      </c>
      <c r="J7564" s="3" t="str">
        <f>HYPERLINK("https://www.boe.es/gazeta/dias/1810/10/06/pdfs/GEI-1810-78.pdf#page=7","Abrir facsímil")</f>
        <v>Abrir facsímil</v>
      </c>
      <c r="K7564" s="3" t="s">
        <v>76</v>
      </c>
    </row>
    <row r="7565" spans="1:11" ht="42" customHeight="1">
      <c r="A7565" s="2" t="s">
        <v>19052</v>
      </c>
      <c r="B7565" s="2" t="s">
        <v>19052</v>
      </c>
      <c r="C7565" s="2" t="s">
        <v>88</v>
      </c>
      <c r="D7565" s="2" t="s">
        <v>27</v>
      </c>
      <c r="E7565" s="4">
        <v>-32568</v>
      </c>
      <c r="F7565" s="3" t="s">
        <v>683</v>
      </c>
      <c r="G7565" s="3" t="s">
        <v>119</v>
      </c>
      <c r="H7565" s="2" t="s">
        <v>74</v>
      </c>
      <c r="I7565" s="2" t="s">
        <v>19056</v>
      </c>
      <c r="J7565" s="3" t="str">
        <f>HYPERLINK("https://www.boe.es/gazeta/dias/1810/10/30/pdfs/GEI-1810-88.pdf#page=3","Abrir facsímil")</f>
        <v>Abrir facsímil</v>
      </c>
      <c r="K7565" s="3" t="s">
        <v>76</v>
      </c>
    </row>
    <row r="7566" spans="1:11" ht="42" customHeight="1">
      <c r="A7566" s="2" t="s">
        <v>19052</v>
      </c>
      <c r="B7566" s="2" t="s">
        <v>19052</v>
      </c>
      <c r="C7566" s="2" t="s">
        <v>88</v>
      </c>
      <c r="D7566" s="2" t="s">
        <v>27</v>
      </c>
      <c r="E7566" s="4">
        <v>-32568</v>
      </c>
      <c r="F7566" s="3" t="s">
        <v>683</v>
      </c>
      <c r="G7566" s="3" t="s">
        <v>1851</v>
      </c>
      <c r="H7566" s="2" t="s">
        <v>74</v>
      </c>
      <c r="I7566" s="2" t="s">
        <v>19057</v>
      </c>
      <c r="J7566" s="3" t="str">
        <f>HYPERLINK("https://www.boe.es/gazeta/dias/1810/10/30/pdfs/GEI-1810-88.pdf#page=5","Abrir facsímil")</f>
        <v>Abrir facsímil</v>
      </c>
      <c r="K7566" s="3" t="s">
        <v>76</v>
      </c>
    </row>
    <row r="7567" spans="1:11" ht="42" customHeight="1">
      <c r="A7567" s="2" t="s">
        <v>19052</v>
      </c>
      <c r="B7567" s="2" t="s">
        <v>19052</v>
      </c>
      <c r="C7567" s="2" t="s">
        <v>88</v>
      </c>
      <c r="D7567" s="2" t="s">
        <v>27</v>
      </c>
      <c r="E7567" s="4">
        <v>-32568</v>
      </c>
      <c r="F7567" s="3" t="s">
        <v>683</v>
      </c>
      <c r="G7567" s="3" t="s">
        <v>766</v>
      </c>
      <c r="H7567" s="2" t="s">
        <v>74</v>
      </c>
      <c r="I7567" s="2" t="s">
        <v>19058</v>
      </c>
      <c r="J7567" s="3" t="str">
        <f>HYPERLINK("https://www.boe.es/gazeta/dias/1810/10/30/pdfs/GEI-1810-88.pdf#page=6","Abrir facsímil")</f>
        <v>Abrir facsímil</v>
      </c>
      <c r="K7567" s="3" t="s">
        <v>76</v>
      </c>
    </row>
    <row r="7568" spans="1:11" ht="42" customHeight="1">
      <c r="A7568" s="2" t="s">
        <v>19059</v>
      </c>
      <c r="B7568" s="2" t="s">
        <v>19059</v>
      </c>
      <c r="C7568" s="2" t="s">
        <v>26</v>
      </c>
      <c r="D7568" s="2" t="s">
        <v>27</v>
      </c>
      <c r="E7568" s="4">
        <v>-32694</v>
      </c>
      <c r="F7568" s="3" t="s">
        <v>2166</v>
      </c>
      <c r="G7568" s="3" t="s">
        <v>70</v>
      </c>
      <c r="H7568" s="2" t="s">
        <v>74</v>
      </c>
      <c r="I7568" s="2" t="s">
        <v>19060</v>
      </c>
      <c r="J7568" s="3" t="str">
        <f>HYPERLINK("https://www.boe.es/gazeta/dias/1810/06/26/pdfs/GMD-1810-177.pdf#page=2","Abrir facsímil")</f>
        <v>Abrir facsímil</v>
      </c>
      <c r="K7568" s="3" t="s">
        <v>76</v>
      </c>
    </row>
    <row r="7569" spans="1:11" ht="42" customHeight="1">
      <c r="A7569" s="2" t="s">
        <v>19059</v>
      </c>
      <c r="B7569" s="2" t="s">
        <v>19059</v>
      </c>
      <c r="C7569" s="2" t="s">
        <v>88</v>
      </c>
      <c r="D7569" s="2" t="s">
        <v>117</v>
      </c>
      <c r="E7569" s="4">
        <v>-32694</v>
      </c>
      <c r="F7569" s="3" t="s">
        <v>2166</v>
      </c>
      <c r="G7569" s="3" t="s">
        <v>180</v>
      </c>
      <c r="H7569" s="2" t="s">
        <v>74</v>
      </c>
      <c r="I7569" s="2" t="s">
        <v>19061</v>
      </c>
      <c r="J7569" s="3" t="str">
        <f>HYPERLINK("https://www.boe.es/gazeta/dias/1810/06/26/pdfs/GMD-1810-177.pdf#page=3","Abrir facsímil")</f>
        <v>Abrir facsímil</v>
      </c>
      <c r="K7569" s="3" t="s">
        <v>76</v>
      </c>
    </row>
    <row r="7570" spans="1:11" ht="42" customHeight="1">
      <c r="A7570" s="2" t="s">
        <v>19062</v>
      </c>
      <c r="B7570" s="2" t="s">
        <v>19062</v>
      </c>
      <c r="C7570" s="2" t="s">
        <v>26</v>
      </c>
      <c r="D7570" s="2" t="s">
        <v>27</v>
      </c>
      <c r="E7570" s="4">
        <v>-32770</v>
      </c>
      <c r="F7570" s="3" t="s">
        <v>7130</v>
      </c>
      <c r="G7570" s="3" t="s">
        <v>5279</v>
      </c>
      <c r="H7570" s="2" t="s">
        <v>74</v>
      </c>
      <c r="I7570" s="2" t="s">
        <v>19063</v>
      </c>
      <c r="J7570" s="3" t="str">
        <f>HYPERLINK("https://www.boe.es/gazeta/dias/1810/04/11/pdfs/GMD-1810-101.pdf#page=1","Abrir facsímil")</f>
        <v>Abrir facsímil</v>
      </c>
      <c r="K7570" s="3" t="s">
        <v>76</v>
      </c>
    </row>
    <row r="7571" spans="1:11" ht="42" customHeight="1">
      <c r="A7571" s="2" t="s">
        <v>19064</v>
      </c>
      <c r="B7571" s="2" t="s">
        <v>19064</v>
      </c>
      <c r="C7571" s="2" t="s">
        <v>88</v>
      </c>
      <c r="D7571" s="2" t="s">
        <v>27</v>
      </c>
      <c r="E7571" s="4">
        <v>-32568</v>
      </c>
      <c r="F7571" s="3" t="s">
        <v>683</v>
      </c>
      <c r="G7571" s="3" t="s">
        <v>10563</v>
      </c>
      <c r="H7571" s="2" t="s">
        <v>74</v>
      </c>
      <c r="I7571" s="2" t="s">
        <v>19065</v>
      </c>
      <c r="J7571" s="3" t="str">
        <f>HYPERLINK("https://www.boe.es/gazeta/dias/1810/10/30/pdfs/GEI-1810-88.pdf#page=10","Abrir facsímil")</f>
        <v>Abrir facsímil</v>
      </c>
      <c r="K7571" s="3" t="s">
        <v>76</v>
      </c>
    </row>
    <row r="7572" spans="1:11" ht="42" customHeight="1">
      <c r="A7572" s="2" t="s">
        <v>19066</v>
      </c>
      <c r="B7572" s="2" t="s">
        <v>19067</v>
      </c>
      <c r="C7572" s="2" t="s">
        <v>26</v>
      </c>
      <c r="D7572" s="2" t="s">
        <v>27</v>
      </c>
      <c r="E7572" s="4">
        <v>-32647</v>
      </c>
      <c r="F7572" s="3" t="s">
        <v>118</v>
      </c>
      <c r="G7572" s="3" t="s">
        <v>20</v>
      </c>
      <c r="H7572" s="2" t="s">
        <v>74</v>
      </c>
      <c r="I7572" s="2" t="s">
        <v>19068</v>
      </c>
      <c r="J7572" s="3" t="str">
        <f>HYPERLINK("https://www.boe.es/gazeta/dias/1810/08/12/pdfs/GMD-1810-224.pdf#page=4","Abrir facsímil")</f>
        <v>Abrir facsímil</v>
      </c>
      <c r="K7572" s="3" t="s">
        <v>76</v>
      </c>
    </row>
    <row r="7573" spans="1:11" ht="42" customHeight="1">
      <c r="A7573" s="2" t="s">
        <v>19069</v>
      </c>
      <c r="B7573" s="2" t="s">
        <v>19069</v>
      </c>
      <c r="C7573" s="2" t="s">
        <v>26</v>
      </c>
      <c r="D7573" s="2" t="s">
        <v>18</v>
      </c>
      <c r="E7573" s="4">
        <v>-32573</v>
      </c>
      <c r="F7573" s="3" t="s">
        <v>3120</v>
      </c>
      <c r="G7573" s="3" t="s">
        <v>16760</v>
      </c>
      <c r="H7573" s="2" t="s">
        <v>74</v>
      </c>
      <c r="I7573" s="2" t="s">
        <v>19070</v>
      </c>
      <c r="J7573" s="3" t="str">
        <f>HYPERLINK("https://www.boe.es/gazeta/dias/1810/10/25/pdfs/GEI-1810-86.pdf#page=8","Abrir facsímil")</f>
        <v>Abrir facsímil</v>
      </c>
      <c r="K7573" s="3" t="s">
        <v>76</v>
      </c>
    </row>
    <row r="7574" spans="1:11" ht="42" customHeight="1">
      <c r="A7574" s="2" t="s">
        <v>19071</v>
      </c>
      <c r="B7574" s="2" t="s">
        <v>19071</v>
      </c>
      <c r="C7574" s="2" t="s">
        <v>88</v>
      </c>
      <c r="D7574" s="2" t="s">
        <v>117</v>
      </c>
      <c r="E7574" s="4">
        <v>-32723</v>
      </c>
      <c r="F7574" s="3" t="s">
        <v>464</v>
      </c>
      <c r="G7574" s="3" t="s">
        <v>469</v>
      </c>
      <c r="H7574" s="2" t="s">
        <v>74</v>
      </c>
      <c r="I7574" s="2" t="s">
        <v>19072</v>
      </c>
      <c r="J7574" s="3" t="str">
        <f>HYPERLINK("https://www.boe.es/gazeta/dias/1810/05/28/pdfs/GMD-1810-148.pdf#page=4","Abrir facsímil")</f>
        <v>Abrir facsímil</v>
      </c>
      <c r="K7574" s="3" t="s">
        <v>76</v>
      </c>
    </row>
    <row r="7575" spans="1:11" ht="42" customHeight="1">
      <c r="A7575" s="2" t="s">
        <v>19071</v>
      </c>
      <c r="B7575" s="2" t="s">
        <v>19071</v>
      </c>
      <c r="C7575" s="2" t="s">
        <v>33</v>
      </c>
      <c r="D7575" s="2" t="s">
        <v>27</v>
      </c>
      <c r="E7575" s="4">
        <v>-32691</v>
      </c>
      <c r="F7575" s="3" t="s">
        <v>3021</v>
      </c>
      <c r="G7575" s="3" t="s">
        <v>3022</v>
      </c>
      <c r="H7575" s="2" t="s">
        <v>74</v>
      </c>
      <c r="I7575" s="2" t="s">
        <v>19073</v>
      </c>
      <c r="J7575" s="3" t="str">
        <f>HYPERLINK("https://www.boe.es/gazeta/dias/1810/06/29/pdfs/GEI-1810-40.pdf#page=7","Abrir facsímil")</f>
        <v>Abrir facsímil</v>
      </c>
      <c r="K7575" s="3" t="s">
        <v>76</v>
      </c>
    </row>
    <row r="7576" spans="1:11" ht="42" customHeight="1">
      <c r="A7576" s="2" t="s">
        <v>19071</v>
      </c>
      <c r="B7576" s="2" t="s">
        <v>19071</v>
      </c>
      <c r="C7576" s="2" t="s">
        <v>88</v>
      </c>
      <c r="D7576" s="2" t="s">
        <v>39</v>
      </c>
      <c r="E7576" s="4">
        <v>-32631</v>
      </c>
      <c r="F7576" s="3" t="s">
        <v>2830</v>
      </c>
      <c r="G7576" s="3" t="s">
        <v>3308</v>
      </c>
      <c r="H7576" s="2" t="s">
        <v>74</v>
      </c>
      <c r="I7576" s="2" t="s">
        <v>19074</v>
      </c>
      <c r="J7576" s="3" t="str">
        <f>HYPERLINK("https://www.boe.es/gazeta/dias/1810/08/28/pdfs/GEI-D-1810-60.pdf#page=2","Abrir facsímil")</f>
        <v>Abrir facsímil</v>
      </c>
      <c r="K7576" s="3" t="s">
        <v>76</v>
      </c>
    </row>
    <row r="7577" spans="1:11" ht="42" customHeight="1">
      <c r="A7577" s="2" t="s">
        <v>19075</v>
      </c>
      <c r="B7577" s="2" t="s">
        <v>19076</v>
      </c>
      <c r="C7577" s="2" t="s">
        <v>88</v>
      </c>
      <c r="D7577" s="2" t="s">
        <v>117</v>
      </c>
      <c r="E7577" s="4">
        <v>-32832</v>
      </c>
      <c r="F7577" s="3" t="s">
        <v>5089</v>
      </c>
      <c r="G7577" s="3" t="s">
        <v>140</v>
      </c>
      <c r="H7577" s="2" t="s">
        <v>74</v>
      </c>
      <c r="I7577" s="2" t="s">
        <v>19077</v>
      </c>
      <c r="J7577" s="3" t="str">
        <f>HYPERLINK("https://www.boe.es/gazeta/dias/1810/02/08/pdfs/GMD-1810-39.pdf#page=3","Abrir facsímil")</f>
        <v>Abrir facsímil</v>
      </c>
      <c r="K7577" s="3" t="s">
        <v>76</v>
      </c>
    </row>
    <row r="7578" spans="1:11" ht="42" customHeight="1">
      <c r="A7578" s="2" t="s">
        <v>19078</v>
      </c>
      <c r="B7578" s="2" t="s">
        <v>19078</v>
      </c>
      <c r="C7578" s="2" t="s">
        <v>88</v>
      </c>
      <c r="D7578" s="2" t="s">
        <v>27</v>
      </c>
      <c r="E7578" s="4">
        <v>-32608</v>
      </c>
      <c r="F7578" s="3" t="s">
        <v>781</v>
      </c>
      <c r="G7578" s="3" t="s">
        <v>2147</v>
      </c>
      <c r="H7578" s="2" t="s">
        <v>74</v>
      </c>
      <c r="I7578" s="2" t="s">
        <v>19079</v>
      </c>
      <c r="J7578" s="3" t="str">
        <f>HYPERLINK("https://www.boe.es/gazeta/dias/1810/09/20/pdfs/GEI-1810-70.pdf#page=6","Abrir facsímil")</f>
        <v>Abrir facsímil</v>
      </c>
      <c r="K7578" s="3" t="s">
        <v>76</v>
      </c>
    </row>
    <row r="7579" spans="1:11" ht="42" customHeight="1">
      <c r="A7579" s="2" t="s">
        <v>19080</v>
      </c>
      <c r="B7579" s="2" t="s">
        <v>19080</v>
      </c>
      <c r="C7579" s="2" t="s">
        <v>88</v>
      </c>
      <c r="D7579" s="2" t="s">
        <v>18</v>
      </c>
      <c r="E7579" s="4">
        <v>-32827</v>
      </c>
      <c r="F7579" s="3" t="s">
        <v>290</v>
      </c>
      <c r="G7579" s="3" t="s">
        <v>695</v>
      </c>
      <c r="H7579" s="2" t="s">
        <v>74</v>
      </c>
      <c r="I7579" s="2" t="s">
        <v>19081</v>
      </c>
      <c r="J7579" s="3" t="str">
        <f>HYPERLINK("https://www.boe.es/gazeta/dias/1810/02/13/pdfs/GMD-1810-44.pdf#page=2","Abrir facsímil")</f>
        <v>Abrir facsímil</v>
      </c>
      <c r="K7579" s="3" t="s">
        <v>76</v>
      </c>
    </row>
    <row r="7580" spans="1:11" ht="42" customHeight="1">
      <c r="A7580" s="2" t="s">
        <v>19082</v>
      </c>
      <c r="B7580" s="2" t="s">
        <v>19082</v>
      </c>
      <c r="C7580" s="2" t="s">
        <v>26</v>
      </c>
      <c r="D7580" s="2" t="s">
        <v>220</v>
      </c>
      <c r="E7580" s="4">
        <v>-32828</v>
      </c>
      <c r="F7580" s="3" t="s">
        <v>1195</v>
      </c>
      <c r="G7580" s="3" t="s">
        <v>701</v>
      </c>
      <c r="H7580" s="2" t="s">
        <v>74</v>
      </c>
      <c r="I7580" s="2" t="s">
        <v>19083</v>
      </c>
      <c r="J7580" s="3" t="str">
        <f>HYPERLINK("https://www.boe.es/gazeta/dias/1810/02/12/pdfs/GMD-1810-43.pdf#page=2","Abrir facsímil")</f>
        <v>Abrir facsímil</v>
      </c>
      <c r="K7580" s="3" t="s">
        <v>76</v>
      </c>
    </row>
    <row r="7581" spans="1:11" ht="42" customHeight="1">
      <c r="A7581" s="2" t="s">
        <v>19082</v>
      </c>
      <c r="B7581" s="2" t="s">
        <v>19082</v>
      </c>
      <c r="C7581" s="2" t="s">
        <v>88</v>
      </c>
      <c r="D7581" s="2" t="s">
        <v>117</v>
      </c>
      <c r="E7581" s="4">
        <v>-32827</v>
      </c>
      <c r="F7581" s="3" t="s">
        <v>290</v>
      </c>
      <c r="G7581" s="3" t="s">
        <v>695</v>
      </c>
      <c r="H7581" s="2" t="s">
        <v>74</v>
      </c>
      <c r="I7581" s="2" t="s">
        <v>19084</v>
      </c>
      <c r="J7581" s="3" t="str">
        <f>HYPERLINK("https://www.boe.es/gazeta/dias/1810/02/13/pdfs/GMD-1810-44.pdf#page=2","Abrir facsímil")</f>
        <v>Abrir facsímil</v>
      </c>
      <c r="K7581" s="3" t="s">
        <v>76</v>
      </c>
    </row>
    <row r="7582" spans="1:11" ht="42" customHeight="1">
      <c r="A7582" s="2" t="s">
        <v>19082</v>
      </c>
      <c r="B7582" s="2" t="s">
        <v>19082</v>
      </c>
      <c r="C7582" s="2" t="s">
        <v>88</v>
      </c>
      <c r="D7582" s="2" t="s">
        <v>117</v>
      </c>
      <c r="E7582" s="4">
        <v>-32788</v>
      </c>
      <c r="F7582" s="3" t="s">
        <v>1254</v>
      </c>
      <c r="G7582" s="3" t="s">
        <v>90</v>
      </c>
      <c r="H7582" s="2" t="s">
        <v>74</v>
      </c>
      <c r="I7582" s="2" t="s">
        <v>19085</v>
      </c>
      <c r="J7582" s="3" t="str">
        <f>HYPERLINK("https://www.boe.es/gazeta/dias/1810/03/24/pdfs/GMD-1810-83.pdf#page=4","Abrir facsímil")</f>
        <v>Abrir facsímil</v>
      </c>
      <c r="K7582" s="3" t="s">
        <v>76</v>
      </c>
    </row>
    <row r="7583" spans="1:11" ht="42" customHeight="1">
      <c r="A7583" s="2" t="s">
        <v>19082</v>
      </c>
      <c r="B7583" s="2" t="s">
        <v>19082</v>
      </c>
      <c r="C7583" s="2" t="s">
        <v>26</v>
      </c>
      <c r="D7583" s="2" t="s">
        <v>27</v>
      </c>
      <c r="E7583" s="4">
        <v>-32764</v>
      </c>
      <c r="F7583" s="3" t="s">
        <v>718</v>
      </c>
      <c r="G7583" s="3" t="s">
        <v>99</v>
      </c>
      <c r="H7583" s="2" t="s">
        <v>74</v>
      </c>
      <c r="I7583" s="2" t="s">
        <v>19086</v>
      </c>
      <c r="J7583" s="3" t="str">
        <f>HYPERLINK("https://www.boe.es/gazeta/dias/1810/04/17/pdfs/GMD-1810-107.pdf#page=3","Abrir facsímil")</f>
        <v>Abrir facsímil</v>
      </c>
      <c r="K7583" s="3" t="s">
        <v>76</v>
      </c>
    </row>
    <row r="7584" spans="1:11" ht="42" customHeight="1">
      <c r="A7584" s="2" t="s">
        <v>19082</v>
      </c>
      <c r="B7584" s="2" t="s">
        <v>19082</v>
      </c>
      <c r="C7584" s="2" t="s">
        <v>88</v>
      </c>
      <c r="D7584" s="2" t="s">
        <v>117</v>
      </c>
      <c r="E7584" s="4">
        <v>-32760</v>
      </c>
      <c r="F7584" s="3" t="s">
        <v>19087</v>
      </c>
      <c r="G7584" s="3" t="s">
        <v>19088</v>
      </c>
      <c r="H7584" s="2" t="s">
        <v>74</v>
      </c>
      <c r="I7584" s="2" t="s">
        <v>19089</v>
      </c>
      <c r="J7584" s="3" t="str">
        <f>HYPERLINK("https://www.boe.es/gazeta/dias/1810/04/21/pdfs/GMD-1810-111.pdf#page=4","Abrir facsímil")</f>
        <v>Abrir facsímil</v>
      </c>
      <c r="K7584" s="3" t="s">
        <v>76</v>
      </c>
    </row>
    <row r="7585" spans="1:11" ht="42" customHeight="1">
      <c r="A7585" s="2" t="s">
        <v>19082</v>
      </c>
      <c r="B7585" s="2" t="s">
        <v>19082</v>
      </c>
      <c r="C7585" s="2" t="s">
        <v>26</v>
      </c>
      <c r="D7585" s="2" t="s">
        <v>27</v>
      </c>
      <c r="E7585" s="4">
        <v>-32726</v>
      </c>
      <c r="F7585" s="3" t="s">
        <v>3350</v>
      </c>
      <c r="G7585" s="3" t="s">
        <v>227</v>
      </c>
      <c r="H7585" s="2" t="s">
        <v>74</v>
      </c>
      <c r="I7585" s="2" t="s">
        <v>19090</v>
      </c>
      <c r="J7585" s="3" t="str">
        <f>HYPERLINK("https://www.boe.es/gazeta/dias/1810/05/25/pdfs/GMD-1810-145.pdf#page=1","Abrir facsímil")</f>
        <v>Abrir facsímil</v>
      </c>
      <c r="K7585" s="3" t="s">
        <v>76</v>
      </c>
    </row>
    <row r="7586" spans="1:11" ht="42" customHeight="1">
      <c r="A7586" s="2" t="s">
        <v>19082</v>
      </c>
      <c r="B7586" s="2" t="s">
        <v>19082</v>
      </c>
      <c r="C7586" s="2" t="s">
        <v>26</v>
      </c>
      <c r="D7586" s="2" t="s">
        <v>27</v>
      </c>
      <c r="E7586" s="4">
        <v>-32726</v>
      </c>
      <c r="F7586" s="3" t="s">
        <v>3350</v>
      </c>
      <c r="G7586" s="3" t="s">
        <v>29</v>
      </c>
      <c r="H7586" s="2" t="s">
        <v>74</v>
      </c>
      <c r="I7586" s="2" t="s">
        <v>19091</v>
      </c>
      <c r="J7586" s="3" t="str">
        <f>HYPERLINK("https://www.boe.es/gazeta/dias/1810/05/25/pdfs/GMD-1810-145.pdf#page=4","Abrir facsímil")</f>
        <v>Abrir facsímil</v>
      </c>
      <c r="K7586" s="3" t="s">
        <v>76</v>
      </c>
    </row>
    <row r="7587" spans="1:11" ht="42" customHeight="1">
      <c r="A7587" s="2" t="s">
        <v>19082</v>
      </c>
      <c r="B7587" s="2" t="s">
        <v>19082</v>
      </c>
      <c r="C7587" s="2" t="s">
        <v>88</v>
      </c>
      <c r="D7587" s="2" t="s">
        <v>27</v>
      </c>
      <c r="E7587" s="4">
        <v>-32723</v>
      </c>
      <c r="F7587" s="3" t="s">
        <v>464</v>
      </c>
      <c r="G7587" s="3" t="s">
        <v>469</v>
      </c>
      <c r="H7587" s="2" t="s">
        <v>74</v>
      </c>
      <c r="I7587" s="2" t="s">
        <v>19092</v>
      </c>
      <c r="J7587" s="3" t="str">
        <f>HYPERLINK("https://www.boe.es/gazeta/dias/1810/05/28/pdfs/GMD-1810-148.pdf#page=4","Abrir facsímil")</f>
        <v>Abrir facsímil</v>
      </c>
      <c r="K7587" s="3" t="s">
        <v>76</v>
      </c>
    </row>
    <row r="7588" spans="1:11" ht="42" customHeight="1">
      <c r="A7588" s="2" t="s">
        <v>19082</v>
      </c>
      <c r="B7588" s="2" t="s">
        <v>19082</v>
      </c>
      <c r="C7588" s="2" t="s">
        <v>88</v>
      </c>
      <c r="D7588" s="2" t="s">
        <v>27</v>
      </c>
      <c r="E7588" s="4">
        <v>-32591</v>
      </c>
      <c r="F7588" s="3" t="s">
        <v>377</v>
      </c>
      <c r="G7588" s="3" t="s">
        <v>136</v>
      </c>
      <c r="H7588" s="2" t="s">
        <v>74</v>
      </c>
      <c r="I7588" s="2" t="s">
        <v>19093</v>
      </c>
      <c r="J7588" s="3" t="str">
        <f>HYPERLINK("https://www.boe.es/gazeta/dias/1810/10/07/pdfs/GMD-1810-280.pdf#page=3","Abrir facsímil")</f>
        <v>Abrir facsímil</v>
      </c>
      <c r="K7588" s="3" t="s">
        <v>76</v>
      </c>
    </row>
    <row r="7589" spans="1:11" ht="42" customHeight="1">
      <c r="A7589" s="2" t="s">
        <v>19082</v>
      </c>
      <c r="B7589" s="2" t="s">
        <v>19082</v>
      </c>
      <c r="C7589" s="2" t="s">
        <v>26</v>
      </c>
      <c r="D7589" s="2" t="s">
        <v>27</v>
      </c>
      <c r="E7589" s="4">
        <v>-32566</v>
      </c>
      <c r="F7589" s="3" t="s">
        <v>405</v>
      </c>
      <c r="G7589" s="3" t="s">
        <v>99</v>
      </c>
      <c r="H7589" s="2" t="s">
        <v>74</v>
      </c>
      <c r="I7589" s="2" t="s">
        <v>19094</v>
      </c>
      <c r="J7589" s="3" t="str">
        <f>HYPERLINK("https://www.boe.es/gazeta/dias/1810/11/01/pdfs/GMD-1810-305.pdf#page=3","Abrir facsímil")</f>
        <v>Abrir facsímil</v>
      </c>
      <c r="K7589" s="3" t="s">
        <v>76</v>
      </c>
    </row>
    <row r="7590" spans="1:11" ht="42" customHeight="1">
      <c r="A7590" s="2" t="s">
        <v>19082</v>
      </c>
      <c r="B7590" s="2" t="s">
        <v>19082</v>
      </c>
      <c r="C7590" s="2" t="s">
        <v>26</v>
      </c>
      <c r="D7590" s="2" t="s">
        <v>27</v>
      </c>
      <c r="E7590" s="4">
        <v>-32551</v>
      </c>
      <c r="F7590" s="3" t="s">
        <v>968</v>
      </c>
      <c r="G7590" s="3" t="s">
        <v>29</v>
      </c>
      <c r="H7590" s="2" t="s">
        <v>74</v>
      </c>
      <c r="I7590" s="2" t="s">
        <v>19095</v>
      </c>
      <c r="J7590" s="3" t="str">
        <f>HYPERLINK("https://www.boe.es/gazeta/dias/1810/11/16/pdfs/GMD-1810-320.pdf#page=3","Abrir facsímil")</f>
        <v>Abrir facsímil</v>
      </c>
      <c r="K7590" s="3" t="s">
        <v>76</v>
      </c>
    </row>
    <row r="7591" spans="1:11" ht="42" customHeight="1">
      <c r="A7591" s="2" t="s">
        <v>19096</v>
      </c>
      <c r="B7591" s="2" t="s">
        <v>19097</v>
      </c>
      <c r="C7591" s="2" t="s">
        <v>88</v>
      </c>
      <c r="D7591" s="2" t="s">
        <v>27</v>
      </c>
      <c r="E7591" s="4">
        <v>-32764</v>
      </c>
      <c r="F7591" s="3" t="s">
        <v>640</v>
      </c>
      <c r="G7591" s="3" t="s">
        <v>641</v>
      </c>
      <c r="H7591" s="2" t="s">
        <v>74</v>
      </c>
      <c r="I7591" s="2" t="s">
        <v>19098</v>
      </c>
      <c r="J7591" s="3" t="str">
        <f>HYPERLINK("https://www.boe.es/gazeta/dias/1810/04/17/pdfs/GEI-1810-15.pdf#page=8","Abrir facsímil")</f>
        <v>Abrir facsímil</v>
      </c>
      <c r="K7591" s="3" t="s">
        <v>76</v>
      </c>
    </row>
    <row r="7592" spans="1:11" ht="42" customHeight="1">
      <c r="A7592" s="2" t="s">
        <v>19099</v>
      </c>
      <c r="B7592" s="2" t="s">
        <v>19099</v>
      </c>
      <c r="C7592" s="2" t="s">
        <v>88</v>
      </c>
      <c r="D7592" s="2" t="s">
        <v>27</v>
      </c>
      <c r="E7592" s="4">
        <v>-32783</v>
      </c>
      <c r="F7592" s="3" t="s">
        <v>896</v>
      </c>
      <c r="G7592" s="3" t="s">
        <v>20</v>
      </c>
      <c r="H7592" s="2" t="s">
        <v>74</v>
      </c>
      <c r="I7592" s="2" t="s">
        <v>19100</v>
      </c>
      <c r="J7592" s="3" t="str">
        <f>HYPERLINK("https://www.boe.es/gazeta/dias/1810/03/29/pdfs/GMD-1810-88.pdf#page=4","Abrir facsímil")</f>
        <v>Abrir facsímil</v>
      </c>
      <c r="K7592" s="3" t="s">
        <v>76</v>
      </c>
    </row>
    <row r="7593" spans="1:11" ht="42" customHeight="1">
      <c r="A7593" s="2" t="s">
        <v>19099</v>
      </c>
      <c r="B7593" s="2" t="s">
        <v>19099</v>
      </c>
      <c r="C7593" s="2" t="s">
        <v>88</v>
      </c>
      <c r="D7593" s="2" t="s">
        <v>27</v>
      </c>
      <c r="E7593" s="4">
        <v>-32760</v>
      </c>
      <c r="F7593" s="3" t="s">
        <v>19087</v>
      </c>
      <c r="G7593" s="3" t="s">
        <v>19088</v>
      </c>
      <c r="H7593" s="2" t="s">
        <v>74</v>
      </c>
      <c r="I7593" s="2" t="s">
        <v>19101</v>
      </c>
      <c r="J7593" s="3" t="str">
        <f>HYPERLINK("https://www.boe.es/gazeta/dias/1810/04/21/pdfs/GMD-1810-111.pdf#page=4","Abrir facsímil")</f>
        <v>Abrir facsímil</v>
      </c>
      <c r="K7593" s="3" t="s">
        <v>76</v>
      </c>
    </row>
    <row r="7594" spans="1:11" ht="42" customHeight="1">
      <c r="A7594" s="2" t="s">
        <v>19099</v>
      </c>
      <c r="B7594" s="2" t="s">
        <v>19099</v>
      </c>
      <c r="C7594" s="2" t="s">
        <v>88</v>
      </c>
      <c r="D7594" s="2" t="s">
        <v>117</v>
      </c>
      <c r="E7594" s="4">
        <v>-32715</v>
      </c>
      <c r="F7594" s="3" t="s">
        <v>6792</v>
      </c>
      <c r="G7594" s="3" t="s">
        <v>119</v>
      </c>
      <c r="H7594" s="2" t="s">
        <v>74</v>
      </c>
      <c r="I7594" s="2" t="s">
        <v>19102</v>
      </c>
      <c r="J7594" s="3" t="str">
        <f>HYPERLINK("https://www.boe.es/gazeta/dias/1810/06/05/pdfs/GEI-D-1810-33.pdf#page=1","Abrir facsímil")</f>
        <v>Abrir facsímil</v>
      </c>
      <c r="K7594" s="3" t="s">
        <v>76</v>
      </c>
    </row>
    <row r="7595" spans="1:11" ht="42" customHeight="1">
      <c r="A7595" s="2" t="s">
        <v>19099</v>
      </c>
      <c r="B7595" s="2" t="s">
        <v>19099</v>
      </c>
      <c r="C7595" s="2" t="s">
        <v>88</v>
      </c>
      <c r="D7595" s="2" t="s">
        <v>117</v>
      </c>
      <c r="E7595" s="4">
        <v>-32715</v>
      </c>
      <c r="F7595" s="3" t="s">
        <v>6792</v>
      </c>
      <c r="G7595" s="3" t="s">
        <v>99</v>
      </c>
      <c r="H7595" s="2" t="s">
        <v>74</v>
      </c>
      <c r="I7595" s="2" t="s">
        <v>19103</v>
      </c>
      <c r="J7595" s="3" t="str">
        <f>HYPERLINK("https://www.boe.es/gazeta/dias/1810/06/05/pdfs/GEI-D-1810-33.pdf#page=3","Abrir facsímil")</f>
        <v>Abrir facsímil</v>
      </c>
      <c r="K7595" s="3" t="s">
        <v>76</v>
      </c>
    </row>
    <row r="7596" spans="1:11" ht="42" customHeight="1">
      <c r="A7596" s="2" t="s">
        <v>19099</v>
      </c>
      <c r="B7596" s="2" t="s">
        <v>19099</v>
      </c>
      <c r="C7596" s="2" t="s">
        <v>88</v>
      </c>
      <c r="D7596" s="2" t="s">
        <v>18</v>
      </c>
      <c r="E7596" s="4">
        <v>-32673</v>
      </c>
      <c r="F7596" s="3" t="s">
        <v>2174</v>
      </c>
      <c r="G7596" s="3" t="s">
        <v>15043</v>
      </c>
      <c r="H7596" s="2" t="s">
        <v>74</v>
      </c>
      <c r="I7596" s="2" t="s">
        <v>19104</v>
      </c>
      <c r="J7596" s="3" t="str">
        <f>HYPERLINK("https://www.boe.es/gazeta/dias/1810/07/17/pdfs/GEI-1810-45.pdf#page=10","Abrir facsímil")</f>
        <v>Abrir facsímil</v>
      </c>
      <c r="K7596" s="3" t="s">
        <v>76</v>
      </c>
    </row>
    <row r="7597" spans="1:11" ht="42" customHeight="1">
      <c r="A7597" s="2" t="s">
        <v>19099</v>
      </c>
      <c r="B7597" s="2" t="s">
        <v>19099</v>
      </c>
      <c r="C7597" s="2" t="s">
        <v>88</v>
      </c>
      <c r="D7597" s="2" t="s">
        <v>18</v>
      </c>
      <c r="E7597" s="4">
        <v>-32654</v>
      </c>
      <c r="F7597" s="3" t="s">
        <v>1032</v>
      </c>
      <c r="G7597" s="3" t="s">
        <v>180</v>
      </c>
      <c r="H7597" s="2" t="s">
        <v>74</v>
      </c>
      <c r="I7597" s="2" t="s">
        <v>19105</v>
      </c>
      <c r="J7597" s="3" t="str">
        <f>HYPERLINK("https://www.boe.es/gazeta/dias/1810/08/05/pdfs/GEI-1810-51E.pdf#page=5","Abrir facsímil")</f>
        <v>Abrir facsímil</v>
      </c>
      <c r="K7597" s="3" t="s">
        <v>76</v>
      </c>
    </row>
    <row r="7598" spans="1:11" ht="42" customHeight="1">
      <c r="A7598" s="2" t="s">
        <v>19099</v>
      </c>
      <c r="B7598" s="2" t="s">
        <v>19099</v>
      </c>
      <c r="C7598" s="2" t="s">
        <v>88</v>
      </c>
      <c r="D7598" s="2" t="s">
        <v>39</v>
      </c>
      <c r="E7598" s="4">
        <v>-32631</v>
      </c>
      <c r="F7598" s="3" t="s">
        <v>2830</v>
      </c>
      <c r="G7598" s="3" t="s">
        <v>1638</v>
      </c>
      <c r="H7598" s="2" t="s">
        <v>74</v>
      </c>
      <c r="I7598" s="2" t="s">
        <v>19106</v>
      </c>
      <c r="J7598" s="3" t="str">
        <f>HYPERLINK("https://www.boe.es/gazeta/dias/1810/08/28/pdfs/GEI-D-1810-60.pdf#page=1","Abrir facsímil")</f>
        <v>Abrir facsímil</v>
      </c>
      <c r="K7598" s="3" t="s">
        <v>76</v>
      </c>
    </row>
    <row r="7599" spans="1:11" ht="42" customHeight="1">
      <c r="A7599" s="2" t="s">
        <v>19099</v>
      </c>
      <c r="B7599" s="2" t="s">
        <v>19099</v>
      </c>
      <c r="C7599" s="2" t="s">
        <v>88</v>
      </c>
      <c r="D7599" s="2" t="s">
        <v>117</v>
      </c>
      <c r="E7599" s="4">
        <v>-32594</v>
      </c>
      <c r="F7599" s="3" t="s">
        <v>885</v>
      </c>
      <c r="G7599" s="3" t="s">
        <v>886</v>
      </c>
      <c r="H7599" s="2" t="s">
        <v>74</v>
      </c>
      <c r="I7599" s="2" t="s">
        <v>19107</v>
      </c>
      <c r="J7599" s="3" t="str">
        <f>HYPERLINK("https://www.boe.es/gazeta/dias/1810/10/04/pdfs/GEI-1810-77.pdf#page=6","Abrir facsímil")</f>
        <v>Abrir facsímil</v>
      </c>
      <c r="K7599" s="3" t="s">
        <v>76</v>
      </c>
    </row>
    <row r="7600" spans="1:11" ht="42" customHeight="1">
      <c r="A7600" s="2" t="s">
        <v>19099</v>
      </c>
      <c r="B7600" s="2" t="s">
        <v>19099</v>
      </c>
      <c r="C7600" s="2" t="s">
        <v>88</v>
      </c>
      <c r="D7600" s="2" t="s">
        <v>27</v>
      </c>
      <c r="E7600" s="4">
        <v>-32594</v>
      </c>
      <c r="F7600" s="3" t="s">
        <v>885</v>
      </c>
      <c r="G7600" s="3" t="s">
        <v>7532</v>
      </c>
      <c r="H7600" s="2" t="s">
        <v>74</v>
      </c>
      <c r="I7600" s="2" t="s">
        <v>19108</v>
      </c>
      <c r="J7600" s="3" t="str">
        <f>HYPERLINK("https://www.boe.es/gazeta/dias/1810/10/04/pdfs/GEI-1810-77.pdf#page=7","Abrir facsímil")</f>
        <v>Abrir facsímil</v>
      </c>
      <c r="K7600" s="3" t="s">
        <v>76</v>
      </c>
    </row>
    <row r="7601" spans="1:11" ht="42" customHeight="1">
      <c r="A7601" s="2" t="s">
        <v>19099</v>
      </c>
      <c r="B7601" s="2" t="s">
        <v>19099</v>
      </c>
      <c r="C7601" s="2" t="s">
        <v>88</v>
      </c>
      <c r="D7601" s="2" t="s">
        <v>27</v>
      </c>
      <c r="E7601" s="4">
        <v>-32551</v>
      </c>
      <c r="F7601" s="3" t="s">
        <v>968</v>
      </c>
      <c r="G7601" s="3" t="s">
        <v>969</v>
      </c>
      <c r="H7601" s="2" t="s">
        <v>74</v>
      </c>
      <c r="I7601" s="2" t="s">
        <v>19109</v>
      </c>
      <c r="J7601" s="3" t="str">
        <f>HYPERLINK("https://www.boe.es/gazeta/dias/1810/11/16/pdfs/GMD-1810-320.pdf#page=2","Abrir facsímil")</f>
        <v>Abrir facsímil</v>
      </c>
      <c r="K7601" s="3" t="s">
        <v>76</v>
      </c>
    </row>
    <row r="7602" spans="1:11" ht="42" customHeight="1">
      <c r="A7602" s="2" t="s">
        <v>19110</v>
      </c>
      <c r="B7602" s="2" t="s">
        <v>19111</v>
      </c>
      <c r="C7602" s="2" t="s">
        <v>88</v>
      </c>
      <c r="D7602" s="2" t="s">
        <v>117</v>
      </c>
      <c r="E7602" s="4">
        <v>-32800</v>
      </c>
      <c r="F7602" s="3" t="s">
        <v>388</v>
      </c>
      <c r="G7602" s="3" t="s">
        <v>119</v>
      </c>
      <c r="H7602" s="2" t="s">
        <v>74</v>
      </c>
      <c r="I7602" s="2" t="s">
        <v>19112</v>
      </c>
      <c r="J7602" s="3" t="str">
        <f>HYPERLINK("https://www.boe.es/gazeta/dias/1810/03/12/pdfs/GMD-1810-71.pdf#page=3","Abrir facsímil")</f>
        <v>Abrir facsímil</v>
      </c>
      <c r="K7602" s="3" t="s">
        <v>76</v>
      </c>
    </row>
    <row r="7603" spans="1:11" ht="42" customHeight="1">
      <c r="A7603" s="2" t="s">
        <v>19113</v>
      </c>
      <c r="B7603" s="2" t="s">
        <v>19114</v>
      </c>
      <c r="C7603" s="2" t="s">
        <v>33</v>
      </c>
      <c r="D7603" s="2" t="s">
        <v>27</v>
      </c>
      <c r="E7603" s="4">
        <v>-32809</v>
      </c>
      <c r="F7603" s="3" t="s">
        <v>1873</v>
      </c>
      <c r="G7603" s="3" t="s">
        <v>735</v>
      </c>
      <c r="H7603" s="2" t="s">
        <v>74</v>
      </c>
      <c r="I7603" s="2" t="s">
        <v>19115</v>
      </c>
      <c r="J7603" s="3" t="str">
        <f>HYPERLINK("https://www.boe.es/gazeta/dias/1810/03/03/pdfs/GMD-1810-62.pdf#page=4","Abrir facsímil")</f>
        <v>Abrir facsímil</v>
      </c>
      <c r="K7603" s="3" t="s">
        <v>76</v>
      </c>
    </row>
    <row r="7604" spans="1:11" ht="42" customHeight="1">
      <c r="A7604" s="2" t="s">
        <v>19116</v>
      </c>
      <c r="B7604" s="2" t="s">
        <v>19116</v>
      </c>
      <c r="C7604" s="2" t="s">
        <v>33</v>
      </c>
      <c r="D7604" s="2" t="s">
        <v>27</v>
      </c>
      <c r="E7604" s="4">
        <v>-32563</v>
      </c>
      <c r="F7604" s="3" t="s">
        <v>535</v>
      </c>
      <c r="G7604" s="3" t="s">
        <v>9442</v>
      </c>
      <c r="H7604" s="2" t="s">
        <v>74</v>
      </c>
      <c r="I7604" s="2" t="s">
        <v>19117</v>
      </c>
      <c r="J7604" s="3" t="str">
        <f>HYPERLINK("https://www.boe.es/gazeta/dias/1810/11/04/pdfs/GMD-1810-308.pdf#page=26","Abrir facsímil")</f>
        <v>Abrir facsímil</v>
      </c>
      <c r="K7604" s="3" t="s">
        <v>76</v>
      </c>
    </row>
    <row r="7605" spans="1:11" ht="42" customHeight="1">
      <c r="A7605" s="2" t="s">
        <v>19118</v>
      </c>
      <c r="B7605" s="2" t="s">
        <v>19119</v>
      </c>
      <c r="C7605" s="2" t="s">
        <v>33</v>
      </c>
      <c r="D7605" s="2" t="s">
        <v>27</v>
      </c>
      <c r="E7605" s="4">
        <v>-32710</v>
      </c>
      <c r="F7605" s="3" t="s">
        <v>126</v>
      </c>
      <c r="G7605" s="3" t="s">
        <v>20</v>
      </c>
      <c r="H7605" s="2" t="s">
        <v>74</v>
      </c>
      <c r="I7605" s="2" t="s">
        <v>19120</v>
      </c>
      <c r="J7605" s="3" t="str">
        <f>HYPERLINK("https://www.boe.es/gazeta/dias/1810/06/10/pdfs/GMD-1810-161.pdf#page=4","Abrir facsímil")</f>
        <v>Abrir facsímil</v>
      </c>
      <c r="K7605" s="3" t="s">
        <v>76</v>
      </c>
    </row>
    <row r="7606" spans="1:11" ht="42" customHeight="1">
      <c r="A7606" s="2" t="s">
        <v>19121</v>
      </c>
      <c r="B7606" s="2" t="s">
        <v>19122</v>
      </c>
      <c r="C7606" s="2" t="s">
        <v>33</v>
      </c>
      <c r="D7606" s="2" t="s">
        <v>27</v>
      </c>
      <c r="E7606" s="4">
        <v>-32710</v>
      </c>
      <c r="F7606" s="3" t="s">
        <v>126</v>
      </c>
      <c r="G7606" s="3" t="s">
        <v>20</v>
      </c>
      <c r="H7606" s="2" t="s">
        <v>74</v>
      </c>
      <c r="I7606" s="2" t="s">
        <v>19123</v>
      </c>
      <c r="J7606" s="3" t="str">
        <f>HYPERLINK("https://www.boe.es/gazeta/dias/1810/06/10/pdfs/GMD-1810-161.pdf#page=4","Abrir facsímil")</f>
        <v>Abrir facsímil</v>
      </c>
      <c r="K7606" s="3" t="s">
        <v>76</v>
      </c>
    </row>
    <row r="7607" spans="1:11" ht="42" customHeight="1">
      <c r="A7607" s="2" t="s">
        <v>19121</v>
      </c>
      <c r="B7607" s="2" t="s">
        <v>19122</v>
      </c>
      <c r="C7607" s="2" t="s">
        <v>26</v>
      </c>
      <c r="D7607" s="2" t="s">
        <v>39</v>
      </c>
      <c r="E7607" s="4">
        <v>-32701</v>
      </c>
      <c r="F7607" s="3" t="s">
        <v>40</v>
      </c>
      <c r="G7607" s="3" t="s">
        <v>170</v>
      </c>
      <c r="H7607" s="2" t="s">
        <v>74</v>
      </c>
      <c r="I7607" s="2" t="s">
        <v>19124</v>
      </c>
      <c r="J7607" s="3" t="str">
        <f>HYPERLINK("https://www.boe.es/gazeta/dias/1810/06/19/pdfs/GMD-C-1810-170.pdf#page=1","Abrir facsímil")</f>
        <v>Abrir facsímil</v>
      </c>
      <c r="K7607" s="3" t="s">
        <v>76</v>
      </c>
    </row>
    <row r="7608" spans="1:11" ht="42" customHeight="1">
      <c r="A7608" s="2" t="s">
        <v>19121</v>
      </c>
      <c r="B7608" s="2" t="s">
        <v>19122</v>
      </c>
      <c r="C7608" s="2" t="s">
        <v>26</v>
      </c>
      <c r="D7608" s="2" t="s">
        <v>27</v>
      </c>
      <c r="E7608" s="4">
        <v>-32647</v>
      </c>
      <c r="F7608" s="3" t="s">
        <v>118</v>
      </c>
      <c r="G7608" s="3" t="s">
        <v>20</v>
      </c>
      <c r="H7608" s="2" t="s">
        <v>74</v>
      </c>
      <c r="I7608" s="2" t="s">
        <v>19125</v>
      </c>
      <c r="J7608" s="3" t="str">
        <f>HYPERLINK("https://www.boe.es/gazeta/dias/1810/08/12/pdfs/GMD-1810-224.pdf#page=4","Abrir facsímil")</f>
        <v>Abrir facsímil</v>
      </c>
      <c r="K7608" s="3" t="s">
        <v>76</v>
      </c>
    </row>
    <row r="7609" spans="1:11" ht="42" customHeight="1">
      <c r="A7609" s="2" t="s">
        <v>19126</v>
      </c>
      <c r="B7609" s="2" t="s">
        <v>19126</v>
      </c>
      <c r="C7609" s="2" t="s">
        <v>26</v>
      </c>
      <c r="D7609" s="2" t="s">
        <v>27</v>
      </c>
      <c r="E7609" s="4">
        <v>-32689</v>
      </c>
      <c r="F7609" s="3" t="s">
        <v>571</v>
      </c>
      <c r="G7609" s="3" t="s">
        <v>29</v>
      </c>
      <c r="H7609" s="2" t="s">
        <v>74</v>
      </c>
      <c r="I7609" s="2" t="s">
        <v>19127</v>
      </c>
      <c r="J7609" s="3" t="str">
        <f>HYPERLINK("https://www.boe.es/gazeta/dias/1810/07/01/pdfs/GMD-1810-182.pdf#page=3","Abrir facsímil")</f>
        <v>Abrir facsímil</v>
      </c>
      <c r="K7609" s="3" t="s">
        <v>76</v>
      </c>
    </row>
    <row r="7610" spans="1:11" ht="42" customHeight="1">
      <c r="A7610" s="2" t="s">
        <v>19128</v>
      </c>
      <c r="B7610" s="2" t="s">
        <v>19129</v>
      </c>
      <c r="C7610" s="2" t="s">
        <v>88</v>
      </c>
      <c r="D7610" s="2" t="s">
        <v>27</v>
      </c>
      <c r="E7610" s="4">
        <v>-32861</v>
      </c>
      <c r="F7610" s="3" t="s">
        <v>796</v>
      </c>
      <c r="G7610" s="3" t="s">
        <v>29</v>
      </c>
      <c r="H7610" s="2" t="s">
        <v>74</v>
      </c>
      <c r="I7610" s="2" t="s">
        <v>19130</v>
      </c>
      <c r="J7610" s="3" t="str">
        <f>HYPERLINK("https://www.boe.es/gazeta/dias/1810/01/10/pdfs/GMD-1810-10.pdf#page=2","Abrir facsímil")</f>
        <v>Abrir facsímil</v>
      </c>
      <c r="K7610" s="3" t="s">
        <v>76</v>
      </c>
    </row>
    <row r="7611" spans="1:11" ht="42" customHeight="1">
      <c r="A7611" s="2" t="s">
        <v>19131</v>
      </c>
      <c r="B7611" s="2" t="s">
        <v>19132</v>
      </c>
      <c r="C7611" s="2" t="s">
        <v>111</v>
      </c>
      <c r="D7611" s="2" t="s">
        <v>18</v>
      </c>
      <c r="E7611" s="4">
        <v>-32610</v>
      </c>
      <c r="F7611" s="3" t="s">
        <v>4991</v>
      </c>
      <c r="G7611" s="3" t="s">
        <v>5554</v>
      </c>
      <c r="H7611" s="2" t="s">
        <v>74</v>
      </c>
      <c r="I7611" s="2" t="s">
        <v>19133</v>
      </c>
      <c r="J7611" s="3" t="str">
        <f>HYPERLINK("https://www.boe.es/gazeta/dias/1810/09/18/pdfs/GEI-1810-69.pdf#page=12","Abrir facsímil")</f>
        <v>Abrir facsímil</v>
      </c>
      <c r="K7611" s="3" t="s">
        <v>76</v>
      </c>
    </row>
    <row r="7612" spans="1:11" ht="42" customHeight="1">
      <c r="A7612" s="2" t="s">
        <v>19131</v>
      </c>
      <c r="B7612" s="2" t="s">
        <v>19132</v>
      </c>
      <c r="C7612" s="2" t="s">
        <v>195</v>
      </c>
      <c r="D7612" s="2" t="s">
        <v>18</v>
      </c>
      <c r="E7612" s="4">
        <v>-32589</v>
      </c>
      <c r="F7612" s="3" t="s">
        <v>3026</v>
      </c>
      <c r="G7612" s="3" t="s">
        <v>119</v>
      </c>
      <c r="H7612" s="2" t="s">
        <v>74</v>
      </c>
      <c r="I7612" s="2" t="s">
        <v>19134</v>
      </c>
      <c r="J7612" s="3" t="str">
        <f>HYPERLINK("https://www.boe.es/gazeta/dias/1810/10/09/pdfs/GEI-1810-79.pdf#page=8","Abrir facsímil")</f>
        <v>Abrir facsímil</v>
      </c>
      <c r="K7612" s="3" t="s">
        <v>76</v>
      </c>
    </row>
    <row r="7613" spans="1:11" ht="42" customHeight="1">
      <c r="A7613" s="2" t="s">
        <v>19135</v>
      </c>
      <c r="B7613" s="2" t="s">
        <v>19136</v>
      </c>
      <c r="C7613" s="2" t="s">
        <v>26</v>
      </c>
      <c r="D7613" s="2" t="s">
        <v>27</v>
      </c>
      <c r="E7613" s="4">
        <v>-32515</v>
      </c>
      <c r="F7613" s="3" t="s">
        <v>351</v>
      </c>
      <c r="G7613" s="3" t="s">
        <v>352</v>
      </c>
      <c r="H7613" s="2" t="s">
        <v>74</v>
      </c>
      <c r="I7613" s="2" t="s">
        <v>19137</v>
      </c>
      <c r="J7613" s="3" t="str">
        <f>HYPERLINK("https://www.boe.es/gazeta/dias/1810/12/22/pdfs/GEI-1810-111.pdf#page=8","Abrir facsímil")</f>
        <v>Abrir facsímil</v>
      </c>
      <c r="K7613" s="3" t="s">
        <v>76</v>
      </c>
    </row>
    <row r="7614" spans="1:11" ht="42" customHeight="1">
      <c r="A7614" s="2" t="s">
        <v>19138</v>
      </c>
      <c r="B7614" s="2" t="s">
        <v>19139</v>
      </c>
      <c r="C7614" s="2" t="s">
        <v>88</v>
      </c>
      <c r="D7614" s="2" t="s">
        <v>117</v>
      </c>
      <c r="E7614" s="4">
        <v>-32712</v>
      </c>
      <c r="F7614" s="3" t="s">
        <v>667</v>
      </c>
      <c r="G7614" s="3" t="s">
        <v>19140</v>
      </c>
      <c r="H7614" s="2" t="s">
        <v>74</v>
      </c>
      <c r="I7614" s="2" t="s">
        <v>19141</v>
      </c>
      <c r="J7614" s="3" t="str">
        <f>HYPERLINK("https://www.boe.es/gazeta/dias/1810/06/08/pdfs/GEI-1810-34.pdf#page=5","Abrir facsímil")</f>
        <v>Abrir facsímil</v>
      </c>
      <c r="K7614" s="3" t="s">
        <v>76</v>
      </c>
    </row>
    <row r="7615" spans="1:11" ht="42" customHeight="1">
      <c r="A7615" s="2" t="s">
        <v>19142</v>
      </c>
      <c r="B7615" s="2" t="s">
        <v>19143</v>
      </c>
      <c r="C7615" s="2" t="s">
        <v>88</v>
      </c>
      <c r="D7615" s="2" t="s">
        <v>117</v>
      </c>
      <c r="E7615" s="4">
        <v>-32762</v>
      </c>
      <c r="F7615" s="3" t="s">
        <v>231</v>
      </c>
      <c r="G7615" s="3" t="s">
        <v>29</v>
      </c>
      <c r="H7615" s="2" t="s">
        <v>74</v>
      </c>
      <c r="I7615" s="2" t="s">
        <v>19144</v>
      </c>
      <c r="J7615" s="3" t="str">
        <f>HYPERLINK("https://www.boe.es/gazeta/dias/1810/04/19/pdfs/GMD-1810-109.pdf#page=2","Abrir facsímil")</f>
        <v>Abrir facsímil</v>
      </c>
      <c r="K7615" s="3" t="s">
        <v>76</v>
      </c>
    </row>
    <row r="7616" spans="1:11" ht="42" customHeight="1">
      <c r="A7616" s="2" t="s">
        <v>19145</v>
      </c>
      <c r="B7616" s="2" t="s">
        <v>19145</v>
      </c>
      <c r="C7616" s="2" t="s">
        <v>88</v>
      </c>
      <c r="D7616" s="2" t="s">
        <v>220</v>
      </c>
      <c r="E7616" s="4">
        <v>-32652</v>
      </c>
      <c r="F7616" s="3" t="s">
        <v>731</v>
      </c>
      <c r="G7616" s="3" t="s">
        <v>732</v>
      </c>
      <c r="H7616" s="2" t="s">
        <v>74</v>
      </c>
      <c r="I7616" s="2" t="s">
        <v>19146</v>
      </c>
      <c r="J7616" s="3" t="str">
        <f>HYPERLINK("https://www.boe.es/gazeta/dias/1810/08/07/pdfs/GMD-1810-219.pdf#page=2","Abrir facsímil")</f>
        <v>Abrir facsímil</v>
      </c>
      <c r="K7616" s="3" t="s">
        <v>76</v>
      </c>
    </row>
    <row r="7617" spans="1:11" ht="42" customHeight="1">
      <c r="A7617" s="2" t="s">
        <v>19147</v>
      </c>
      <c r="B7617" s="2" t="s">
        <v>19148</v>
      </c>
      <c r="C7617" s="2" t="s">
        <v>225</v>
      </c>
      <c r="D7617" s="2" t="s">
        <v>18</v>
      </c>
      <c r="E7617" s="4">
        <v>-32509</v>
      </c>
      <c r="F7617" s="3" t="s">
        <v>212</v>
      </c>
      <c r="G7617" s="3" t="s">
        <v>213</v>
      </c>
      <c r="H7617" s="2" t="s">
        <v>74</v>
      </c>
      <c r="I7617" s="2" t="s">
        <v>19149</v>
      </c>
      <c r="J7617" s="3" t="str">
        <f>HYPERLINK("https://www.boe.es/gazeta/dias/1810/12/28/pdfs/GMD-1810-362.pdf#page=4","Abrir facsímil")</f>
        <v>Abrir facsímil</v>
      </c>
      <c r="K7617" s="3" t="s">
        <v>76</v>
      </c>
    </row>
    <row r="7618" spans="1:11" ht="42" customHeight="1">
      <c r="A7618" s="2" t="s">
        <v>19150</v>
      </c>
      <c r="B7618" s="2" t="s">
        <v>19151</v>
      </c>
      <c r="C7618" s="2" t="s">
        <v>88</v>
      </c>
      <c r="D7618" s="2" t="s">
        <v>117</v>
      </c>
      <c r="E7618" s="4">
        <v>-32645</v>
      </c>
      <c r="F7618" s="3" t="s">
        <v>122</v>
      </c>
      <c r="G7618" s="3" t="s">
        <v>588</v>
      </c>
      <c r="H7618" s="2" t="s">
        <v>74</v>
      </c>
      <c r="I7618" s="2" t="s">
        <v>19152</v>
      </c>
      <c r="J7618" s="3" t="str">
        <f>HYPERLINK("https://www.boe.es/gazeta/dias/1810/08/14/pdfs/GEI-1810-56.pdf#page=15","Abrir facsímil")</f>
        <v>Abrir facsímil</v>
      </c>
      <c r="K7618" s="3" t="s">
        <v>76</v>
      </c>
    </row>
    <row r="7619" spans="1:11" ht="42" customHeight="1">
      <c r="A7619" s="2" t="s">
        <v>19153</v>
      </c>
      <c r="B7619" s="2" t="s">
        <v>19154</v>
      </c>
      <c r="C7619" s="2" t="s">
        <v>88</v>
      </c>
      <c r="D7619" s="2" t="s">
        <v>27</v>
      </c>
      <c r="E7619" s="4">
        <v>-32697</v>
      </c>
      <c r="F7619" s="3" t="s">
        <v>1859</v>
      </c>
      <c r="G7619" s="3" t="s">
        <v>70</v>
      </c>
      <c r="H7619" s="2" t="s">
        <v>74</v>
      </c>
      <c r="I7619" s="2" t="s">
        <v>19155</v>
      </c>
      <c r="J7619" s="3" t="str">
        <f>HYPERLINK("https://www.boe.es/gazeta/dias/1810/06/23/pdfs/GMD-1810-174.pdf#page=4","Abrir facsímil")</f>
        <v>Abrir facsímil</v>
      </c>
      <c r="K7619" s="3" t="s">
        <v>76</v>
      </c>
    </row>
    <row r="7620" spans="1:11" ht="42" customHeight="1">
      <c r="A7620" s="2" t="s">
        <v>19156</v>
      </c>
      <c r="B7620" s="2" t="s">
        <v>19156</v>
      </c>
      <c r="C7620" s="2" t="s">
        <v>88</v>
      </c>
      <c r="D7620" s="2" t="s">
        <v>27</v>
      </c>
      <c r="E7620" s="4">
        <v>-32658</v>
      </c>
      <c r="F7620" s="3" t="s">
        <v>1224</v>
      </c>
      <c r="G7620" s="3" t="s">
        <v>119</v>
      </c>
      <c r="H7620" s="2" t="s">
        <v>74</v>
      </c>
      <c r="I7620" s="2" t="s">
        <v>19157</v>
      </c>
      <c r="J7620" s="3" t="str">
        <f>HYPERLINK("https://www.boe.es/gazeta/dias/1810/08/01/pdfs/GMD-1810-213.pdf#page=2","Abrir facsímil")</f>
        <v>Abrir facsímil</v>
      </c>
      <c r="K7620" s="3" t="s">
        <v>76</v>
      </c>
    </row>
    <row r="7621" spans="1:11" ht="42" customHeight="1">
      <c r="A7621" s="2" t="s">
        <v>19158</v>
      </c>
      <c r="B7621" s="2" t="s">
        <v>19159</v>
      </c>
      <c r="C7621" s="2" t="s">
        <v>317</v>
      </c>
      <c r="D7621" s="2" t="s">
        <v>18</v>
      </c>
      <c r="E7621" s="4">
        <v>-32832</v>
      </c>
      <c r="F7621" s="3" t="s">
        <v>5089</v>
      </c>
      <c r="G7621" s="3" t="s">
        <v>140</v>
      </c>
      <c r="H7621" s="2" t="s">
        <v>74</v>
      </c>
      <c r="I7621" s="2" t="s">
        <v>19160</v>
      </c>
      <c r="J7621" s="3" t="str">
        <f>HYPERLINK("https://www.boe.es/gazeta/dias/1810/02/08/pdfs/GMD-1810-39.pdf#page=3","Abrir facsímil")</f>
        <v>Abrir facsímil</v>
      </c>
      <c r="K7621" s="3" t="s">
        <v>76</v>
      </c>
    </row>
    <row r="7622" spans="1:11" ht="42" customHeight="1">
      <c r="A7622" s="2" t="s">
        <v>19158</v>
      </c>
      <c r="B7622" s="2" t="s">
        <v>19159</v>
      </c>
      <c r="C7622" s="2" t="s">
        <v>111</v>
      </c>
      <c r="D7622" s="2" t="s">
        <v>27</v>
      </c>
      <c r="E7622" s="4">
        <v>-32832</v>
      </c>
      <c r="F7622" s="3" t="s">
        <v>5089</v>
      </c>
      <c r="G7622" s="3" t="s">
        <v>227</v>
      </c>
      <c r="H7622" s="2" t="s">
        <v>74</v>
      </c>
      <c r="I7622" s="2" t="s">
        <v>19161</v>
      </c>
      <c r="J7622" s="3" t="str">
        <f>HYPERLINK("https://www.boe.es/gazeta/dias/1810/02/08/pdfs/GMD-1810-39.pdf#page=4","Abrir facsímil")</f>
        <v>Abrir facsímil</v>
      </c>
      <c r="K7622" s="3" t="s">
        <v>76</v>
      </c>
    </row>
    <row r="7623" spans="1:11" ht="42" customHeight="1">
      <c r="A7623" s="2" t="s">
        <v>19162</v>
      </c>
      <c r="B7623" s="2" t="s">
        <v>19162</v>
      </c>
      <c r="C7623" s="2" t="s">
        <v>88</v>
      </c>
      <c r="D7623" s="2" t="s">
        <v>27</v>
      </c>
      <c r="E7623" s="4">
        <v>-32641</v>
      </c>
      <c r="F7623" s="3" t="s">
        <v>10757</v>
      </c>
      <c r="G7623" s="3" t="s">
        <v>210</v>
      </c>
      <c r="H7623" s="2" t="s">
        <v>74</v>
      </c>
      <c r="I7623" s="2" t="s">
        <v>19163</v>
      </c>
      <c r="J7623" s="3" t="str">
        <f>HYPERLINK("https://www.boe.es/gazeta/dias/1810/08/18/pdfs/GMD-1810-230.pdf#page=1","Abrir facsímil")</f>
        <v>Abrir facsímil</v>
      </c>
      <c r="K7623" s="3" t="s">
        <v>76</v>
      </c>
    </row>
    <row r="7624" spans="1:11" ht="42" customHeight="1">
      <c r="A7624" s="2" t="s">
        <v>19164</v>
      </c>
      <c r="B7624" s="2" t="s">
        <v>19165</v>
      </c>
      <c r="C7624" s="2" t="s">
        <v>88</v>
      </c>
      <c r="D7624" s="2" t="s">
        <v>27</v>
      </c>
      <c r="E7624" s="4">
        <v>-32769</v>
      </c>
      <c r="F7624" s="3" t="s">
        <v>1543</v>
      </c>
      <c r="G7624" s="3" t="s">
        <v>1936</v>
      </c>
      <c r="H7624" s="2" t="s">
        <v>74</v>
      </c>
      <c r="I7624" s="2" t="s">
        <v>19166</v>
      </c>
      <c r="J7624" s="3" t="str">
        <f>HYPERLINK("https://www.boe.es/gazeta/dias/1810/04/12/pdfs/GMD-1810-102.pdf#page=1","Abrir facsímil")</f>
        <v>Abrir facsímil</v>
      </c>
      <c r="K7624" s="3" t="s">
        <v>76</v>
      </c>
    </row>
    <row r="7625" spans="1:11" ht="42" customHeight="1">
      <c r="A7625" s="2" t="s">
        <v>19167</v>
      </c>
      <c r="B7625" s="2" t="s">
        <v>19168</v>
      </c>
      <c r="C7625" s="2" t="s">
        <v>26</v>
      </c>
      <c r="D7625" s="2" t="s">
        <v>18</v>
      </c>
      <c r="E7625" s="4">
        <v>-32661</v>
      </c>
      <c r="F7625" s="3" t="s">
        <v>157</v>
      </c>
      <c r="G7625" s="3" t="s">
        <v>592</v>
      </c>
      <c r="H7625" s="2" t="s">
        <v>74</v>
      </c>
      <c r="I7625" s="2" t="s">
        <v>19169</v>
      </c>
      <c r="J7625" s="3" t="str">
        <f>HYPERLINK("https://www.boe.es/gazeta/dias/1810/07/29/pdfs/GMD-C-1810-210.pdf#page=2","Abrir facsímil")</f>
        <v>Abrir facsímil</v>
      </c>
      <c r="K7625" s="3" t="s">
        <v>76</v>
      </c>
    </row>
    <row r="7626" spans="1:11" ht="42" customHeight="1">
      <c r="A7626" s="2" t="s">
        <v>19170</v>
      </c>
      <c r="B7626" s="2" t="s">
        <v>19171</v>
      </c>
      <c r="C7626" s="2" t="s">
        <v>88</v>
      </c>
      <c r="D7626" s="2" t="s">
        <v>27</v>
      </c>
      <c r="E7626" s="4">
        <v>-32614</v>
      </c>
      <c r="F7626" s="3" t="s">
        <v>1083</v>
      </c>
      <c r="G7626" s="3" t="s">
        <v>1084</v>
      </c>
      <c r="H7626" s="2" t="s">
        <v>74</v>
      </c>
      <c r="I7626" s="2" t="s">
        <v>19172</v>
      </c>
      <c r="J7626" s="3" t="str">
        <f>HYPERLINK("https://www.boe.es/gazeta/dias/1810/09/14/pdfs/GEI-1810-67.pdf#page=10","Abrir facsímil")</f>
        <v>Abrir facsímil</v>
      </c>
      <c r="K7626" s="3" t="s">
        <v>76</v>
      </c>
    </row>
    <row r="7627" spans="1:11" ht="42" customHeight="1">
      <c r="A7627" s="2" t="s">
        <v>19173</v>
      </c>
      <c r="B7627" s="2" t="s">
        <v>19173</v>
      </c>
      <c r="C7627" s="2" t="s">
        <v>33</v>
      </c>
      <c r="D7627" s="2" t="s">
        <v>27</v>
      </c>
      <c r="E7627" s="4">
        <v>-32813</v>
      </c>
      <c r="F7627" s="3" t="s">
        <v>1067</v>
      </c>
      <c r="G7627" s="3" t="s">
        <v>1068</v>
      </c>
      <c r="H7627" s="2" t="s">
        <v>74</v>
      </c>
      <c r="I7627" s="2" t="s">
        <v>19174</v>
      </c>
      <c r="J7627" s="3" t="str">
        <f>HYPERLINK("https://www.boe.es/gazeta/dias/1810/02/27/pdfs/GMD-1810-58.pdf#page=1","Abrir facsímil")</f>
        <v>Abrir facsímil</v>
      </c>
      <c r="K7627" s="3" t="s">
        <v>76</v>
      </c>
    </row>
    <row r="7628" spans="1:11" ht="42" customHeight="1">
      <c r="A7628" s="2" t="s">
        <v>19175</v>
      </c>
      <c r="B7628" s="2" t="s">
        <v>19176</v>
      </c>
      <c r="C7628" s="2" t="s">
        <v>26</v>
      </c>
      <c r="D7628" s="2" t="s">
        <v>27</v>
      </c>
      <c r="E7628" s="4">
        <v>-32526</v>
      </c>
      <c r="F7628" s="3" t="s">
        <v>530</v>
      </c>
      <c r="G7628" s="3" t="s">
        <v>531</v>
      </c>
      <c r="H7628" s="2" t="s">
        <v>74</v>
      </c>
      <c r="I7628" s="2" t="s">
        <v>19177</v>
      </c>
      <c r="J7628" s="3" t="str">
        <f>HYPERLINK("https://www.boe.es/gazeta/dias/1810/12/11/pdfs/GEI-1810-106.pdf#page=2","Abrir facsímil")</f>
        <v>Abrir facsímil</v>
      </c>
      <c r="K7628" s="3" t="s">
        <v>76</v>
      </c>
    </row>
    <row r="7629" spans="1:11" ht="42" customHeight="1">
      <c r="A7629" s="2" t="s">
        <v>19178</v>
      </c>
      <c r="B7629" s="2" t="s">
        <v>19178</v>
      </c>
      <c r="C7629" s="2" t="s">
        <v>17</v>
      </c>
      <c r="D7629" s="2" t="s">
        <v>27</v>
      </c>
      <c r="E7629" s="4">
        <v>-32595</v>
      </c>
      <c r="F7629" s="3" t="s">
        <v>700</v>
      </c>
      <c r="G7629" s="3" t="s">
        <v>701</v>
      </c>
      <c r="H7629" s="2" t="s">
        <v>74</v>
      </c>
      <c r="I7629" s="2" t="s">
        <v>19179</v>
      </c>
      <c r="J7629" s="3" t="str">
        <f>HYPERLINK("https://www.boe.es/gazeta/dias/1810/10/03/pdfs/GMD-1810-276.pdf#page=3","Abrir facsímil")</f>
        <v>Abrir facsímil</v>
      </c>
      <c r="K7629" s="3" t="s">
        <v>76</v>
      </c>
    </row>
    <row r="7630" spans="1:11" ht="42" customHeight="1">
      <c r="A7630" s="2" t="s">
        <v>19180</v>
      </c>
      <c r="B7630" s="2" t="s">
        <v>19180</v>
      </c>
      <c r="C7630" s="2" t="s">
        <v>88</v>
      </c>
      <c r="D7630" s="2" t="s">
        <v>27</v>
      </c>
      <c r="E7630" s="4">
        <v>-32759</v>
      </c>
      <c r="F7630" s="3" t="s">
        <v>4747</v>
      </c>
      <c r="G7630" s="3" t="s">
        <v>4748</v>
      </c>
      <c r="H7630" s="2" t="s">
        <v>74</v>
      </c>
      <c r="I7630" s="2" t="s">
        <v>19181</v>
      </c>
      <c r="J7630" s="3" t="str">
        <f>HYPERLINK("https://www.boe.es/gazeta/dias/1810/04/22/pdfs/GMD-1810-112.pdf#page=1","Abrir facsímil")</f>
        <v>Abrir facsímil</v>
      </c>
      <c r="K7630" s="3" t="s">
        <v>76</v>
      </c>
    </row>
    <row r="7631" spans="1:11" ht="42" customHeight="1">
      <c r="A7631" s="2" t="s">
        <v>19182</v>
      </c>
      <c r="B7631" s="2" t="s">
        <v>19182</v>
      </c>
      <c r="C7631" s="2" t="s">
        <v>26</v>
      </c>
      <c r="D7631" s="2" t="s">
        <v>27</v>
      </c>
      <c r="E7631" s="4">
        <v>-32776</v>
      </c>
      <c r="F7631" s="3" t="s">
        <v>752</v>
      </c>
      <c r="G7631" s="3" t="s">
        <v>213</v>
      </c>
      <c r="H7631" s="2" t="s">
        <v>74</v>
      </c>
      <c r="I7631" s="2" t="s">
        <v>19183</v>
      </c>
      <c r="J7631" s="3" t="str">
        <f>HYPERLINK("https://www.boe.es/gazeta/dias/1810/04/05/pdfs/GMD-1810-95.pdf#page=3","Abrir facsímil")</f>
        <v>Abrir facsímil</v>
      </c>
      <c r="K7631" s="3" t="s">
        <v>76</v>
      </c>
    </row>
    <row r="7632" spans="1:11" ht="42" customHeight="1">
      <c r="A7632" s="2" t="s">
        <v>19184</v>
      </c>
      <c r="B7632" s="2" t="s">
        <v>19184</v>
      </c>
      <c r="C7632" s="2" t="s">
        <v>88</v>
      </c>
      <c r="D7632" s="2" t="s">
        <v>117</v>
      </c>
      <c r="E7632" s="4">
        <v>-32624</v>
      </c>
      <c r="F7632" s="3" t="s">
        <v>6736</v>
      </c>
      <c r="G7632" s="3" t="s">
        <v>227</v>
      </c>
      <c r="H7632" s="2" t="s">
        <v>74</v>
      </c>
      <c r="I7632" s="2" t="s">
        <v>19185</v>
      </c>
      <c r="J7632" s="3" t="str">
        <f>HYPERLINK("https://www.boe.es/gazeta/dias/1810/09/04/pdfs/GEI-D-1810-64.pdf#page=2","Abrir facsímil")</f>
        <v>Abrir facsímil</v>
      </c>
      <c r="K7632" s="3" t="s">
        <v>76</v>
      </c>
    </row>
    <row r="7633" spans="1:11" ht="42" customHeight="1">
      <c r="A7633" s="2" t="s">
        <v>19184</v>
      </c>
      <c r="B7633" s="2" t="s">
        <v>19184</v>
      </c>
      <c r="C7633" s="2" t="s">
        <v>88</v>
      </c>
      <c r="D7633" s="2" t="s">
        <v>117</v>
      </c>
      <c r="E7633" s="4">
        <v>-32575</v>
      </c>
      <c r="F7633" s="3" t="s">
        <v>135</v>
      </c>
      <c r="G7633" s="3" t="s">
        <v>9359</v>
      </c>
      <c r="H7633" s="2" t="s">
        <v>74</v>
      </c>
      <c r="I7633" s="2" t="s">
        <v>19186</v>
      </c>
      <c r="J7633" s="3" t="str">
        <f>HYPERLINK("https://www.boe.es/gazeta/dias/1810/10/23/pdfs/GEI-1810-85.pdf#page=1","Abrir facsímil")</f>
        <v>Abrir facsímil</v>
      </c>
      <c r="K7633" s="3" t="s">
        <v>76</v>
      </c>
    </row>
    <row r="7634" spans="1:11" ht="42" customHeight="1">
      <c r="A7634" s="2" t="s">
        <v>19184</v>
      </c>
      <c r="B7634" s="2" t="s">
        <v>19184</v>
      </c>
      <c r="C7634" s="2" t="s">
        <v>88</v>
      </c>
      <c r="D7634" s="2" t="s">
        <v>27</v>
      </c>
      <c r="E7634" s="4">
        <v>-32559</v>
      </c>
      <c r="F7634" s="3" t="s">
        <v>3062</v>
      </c>
      <c r="G7634" s="3" t="s">
        <v>70</v>
      </c>
      <c r="H7634" s="2" t="s">
        <v>74</v>
      </c>
      <c r="I7634" s="2" t="s">
        <v>19187</v>
      </c>
      <c r="J7634" s="3" t="str">
        <f>HYPERLINK("https://www.boe.es/gazeta/dias/1810/11/08/pdfs/GEI-1810-92.pdf#page=6","Abrir facsímil")</f>
        <v>Abrir facsímil</v>
      </c>
      <c r="K7634" s="3" t="s">
        <v>76</v>
      </c>
    </row>
    <row r="7635" spans="1:11" ht="42" customHeight="1">
      <c r="A7635" s="2" t="s">
        <v>19184</v>
      </c>
      <c r="B7635" s="2" t="s">
        <v>19184</v>
      </c>
      <c r="C7635" s="2" t="s">
        <v>88</v>
      </c>
      <c r="D7635" s="2" t="s">
        <v>117</v>
      </c>
      <c r="E7635" s="4">
        <v>-32522</v>
      </c>
      <c r="F7635" s="3" t="s">
        <v>3137</v>
      </c>
      <c r="G7635" s="3" t="s">
        <v>19188</v>
      </c>
      <c r="H7635" s="2" t="s">
        <v>74</v>
      </c>
      <c r="I7635" s="2" t="s">
        <v>19189</v>
      </c>
      <c r="J7635" s="3" t="str">
        <f>HYPERLINK("https://www.boe.es/gazeta/dias/1810/12/15/pdfs/GEI-1810-108.pdf#page=2","Abrir facsímil")</f>
        <v>Abrir facsímil</v>
      </c>
      <c r="K7635" s="3" t="s">
        <v>76</v>
      </c>
    </row>
    <row r="7636" spans="1:11" ht="42" customHeight="1">
      <c r="A7636" s="2" t="s">
        <v>19184</v>
      </c>
      <c r="B7636" s="2" t="s">
        <v>19184</v>
      </c>
      <c r="C7636" s="2" t="s">
        <v>88</v>
      </c>
      <c r="D7636" s="2" t="s">
        <v>117</v>
      </c>
      <c r="E7636" s="4">
        <v>-32519</v>
      </c>
      <c r="F7636" s="3" t="s">
        <v>2299</v>
      </c>
      <c r="G7636" s="3" t="s">
        <v>2739</v>
      </c>
      <c r="H7636" s="2" t="s">
        <v>74</v>
      </c>
      <c r="I7636" s="2" t="s">
        <v>19190</v>
      </c>
      <c r="J7636" s="3" t="str">
        <f>HYPERLINK("https://www.boe.es/gazeta/dias/1810/12/18/pdfs/GEI-1810-109.pdf#page=6","Abrir facsímil")</f>
        <v>Abrir facsímil</v>
      </c>
      <c r="K7636" s="3" t="s">
        <v>76</v>
      </c>
    </row>
    <row r="7637" spans="1:11" ht="42" customHeight="1">
      <c r="A7637" s="2" t="s">
        <v>19184</v>
      </c>
      <c r="B7637" s="2" t="s">
        <v>19184</v>
      </c>
      <c r="C7637" s="2" t="s">
        <v>225</v>
      </c>
      <c r="D7637" s="2" t="s">
        <v>117</v>
      </c>
      <c r="E7637" s="4">
        <v>-32508</v>
      </c>
      <c r="F7637" s="3" t="s">
        <v>864</v>
      </c>
      <c r="G7637" s="3" t="s">
        <v>5628</v>
      </c>
      <c r="H7637" s="2" t="s">
        <v>74</v>
      </c>
      <c r="I7637" s="2" t="s">
        <v>19191</v>
      </c>
      <c r="J7637" s="3" t="str">
        <f>HYPERLINK("https://www.boe.es/gazeta/dias/1810/12/29/pdfs/GEI-1810-114.pdf#page=6","Abrir facsímil")</f>
        <v>Abrir facsímil</v>
      </c>
      <c r="K7637" s="3" t="s">
        <v>76</v>
      </c>
    </row>
    <row r="7638" spans="1:11" ht="42" customHeight="1">
      <c r="A7638" s="2" t="s">
        <v>19192</v>
      </c>
      <c r="B7638" s="2" t="s">
        <v>19192</v>
      </c>
      <c r="C7638" s="2" t="s">
        <v>33</v>
      </c>
      <c r="D7638" s="2" t="s">
        <v>27</v>
      </c>
      <c r="E7638" s="4">
        <v>-32670</v>
      </c>
      <c r="F7638" s="3" t="s">
        <v>2256</v>
      </c>
      <c r="G7638" s="3" t="s">
        <v>3133</v>
      </c>
      <c r="H7638" s="2" t="s">
        <v>74</v>
      </c>
      <c r="I7638" s="2" t="s">
        <v>19193</v>
      </c>
      <c r="J7638" s="3" t="str">
        <f>HYPERLINK("https://www.boe.es/gazeta/dias/1810/07/20/pdfs/GMD-1810-201.pdf#page=3","Abrir facsímil")</f>
        <v>Abrir facsímil</v>
      </c>
      <c r="K7638" s="3" t="s">
        <v>76</v>
      </c>
    </row>
    <row r="7639" spans="1:11" ht="42" customHeight="1">
      <c r="A7639" s="2" t="s">
        <v>19194</v>
      </c>
      <c r="B7639" s="2" t="s">
        <v>19194</v>
      </c>
      <c r="C7639" s="2" t="s">
        <v>317</v>
      </c>
      <c r="D7639" s="2" t="s">
        <v>117</v>
      </c>
      <c r="E7639" s="4">
        <v>-32778</v>
      </c>
      <c r="F7639" s="3" t="s">
        <v>4255</v>
      </c>
      <c r="G7639" s="3" t="s">
        <v>6164</v>
      </c>
      <c r="H7639" s="2" t="s">
        <v>74</v>
      </c>
      <c r="I7639" s="2" t="s">
        <v>19195</v>
      </c>
      <c r="J7639" s="3" t="str">
        <f>HYPERLINK("https://www.boe.es/gazeta/dias/1810/04/03/pdfs/GMD-1810-93.pdf#page=1","Abrir facsímil")</f>
        <v>Abrir facsímil</v>
      </c>
      <c r="K7639" s="3" t="s">
        <v>76</v>
      </c>
    </row>
    <row r="7640" spans="1:11" ht="42" customHeight="1">
      <c r="A7640" s="2" t="s">
        <v>19196</v>
      </c>
      <c r="B7640" s="2" t="s">
        <v>19196</v>
      </c>
      <c r="C7640" s="2" t="s">
        <v>88</v>
      </c>
      <c r="D7640" s="2" t="s">
        <v>27</v>
      </c>
      <c r="E7640" s="4">
        <v>-32511</v>
      </c>
      <c r="F7640" s="3" t="s">
        <v>482</v>
      </c>
      <c r="G7640" s="3" t="s">
        <v>20</v>
      </c>
      <c r="H7640" s="2" t="s">
        <v>74</v>
      </c>
      <c r="I7640" s="2" t="s">
        <v>19197</v>
      </c>
      <c r="J7640" s="3" t="str">
        <f>HYPERLINK("https://www.boe.es/gazeta/dias/1810/12/26/pdfs/GMD-1810-360.pdf#page=4","Abrir facsímil")</f>
        <v>Abrir facsímil</v>
      </c>
      <c r="K7640" s="3" t="s">
        <v>76</v>
      </c>
    </row>
    <row r="7641" spans="1:11" ht="42" customHeight="1">
      <c r="A7641" s="2" t="s">
        <v>19198</v>
      </c>
      <c r="B7641" s="2" t="s">
        <v>19199</v>
      </c>
      <c r="C7641" s="2" t="s">
        <v>88</v>
      </c>
      <c r="D7641" s="2" t="s">
        <v>117</v>
      </c>
      <c r="E7641" s="4">
        <v>-32862</v>
      </c>
      <c r="F7641" s="3" t="s">
        <v>694</v>
      </c>
      <c r="G7641" s="3" t="s">
        <v>469</v>
      </c>
      <c r="H7641" s="2" t="s">
        <v>74</v>
      </c>
      <c r="I7641" s="2" t="s">
        <v>19200</v>
      </c>
      <c r="J7641" s="3" t="str">
        <f>HYPERLINK("https://www.boe.es/gazeta/dias/1810/01/09/pdfs/GGB-1810-4.pdf#page=6","Abrir facsímil")</f>
        <v>Abrir facsímil</v>
      </c>
      <c r="K7641" s="3" t="s">
        <v>76</v>
      </c>
    </row>
    <row r="7642" spans="1:11" ht="42" customHeight="1">
      <c r="A7642" s="2" t="s">
        <v>19201</v>
      </c>
      <c r="B7642" s="2" t="s">
        <v>19201</v>
      </c>
      <c r="C7642" s="2" t="s">
        <v>88</v>
      </c>
      <c r="D7642" s="2" t="s">
        <v>27</v>
      </c>
      <c r="E7642" s="4">
        <v>-32566</v>
      </c>
      <c r="F7642" s="3" t="s">
        <v>649</v>
      </c>
      <c r="G7642" s="3" t="s">
        <v>90</v>
      </c>
      <c r="H7642" s="2" t="s">
        <v>74</v>
      </c>
      <c r="I7642" s="2" t="s">
        <v>19202</v>
      </c>
      <c r="J7642" s="3" t="str">
        <f>HYPERLINK("https://www.boe.es/gazeta/dias/1810/11/01/pdfs/GEI-1810-89.pdf#page=4","Abrir facsímil")</f>
        <v>Abrir facsímil</v>
      </c>
      <c r="K7642" s="3" t="s">
        <v>76</v>
      </c>
    </row>
    <row r="7643" spans="1:11" ht="42" customHeight="1">
      <c r="A7643" s="2" t="s">
        <v>19203</v>
      </c>
      <c r="B7643" s="2" t="s">
        <v>19203</v>
      </c>
      <c r="C7643" s="2" t="s">
        <v>88</v>
      </c>
      <c r="D7643" s="2" t="s">
        <v>27</v>
      </c>
      <c r="E7643" s="4">
        <v>-32649</v>
      </c>
      <c r="F7643" s="3" t="s">
        <v>190</v>
      </c>
      <c r="G7643" s="3" t="s">
        <v>19204</v>
      </c>
      <c r="H7643" s="2" t="s">
        <v>74</v>
      </c>
      <c r="I7643" s="2" t="s">
        <v>19205</v>
      </c>
      <c r="J7643" s="3" t="str">
        <f>HYPERLINK("https://www.boe.es/gazeta/dias/1810/08/10/pdfs/GEI-1810-54.pdf#page=13","Abrir facsímil")</f>
        <v>Abrir facsímil</v>
      </c>
      <c r="K7643" s="3" t="s">
        <v>76</v>
      </c>
    </row>
    <row r="7644" spans="1:11" ht="42" customHeight="1">
      <c r="A7644" s="2" t="s">
        <v>19203</v>
      </c>
      <c r="B7644" s="2" t="s">
        <v>19203</v>
      </c>
      <c r="C7644" s="2" t="s">
        <v>88</v>
      </c>
      <c r="D7644" s="2" t="s">
        <v>27</v>
      </c>
      <c r="E7644" s="4">
        <v>-32510</v>
      </c>
      <c r="F7644" s="3" t="s">
        <v>1955</v>
      </c>
      <c r="G7644" s="3" t="s">
        <v>19206</v>
      </c>
      <c r="H7644" s="2" t="s">
        <v>74</v>
      </c>
      <c r="I7644" s="2" t="s">
        <v>19207</v>
      </c>
      <c r="J7644" s="3" t="str">
        <f>HYPERLINK("https://www.boe.es/gazeta/dias/1810/12/27/pdfs/GEI-1810-113.pdf#page=5","Abrir facsímil")</f>
        <v>Abrir facsímil</v>
      </c>
      <c r="K7644" s="3" t="s">
        <v>76</v>
      </c>
    </row>
    <row r="7645" spans="1:11" ht="42" customHeight="1">
      <c r="A7645" s="2" t="s">
        <v>19208</v>
      </c>
      <c r="B7645" s="2" t="s">
        <v>19209</v>
      </c>
      <c r="C7645" s="2" t="s">
        <v>26</v>
      </c>
      <c r="D7645" s="2" t="s">
        <v>27</v>
      </c>
      <c r="E7645" s="4">
        <v>-32526</v>
      </c>
      <c r="F7645" s="3" t="s">
        <v>530</v>
      </c>
      <c r="G7645" s="3" t="s">
        <v>531</v>
      </c>
      <c r="H7645" s="2" t="s">
        <v>74</v>
      </c>
      <c r="I7645" s="2" t="s">
        <v>19210</v>
      </c>
      <c r="J7645" s="3" t="str">
        <f>HYPERLINK("https://www.boe.es/gazeta/dias/1810/12/11/pdfs/GEI-1810-106.pdf#page=2","Abrir facsímil")</f>
        <v>Abrir facsímil</v>
      </c>
      <c r="K7645" s="3" t="s">
        <v>76</v>
      </c>
    </row>
    <row r="7646" spans="1:11" ht="42" customHeight="1">
      <c r="A7646" s="2" t="s">
        <v>19211</v>
      </c>
      <c r="B7646" s="2" t="s">
        <v>19212</v>
      </c>
      <c r="C7646" s="2" t="s">
        <v>88</v>
      </c>
      <c r="D7646" s="2" t="s">
        <v>27</v>
      </c>
      <c r="E7646" s="4">
        <v>-32764</v>
      </c>
      <c r="F7646" s="3" t="s">
        <v>640</v>
      </c>
      <c r="G7646" s="3" t="s">
        <v>641</v>
      </c>
      <c r="H7646" s="2" t="s">
        <v>74</v>
      </c>
      <c r="I7646" s="2" t="s">
        <v>19213</v>
      </c>
      <c r="J7646" s="3" t="str">
        <f>HYPERLINK("https://www.boe.es/gazeta/dias/1810/04/17/pdfs/GEI-1810-15.pdf#page=8","Abrir facsímil")</f>
        <v>Abrir facsímil</v>
      </c>
      <c r="K7646" s="3" t="s">
        <v>76</v>
      </c>
    </row>
    <row r="7647" spans="1:11" ht="42" customHeight="1">
      <c r="A7647" s="2" t="s">
        <v>19214</v>
      </c>
      <c r="B7647" s="2" t="s">
        <v>19215</v>
      </c>
      <c r="C7647" s="2" t="s">
        <v>26</v>
      </c>
      <c r="D7647" s="2" t="s">
        <v>27</v>
      </c>
      <c r="E7647" s="4">
        <v>-32710</v>
      </c>
      <c r="F7647" s="3" t="s">
        <v>126</v>
      </c>
      <c r="G7647" s="3" t="s">
        <v>180</v>
      </c>
      <c r="H7647" s="2" t="s">
        <v>74</v>
      </c>
      <c r="I7647" s="2" t="s">
        <v>19216</v>
      </c>
      <c r="J7647" s="3" t="str">
        <f>HYPERLINK("https://www.boe.es/gazeta/dias/1810/06/10/pdfs/GMD-1810-161.pdf#page=1","Abrir facsímil")</f>
        <v>Abrir facsímil</v>
      </c>
      <c r="K7647" s="3" t="s">
        <v>76</v>
      </c>
    </row>
    <row r="7648" spans="1:11" ht="42" customHeight="1">
      <c r="A7648" s="2" t="s">
        <v>19217</v>
      </c>
      <c r="B7648" s="2" t="s">
        <v>19217</v>
      </c>
      <c r="C7648" s="2" t="s">
        <v>88</v>
      </c>
      <c r="D7648" s="2" t="s">
        <v>27</v>
      </c>
      <c r="E7648" s="4">
        <v>-32649</v>
      </c>
      <c r="F7648" s="3" t="s">
        <v>190</v>
      </c>
      <c r="G7648" s="3" t="s">
        <v>90</v>
      </c>
      <c r="H7648" s="2" t="s">
        <v>74</v>
      </c>
      <c r="I7648" s="2" t="s">
        <v>19218</v>
      </c>
      <c r="J7648" s="3" t="str">
        <f>HYPERLINK("https://www.boe.es/gazeta/dias/1810/08/10/pdfs/GEI-1810-54.pdf#page=7","Abrir facsímil")</f>
        <v>Abrir facsímil</v>
      </c>
      <c r="K7648" s="3" t="s">
        <v>76</v>
      </c>
    </row>
    <row r="7649" spans="1:11" ht="42" customHeight="1">
      <c r="A7649" s="2" t="s">
        <v>19217</v>
      </c>
      <c r="B7649" s="2" t="s">
        <v>19217</v>
      </c>
      <c r="C7649" s="2" t="s">
        <v>88</v>
      </c>
      <c r="D7649" s="2" t="s">
        <v>27</v>
      </c>
      <c r="E7649" s="4">
        <v>-32649</v>
      </c>
      <c r="F7649" s="3" t="s">
        <v>190</v>
      </c>
      <c r="G7649" s="3" t="s">
        <v>90</v>
      </c>
      <c r="H7649" s="2" t="s">
        <v>74</v>
      </c>
      <c r="I7649" s="2" t="s">
        <v>19219</v>
      </c>
      <c r="J7649" s="3" t="str">
        <f>HYPERLINK("https://www.boe.es/gazeta/dias/1810/08/10/pdfs/GEI-1810-54.pdf#page=15","Abrir facsímil")</f>
        <v>Abrir facsímil</v>
      </c>
      <c r="K7649" s="3" t="s">
        <v>76</v>
      </c>
    </row>
    <row r="7650" spans="1:11" ht="42" customHeight="1">
      <c r="A7650" s="2" t="s">
        <v>19220</v>
      </c>
      <c r="B7650" s="2" t="s">
        <v>19221</v>
      </c>
      <c r="C7650" s="2" t="s">
        <v>26</v>
      </c>
      <c r="D7650" s="2" t="s">
        <v>27</v>
      </c>
      <c r="E7650" s="4">
        <v>-32757</v>
      </c>
      <c r="F7650" s="3" t="s">
        <v>1136</v>
      </c>
      <c r="G7650" s="3" t="s">
        <v>1901</v>
      </c>
      <c r="H7650" s="2" t="s">
        <v>74</v>
      </c>
      <c r="I7650" s="2" t="s">
        <v>19222</v>
      </c>
      <c r="J7650" s="3" t="str">
        <f>HYPERLINK("https://www.boe.es/gazeta/dias/1810/04/24/pdfs/GEI-1810-17.pdf#page=8","Abrir facsímil")</f>
        <v>Abrir facsímil</v>
      </c>
      <c r="K7650" s="3" t="s">
        <v>76</v>
      </c>
    </row>
    <row r="7651" spans="1:11" ht="42" customHeight="1">
      <c r="A7651" s="2" t="s">
        <v>19223</v>
      </c>
      <c r="B7651" s="2" t="s">
        <v>19224</v>
      </c>
      <c r="C7651" s="2" t="s">
        <v>26</v>
      </c>
      <c r="D7651" s="2" t="s">
        <v>39</v>
      </c>
      <c r="E7651" s="4">
        <v>-32701</v>
      </c>
      <c r="F7651" s="3" t="s">
        <v>40</v>
      </c>
      <c r="G7651" s="3" t="s">
        <v>315</v>
      </c>
      <c r="H7651" s="2" t="s">
        <v>74</v>
      </c>
      <c r="I7651" s="2" t="s">
        <v>19225</v>
      </c>
      <c r="J7651" s="3" t="str">
        <f>HYPERLINK("https://www.boe.es/gazeta/dias/1810/06/19/pdfs/GMD-C-1810-170.pdf#page=2","Abrir facsímil")</f>
        <v>Abrir facsímil</v>
      </c>
      <c r="K7651" s="3" t="s">
        <v>76</v>
      </c>
    </row>
    <row r="7652" spans="1:11" ht="42" customHeight="1">
      <c r="A7652" s="2" t="s">
        <v>19223</v>
      </c>
      <c r="B7652" s="2" t="s">
        <v>19224</v>
      </c>
      <c r="C7652" s="2" t="s">
        <v>26</v>
      </c>
      <c r="D7652" s="2" t="s">
        <v>27</v>
      </c>
      <c r="E7652" s="4">
        <v>-32692</v>
      </c>
      <c r="F7652" s="3" t="s">
        <v>3698</v>
      </c>
      <c r="G7652" s="3" t="s">
        <v>140</v>
      </c>
      <c r="H7652" s="2" t="s">
        <v>74</v>
      </c>
      <c r="I7652" s="2" t="s">
        <v>19226</v>
      </c>
      <c r="J7652" s="3" t="str">
        <f>HYPERLINK("https://www.boe.es/gazeta/dias/1810/06/28/pdfs/GMD-1810-179.pdf#page=4","Abrir facsímil")</f>
        <v>Abrir facsímil</v>
      </c>
      <c r="K7652" s="3" t="s">
        <v>76</v>
      </c>
    </row>
    <row r="7653" spans="1:11" ht="42" customHeight="1">
      <c r="A7653" s="2" t="s">
        <v>19227</v>
      </c>
      <c r="B7653" s="2" t="s">
        <v>19228</v>
      </c>
      <c r="C7653" s="2" t="s">
        <v>88</v>
      </c>
      <c r="D7653" s="2" t="s">
        <v>117</v>
      </c>
      <c r="E7653" s="4">
        <v>-32775</v>
      </c>
      <c r="F7653" s="3" t="s">
        <v>553</v>
      </c>
      <c r="G7653" s="3" t="s">
        <v>554</v>
      </c>
      <c r="H7653" s="2" t="s">
        <v>74</v>
      </c>
      <c r="I7653" s="2" t="s">
        <v>19229</v>
      </c>
      <c r="J7653" s="3" t="str">
        <f>HYPERLINK("https://www.boe.es/gazeta/dias/1810/04/06/pdfs/GEI-1810-12.pdf#page=12","Abrir facsímil")</f>
        <v>Abrir facsímil</v>
      </c>
      <c r="K7653" s="3" t="s">
        <v>76</v>
      </c>
    </row>
    <row r="7654" spans="1:11" ht="42" customHeight="1">
      <c r="A7654" s="2" t="s">
        <v>19230</v>
      </c>
      <c r="B7654" s="2" t="s">
        <v>19231</v>
      </c>
      <c r="C7654" s="2" t="s">
        <v>26</v>
      </c>
      <c r="D7654" s="2" t="s">
        <v>39</v>
      </c>
      <c r="E7654" s="4">
        <v>-32701</v>
      </c>
      <c r="F7654" s="3" t="s">
        <v>40</v>
      </c>
      <c r="G7654" s="3" t="s">
        <v>170</v>
      </c>
      <c r="H7654" s="2" t="s">
        <v>74</v>
      </c>
      <c r="I7654" s="2" t="s">
        <v>19232</v>
      </c>
      <c r="J7654" s="3" t="str">
        <f>HYPERLINK("https://www.boe.es/gazeta/dias/1810/06/19/pdfs/GMD-C-1810-170.pdf#page=1","Abrir facsímil")</f>
        <v>Abrir facsímil</v>
      </c>
      <c r="K7654" s="3" t="s">
        <v>76</v>
      </c>
    </row>
    <row r="7655" spans="1:11" ht="42" customHeight="1">
      <c r="A7655" s="2" t="s">
        <v>19230</v>
      </c>
      <c r="B7655" s="2" t="s">
        <v>19231</v>
      </c>
      <c r="C7655" s="2" t="s">
        <v>26</v>
      </c>
      <c r="D7655" s="2" t="s">
        <v>39</v>
      </c>
      <c r="E7655" s="4">
        <v>-32701</v>
      </c>
      <c r="F7655" s="3" t="s">
        <v>40</v>
      </c>
      <c r="G7655" s="3" t="s">
        <v>315</v>
      </c>
      <c r="H7655" s="2" t="s">
        <v>74</v>
      </c>
      <c r="I7655" s="2" t="s">
        <v>19233</v>
      </c>
      <c r="J7655" s="3" t="str">
        <f>HYPERLINK("https://www.boe.es/gazeta/dias/1810/06/19/pdfs/GMD-C-1810-170.pdf#page=2","Abrir facsímil")</f>
        <v>Abrir facsímil</v>
      </c>
      <c r="K7655" s="3" t="s">
        <v>76</v>
      </c>
    </row>
    <row r="7656" spans="1:11" ht="42" customHeight="1">
      <c r="A7656" s="2" t="s">
        <v>19234</v>
      </c>
      <c r="B7656" s="2" t="s">
        <v>19235</v>
      </c>
      <c r="C7656" s="2" t="s">
        <v>26</v>
      </c>
      <c r="D7656" s="2" t="s">
        <v>27</v>
      </c>
      <c r="E7656" s="4">
        <v>-32515</v>
      </c>
      <c r="F7656" s="3" t="s">
        <v>351</v>
      </c>
      <c r="G7656" s="3" t="s">
        <v>352</v>
      </c>
      <c r="H7656" s="2" t="s">
        <v>74</v>
      </c>
      <c r="I7656" s="2" t="s">
        <v>19236</v>
      </c>
      <c r="J7656" s="3" t="str">
        <f>HYPERLINK("https://www.boe.es/gazeta/dias/1810/12/22/pdfs/GEI-1810-111.pdf#page=8","Abrir facsímil")</f>
        <v>Abrir facsímil</v>
      </c>
      <c r="K7656" s="3" t="s">
        <v>76</v>
      </c>
    </row>
    <row r="7657" spans="1:11" ht="42" customHeight="1">
      <c r="A7657" s="2" t="s">
        <v>19237</v>
      </c>
      <c r="B7657" s="2" t="s">
        <v>19238</v>
      </c>
      <c r="C7657" s="2" t="s">
        <v>930</v>
      </c>
      <c r="D7657" s="2" t="s">
        <v>27</v>
      </c>
      <c r="E7657" s="4">
        <v>-32515</v>
      </c>
      <c r="F7657" s="3" t="s">
        <v>351</v>
      </c>
      <c r="G7657" s="3" t="s">
        <v>352</v>
      </c>
      <c r="H7657" s="2" t="s">
        <v>74</v>
      </c>
      <c r="I7657" s="2" t="s">
        <v>19239</v>
      </c>
      <c r="J7657" s="3" t="str">
        <f>HYPERLINK("https://www.boe.es/gazeta/dias/1810/12/22/pdfs/GEI-1810-111.pdf#page=8","Abrir facsímil")</f>
        <v>Abrir facsímil</v>
      </c>
      <c r="K7657" s="3" t="s">
        <v>76</v>
      </c>
    </row>
    <row r="7658" spans="1:11" ht="42" customHeight="1">
      <c r="A7658" s="2" t="s">
        <v>19240</v>
      </c>
      <c r="B7658" s="2" t="s">
        <v>19241</v>
      </c>
      <c r="C7658" s="2" t="s">
        <v>225</v>
      </c>
      <c r="D7658" s="2" t="s">
        <v>117</v>
      </c>
      <c r="E7658" s="4">
        <v>-32815</v>
      </c>
      <c r="F7658" s="3" t="s">
        <v>1201</v>
      </c>
      <c r="G7658" s="3" t="s">
        <v>227</v>
      </c>
      <c r="H7658" s="2" t="s">
        <v>74</v>
      </c>
      <c r="I7658" s="2" t="s">
        <v>19242</v>
      </c>
      <c r="J7658" s="3" t="str">
        <f>HYPERLINK("https://www.boe.es/gazeta/dias/1810/02/25/pdfs/GMD-1810-56.pdf#page=4","Abrir facsímil")</f>
        <v>Abrir facsímil</v>
      </c>
      <c r="K7658" s="3" t="s">
        <v>76</v>
      </c>
    </row>
    <row r="7659" spans="1:11" ht="42" customHeight="1">
      <c r="A7659" s="2" t="s">
        <v>19243</v>
      </c>
      <c r="B7659" s="2" t="s">
        <v>19244</v>
      </c>
      <c r="C7659" s="2" t="s">
        <v>26</v>
      </c>
      <c r="D7659" s="2" t="s">
        <v>39</v>
      </c>
      <c r="E7659" s="4">
        <v>-32701</v>
      </c>
      <c r="F7659" s="3" t="s">
        <v>40</v>
      </c>
      <c r="G7659" s="3" t="s">
        <v>315</v>
      </c>
      <c r="H7659" s="2" t="s">
        <v>74</v>
      </c>
      <c r="I7659" s="2" t="s">
        <v>19245</v>
      </c>
      <c r="J7659" s="3" t="str">
        <f>HYPERLINK("https://www.boe.es/gazeta/dias/1810/06/19/pdfs/GMD-C-1810-170.pdf#page=2","Abrir facsímil")</f>
        <v>Abrir facsímil</v>
      </c>
      <c r="K7659" s="3" t="s">
        <v>76</v>
      </c>
    </row>
    <row r="7660" spans="1:11" ht="42" customHeight="1">
      <c r="A7660" s="2" t="s">
        <v>19246</v>
      </c>
      <c r="B7660" s="2" t="s">
        <v>19246</v>
      </c>
      <c r="C7660" s="2" t="s">
        <v>88</v>
      </c>
      <c r="D7660" s="2" t="s">
        <v>117</v>
      </c>
      <c r="E7660" s="4">
        <v>-32615</v>
      </c>
      <c r="F7660" s="3" t="s">
        <v>4119</v>
      </c>
      <c r="G7660" s="3" t="s">
        <v>4798</v>
      </c>
      <c r="H7660" s="2" t="s">
        <v>74</v>
      </c>
      <c r="I7660" s="2" t="s">
        <v>19247</v>
      </c>
      <c r="J7660" s="3" t="str">
        <f>HYPERLINK("https://www.boe.es/gazeta/dias/1810/09/13/pdfs/GMD-1810-256.pdf#page=2","Abrir facsímil")</f>
        <v>Abrir facsímil</v>
      </c>
      <c r="K7660" s="3" t="s">
        <v>76</v>
      </c>
    </row>
    <row r="7661" spans="1:11" ht="42" customHeight="1">
      <c r="A7661" s="2" t="s">
        <v>19248</v>
      </c>
      <c r="B7661" s="2" t="s">
        <v>19249</v>
      </c>
      <c r="C7661" s="2" t="s">
        <v>88</v>
      </c>
      <c r="D7661" s="2" t="s">
        <v>27</v>
      </c>
      <c r="E7661" s="4">
        <v>-32820</v>
      </c>
      <c r="F7661" s="3" t="s">
        <v>226</v>
      </c>
      <c r="G7661" s="3" t="s">
        <v>227</v>
      </c>
      <c r="H7661" s="2" t="s">
        <v>74</v>
      </c>
      <c r="I7661" s="2" t="s">
        <v>19250</v>
      </c>
      <c r="J7661" s="3" t="str">
        <f>HYPERLINK("https://www.boe.es/gazeta/dias/1810/02/20/pdfs/GMD-1810-51.pdf#page=4","Abrir facsímil")</f>
        <v>Abrir facsímil</v>
      </c>
      <c r="K7661" s="3" t="s">
        <v>76</v>
      </c>
    </row>
    <row r="7662" spans="1:11" ht="42" customHeight="1">
      <c r="A7662" s="2" t="s">
        <v>19251</v>
      </c>
      <c r="B7662" s="2" t="s">
        <v>19251</v>
      </c>
      <c r="C7662" s="2" t="s">
        <v>111</v>
      </c>
      <c r="D7662" s="2" t="s">
        <v>27</v>
      </c>
      <c r="E7662" s="4">
        <v>-32865</v>
      </c>
      <c r="F7662" s="3" t="s">
        <v>1377</v>
      </c>
      <c r="G7662" s="3" t="s">
        <v>691</v>
      </c>
      <c r="H7662" s="2" t="s">
        <v>74</v>
      </c>
      <c r="I7662" s="2" t="s">
        <v>19252</v>
      </c>
      <c r="J7662" s="3" t="str">
        <f>HYPERLINK("https://www.boe.es/gazeta/dias/1810/01/06/pdfs/GMD-1810-6.pdf#page=2","Abrir facsímil")</f>
        <v>Abrir facsímil</v>
      </c>
      <c r="K7662" s="3" t="s">
        <v>76</v>
      </c>
    </row>
    <row r="7663" spans="1:11" ht="42" customHeight="1">
      <c r="A7663" s="2" t="s">
        <v>19253</v>
      </c>
      <c r="B7663" s="2" t="s">
        <v>19254</v>
      </c>
      <c r="C7663" s="2" t="s">
        <v>26</v>
      </c>
      <c r="D7663" s="2" t="s">
        <v>27</v>
      </c>
      <c r="E7663" s="4">
        <v>-32624</v>
      </c>
      <c r="F7663" s="3" t="s">
        <v>2176</v>
      </c>
      <c r="G7663" s="3" t="s">
        <v>19255</v>
      </c>
      <c r="H7663" s="2" t="s">
        <v>74</v>
      </c>
      <c r="I7663" s="2" t="s">
        <v>19256</v>
      </c>
      <c r="J7663" s="3" t="str">
        <f>HYPERLINK("https://www.boe.es/gazeta/dias/1810/09/04/pdfs/GEI-1810-64.pdf#page=4","Abrir facsímil")</f>
        <v>Abrir facsímil</v>
      </c>
      <c r="K7663" s="3" t="s">
        <v>76</v>
      </c>
    </row>
    <row r="7664" spans="1:11" ht="42" customHeight="1">
      <c r="A7664" s="2" t="s">
        <v>19257</v>
      </c>
      <c r="B7664" s="2" t="s">
        <v>19258</v>
      </c>
      <c r="C7664" s="2" t="s">
        <v>26</v>
      </c>
      <c r="D7664" s="2" t="s">
        <v>27</v>
      </c>
      <c r="E7664" s="4">
        <v>-32608</v>
      </c>
      <c r="F7664" s="3" t="s">
        <v>150</v>
      </c>
      <c r="G7664" s="3" t="s">
        <v>19259</v>
      </c>
      <c r="H7664" s="2" t="s">
        <v>74</v>
      </c>
      <c r="I7664" s="2" t="s">
        <v>19260</v>
      </c>
      <c r="J7664" s="3" t="str">
        <f>HYPERLINK("https://www.boe.es/gazeta/dias/1810/09/20/pdfs/GMD-1810-263.pdf#page=4","Abrir facsímil")</f>
        <v>Abrir facsímil</v>
      </c>
      <c r="K7664" s="3" t="s">
        <v>76</v>
      </c>
    </row>
    <row r="7665" spans="1:11" ht="42" customHeight="1">
      <c r="A7665" s="2" t="s">
        <v>19261</v>
      </c>
      <c r="B7665" s="2" t="s">
        <v>19261</v>
      </c>
      <c r="C7665" s="2" t="s">
        <v>88</v>
      </c>
      <c r="D7665" s="2" t="s">
        <v>117</v>
      </c>
      <c r="E7665" s="4">
        <v>-32666</v>
      </c>
      <c r="F7665" s="3" t="s">
        <v>1913</v>
      </c>
      <c r="G7665" s="3" t="s">
        <v>1914</v>
      </c>
      <c r="H7665" s="2" t="s">
        <v>74</v>
      </c>
      <c r="I7665" s="2" t="s">
        <v>19262</v>
      </c>
      <c r="J7665" s="3" t="str">
        <f>HYPERLINK("https://www.boe.es/gazeta/dias/1810/07/24/pdfs/GMD-1810-205.pdf#page=4","Abrir facsímil")</f>
        <v>Abrir facsímil</v>
      </c>
      <c r="K7665" s="3" t="s">
        <v>76</v>
      </c>
    </row>
    <row r="7666" spans="1:11" ht="42" customHeight="1">
      <c r="A7666" s="2" t="s">
        <v>19263</v>
      </c>
      <c r="B7666" s="2" t="s">
        <v>19263</v>
      </c>
      <c r="C7666" s="2" t="s">
        <v>26</v>
      </c>
      <c r="D7666" s="2" t="s">
        <v>27</v>
      </c>
      <c r="E7666" s="4">
        <v>-32768</v>
      </c>
      <c r="F7666" s="3" t="s">
        <v>4236</v>
      </c>
      <c r="G7666" s="3" t="s">
        <v>8843</v>
      </c>
      <c r="H7666" s="2" t="s">
        <v>74</v>
      </c>
      <c r="I7666" s="2" t="s">
        <v>19264</v>
      </c>
      <c r="J7666" s="3" t="str">
        <f>HYPERLINK("https://www.boe.es/gazeta/dias/1810/04/13/pdfs/GMD-1810-103.pdf#page=1","Abrir facsímil")</f>
        <v>Abrir facsímil</v>
      </c>
      <c r="K7666" s="3" t="s">
        <v>76</v>
      </c>
    </row>
    <row r="7667" spans="1:11" ht="42" customHeight="1">
      <c r="A7667" s="2" t="s">
        <v>19265</v>
      </c>
      <c r="B7667" s="2" t="s">
        <v>19266</v>
      </c>
      <c r="C7667" s="2" t="s">
        <v>33</v>
      </c>
      <c r="D7667" s="2" t="s">
        <v>18</v>
      </c>
      <c r="E7667" s="4">
        <v>-32698</v>
      </c>
      <c r="F7667" s="3" t="s">
        <v>2705</v>
      </c>
      <c r="G7667" s="3" t="s">
        <v>2706</v>
      </c>
      <c r="H7667" s="2" t="s">
        <v>74</v>
      </c>
      <c r="I7667" s="2" t="s">
        <v>19267</v>
      </c>
      <c r="J7667" s="3" t="str">
        <f>HYPERLINK("https://www.boe.es/gazeta/dias/1810/06/22/pdfs/GEI-1810-38.pdf#page=8","Abrir facsímil")</f>
        <v>Abrir facsímil</v>
      </c>
      <c r="K7667" s="3" t="s">
        <v>76</v>
      </c>
    </row>
    <row r="7668" spans="1:11" ht="42" customHeight="1">
      <c r="A7668" s="2" t="s">
        <v>19268</v>
      </c>
      <c r="B7668" s="2" t="s">
        <v>19269</v>
      </c>
      <c r="C7668" s="2" t="s">
        <v>26</v>
      </c>
      <c r="D7668" s="2" t="s">
        <v>39</v>
      </c>
      <c r="E7668" s="4">
        <v>-32702</v>
      </c>
      <c r="F7668" s="3" t="s">
        <v>179</v>
      </c>
      <c r="G7668" s="3" t="s">
        <v>180</v>
      </c>
      <c r="H7668" s="2" t="s">
        <v>74</v>
      </c>
      <c r="I7668" s="2" t="s">
        <v>19270</v>
      </c>
      <c r="J7668" s="3" t="str">
        <f>HYPERLINK("https://www.boe.es/gazeta/dias/1810/06/18/pdfs/GMD-C-1810-169.pdf#page=2","Abrir facsímil")</f>
        <v>Abrir facsímil</v>
      </c>
      <c r="K7668" s="3" t="s">
        <v>76</v>
      </c>
    </row>
    <row r="7669" spans="1:11" ht="42" customHeight="1">
      <c r="A7669" s="2" t="s">
        <v>19271</v>
      </c>
      <c r="B7669" s="2" t="s">
        <v>19271</v>
      </c>
      <c r="C7669" s="2" t="s">
        <v>33</v>
      </c>
      <c r="D7669" s="2" t="s">
        <v>27</v>
      </c>
      <c r="E7669" s="4">
        <v>-32669</v>
      </c>
      <c r="F7669" s="3" t="s">
        <v>217</v>
      </c>
      <c r="G7669" s="3" t="s">
        <v>2045</v>
      </c>
      <c r="H7669" s="2" t="s">
        <v>74</v>
      </c>
      <c r="I7669" s="2" t="s">
        <v>19272</v>
      </c>
      <c r="J7669" s="3" t="str">
        <f>HYPERLINK("https://www.boe.es/gazeta/dias/1810/07/21/pdfs/GMD-1810-202.pdf#page=2","Abrir facsímil")</f>
        <v>Abrir facsímil</v>
      </c>
      <c r="K7669" s="3" t="s">
        <v>76</v>
      </c>
    </row>
    <row r="7670" spans="1:11" ht="42" customHeight="1">
      <c r="A7670" s="2" t="s">
        <v>19273</v>
      </c>
      <c r="B7670" s="2" t="s">
        <v>19274</v>
      </c>
      <c r="C7670" s="2" t="s">
        <v>26</v>
      </c>
      <c r="D7670" s="2" t="s">
        <v>27</v>
      </c>
      <c r="E7670" s="4">
        <v>-32684</v>
      </c>
      <c r="F7670" s="3" t="s">
        <v>1373</v>
      </c>
      <c r="G7670" s="3" t="s">
        <v>1374</v>
      </c>
      <c r="H7670" s="2" t="s">
        <v>74</v>
      </c>
      <c r="I7670" s="2" t="s">
        <v>19275</v>
      </c>
      <c r="J7670" s="3" t="str">
        <f>HYPERLINK("https://www.boe.es/gazeta/dias/1810/07/06/pdfs/GEI-1810-42.pdf#page=8","Abrir facsímil")</f>
        <v>Abrir facsímil</v>
      </c>
      <c r="K7670" s="3" t="s">
        <v>76</v>
      </c>
    </row>
    <row r="7671" spans="1:11" ht="42" customHeight="1">
      <c r="A7671" s="2" t="s">
        <v>19276</v>
      </c>
      <c r="B7671" s="2" t="s">
        <v>19277</v>
      </c>
      <c r="C7671" s="2" t="s">
        <v>26</v>
      </c>
      <c r="D7671" s="2" t="s">
        <v>27</v>
      </c>
      <c r="E7671" s="4">
        <v>-32666</v>
      </c>
      <c r="F7671" s="3" t="s">
        <v>346</v>
      </c>
      <c r="G7671" s="3" t="s">
        <v>90</v>
      </c>
      <c r="H7671" s="2" t="s">
        <v>74</v>
      </c>
      <c r="I7671" s="2" t="s">
        <v>19278</v>
      </c>
      <c r="J7671" s="3" t="str">
        <f>HYPERLINK("https://www.boe.es/gazeta/dias/1810/07/24/pdfs/GEI-1810-47.pdf#page=10","Abrir facsímil")</f>
        <v>Abrir facsímil</v>
      </c>
      <c r="K7671" s="3" t="s">
        <v>76</v>
      </c>
    </row>
    <row r="7672" spans="1:11" ht="42" customHeight="1">
      <c r="A7672" s="2" t="s">
        <v>19276</v>
      </c>
      <c r="B7672" s="2" t="s">
        <v>19277</v>
      </c>
      <c r="C7672" s="2" t="s">
        <v>26</v>
      </c>
      <c r="D7672" s="2" t="s">
        <v>27</v>
      </c>
      <c r="E7672" s="4">
        <v>-32659</v>
      </c>
      <c r="F7672" s="3" t="s">
        <v>328</v>
      </c>
      <c r="G7672" s="3" t="s">
        <v>119</v>
      </c>
      <c r="H7672" s="2" t="s">
        <v>74</v>
      </c>
      <c r="I7672" s="2" t="s">
        <v>19279</v>
      </c>
      <c r="J7672" s="3" t="str">
        <f>HYPERLINK("https://www.boe.es/gazeta/dias/1810/07/31/pdfs/GEI-1810-49.pdf#page=8","Abrir facsímil")</f>
        <v>Abrir facsímil</v>
      </c>
      <c r="K7672" s="3" t="s">
        <v>76</v>
      </c>
    </row>
    <row r="7673" spans="1:11" ht="42" customHeight="1">
      <c r="A7673" s="2" t="s">
        <v>19280</v>
      </c>
      <c r="B7673" s="2" t="s">
        <v>19280</v>
      </c>
      <c r="C7673" s="2" t="s">
        <v>88</v>
      </c>
      <c r="D7673" s="2" t="s">
        <v>117</v>
      </c>
      <c r="E7673" s="4">
        <v>-32644</v>
      </c>
      <c r="F7673" s="3" t="s">
        <v>457</v>
      </c>
      <c r="G7673" s="3" t="s">
        <v>90</v>
      </c>
      <c r="H7673" s="2" t="s">
        <v>74</v>
      </c>
      <c r="I7673" s="2" t="s">
        <v>19281</v>
      </c>
      <c r="J7673" s="3" t="str">
        <f>HYPERLINK("https://www.boe.es/gazeta/dias/1810/08/15/pdfs/GMD-1810-227.pdf#page=2","Abrir facsímil")</f>
        <v>Abrir facsímil</v>
      </c>
      <c r="K7673" s="3" t="s">
        <v>76</v>
      </c>
    </row>
    <row r="7674" spans="1:11" ht="42" customHeight="1">
      <c r="A7674" s="2" t="s">
        <v>19282</v>
      </c>
      <c r="B7674" s="2" t="s">
        <v>19283</v>
      </c>
      <c r="C7674" s="2" t="s">
        <v>88</v>
      </c>
      <c r="D7674" s="2" t="s">
        <v>27</v>
      </c>
      <c r="E7674" s="4">
        <v>-32721</v>
      </c>
      <c r="F7674" s="3" t="s">
        <v>3437</v>
      </c>
      <c r="G7674" s="3" t="s">
        <v>213</v>
      </c>
      <c r="H7674" s="2" t="s">
        <v>74</v>
      </c>
      <c r="I7674" s="2" t="s">
        <v>19284</v>
      </c>
      <c r="J7674" s="3" t="str">
        <f>HYPERLINK("https://www.boe.es/gazeta/dias/1810/05/30/pdfs/GMD-1810-150.pdf#page=3","Abrir facsímil")</f>
        <v>Abrir facsímil</v>
      </c>
      <c r="K7674" s="3" t="s">
        <v>76</v>
      </c>
    </row>
    <row r="7675" spans="1:11" ht="42" customHeight="1">
      <c r="A7675" s="2" t="s">
        <v>19285</v>
      </c>
      <c r="B7675" s="2" t="s">
        <v>19285</v>
      </c>
      <c r="C7675" s="2" t="s">
        <v>26</v>
      </c>
      <c r="D7675" s="2" t="s">
        <v>18</v>
      </c>
      <c r="E7675" s="4">
        <v>-32722</v>
      </c>
      <c r="F7675" s="3" t="s">
        <v>2619</v>
      </c>
      <c r="G7675" s="3" t="s">
        <v>3066</v>
      </c>
      <c r="H7675" s="2" t="s">
        <v>74</v>
      </c>
      <c r="I7675" s="2" t="s">
        <v>19286</v>
      </c>
      <c r="J7675" s="3" t="str">
        <f>HYPERLINK("https://www.boe.es/gazeta/dias/1810/05/29/pdfs/GMD-1810-149.pdf#page=4","Abrir facsímil")</f>
        <v>Abrir facsímil</v>
      </c>
      <c r="K7675" s="3" t="s">
        <v>76</v>
      </c>
    </row>
    <row r="7676" spans="1:11" ht="42" customHeight="1">
      <c r="A7676" s="2" t="s">
        <v>19287</v>
      </c>
      <c r="B7676" s="2" t="s">
        <v>19288</v>
      </c>
      <c r="C7676" s="2" t="s">
        <v>26</v>
      </c>
      <c r="D7676" s="2" t="s">
        <v>39</v>
      </c>
      <c r="E7676" s="4">
        <v>-32702</v>
      </c>
      <c r="F7676" s="3" t="s">
        <v>179</v>
      </c>
      <c r="G7676" s="3" t="s">
        <v>213</v>
      </c>
      <c r="H7676" s="2" t="s">
        <v>74</v>
      </c>
      <c r="I7676" s="2" t="s">
        <v>19289</v>
      </c>
      <c r="J7676" s="3" t="str">
        <f>HYPERLINK("https://www.boe.es/gazeta/dias/1810/06/18/pdfs/GMD-C-1810-169.pdf#page=4","Abrir facsímil")</f>
        <v>Abrir facsímil</v>
      </c>
      <c r="K7676" s="3" t="s">
        <v>76</v>
      </c>
    </row>
    <row r="7677" spans="1:11" ht="42" customHeight="1">
      <c r="A7677" s="2" t="s">
        <v>19290</v>
      </c>
      <c r="B7677" s="2" t="s">
        <v>19291</v>
      </c>
      <c r="C7677" s="2" t="s">
        <v>26</v>
      </c>
      <c r="D7677" s="2" t="s">
        <v>27</v>
      </c>
      <c r="E7677" s="4">
        <v>-32764</v>
      </c>
      <c r="F7677" s="3" t="s">
        <v>640</v>
      </c>
      <c r="G7677" s="3" t="s">
        <v>641</v>
      </c>
      <c r="H7677" s="2" t="s">
        <v>74</v>
      </c>
      <c r="I7677" s="2" t="s">
        <v>19292</v>
      </c>
      <c r="J7677" s="3" t="str">
        <f>HYPERLINK("https://www.boe.es/gazeta/dias/1810/04/17/pdfs/GEI-1810-15.pdf#page=8","Abrir facsímil")</f>
        <v>Abrir facsímil</v>
      </c>
      <c r="K7677" s="3" t="s">
        <v>76</v>
      </c>
    </row>
    <row r="7678" spans="1:11" ht="42" customHeight="1">
      <c r="A7678" s="2" t="s">
        <v>19293</v>
      </c>
      <c r="B7678" s="2" t="s">
        <v>19294</v>
      </c>
      <c r="C7678" s="2" t="s">
        <v>317</v>
      </c>
      <c r="D7678" s="2" t="s">
        <v>27</v>
      </c>
      <c r="E7678" s="4">
        <v>-32680</v>
      </c>
      <c r="F7678" s="3" t="s">
        <v>509</v>
      </c>
      <c r="G7678" s="3" t="s">
        <v>213</v>
      </c>
      <c r="H7678" s="2" t="s">
        <v>74</v>
      </c>
      <c r="I7678" s="2" t="s">
        <v>19295</v>
      </c>
      <c r="J7678" s="3" t="str">
        <f>HYPERLINK("https://www.boe.es/gazeta/dias/1810/07/10/pdfs/GMD-1810-191.pdf#page=4","Abrir facsímil")</f>
        <v>Abrir facsímil</v>
      </c>
      <c r="K7678" s="3" t="s">
        <v>76</v>
      </c>
    </row>
    <row r="7679" spans="1:11" ht="42" customHeight="1">
      <c r="A7679" s="2" t="s">
        <v>19296</v>
      </c>
      <c r="B7679" s="2" t="s">
        <v>19296</v>
      </c>
      <c r="C7679" s="2" t="s">
        <v>88</v>
      </c>
      <c r="D7679" s="2" t="s">
        <v>27</v>
      </c>
      <c r="E7679" s="4">
        <v>-32538</v>
      </c>
      <c r="F7679" s="3" t="s">
        <v>1949</v>
      </c>
      <c r="G7679" s="3" t="s">
        <v>35</v>
      </c>
      <c r="H7679" s="2" t="s">
        <v>74</v>
      </c>
      <c r="I7679" s="2" t="s">
        <v>19297</v>
      </c>
      <c r="J7679" s="3" t="str">
        <f>HYPERLINK("https://www.boe.es/gazeta/dias/1810/11/29/pdfs/GEI-1810-101.pdf#page=2","Abrir facsímil")</f>
        <v>Abrir facsímil</v>
      </c>
      <c r="K7679" s="3" t="s">
        <v>76</v>
      </c>
    </row>
    <row r="7680" spans="1:11" ht="42" customHeight="1">
      <c r="A7680" s="2" t="s">
        <v>19298</v>
      </c>
      <c r="B7680" s="2" t="s">
        <v>19299</v>
      </c>
      <c r="C7680" s="2" t="s">
        <v>88</v>
      </c>
      <c r="D7680" s="2" t="s">
        <v>117</v>
      </c>
      <c r="E7680" s="4">
        <v>-32524</v>
      </c>
      <c r="F7680" s="3" t="s">
        <v>281</v>
      </c>
      <c r="G7680" s="3" t="s">
        <v>119</v>
      </c>
      <c r="H7680" s="2" t="s">
        <v>74</v>
      </c>
      <c r="I7680" s="2" t="s">
        <v>19300</v>
      </c>
      <c r="J7680" s="3" t="str">
        <f>HYPERLINK("https://www.boe.es/gazeta/dias/1810/12/13/pdfs/GEI-1810-107.pdf#page=7","Abrir facsímil")</f>
        <v>Abrir facsímil</v>
      </c>
      <c r="K7680" s="3" t="s">
        <v>76</v>
      </c>
    </row>
    <row r="7681" spans="1:11" ht="42" customHeight="1">
      <c r="A7681" s="2" t="s">
        <v>19301</v>
      </c>
      <c r="B7681" s="2" t="s">
        <v>19302</v>
      </c>
      <c r="C7681" s="2" t="s">
        <v>88</v>
      </c>
      <c r="D7681" s="2" t="s">
        <v>27</v>
      </c>
      <c r="E7681" s="4">
        <v>-32764</v>
      </c>
      <c r="F7681" s="3" t="s">
        <v>640</v>
      </c>
      <c r="G7681" s="3" t="s">
        <v>641</v>
      </c>
      <c r="H7681" s="2" t="s">
        <v>74</v>
      </c>
      <c r="I7681" s="2" t="s">
        <v>19303</v>
      </c>
      <c r="J7681" s="3" t="str">
        <f>HYPERLINK("https://www.boe.es/gazeta/dias/1810/04/17/pdfs/GEI-1810-15.pdf#page=8","Abrir facsímil")</f>
        <v>Abrir facsímil</v>
      </c>
      <c r="K7681" s="3" t="s">
        <v>76</v>
      </c>
    </row>
    <row r="7682" spans="1:11" ht="42" customHeight="1">
      <c r="A7682" s="2" t="s">
        <v>19304</v>
      </c>
      <c r="B7682" s="2" t="s">
        <v>19304</v>
      </c>
      <c r="C7682" s="2" t="s">
        <v>88</v>
      </c>
      <c r="D7682" s="2" t="s">
        <v>27</v>
      </c>
      <c r="E7682" s="4">
        <v>-32844</v>
      </c>
      <c r="F7682" s="3" t="s">
        <v>4730</v>
      </c>
      <c r="G7682" s="3" t="s">
        <v>35</v>
      </c>
      <c r="H7682" s="2" t="s">
        <v>74</v>
      </c>
      <c r="I7682" s="2" t="s">
        <v>19305</v>
      </c>
      <c r="J7682" s="3" t="str">
        <f>HYPERLINK("https://www.boe.es/gazeta/dias/1810/01/27/pdfs/GMD-1810-27.pdf#page=2","Abrir facsímil")</f>
        <v>Abrir facsímil</v>
      </c>
      <c r="K7682" s="3" t="s">
        <v>76</v>
      </c>
    </row>
    <row r="7683" spans="1:11" ht="42" customHeight="1">
      <c r="A7683" s="2" t="s">
        <v>19306</v>
      </c>
      <c r="B7683" s="2" t="s">
        <v>19307</v>
      </c>
      <c r="C7683" s="2" t="s">
        <v>225</v>
      </c>
      <c r="D7683" s="2" t="s">
        <v>27</v>
      </c>
      <c r="E7683" s="4">
        <v>-32729</v>
      </c>
      <c r="F7683" s="3" t="s">
        <v>174</v>
      </c>
      <c r="G7683" s="3" t="s">
        <v>70</v>
      </c>
      <c r="H7683" s="2" t="s">
        <v>74</v>
      </c>
      <c r="I7683" s="2" t="s">
        <v>19308</v>
      </c>
      <c r="J7683" s="3" t="str">
        <f>HYPERLINK("https://www.boe.es/gazeta/dias/1810/05/22/pdfs/GEI-1810-28.pdf#page=7","Abrir facsímil")</f>
        <v>Abrir facsímil</v>
      </c>
      <c r="K7683" s="3" t="s">
        <v>76</v>
      </c>
    </row>
    <row r="7684" spans="1:11" ht="42" customHeight="1">
      <c r="A7684" s="2" t="s">
        <v>19309</v>
      </c>
      <c r="B7684" s="2" t="s">
        <v>19310</v>
      </c>
      <c r="C7684" s="2" t="s">
        <v>26</v>
      </c>
      <c r="D7684" s="2" t="s">
        <v>39</v>
      </c>
      <c r="E7684" s="4">
        <v>-32661</v>
      </c>
      <c r="F7684" s="3" t="s">
        <v>157</v>
      </c>
      <c r="G7684" s="3" t="s">
        <v>592</v>
      </c>
      <c r="H7684" s="2" t="s">
        <v>74</v>
      </c>
      <c r="I7684" s="2" t="s">
        <v>19311</v>
      </c>
      <c r="J7684" s="3" t="str">
        <f>HYPERLINK("https://www.boe.es/gazeta/dias/1810/07/29/pdfs/GMD-C-1810-210.pdf#page=2","Abrir facsímil")</f>
        <v>Abrir facsímil</v>
      </c>
      <c r="K7684" s="3" t="s">
        <v>76</v>
      </c>
    </row>
    <row r="7685" spans="1:11" ht="42" customHeight="1">
      <c r="A7685" s="2" t="s">
        <v>19312</v>
      </c>
      <c r="B7685" s="2" t="s">
        <v>19312</v>
      </c>
      <c r="C7685" s="2" t="s">
        <v>88</v>
      </c>
      <c r="D7685" s="2" t="s">
        <v>27</v>
      </c>
      <c r="E7685" s="4">
        <v>-32638</v>
      </c>
      <c r="F7685" s="3" t="s">
        <v>2498</v>
      </c>
      <c r="G7685" s="3" t="s">
        <v>119</v>
      </c>
      <c r="H7685" s="2" t="s">
        <v>74</v>
      </c>
      <c r="I7685" s="2" t="s">
        <v>19313</v>
      </c>
      <c r="J7685" s="3" t="str">
        <f>HYPERLINK("https://www.boe.es/gazeta/dias/1810/08/21/pdfs/GEI-1810-58.pdf#page=2","Abrir facsímil")</f>
        <v>Abrir facsímil</v>
      </c>
      <c r="K7685" s="3" t="s">
        <v>76</v>
      </c>
    </row>
    <row r="7686" spans="1:11" ht="42" customHeight="1">
      <c r="A7686" s="2" t="s">
        <v>19312</v>
      </c>
      <c r="B7686" s="2" t="s">
        <v>19312</v>
      </c>
      <c r="C7686" s="2" t="s">
        <v>88</v>
      </c>
      <c r="D7686" s="2" t="s">
        <v>39</v>
      </c>
      <c r="E7686" s="4">
        <v>-32624</v>
      </c>
      <c r="F7686" s="3" t="s">
        <v>6736</v>
      </c>
      <c r="G7686" s="3" t="s">
        <v>6737</v>
      </c>
      <c r="H7686" s="2" t="s">
        <v>74</v>
      </c>
      <c r="I7686" s="2" t="s">
        <v>19314</v>
      </c>
      <c r="J7686" s="3" t="str">
        <f>HYPERLINK("https://www.boe.es/gazeta/dias/1810/09/04/pdfs/GEI-D-1810-64.pdf#page=1","Abrir facsímil")</f>
        <v>Abrir facsímil</v>
      </c>
      <c r="K7686" s="3" t="s">
        <v>76</v>
      </c>
    </row>
    <row r="7687" spans="1:11" ht="42" customHeight="1">
      <c r="A7687" s="2" t="s">
        <v>19312</v>
      </c>
      <c r="B7687" s="2" t="s">
        <v>19312</v>
      </c>
      <c r="C7687" s="2" t="s">
        <v>88</v>
      </c>
      <c r="D7687" s="2" t="s">
        <v>117</v>
      </c>
      <c r="E7687" s="4">
        <v>-32624</v>
      </c>
      <c r="F7687" s="3" t="s">
        <v>6736</v>
      </c>
      <c r="G7687" s="3" t="s">
        <v>227</v>
      </c>
      <c r="H7687" s="2" t="s">
        <v>74</v>
      </c>
      <c r="I7687" s="2" t="s">
        <v>19315</v>
      </c>
      <c r="J7687" s="3" t="str">
        <f>HYPERLINK("https://www.boe.es/gazeta/dias/1810/09/04/pdfs/GEI-D-1810-64.pdf#page=2","Abrir facsímil")</f>
        <v>Abrir facsímil</v>
      </c>
      <c r="K7687" s="3" t="s">
        <v>76</v>
      </c>
    </row>
    <row r="7688" spans="1:11" ht="42" customHeight="1">
      <c r="A7688" s="2" t="s">
        <v>19316</v>
      </c>
      <c r="B7688" s="2" t="s">
        <v>19316</v>
      </c>
      <c r="C7688" s="2" t="s">
        <v>88</v>
      </c>
      <c r="D7688" s="2" t="s">
        <v>27</v>
      </c>
      <c r="E7688" s="4">
        <v>-32635</v>
      </c>
      <c r="F7688" s="3" t="s">
        <v>8979</v>
      </c>
      <c r="G7688" s="3" t="s">
        <v>227</v>
      </c>
      <c r="H7688" s="2" t="s">
        <v>74</v>
      </c>
      <c r="I7688" s="2" t="s">
        <v>19317</v>
      </c>
      <c r="J7688" s="3" t="str">
        <f>HYPERLINK("https://www.boe.es/gazeta/dias/1810/08/24/pdfs/GMD-1810-236.pdf#page=2","Abrir facsímil")</f>
        <v>Abrir facsímil</v>
      </c>
      <c r="K7688" s="3" t="s">
        <v>76</v>
      </c>
    </row>
    <row r="7689" spans="1:11" ht="42" customHeight="1">
      <c r="A7689" s="2" t="s">
        <v>19318</v>
      </c>
      <c r="B7689" s="2" t="s">
        <v>19318</v>
      </c>
      <c r="C7689" s="2" t="s">
        <v>111</v>
      </c>
      <c r="D7689" s="2" t="s">
        <v>18</v>
      </c>
      <c r="E7689" s="4">
        <v>-32826</v>
      </c>
      <c r="F7689" s="3" t="s">
        <v>1252</v>
      </c>
      <c r="G7689" s="3" t="s">
        <v>227</v>
      </c>
      <c r="H7689" s="2" t="s">
        <v>74</v>
      </c>
      <c r="I7689" s="2" t="s">
        <v>19319</v>
      </c>
      <c r="J7689" s="3" t="str">
        <f>HYPERLINK("https://www.boe.es/gazeta/dias/1810/02/14/pdfs/GMD-1810-45.pdf#page=4","Abrir facsímil")</f>
        <v>Abrir facsímil</v>
      </c>
      <c r="K7689" s="3" t="s">
        <v>76</v>
      </c>
    </row>
    <row r="7690" spans="1:11" ht="42" customHeight="1">
      <c r="A7690" s="2" t="s">
        <v>19320</v>
      </c>
      <c r="B7690" s="2" t="s">
        <v>19321</v>
      </c>
      <c r="C7690" s="2" t="s">
        <v>26</v>
      </c>
      <c r="D7690" s="2" t="s">
        <v>39</v>
      </c>
      <c r="E7690" s="4">
        <v>-32661</v>
      </c>
      <c r="F7690" s="3" t="s">
        <v>157</v>
      </c>
      <c r="G7690" s="3" t="s">
        <v>158</v>
      </c>
      <c r="H7690" s="2" t="s">
        <v>74</v>
      </c>
      <c r="I7690" s="2" t="s">
        <v>19322</v>
      </c>
      <c r="J7690" s="3" t="str">
        <f>HYPERLINK("https://www.boe.es/gazeta/dias/1810/07/29/pdfs/GMD-C-1810-210.pdf#page=1","Abrir facsímil")</f>
        <v>Abrir facsímil</v>
      </c>
      <c r="K7690" s="3" t="s">
        <v>76</v>
      </c>
    </row>
    <row r="7691" spans="1:11" ht="42" customHeight="1">
      <c r="A7691" s="2" t="s">
        <v>19323</v>
      </c>
      <c r="B7691" s="2" t="s">
        <v>19323</v>
      </c>
      <c r="C7691" s="2" t="s">
        <v>88</v>
      </c>
      <c r="D7691" s="2" t="s">
        <v>117</v>
      </c>
      <c r="E7691" s="4">
        <v>-32631</v>
      </c>
      <c r="F7691" s="3" t="s">
        <v>130</v>
      </c>
      <c r="G7691" s="3" t="s">
        <v>2500</v>
      </c>
      <c r="H7691" s="2" t="s">
        <v>74</v>
      </c>
      <c r="I7691" s="2" t="s">
        <v>19324</v>
      </c>
      <c r="J7691" s="3" t="str">
        <f>HYPERLINK("https://www.boe.es/gazeta/dias/1810/08/28/pdfs/GEI-1810-60.pdf#page=3","Abrir facsímil")</f>
        <v>Abrir facsímil</v>
      </c>
      <c r="K7691" s="3" t="s">
        <v>76</v>
      </c>
    </row>
    <row r="7692" spans="1:11" ht="42" customHeight="1">
      <c r="A7692" s="2" t="s">
        <v>19323</v>
      </c>
      <c r="B7692" s="2" t="s">
        <v>19323</v>
      </c>
      <c r="C7692" s="2" t="s">
        <v>88</v>
      </c>
      <c r="D7692" s="2" t="s">
        <v>27</v>
      </c>
      <c r="E7692" s="4">
        <v>-32631</v>
      </c>
      <c r="F7692" s="3" t="s">
        <v>130</v>
      </c>
      <c r="G7692" s="3" t="s">
        <v>131</v>
      </c>
      <c r="H7692" s="2" t="s">
        <v>74</v>
      </c>
      <c r="I7692" s="2" t="s">
        <v>19325</v>
      </c>
      <c r="J7692" s="3" t="str">
        <f>HYPERLINK("https://www.boe.es/gazeta/dias/1810/08/28/pdfs/GEI-1810-60.pdf#page=4","Abrir facsímil")</f>
        <v>Abrir facsímil</v>
      </c>
      <c r="K7692" s="3" t="s">
        <v>76</v>
      </c>
    </row>
    <row r="7693" spans="1:11" ht="42" customHeight="1">
      <c r="A7693" s="2" t="s">
        <v>19323</v>
      </c>
      <c r="B7693" s="2" t="s">
        <v>19323</v>
      </c>
      <c r="C7693" s="2" t="s">
        <v>88</v>
      </c>
      <c r="D7693" s="2" t="s">
        <v>27</v>
      </c>
      <c r="E7693" s="4">
        <v>-32624</v>
      </c>
      <c r="F7693" s="3" t="s">
        <v>2176</v>
      </c>
      <c r="G7693" s="3" t="s">
        <v>14057</v>
      </c>
      <c r="H7693" s="2" t="s">
        <v>74</v>
      </c>
      <c r="I7693" s="2" t="s">
        <v>19326</v>
      </c>
      <c r="J7693" s="3" t="str">
        <f>HYPERLINK("https://www.boe.es/gazeta/dias/1810/09/04/pdfs/GEI-1810-64.pdf#page=3","Abrir facsímil")</f>
        <v>Abrir facsímil</v>
      </c>
      <c r="K7693" s="3" t="s">
        <v>76</v>
      </c>
    </row>
    <row r="7694" spans="1:11" ht="42" customHeight="1">
      <c r="A7694" s="2" t="s">
        <v>19323</v>
      </c>
      <c r="B7694" s="2" t="s">
        <v>19323</v>
      </c>
      <c r="C7694" s="2" t="s">
        <v>88</v>
      </c>
      <c r="D7694" s="2" t="s">
        <v>220</v>
      </c>
      <c r="E7694" s="4">
        <v>-32531</v>
      </c>
      <c r="F7694" s="3" t="s">
        <v>2483</v>
      </c>
      <c r="G7694" s="3" t="s">
        <v>227</v>
      </c>
      <c r="H7694" s="2" t="s">
        <v>74</v>
      </c>
      <c r="I7694" s="2" t="s">
        <v>19327</v>
      </c>
      <c r="J7694" s="3" t="str">
        <f>HYPERLINK("https://www.boe.es/gazeta/dias/1810/12/06/pdfs/GEI-1810-104.pdf#page=2","Abrir facsímil")</f>
        <v>Abrir facsímil</v>
      </c>
      <c r="K7694" s="3" t="s">
        <v>76</v>
      </c>
    </row>
    <row r="7695" spans="1:11" ht="42" customHeight="1">
      <c r="A7695" s="2" t="s">
        <v>19323</v>
      </c>
      <c r="B7695" s="2" t="s">
        <v>19323</v>
      </c>
      <c r="C7695" s="2" t="s">
        <v>88</v>
      </c>
      <c r="D7695" s="2" t="s">
        <v>27</v>
      </c>
      <c r="E7695" s="4">
        <v>-32531</v>
      </c>
      <c r="F7695" s="3" t="s">
        <v>2483</v>
      </c>
      <c r="G7695" s="3" t="s">
        <v>235</v>
      </c>
      <c r="H7695" s="2" t="s">
        <v>74</v>
      </c>
      <c r="I7695" s="2" t="s">
        <v>19328</v>
      </c>
      <c r="J7695" s="3" t="str">
        <f>HYPERLINK("https://www.boe.es/gazeta/dias/1810/12/06/pdfs/GEI-1810-104.pdf#page=4","Abrir facsímil")</f>
        <v>Abrir facsímil</v>
      </c>
      <c r="K7695" s="3" t="s">
        <v>76</v>
      </c>
    </row>
    <row r="7696" spans="1:11" ht="42" customHeight="1">
      <c r="A7696" s="2" t="s">
        <v>19329</v>
      </c>
      <c r="B7696" s="2" t="s">
        <v>19329</v>
      </c>
      <c r="C7696" s="2" t="s">
        <v>88</v>
      </c>
      <c r="D7696" s="2" t="s">
        <v>27</v>
      </c>
      <c r="E7696" s="4">
        <v>-32528</v>
      </c>
      <c r="F7696" s="3" t="s">
        <v>3058</v>
      </c>
      <c r="G7696" s="3" t="s">
        <v>35</v>
      </c>
      <c r="H7696" s="2" t="s">
        <v>74</v>
      </c>
      <c r="I7696" s="2" t="s">
        <v>19330</v>
      </c>
      <c r="J7696" s="3" t="str">
        <f>HYPERLINK("https://www.boe.es/gazeta/dias/1810/12/09/pdfs/GMD-1810-343.pdf#page=2","Abrir facsímil")</f>
        <v>Abrir facsímil</v>
      </c>
      <c r="K7696" s="3" t="s">
        <v>76</v>
      </c>
    </row>
    <row r="7697" spans="1:11" ht="42" customHeight="1">
      <c r="A7697" s="2" t="s">
        <v>19331</v>
      </c>
      <c r="B7697" s="2" t="s">
        <v>19331</v>
      </c>
      <c r="C7697" s="2" t="s">
        <v>26</v>
      </c>
      <c r="D7697" s="2" t="s">
        <v>27</v>
      </c>
      <c r="E7697" s="4">
        <v>-32566</v>
      </c>
      <c r="F7697" s="3" t="s">
        <v>405</v>
      </c>
      <c r="G7697" s="3" t="s">
        <v>99</v>
      </c>
      <c r="H7697" s="2" t="s">
        <v>74</v>
      </c>
      <c r="I7697" s="2" t="s">
        <v>19332</v>
      </c>
      <c r="J7697" s="3" t="str">
        <f>HYPERLINK("https://www.boe.es/gazeta/dias/1810/11/01/pdfs/GMD-1810-305.pdf#page=3","Abrir facsímil")</f>
        <v>Abrir facsímil</v>
      </c>
      <c r="K7697" s="3" t="s">
        <v>76</v>
      </c>
    </row>
    <row r="7698" spans="1:11" ht="42" customHeight="1">
      <c r="A7698" s="2" t="s">
        <v>19333</v>
      </c>
      <c r="B7698" s="2" t="s">
        <v>19334</v>
      </c>
      <c r="C7698" s="2" t="s">
        <v>26</v>
      </c>
      <c r="D7698" s="2" t="s">
        <v>39</v>
      </c>
      <c r="E7698" s="4">
        <v>-32702</v>
      </c>
      <c r="F7698" s="3" t="s">
        <v>179</v>
      </c>
      <c r="G7698" s="3" t="s">
        <v>180</v>
      </c>
      <c r="H7698" s="2" t="s">
        <v>74</v>
      </c>
      <c r="I7698" s="2" t="s">
        <v>19335</v>
      </c>
      <c r="J7698" s="3" t="str">
        <f>HYPERLINK("https://www.boe.es/gazeta/dias/1810/06/18/pdfs/GMD-C-1810-169.pdf#page=2","Abrir facsímil")</f>
        <v>Abrir facsímil</v>
      </c>
      <c r="K7698" s="3" t="s">
        <v>76</v>
      </c>
    </row>
    <row r="7699" spans="1:11" ht="42" customHeight="1">
      <c r="A7699" s="2" t="s">
        <v>19336</v>
      </c>
      <c r="B7699" s="2" t="s">
        <v>19336</v>
      </c>
      <c r="C7699" s="2" t="s">
        <v>26</v>
      </c>
      <c r="D7699" s="2" t="s">
        <v>27</v>
      </c>
      <c r="E7699" s="4">
        <v>-32767</v>
      </c>
      <c r="F7699" s="3" t="s">
        <v>1265</v>
      </c>
      <c r="G7699" s="3" t="s">
        <v>1266</v>
      </c>
      <c r="H7699" s="2" t="s">
        <v>74</v>
      </c>
      <c r="I7699" s="2" t="s">
        <v>19337</v>
      </c>
      <c r="J7699" s="3" t="str">
        <f>HYPERLINK("https://www.boe.es/gazeta/dias/1810/04/14/pdfs/GMD-1810-104.pdf#page=4","Abrir facsímil")</f>
        <v>Abrir facsímil</v>
      </c>
      <c r="K7699" s="3" t="s">
        <v>76</v>
      </c>
    </row>
    <row r="7700" spans="1:11" ht="42" customHeight="1">
      <c r="A7700" s="2" t="s">
        <v>19336</v>
      </c>
      <c r="B7700" s="2" t="s">
        <v>19336</v>
      </c>
      <c r="C7700" s="2" t="s">
        <v>88</v>
      </c>
      <c r="D7700" s="2" t="s">
        <v>117</v>
      </c>
      <c r="E7700" s="4">
        <v>-32766</v>
      </c>
      <c r="F7700" s="3" t="s">
        <v>492</v>
      </c>
      <c r="G7700" s="3" t="s">
        <v>99</v>
      </c>
      <c r="H7700" s="2" t="s">
        <v>74</v>
      </c>
      <c r="I7700" s="2" t="s">
        <v>19338</v>
      </c>
      <c r="J7700" s="3" t="str">
        <f>HYPERLINK("https://www.boe.es/gazeta/dias/1810/04/15/pdfs/GMD-1810-105.pdf#page=3","Abrir facsímil")</f>
        <v>Abrir facsímil</v>
      </c>
      <c r="K7700" s="3" t="s">
        <v>76</v>
      </c>
    </row>
    <row r="7701" spans="1:11" ht="42" customHeight="1">
      <c r="A7701" s="2" t="s">
        <v>19336</v>
      </c>
      <c r="B7701" s="2" t="s">
        <v>19336</v>
      </c>
      <c r="C7701" s="2" t="s">
        <v>26</v>
      </c>
      <c r="D7701" s="2" t="s">
        <v>39</v>
      </c>
      <c r="E7701" s="4">
        <v>-32701</v>
      </c>
      <c r="F7701" s="3" t="s">
        <v>40</v>
      </c>
      <c r="G7701" s="3" t="s">
        <v>333</v>
      </c>
      <c r="H7701" s="2" t="s">
        <v>74</v>
      </c>
      <c r="I7701" s="2" t="s">
        <v>19339</v>
      </c>
      <c r="J7701" s="3" t="str">
        <f>HYPERLINK("https://www.boe.es/gazeta/dias/1810/06/19/pdfs/GMD-C-1810-170.pdf#page=4","Abrir facsímil")</f>
        <v>Abrir facsímil</v>
      </c>
      <c r="K7701" s="3" t="s">
        <v>76</v>
      </c>
    </row>
    <row r="7702" spans="1:11" ht="42" customHeight="1">
      <c r="A7702" s="2" t="s">
        <v>19336</v>
      </c>
      <c r="B7702" s="2" t="s">
        <v>19336</v>
      </c>
      <c r="C7702" s="2" t="s">
        <v>17</v>
      </c>
      <c r="D7702" s="2" t="s">
        <v>27</v>
      </c>
      <c r="E7702" s="4">
        <v>-32688</v>
      </c>
      <c r="F7702" s="3" t="s">
        <v>997</v>
      </c>
      <c r="G7702" s="3" t="s">
        <v>749</v>
      </c>
      <c r="H7702" s="2" t="s">
        <v>74</v>
      </c>
      <c r="I7702" s="2" t="s">
        <v>19340</v>
      </c>
      <c r="J7702" s="3" t="str">
        <f>HYPERLINK("https://www.boe.es/gazeta/dias/1810/07/02/pdfs/GMD-1810-183.pdf#page=4","Abrir facsímil")</f>
        <v>Abrir facsímil</v>
      </c>
      <c r="K7702" s="3" t="s">
        <v>76</v>
      </c>
    </row>
    <row r="7703" spans="1:11" ht="42" customHeight="1">
      <c r="A7703" s="2" t="s">
        <v>19336</v>
      </c>
      <c r="B7703" s="2" t="s">
        <v>19336</v>
      </c>
      <c r="C7703" s="2" t="s">
        <v>88</v>
      </c>
      <c r="D7703" s="2" t="s">
        <v>27</v>
      </c>
      <c r="E7703" s="4">
        <v>-32639</v>
      </c>
      <c r="F7703" s="3" t="s">
        <v>3411</v>
      </c>
      <c r="G7703" s="3" t="s">
        <v>3412</v>
      </c>
      <c r="H7703" s="2" t="s">
        <v>74</v>
      </c>
      <c r="I7703" s="2" t="s">
        <v>19341</v>
      </c>
      <c r="J7703" s="3" t="str">
        <f>HYPERLINK("https://www.boe.es/gazeta/dias/1810/08/20/pdfs/GMD-1810-232.pdf#page=4","Abrir facsímil")</f>
        <v>Abrir facsímil</v>
      </c>
      <c r="K7703" s="3" t="s">
        <v>76</v>
      </c>
    </row>
    <row r="7704" spans="1:11" ht="42" customHeight="1">
      <c r="A7704" s="2" t="s">
        <v>19336</v>
      </c>
      <c r="B7704" s="2" t="s">
        <v>19336</v>
      </c>
      <c r="C7704" s="2" t="s">
        <v>88</v>
      </c>
      <c r="D7704" s="2" t="s">
        <v>117</v>
      </c>
      <c r="E7704" s="4">
        <v>-32580</v>
      </c>
      <c r="F7704" s="3" t="s">
        <v>2508</v>
      </c>
      <c r="G7704" s="3" t="s">
        <v>227</v>
      </c>
      <c r="H7704" s="2" t="s">
        <v>74</v>
      </c>
      <c r="I7704" s="2" t="s">
        <v>19342</v>
      </c>
      <c r="J7704" s="3" t="str">
        <f>HYPERLINK("https://www.boe.es/gazeta/dias/1810/10/18/pdfs/GEI-1810-83.pdf#page=5","Abrir facsímil")</f>
        <v>Abrir facsímil</v>
      </c>
      <c r="K7704" s="3" t="s">
        <v>76</v>
      </c>
    </row>
    <row r="7705" spans="1:11" ht="42" customHeight="1">
      <c r="A7705" s="2" t="s">
        <v>19336</v>
      </c>
      <c r="B7705" s="2" t="s">
        <v>19336</v>
      </c>
      <c r="C7705" s="2" t="s">
        <v>26</v>
      </c>
      <c r="D7705" s="2" t="s">
        <v>27</v>
      </c>
      <c r="E7705" s="4">
        <v>-32564</v>
      </c>
      <c r="F7705" s="3" t="s">
        <v>1604</v>
      </c>
      <c r="G7705" s="3" t="s">
        <v>1605</v>
      </c>
      <c r="H7705" s="2" t="s">
        <v>74</v>
      </c>
      <c r="I7705" s="2" t="s">
        <v>19343</v>
      </c>
      <c r="J7705" s="3" t="str">
        <f>HYPERLINK("https://www.boe.es/gazeta/dias/1810/11/03/pdfs/GMD-1810-307.pdf#page=2","Abrir facsímil")</f>
        <v>Abrir facsímil</v>
      </c>
      <c r="K7705" s="3" t="s">
        <v>76</v>
      </c>
    </row>
    <row r="7706" spans="1:11" ht="42" customHeight="1">
      <c r="A7706" s="2" t="s">
        <v>19336</v>
      </c>
      <c r="B7706" s="2" t="s">
        <v>19336</v>
      </c>
      <c r="C7706" s="2" t="s">
        <v>88</v>
      </c>
      <c r="D7706" s="2" t="s">
        <v>117</v>
      </c>
      <c r="E7706" s="4">
        <v>-32507</v>
      </c>
      <c r="F7706" s="3" t="s">
        <v>11205</v>
      </c>
      <c r="G7706" s="3" t="s">
        <v>140</v>
      </c>
      <c r="H7706" s="2" t="s">
        <v>74</v>
      </c>
      <c r="I7706" s="2" t="s">
        <v>19344</v>
      </c>
      <c r="J7706" s="3" t="str">
        <f>HYPERLINK("https://www.boe.es/gazeta/dias/1810/12/30/pdfs/GMD-1810-364.pdf#page=2","Abrir facsímil")</f>
        <v>Abrir facsímil</v>
      </c>
      <c r="K7706" s="3" t="s">
        <v>76</v>
      </c>
    </row>
    <row r="7707" spans="1:11" ht="42" customHeight="1">
      <c r="A7707" s="2" t="s">
        <v>19345</v>
      </c>
      <c r="B7707" s="2" t="s">
        <v>19346</v>
      </c>
      <c r="C7707" s="2" t="s">
        <v>26</v>
      </c>
      <c r="D7707" s="2" t="s">
        <v>39</v>
      </c>
      <c r="E7707" s="4">
        <v>-32702</v>
      </c>
      <c r="F7707" s="3" t="s">
        <v>179</v>
      </c>
      <c r="G7707" s="3" t="s">
        <v>180</v>
      </c>
      <c r="H7707" s="2" t="s">
        <v>74</v>
      </c>
      <c r="I7707" s="2" t="s">
        <v>19347</v>
      </c>
      <c r="J7707" s="3" t="str">
        <f>HYPERLINK("https://www.boe.es/gazeta/dias/1810/06/18/pdfs/GMD-C-1810-169.pdf#page=2","Abrir facsímil")</f>
        <v>Abrir facsímil</v>
      </c>
      <c r="K7707" s="3" t="s">
        <v>76</v>
      </c>
    </row>
    <row r="7708" spans="1:11" ht="42" customHeight="1">
      <c r="A7708" s="2" t="s">
        <v>19348</v>
      </c>
      <c r="B7708" s="2" t="s">
        <v>19349</v>
      </c>
      <c r="C7708" s="2" t="s">
        <v>33</v>
      </c>
      <c r="D7708" s="2" t="s">
        <v>27</v>
      </c>
      <c r="E7708" s="4">
        <v>-32515</v>
      </c>
      <c r="F7708" s="3" t="s">
        <v>351</v>
      </c>
      <c r="G7708" s="3" t="s">
        <v>352</v>
      </c>
      <c r="H7708" s="2" t="s">
        <v>74</v>
      </c>
      <c r="I7708" s="2" t="s">
        <v>19350</v>
      </c>
      <c r="J7708" s="3" t="str">
        <f>HYPERLINK("https://www.boe.es/gazeta/dias/1810/12/22/pdfs/GEI-1810-111.pdf#page=8","Abrir facsímil")</f>
        <v>Abrir facsímil</v>
      </c>
      <c r="K7708" s="3" t="s">
        <v>76</v>
      </c>
    </row>
    <row r="7709" spans="1:11" ht="42" customHeight="1">
      <c r="A7709" s="2" t="s">
        <v>19351</v>
      </c>
      <c r="B7709" s="2" t="s">
        <v>19351</v>
      </c>
      <c r="C7709" s="2" t="s">
        <v>88</v>
      </c>
      <c r="D7709" s="2" t="s">
        <v>220</v>
      </c>
      <c r="E7709" s="4">
        <v>-32508</v>
      </c>
      <c r="F7709" s="3" t="s">
        <v>2609</v>
      </c>
      <c r="G7709" s="3" t="s">
        <v>18976</v>
      </c>
      <c r="H7709" s="2" t="s">
        <v>74</v>
      </c>
      <c r="I7709" s="2" t="s">
        <v>19352</v>
      </c>
      <c r="J7709" s="3" t="str">
        <f>HYPERLINK("https://www.boe.es/gazeta/dias/1810/12/29/pdfs/GMD-1810-363.pdf#page=1","Abrir facsímil")</f>
        <v>Abrir facsímil</v>
      </c>
      <c r="K7709" s="3" t="s">
        <v>76</v>
      </c>
    </row>
    <row r="7710" spans="1:11" ht="42" customHeight="1">
      <c r="A7710" s="2" t="s">
        <v>19353</v>
      </c>
      <c r="B7710" s="2" t="s">
        <v>19354</v>
      </c>
      <c r="C7710" s="2" t="s">
        <v>88</v>
      </c>
      <c r="D7710" s="2" t="s">
        <v>27</v>
      </c>
      <c r="E7710" s="4">
        <v>-32561</v>
      </c>
      <c r="F7710" s="3" t="s">
        <v>273</v>
      </c>
      <c r="G7710" s="3" t="s">
        <v>19355</v>
      </c>
      <c r="H7710" s="2" t="s">
        <v>21</v>
      </c>
      <c r="I7710" s="2" t="s">
        <v>19356</v>
      </c>
      <c r="J7710" s="3" t="str">
        <f>HYPERLINK("https://www.boe.es/gazeta/dias/1810/11/06/pdfs/GEI-1810-91.pdf#page=6","Abrir facsímil")</f>
        <v>Abrir facsímil</v>
      </c>
      <c r="K7710" s="3" t="s">
        <v>23</v>
      </c>
    </row>
    <row r="7711" spans="1:11" ht="42" customHeight="1">
      <c r="A7711" s="2" t="s">
        <v>19357</v>
      </c>
      <c r="B7711" s="2" t="s">
        <v>19358</v>
      </c>
      <c r="C7711" s="2" t="s">
        <v>33</v>
      </c>
      <c r="D7711" s="2" t="s">
        <v>27</v>
      </c>
      <c r="E7711" s="4">
        <v>-32515</v>
      </c>
      <c r="F7711" s="3" t="s">
        <v>351</v>
      </c>
      <c r="G7711" s="3" t="s">
        <v>352</v>
      </c>
      <c r="H7711" s="2" t="s">
        <v>74</v>
      </c>
      <c r="I7711" s="2" t="s">
        <v>19359</v>
      </c>
      <c r="J7711" s="3" t="str">
        <f>HYPERLINK("https://www.boe.es/gazeta/dias/1810/12/22/pdfs/GEI-1810-111.pdf#page=8","Abrir facsímil")</f>
        <v>Abrir facsímil</v>
      </c>
      <c r="K7711" s="3" t="s">
        <v>76</v>
      </c>
    </row>
    <row r="7712" spans="1:11" ht="42" customHeight="1">
      <c r="A7712" s="2" t="s">
        <v>19360</v>
      </c>
      <c r="B7712" s="2" t="s">
        <v>19361</v>
      </c>
      <c r="C7712" s="2" t="s">
        <v>26</v>
      </c>
      <c r="D7712" s="2" t="s">
        <v>39</v>
      </c>
      <c r="E7712" s="4">
        <v>-32702</v>
      </c>
      <c r="F7712" s="3" t="s">
        <v>179</v>
      </c>
      <c r="G7712" s="3" t="s">
        <v>180</v>
      </c>
      <c r="H7712" s="2" t="s">
        <v>74</v>
      </c>
      <c r="I7712" s="2" t="s">
        <v>19362</v>
      </c>
      <c r="J7712" s="3" t="str">
        <f>HYPERLINK("https://www.boe.es/gazeta/dias/1810/06/18/pdfs/GMD-C-1810-169.pdf#page=2","Abrir facsímil")</f>
        <v>Abrir facsímil</v>
      </c>
      <c r="K7712" s="3" t="s">
        <v>76</v>
      </c>
    </row>
    <row r="7713" spans="1:11" ht="42" customHeight="1">
      <c r="A7713" s="2" t="s">
        <v>19363</v>
      </c>
      <c r="B7713" s="2" t="s">
        <v>19364</v>
      </c>
      <c r="C7713" s="2" t="s">
        <v>26</v>
      </c>
      <c r="D7713" s="2" t="s">
        <v>39</v>
      </c>
      <c r="E7713" s="4">
        <v>-32702</v>
      </c>
      <c r="F7713" s="3" t="s">
        <v>179</v>
      </c>
      <c r="G7713" s="3" t="s">
        <v>213</v>
      </c>
      <c r="H7713" s="2" t="s">
        <v>74</v>
      </c>
      <c r="I7713" s="2" t="s">
        <v>19365</v>
      </c>
      <c r="J7713" s="3" t="str">
        <f>HYPERLINK("https://www.boe.es/gazeta/dias/1810/06/18/pdfs/GMD-C-1810-169.pdf#page=4","Abrir facsímil")</f>
        <v>Abrir facsímil</v>
      </c>
      <c r="K7713" s="3" t="s">
        <v>76</v>
      </c>
    </row>
    <row r="7714" spans="1:11" ht="42" customHeight="1">
      <c r="A7714" s="2" t="s">
        <v>19366</v>
      </c>
      <c r="B7714" s="2" t="s">
        <v>19366</v>
      </c>
      <c r="C7714" s="2" t="s">
        <v>88</v>
      </c>
      <c r="D7714" s="2" t="s">
        <v>117</v>
      </c>
      <c r="E7714" s="4">
        <v>-32617</v>
      </c>
      <c r="F7714" s="3" t="s">
        <v>3861</v>
      </c>
      <c r="G7714" s="3" t="s">
        <v>12143</v>
      </c>
      <c r="H7714" s="2" t="s">
        <v>74</v>
      </c>
      <c r="I7714" s="2" t="s">
        <v>19367</v>
      </c>
      <c r="J7714" s="3" t="str">
        <f>HYPERLINK("https://www.boe.es/gazeta/dias/1810/09/11/pdfs/GMD-1810-254.pdf#page=2","Abrir facsímil")</f>
        <v>Abrir facsímil</v>
      </c>
      <c r="K7714" s="3" t="s">
        <v>76</v>
      </c>
    </row>
    <row r="7715" spans="1:11" ht="42" customHeight="1">
      <c r="A7715" s="2" t="s">
        <v>19368</v>
      </c>
      <c r="B7715" s="2" t="s">
        <v>19368</v>
      </c>
      <c r="C7715" s="2" t="s">
        <v>88</v>
      </c>
      <c r="D7715" s="2" t="s">
        <v>18</v>
      </c>
      <c r="E7715" s="4">
        <v>-32753</v>
      </c>
      <c r="F7715" s="3" t="s">
        <v>2789</v>
      </c>
      <c r="G7715" s="3" t="s">
        <v>140</v>
      </c>
      <c r="H7715" s="2" t="s">
        <v>74</v>
      </c>
      <c r="I7715" s="2" t="s">
        <v>19369</v>
      </c>
      <c r="J7715" s="3" t="str">
        <f>HYPERLINK("https://www.boe.es/gazeta/dias/1810/04/28/pdfs/GMD-1810-118.pdf#page=1","Abrir facsímil")</f>
        <v>Abrir facsímil</v>
      </c>
      <c r="K7715" s="3" t="s">
        <v>76</v>
      </c>
    </row>
    <row r="7716" spans="1:11" ht="42" customHeight="1">
      <c r="A7716" s="2" t="s">
        <v>19370</v>
      </c>
      <c r="B7716" s="2" t="s">
        <v>19370</v>
      </c>
      <c r="C7716" s="2" t="s">
        <v>88</v>
      </c>
      <c r="D7716" s="2" t="s">
        <v>27</v>
      </c>
      <c r="E7716" s="4">
        <v>-32796</v>
      </c>
      <c r="F7716" s="3" t="s">
        <v>246</v>
      </c>
      <c r="G7716" s="3" t="s">
        <v>592</v>
      </c>
      <c r="H7716" s="2" t="s">
        <v>74</v>
      </c>
      <c r="I7716" s="2" t="s">
        <v>19371</v>
      </c>
      <c r="J7716" s="3" t="str">
        <f>HYPERLINK("https://www.boe.es/gazeta/dias/1810/03/16/pdfs/GEI-1810-2.pdf#page=1","Abrir facsímil")</f>
        <v>Abrir facsímil</v>
      </c>
      <c r="K7716" s="3" t="s">
        <v>76</v>
      </c>
    </row>
    <row r="7717" spans="1:11" ht="42" customHeight="1">
      <c r="A7717" s="2" t="s">
        <v>19370</v>
      </c>
      <c r="B7717" s="2" t="s">
        <v>19370</v>
      </c>
      <c r="C7717" s="2" t="s">
        <v>88</v>
      </c>
      <c r="D7717" s="2" t="s">
        <v>27</v>
      </c>
      <c r="E7717" s="4">
        <v>-32652</v>
      </c>
      <c r="F7717" s="3" t="s">
        <v>731</v>
      </c>
      <c r="G7717" s="3" t="s">
        <v>19372</v>
      </c>
      <c r="H7717" s="2" t="s">
        <v>74</v>
      </c>
      <c r="I7717" s="2" t="s">
        <v>19373</v>
      </c>
      <c r="J7717" s="3" t="str">
        <f>HYPERLINK("https://www.boe.es/gazeta/dias/1810/08/07/pdfs/GMD-1810-219.pdf#page=1","Abrir facsímil")</f>
        <v>Abrir facsímil</v>
      </c>
      <c r="K7717" s="3" t="s">
        <v>76</v>
      </c>
    </row>
    <row r="7718" spans="1:11" ht="42" customHeight="1">
      <c r="A7718" s="2" t="s">
        <v>19374</v>
      </c>
      <c r="B7718" s="2" t="s">
        <v>19374</v>
      </c>
      <c r="C7718" s="2" t="s">
        <v>88</v>
      </c>
      <c r="D7718" s="2" t="s">
        <v>27</v>
      </c>
      <c r="E7718" s="4">
        <v>-32782</v>
      </c>
      <c r="F7718" s="3" t="s">
        <v>79</v>
      </c>
      <c r="G7718" s="3" t="s">
        <v>465</v>
      </c>
      <c r="H7718" s="2" t="s">
        <v>74</v>
      </c>
      <c r="I7718" s="2" t="s">
        <v>19375</v>
      </c>
      <c r="J7718" s="3" t="str">
        <f>HYPERLINK("https://www.boe.es/gazeta/dias/1810/03/30/pdfs/GEI-1810-9.pdf#page=5","Abrir facsímil")</f>
        <v>Abrir facsímil</v>
      </c>
      <c r="K7718" s="3" t="s">
        <v>76</v>
      </c>
    </row>
    <row r="7719" spans="1:11" ht="42" customHeight="1">
      <c r="A7719" s="2" t="s">
        <v>19376</v>
      </c>
      <c r="B7719" s="2" t="s">
        <v>19376</v>
      </c>
      <c r="C7719" s="2" t="s">
        <v>88</v>
      </c>
      <c r="D7719" s="2" t="s">
        <v>27</v>
      </c>
      <c r="E7719" s="4">
        <v>-32739</v>
      </c>
      <c r="F7719" s="3" t="s">
        <v>724</v>
      </c>
      <c r="G7719" s="3" t="s">
        <v>2035</v>
      </c>
      <c r="H7719" s="2" t="s">
        <v>74</v>
      </c>
      <c r="I7719" s="2" t="s">
        <v>19377</v>
      </c>
      <c r="J7719" s="3" t="str">
        <f>HYPERLINK("https://www.boe.es/gazeta/dias/1810/05/12/pdfs/GMD-1810-132.pdf#page=2","Abrir facsímil")</f>
        <v>Abrir facsímil</v>
      </c>
      <c r="K7719" s="3" t="s">
        <v>76</v>
      </c>
    </row>
    <row r="7720" spans="1:11" ht="42" customHeight="1">
      <c r="A7720" s="2" t="s">
        <v>19378</v>
      </c>
      <c r="B7720" s="2" t="s">
        <v>19379</v>
      </c>
      <c r="C7720" s="2" t="s">
        <v>88</v>
      </c>
      <c r="D7720" s="2" t="s">
        <v>117</v>
      </c>
      <c r="E7720" s="4">
        <v>-32853</v>
      </c>
      <c r="F7720" s="3" t="s">
        <v>516</v>
      </c>
      <c r="G7720" s="3" t="s">
        <v>227</v>
      </c>
      <c r="H7720" s="2" t="s">
        <v>74</v>
      </c>
      <c r="I7720" s="2" t="s">
        <v>19380</v>
      </c>
      <c r="J7720" s="3" t="str">
        <f>HYPERLINK("https://www.boe.es/gazeta/dias/1810/01/18/pdfs/GGB-1810-8.pdf#page=8","Abrir facsímil")</f>
        <v>Abrir facsímil</v>
      </c>
      <c r="K7720" s="3" t="s">
        <v>76</v>
      </c>
    </row>
    <row r="7721" spans="1:11" ht="42" customHeight="1">
      <c r="A7721" s="2" t="s">
        <v>19381</v>
      </c>
      <c r="B7721" s="2" t="s">
        <v>19381</v>
      </c>
      <c r="C7721" s="2" t="s">
        <v>88</v>
      </c>
      <c r="D7721" s="2" t="s">
        <v>117</v>
      </c>
      <c r="E7721" s="4">
        <v>-32739</v>
      </c>
      <c r="F7721" s="3" t="s">
        <v>724</v>
      </c>
      <c r="G7721" s="3" t="s">
        <v>20</v>
      </c>
      <c r="H7721" s="2" t="s">
        <v>74</v>
      </c>
      <c r="I7721" s="2" t="s">
        <v>19382</v>
      </c>
      <c r="J7721" s="3" t="str">
        <f>HYPERLINK("https://www.boe.es/gazeta/dias/1810/05/12/pdfs/GMD-1810-132.pdf#page=4","Abrir facsímil")</f>
        <v>Abrir facsímil</v>
      </c>
      <c r="K7721" s="3" t="s">
        <v>76</v>
      </c>
    </row>
    <row r="7722" spans="1:11" ht="42" customHeight="1">
      <c r="A7722" s="2" t="s">
        <v>19383</v>
      </c>
      <c r="B7722" s="2" t="s">
        <v>19384</v>
      </c>
      <c r="C7722" s="2" t="s">
        <v>26</v>
      </c>
      <c r="D7722" s="2" t="s">
        <v>39</v>
      </c>
      <c r="E7722" s="4">
        <v>-32701</v>
      </c>
      <c r="F7722" s="3" t="s">
        <v>40</v>
      </c>
      <c r="G7722" s="3" t="s">
        <v>41</v>
      </c>
      <c r="H7722" s="2" t="s">
        <v>74</v>
      </c>
      <c r="I7722" s="2" t="s">
        <v>19385</v>
      </c>
      <c r="J7722" s="3" t="str">
        <f>HYPERLINK("https://www.boe.es/gazeta/dias/1810/06/19/pdfs/GMD-C-1810-170.pdf#page=3","Abrir facsímil")</f>
        <v>Abrir facsímil</v>
      </c>
      <c r="K7722" s="3" t="s">
        <v>76</v>
      </c>
    </row>
    <row r="7723" spans="1:11" ht="42" customHeight="1">
      <c r="A7723" s="2" t="s">
        <v>19386</v>
      </c>
      <c r="B7723" s="2" t="s">
        <v>19387</v>
      </c>
      <c r="C7723" s="2" t="s">
        <v>26</v>
      </c>
      <c r="D7723" s="2" t="s">
        <v>39</v>
      </c>
      <c r="E7723" s="4">
        <v>-32650</v>
      </c>
      <c r="F7723" s="3" t="s">
        <v>765</v>
      </c>
      <c r="G7723" s="3" t="s">
        <v>3197</v>
      </c>
      <c r="H7723" s="2" t="s">
        <v>74</v>
      </c>
      <c r="I7723" s="2" t="s">
        <v>19388</v>
      </c>
      <c r="J7723" s="3" t="str">
        <f>HYPERLINK("https://www.boe.es/gazeta/dias/1810/08/09/pdfs/GMD-C-1810-221.pdf#page=2","Abrir facsímil")</f>
        <v>Abrir facsímil</v>
      </c>
      <c r="K7723" s="3" t="s">
        <v>76</v>
      </c>
    </row>
    <row r="7724" spans="1:11" ht="42" customHeight="1">
      <c r="A7724" s="2" t="s">
        <v>19389</v>
      </c>
      <c r="B7724" s="2" t="s">
        <v>19389</v>
      </c>
      <c r="C7724" s="2" t="s">
        <v>88</v>
      </c>
      <c r="D7724" s="2" t="s">
        <v>18</v>
      </c>
      <c r="E7724" s="4">
        <v>-32603</v>
      </c>
      <c r="F7724" s="3" t="s">
        <v>2163</v>
      </c>
      <c r="G7724" s="3" t="s">
        <v>90</v>
      </c>
      <c r="H7724" s="2" t="s">
        <v>74</v>
      </c>
      <c r="I7724" s="2" t="s">
        <v>19390</v>
      </c>
      <c r="J7724" s="3" t="str">
        <f>HYPERLINK("https://www.boe.es/gazeta/dias/1810/09/25/pdfs/GEI-1810-72.pdf#page=2","Abrir facsímil")</f>
        <v>Abrir facsímil</v>
      </c>
      <c r="K7724" s="3" t="s">
        <v>76</v>
      </c>
    </row>
    <row r="7725" spans="1:11" ht="42" customHeight="1">
      <c r="A7725" s="2" t="s">
        <v>19391</v>
      </c>
      <c r="B7725" s="2" t="s">
        <v>19392</v>
      </c>
      <c r="C7725" s="2" t="s">
        <v>88</v>
      </c>
      <c r="D7725" s="2" t="s">
        <v>27</v>
      </c>
      <c r="E7725" s="4">
        <v>-32756</v>
      </c>
      <c r="F7725" s="3" t="s">
        <v>203</v>
      </c>
      <c r="G7725" s="3" t="s">
        <v>180</v>
      </c>
      <c r="H7725" s="2" t="s">
        <v>74</v>
      </c>
      <c r="I7725" s="2" t="s">
        <v>19393</v>
      </c>
      <c r="J7725" s="3" t="str">
        <f>HYPERLINK("https://www.boe.es/gazeta/dias/1810/04/25/pdfs/GMD-1810-115.pdf#page=4","Abrir facsímil")</f>
        <v>Abrir facsímil</v>
      </c>
      <c r="K7725" s="3" t="s">
        <v>76</v>
      </c>
    </row>
    <row r="7726" spans="1:11" ht="42" customHeight="1">
      <c r="A7726" s="2" t="s">
        <v>19394</v>
      </c>
      <c r="B7726" s="2" t="s">
        <v>19395</v>
      </c>
      <c r="C7726" s="2" t="s">
        <v>33</v>
      </c>
      <c r="D7726" s="2" t="s">
        <v>220</v>
      </c>
      <c r="E7726" s="4">
        <v>-32663</v>
      </c>
      <c r="F7726" s="3" t="s">
        <v>1615</v>
      </c>
      <c r="G7726" s="3" t="s">
        <v>29</v>
      </c>
      <c r="H7726" s="2" t="s">
        <v>74</v>
      </c>
      <c r="I7726" s="2" t="s">
        <v>19396</v>
      </c>
      <c r="J7726" s="3" t="str">
        <f>HYPERLINK("https://www.boe.es/gazeta/dias/1810/07/27/pdfs/GMD-1810-208.pdf#page=2","Abrir facsímil")</f>
        <v>Abrir facsímil</v>
      </c>
      <c r="K7726" s="3" t="s">
        <v>76</v>
      </c>
    </row>
    <row r="7727" spans="1:11" ht="42" customHeight="1">
      <c r="A7727" s="2" t="s">
        <v>19397</v>
      </c>
      <c r="B7727" s="2" t="s">
        <v>19398</v>
      </c>
      <c r="C7727" s="2" t="s">
        <v>88</v>
      </c>
      <c r="D7727" s="2" t="s">
        <v>117</v>
      </c>
      <c r="E7727" s="4">
        <v>-32819</v>
      </c>
      <c r="F7727" s="3" t="s">
        <v>5942</v>
      </c>
      <c r="G7727" s="3" t="s">
        <v>70</v>
      </c>
      <c r="H7727" s="2" t="s">
        <v>74</v>
      </c>
      <c r="I7727" s="2" t="s">
        <v>19399</v>
      </c>
      <c r="J7727" s="3" t="str">
        <f>HYPERLINK("https://www.boe.es/gazeta/dias/1810/02/21/pdfs/GMD-1810-52.pdf#page=1","Abrir facsímil")</f>
        <v>Abrir facsímil</v>
      </c>
      <c r="K7727" s="3" t="s">
        <v>76</v>
      </c>
    </row>
    <row r="7728" spans="1:11" ht="42" customHeight="1">
      <c r="A7728" s="2" t="s">
        <v>19400</v>
      </c>
      <c r="B7728" s="2" t="s">
        <v>19401</v>
      </c>
      <c r="C7728" s="2" t="s">
        <v>88</v>
      </c>
      <c r="D7728" s="2" t="s">
        <v>27</v>
      </c>
      <c r="E7728" s="4">
        <v>-32545</v>
      </c>
      <c r="F7728" s="3" t="s">
        <v>165</v>
      </c>
      <c r="G7728" s="3" t="s">
        <v>166</v>
      </c>
      <c r="H7728" s="2" t="s">
        <v>74</v>
      </c>
      <c r="I7728" s="2" t="s">
        <v>19402</v>
      </c>
      <c r="J7728" s="3" t="str">
        <f>HYPERLINK("https://www.boe.es/gazeta/dias/1810/11/22/pdfs/GEI-1810-98.pdf#page=8","Abrir facsímil")</f>
        <v>Abrir facsímil</v>
      </c>
      <c r="K7728" s="3" t="s">
        <v>76</v>
      </c>
    </row>
    <row r="7729" spans="1:11" ht="42" customHeight="1">
      <c r="A7729" s="2" t="s">
        <v>19403</v>
      </c>
      <c r="B7729" s="2" t="s">
        <v>19404</v>
      </c>
      <c r="C7729" s="2" t="s">
        <v>88</v>
      </c>
      <c r="D7729" s="2" t="s">
        <v>27</v>
      </c>
      <c r="E7729" s="4">
        <v>-32763</v>
      </c>
      <c r="F7729" s="3" t="s">
        <v>1146</v>
      </c>
      <c r="G7729" s="3" t="s">
        <v>140</v>
      </c>
      <c r="H7729" s="2" t="s">
        <v>74</v>
      </c>
      <c r="I7729" s="2" t="s">
        <v>19405</v>
      </c>
      <c r="J7729" s="3" t="str">
        <f>HYPERLINK("https://www.boe.es/gazeta/dias/1810/04/18/pdfs/GMD-1810-108.pdf#page=3","Abrir facsímil")</f>
        <v>Abrir facsímil</v>
      </c>
      <c r="K7729" s="3" t="s">
        <v>76</v>
      </c>
    </row>
    <row r="7730" spans="1:11" ht="42" customHeight="1">
      <c r="A7730" s="2" t="s">
        <v>19406</v>
      </c>
      <c r="B7730" s="2" t="s">
        <v>19407</v>
      </c>
      <c r="C7730" s="2" t="s">
        <v>111</v>
      </c>
      <c r="D7730" s="2" t="s">
        <v>27</v>
      </c>
      <c r="E7730" s="4">
        <v>-32647</v>
      </c>
      <c r="F7730" s="3" t="s">
        <v>118</v>
      </c>
      <c r="G7730" s="3" t="s">
        <v>119</v>
      </c>
      <c r="H7730" s="2" t="s">
        <v>74</v>
      </c>
      <c r="I7730" s="2" t="s">
        <v>19408</v>
      </c>
      <c r="J7730" s="3" t="str">
        <f>HYPERLINK("https://www.boe.es/gazeta/dias/1810/08/12/pdfs/GMD-1810-224.pdf#page=3","Abrir facsímil")</f>
        <v>Abrir facsímil</v>
      </c>
      <c r="K7730" s="3" t="s">
        <v>76</v>
      </c>
    </row>
    <row r="7731" spans="1:11" ht="42" customHeight="1">
      <c r="A7731" s="2" t="s">
        <v>19409</v>
      </c>
      <c r="B7731" s="2" t="s">
        <v>19410</v>
      </c>
      <c r="C7731" s="2" t="s">
        <v>111</v>
      </c>
      <c r="D7731" s="2" t="s">
        <v>27</v>
      </c>
      <c r="E7731" s="4">
        <v>-32647</v>
      </c>
      <c r="F7731" s="3" t="s">
        <v>118</v>
      </c>
      <c r="G7731" s="3" t="s">
        <v>119</v>
      </c>
      <c r="H7731" s="2" t="s">
        <v>74</v>
      </c>
      <c r="I7731" s="2" t="s">
        <v>19411</v>
      </c>
      <c r="J7731" s="3" t="str">
        <f>HYPERLINK("https://www.boe.es/gazeta/dias/1810/08/12/pdfs/GMD-1810-224.pdf#page=3","Abrir facsímil")</f>
        <v>Abrir facsímil</v>
      </c>
      <c r="K7731" s="3" t="s">
        <v>76</v>
      </c>
    </row>
    <row r="7732" spans="1:11" ht="42" customHeight="1">
      <c r="A7732" s="2" t="s">
        <v>19412</v>
      </c>
      <c r="B7732" s="2" t="s">
        <v>19413</v>
      </c>
      <c r="C7732" s="2" t="s">
        <v>26</v>
      </c>
      <c r="D7732" s="2" t="s">
        <v>27</v>
      </c>
      <c r="E7732" s="4">
        <v>-32605</v>
      </c>
      <c r="F7732" s="3" t="s">
        <v>4823</v>
      </c>
      <c r="G7732" s="3" t="s">
        <v>213</v>
      </c>
      <c r="H7732" s="2" t="s">
        <v>74</v>
      </c>
      <c r="I7732" s="2" t="s">
        <v>19414</v>
      </c>
      <c r="J7732" s="3" t="str">
        <f>HYPERLINK("https://www.boe.es/gazeta/dias/1810/09/23/pdfs/GMD-1810-266.pdf#page=4","Abrir facsímil")</f>
        <v>Abrir facsímil</v>
      </c>
      <c r="K7732" s="3" t="s">
        <v>76</v>
      </c>
    </row>
    <row r="7733" spans="1:11" ht="42" customHeight="1">
      <c r="A7733" s="2" t="s">
        <v>19415</v>
      </c>
      <c r="B7733" s="2" t="s">
        <v>19416</v>
      </c>
      <c r="C7733" s="2" t="s">
        <v>26</v>
      </c>
      <c r="D7733" s="2" t="s">
        <v>27</v>
      </c>
      <c r="E7733" s="4">
        <v>-32744</v>
      </c>
      <c r="F7733" s="3" t="s">
        <v>1570</v>
      </c>
      <c r="G7733" s="3" t="s">
        <v>136</v>
      </c>
      <c r="H7733" s="2" t="s">
        <v>74</v>
      </c>
      <c r="I7733" s="2" t="s">
        <v>19417</v>
      </c>
      <c r="J7733" s="3" t="str">
        <f>HYPERLINK("https://www.boe.es/gazeta/dias/1810/05/07/pdfs/GMD-1810-127.pdf#page=4","Abrir facsímil")</f>
        <v>Abrir facsímil</v>
      </c>
      <c r="K7733" s="3" t="s">
        <v>76</v>
      </c>
    </row>
    <row r="7734" spans="1:11" ht="42" customHeight="1">
      <c r="A7734" s="2" t="s">
        <v>19418</v>
      </c>
      <c r="B7734" s="2" t="s">
        <v>19418</v>
      </c>
      <c r="C7734" s="2" t="s">
        <v>88</v>
      </c>
      <c r="D7734" s="2" t="s">
        <v>27</v>
      </c>
      <c r="E7734" s="4">
        <v>-32705</v>
      </c>
      <c r="F7734" s="3" t="s">
        <v>1158</v>
      </c>
      <c r="G7734" s="3" t="s">
        <v>35</v>
      </c>
      <c r="H7734" s="2" t="s">
        <v>74</v>
      </c>
      <c r="I7734" s="2" t="s">
        <v>19419</v>
      </c>
      <c r="J7734" s="3" t="str">
        <f>HYPERLINK("https://www.boe.es/gazeta/dias/1810/06/15/pdfs/GMD-1810-166.pdf#page=2","Abrir facsímil")</f>
        <v>Abrir facsímil</v>
      </c>
      <c r="K7734" s="3" t="s">
        <v>76</v>
      </c>
    </row>
    <row r="7735" spans="1:11" ht="42" customHeight="1">
      <c r="A7735" s="2" t="s">
        <v>19420</v>
      </c>
      <c r="B7735" s="2" t="s">
        <v>19421</v>
      </c>
      <c r="C7735" s="2" t="s">
        <v>111</v>
      </c>
      <c r="D7735" s="2" t="s">
        <v>27</v>
      </c>
      <c r="E7735" s="4">
        <v>-32536</v>
      </c>
      <c r="F7735" s="3" t="s">
        <v>1150</v>
      </c>
      <c r="G7735" s="3" t="s">
        <v>849</v>
      </c>
      <c r="H7735" s="2" t="s">
        <v>74</v>
      </c>
      <c r="I7735" s="2" t="s">
        <v>19422</v>
      </c>
      <c r="J7735" s="3" t="str">
        <f>HYPERLINK("https://www.boe.es/gazeta/dias/1810/12/01/pdfs/GMD-1810-335.pdf#page=2","Abrir facsímil")</f>
        <v>Abrir facsímil</v>
      </c>
      <c r="K7735" s="3" t="s">
        <v>76</v>
      </c>
    </row>
    <row r="7736" spans="1:11" ht="42" customHeight="1">
      <c r="A7736" s="2" t="s">
        <v>19423</v>
      </c>
      <c r="B7736" s="2" t="s">
        <v>19423</v>
      </c>
      <c r="C7736" s="2" t="s">
        <v>88</v>
      </c>
      <c r="D7736" s="2" t="s">
        <v>27</v>
      </c>
      <c r="E7736" s="4">
        <v>-32799</v>
      </c>
      <c r="F7736" s="3" t="s">
        <v>874</v>
      </c>
      <c r="G7736" s="3" t="s">
        <v>695</v>
      </c>
      <c r="H7736" s="2" t="s">
        <v>74</v>
      </c>
      <c r="I7736" s="2" t="s">
        <v>19424</v>
      </c>
      <c r="J7736" s="3" t="str">
        <f>HYPERLINK("https://www.boe.es/gazeta/dias/1810/03/13/pdfs/GEI-1810-1.pdf#page=7","Abrir facsímil")</f>
        <v>Abrir facsímil</v>
      </c>
      <c r="K7736" s="3" t="s">
        <v>76</v>
      </c>
    </row>
    <row r="7737" spans="1:11" ht="42" customHeight="1">
      <c r="A7737" s="2" t="s">
        <v>19423</v>
      </c>
      <c r="B7737" s="2" t="s">
        <v>19423</v>
      </c>
      <c r="C7737" s="2" t="s">
        <v>88</v>
      </c>
      <c r="D7737" s="2" t="s">
        <v>117</v>
      </c>
      <c r="E7737" s="4">
        <v>-32799</v>
      </c>
      <c r="F7737" s="3" t="s">
        <v>874</v>
      </c>
      <c r="G7737" s="3" t="s">
        <v>29</v>
      </c>
      <c r="H7737" s="2" t="s">
        <v>74</v>
      </c>
      <c r="I7737" s="2" t="s">
        <v>19425</v>
      </c>
      <c r="J7737" s="3" t="str">
        <f>HYPERLINK("https://www.boe.es/gazeta/dias/1810/03/13/pdfs/GEI-1810-1.pdf#page=8","Abrir facsímil")</f>
        <v>Abrir facsímil</v>
      </c>
      <c r="K7737" s="3" t="s">
        <v>76</v>
      </c>
    </row>
    <row r="7738" spans="1:11" ht="42" customHeight="1">
      <c r="A7738" s="2" t="s">
        <v>19426</v>
      </c>
      <c r="B7738" s="2" t="s">
        <v>19427</v>
      </c>
      <c r="C7738" s="2" t="s">
        <v>88</v>
      </c>
      <c r="D7738" s="2" t="s">
        <v>27</v>
      </c>
      <c r="E7738" s="4">
        <v>-32700</v>
      </c>
      <c r="F7738" s="3" t="s">
        <v>89</v>
      </c>
      <c r="G7738" s="3" t="s">
        <v>70</v>
      </c>
      <c r="H7738" s="2" t="s">
        <v>74</v>
      </c>
      <c r="I7738" s="2" t="s">
        <v>19428</v>
      </c>
      <c r="J7738" s="3" t="str">
        <f>HYPERLINK("https://www.boe.es/gazeta/dias/1810/06/20/pdfs/GMD-1810-171.pdf#page=4","Abrir facsímil")</f>
        <v>Abrir facsímil</v>
      </c>
      <c r="K7738" s="3" t="s">
        <v>76</v>
      </c>
    </row>
    <row r="7739" spans="1:11" ht="42" customHeight="1">
      <c r="A7739" s="2" t="s">
        <v>19429</v>
      </c>
      <c r="B7739" s="2" t="s">
        <v>19430</v>
      </c>
      <c r="C7739" s="2" t="s">
        <v>88</v>
      </c>
      <c r="D7739" s="2" t="s">
        <v>27</v>
      </c>
      <c r="E7739" s="4">
        <v>-32710</v>
      </c>
      <c r="F7739" s="3" t="s">
        <v>126</v>
      </c>
      <c r="G7739" s="3" t="s">
        <v>184</v>
      </c>
      <c r="H7739" s="2" t="s">
        <v>74</v>
      </c>
      <c r="I7739" s="2" t="s">
        <v>19431</v>
      </c>
      <c r="J7739" s="3" t="str">
        <f>HYPERLINK("https://www.boe.es/gazeta/dias/1810/06/10/pdfs/GMD-1810-161.pdf#page=3","Abrir facsímil")</f>
        <v>Abrir facsímil</v>
      </c>
      <c r="K7739" s="3" t="s">
        <v>76</v>
      </c>
    </row>
    <row r="7740" spans="1:11" ht="42" customHeight="1">
      <c r="A7740" s="2" t="s">
        <v>19432</v>
      </c>
      <c r="B7740" s="2" t="s">
        <v>19433</v>
      </c>
      <c r="C7740" s="2" t="s">
        <v>33</v>
      </c>
      <c r="D7740" s="2" t="s">
        <v>27</v>
      </c>
      <c r="E7740" s="4">
        <v>-32710</v>
      </c>
      <c r="F7740" s="3" t="s">
        <v>126</v>
      </c>
      <c r="G7740" s="3" t="s">
        <v>20</v>
      </c>
      <c r="H7740" s="2" t="s">
        <v>74</v>
      </c>
      <c r="I7740" s="2" t="s">
        <v>19434</v>
      </c>
      <c r="J7740" s="3" t="str">
        <f>HYPERLINK("https://www.boe.es/gazeta/dias/1810/06/10/pdfs/GMD-1810-161.pdf#page=4","Abrir facsímil")</f>
        <v>Abrir facsímil</v>
      </c>
      <c r="K7740" s="3" t="s">
        <v>76</v>
      </c>
    </row>
    <row r="7741" spans="1:11" ht="42" customHeight="1">
      <c r="A7741" s="2" t="s">
        <v>19435</v>
      </c>
      <c r="B7741" s="2" t="s">
        <v>19436</v>
      </c>
      <c r="C7741" s="2" t="s">
        <v>26</v>
      </c>
      <c r="D7741" s="2" t="s">
        <v>39</v>
      </c>
      <c r="E7741" s="4">
        <v>-32702</v>
      </c>
      <c r="F7741" s="3" t="s">
        <v>179</v>
      </c>
      <c r="G7741" s="3" t="s">
        <v>180</v>
      </c>
      <c r="H7741" s="2" t="s">
        <v>74</v>
      </c>
      <c r="I7741" s="2" t="s">
        <v>19437</v>
      </c>
      <c r="J7741" s="3" t="str">
        <f>HYPERLINK("https://www.boe.es/gazeta/dias/1810/06/18/pdfs/GMD-C-1810-169.pdf#page=2","Abrir facsímil")</f>
        <v>Abrir facsímil</v>
      </c>
      <c r="K7741" s="3" t="s">
        <v>76</v>
      </c>
    </row>
    <row r="7742" spans="1:11" ht="42" customHeight="1">
      <c r="A7742" s="2" t="s">
        <v>19438</v>
      </c>
      <c r="B7742" s="2" t="s">
        <v>19439</v>
      </c>
      <c r="C7742" s="2" t="s">
        <v>88</v>
      </c>
      <c r="D7742" s="2" t="s">
        <v>27</v>
      </c>
      <c r="E7742" s="4">
        <v>-32710</v>
      </c>
      <c r="F7742" s="3" t="s">
        <v>126</v>
      </c>
      <c r="G7742" s="3" t="s">
        <v>20</v>
      </c>
      <c r="H7742" s="2" t="s">
        <v>74</v>
      </c>
      <c r="I7742" s="2" t="s">
        <v>19440</v>
      </c>
      <c r="J7742" s="3" t="str">
        <f>HYPERLINK("https://www.boe.es/gazeta/dias/1810/06/10/pdfs/GMD-1810-161.pdf#page=4","Abrir facsímil")</f>
        <v>Abrir facsímil</v>
      </c>
      <c r="K7742" s="3" t="s">
        <v>76</v>
      </c>
    </row>
    <row r="7743" spans="1:11" ht="42" customHeight="1">
      <c r="A7743" s="2" t="s">
        <v>19441</v>
      </c>
      <c r="B7743" s="2" t="s">
        <v>19441</v>
      </c>
      <c r="C7743" s="2" t="s">
        <v>88</v>
      </c>
      <c r="D7743" s="2" t="s">
        <v>27</v>
      </c>
      <c r="E7743" s="4">
        <v>-32718</v>
      </c>
      <c r="F7743" s="3" t="s">
        <v>2566</v>
      </c>
      <c r="G7743" s="3" t="s">
        <v>213</v>
      </c>
      <c r="H7743" s="2" t="s">
        <v>74</v>
      </c>
      <c r="I7743" s="2" t="s">
        <v>19442</v>
      </c>
      <c r="J7743" s="3" t="str">
        <f>HYPERLINK("https://www.boe.es/gazeta/dias/1810/06/02/pdfs/GMD-1810-153.pdf#page=1","Abrir facsímil")</f>
        <v>Abrir facsímil</v>
      </c>
      <c r="K7743" s="3" t="s">
        <v>76</v>
      </c>
    </row>
    <row r="7744" spans="1:11" ht="42" customHeight="1">
      <c r="A7744" s="2" t="s">
        <v>19443</v>
      </c>
      <c r="B7744" s="2" t="s">
        <v>19444</v>
      </c>
      <c r="C7744" s="2" t="s">
        <v>17</v>
      </c>
      <c r="D7744" s="2" t="s">
        <v>18</v>
      </c>
      <c r="E7744" s="4">
        <v>-32743</v>
      </c>
      <c r="F7744" s="3" t="s">
        <v>5683</v>
      </c>
      <c r="G7744" s="3" t="s">
        <v>213</v>
      </c>
      <c r="H7744" s="2" t="s">
        <v>74</v>
      </c>
      <c r="I7744" s="2" t="s">
        <v>19445</v>
      </c>
      <c r="J7744" s="3" t="str">
        <f>HYPERLINK("https://www.boe.es/gazeta/dias/1810/05/08/pdfs/GMD-1810-128.pdf#page=1","Abrir facsímil")</f>
        <v>Abrir facsímil</v>
      </c>
      <c r="K7744" s="3" t="s">
        <v>76</v>
      </c>
    </row>
    <row r="7745" spans="1:11" ht="42" customHeight="1">
      <c r="A7745" s="2" t="s">
        <v>19446</v>
      </c>
      <c r="B7745" s="2" t="s">
        <v>19447</v>
      </c>
      <c r="C7745" s="2" t="s">
        <v>88</v>
      </c>
      <c r="D7745" s="2" t="s">
        <v>117</v>
      </c>
      <c r="E7745" s="4">
        <v>-32729</v>
      </c>
      <c r="F7745" s="3" t="s">
        <v>174</v>
      </c>
      <c r="G7745" s="3" t="s">
        <v>274</v>
      </c>
      <c r="H7745" s="2" t="s">
        <v>74</v>
      </c>
      <c r="I7745" s="2" t="s">
        <v>19448</v>
      </c>
      <c r="J7745" s="3" t="str">
        <f>HYPERLINK("https://www.boe.es/gazeta/dias/1810/05/22/pdfs/GEI-1810-28.pdf#page=8","Abrir facsímil")</f>
        <v>Abrir facsímil</v>
      </c>
      <c r="K7745" s="3" t="s">
        <v>76</v>
      </c>
    </row>
    <row r="7746" spans="1:11" ht="42" customHeight="1">
      <c r="A7746" s="2" t="s">
        <v>19449</v>
      </c>
      <c r="B7746" s="2" t="s">
        <v>19450</v>
      </c>
      <c r="C7746" s="2" t="s">
        <v>26</v>
      </c>
      <c r="D7746" s="2" t="s">
        <v>39</v>
      </c>
      <c r="E7746" s="4">
        <v>-32669</v>
      </c>
      <c r="F7746" s="3" t="s">
        <v>1110</v>
      </c>
      <c r="G7746" s="3" t="s">
        <v>213</v>
      </c>
      <c r="H7746" s="2" t="s">
        <v>74</v>
      </c>
      <c r="I7746" s="2" t="s">
        <v>19451</v>
      </c>
      <c r="J7746" s="3" t="str">
        <f>HYPERLINK("https://www.boe.es/gazeta/dias/1810/07/21/pdfs/GMD-C-1810-202.pdf#page=1","Abrir facsímil")</f>
        <v>Abrir facsímil</v>
      </c>
      <c r="K7746" s="3" t="s">
        <v>76</v>
      </c>
    </row>
    <row r="7747" spans="1:11" ht="42" customHeight="1">
      <c r="A7747" s="2" t="s">
        <v>19452</v>
      </c>
      <c r="B7747" s="2" t="s">
        <v>19453</v>
      </c>
      <c r="C7747" s="2" t="s">
        <v>26</v>
      </c>
      <c r="D7747" s="2" t="s">
        <v>27</v>
      </c>
      <c r="E7747" s="4">
        <v>-32617</v>
      </c>
      <c r="F7747" s="3" t="s">
        <v>1459</v>
      </c>
      <c r="G7747" s="3" t="s">
        <v>9151</v>
      </c>
      <c r="H7747" s="2" t="s">
        <v>74</v>
      </c>
      <c r="I7747" s="2" t="s">
        <v>19454</v>
      </c>
      <c r="J7747" s="3" t="str">
        <f>HYPERLINK("https://www.boe.es/gazeta/dias/1810/09/11/pdfs/GEI-1810-66.pdf#page=6","Abrir facsímil")</f>
        <v>Abrir facsímil</v>
      </c>
      <c r="K7747" s="3" t="s">
        <v>76</v>
      </c>
    </row>
    <row r="7748" spans="1:11" ht="42" customHeight="1">
      <c r="A7748" s="2" t="s">
        <v>19455</v>
      </c>
      <c r="B7748" s="2" t="s">
        <v>19456</v>
      </c>
      <c r="C7748" s="2" t="s">
        <v>88</v>
      </c>
      <c r="D7748" s="2" t="s">
        <v>27</v>
      </c>
      <c r="E7748" s="4">
        <v>-32710</v>
      </c>
      <c r="F7748" s="3" t="s">
        <v>126</v>
      </c>
      <c r="G7748" s="3" t="s">
        <v>184</v>
      </c>
      <c r="H7748" s="2" t="s">
        <v>74</v>
      </c>
      <c r="I7748" s="2" t="s">
        <v>19457</v>
      </c>
      <c r="J7748" s="3" t="str">
        <f>HYPERLINK("https://www.boe.es/gazeta/dias/1810/06/10/pdfs/GMD-1810-161.pdf#page=3","Abrir facsímil")</f>
        <v>Abrir facsímil</v>
      </c>
      <c r="K7748" s="3" t="s">
        <v>76</v>
      </c>
    </row>
    <row r="7749" spans="1:11" ht="42" customHeight="1">
      <c r="A7749" s="2" t="s">
        <v>19458</v>
      </c>
      <c r="B7749" s="2" t="s">
        <v>19459</v>
      </c>
      <c r="C7749" s="2" t="s">
        <v>26</v>
      </c>
      <c r="D7749" s="2" t="s">
        <v>18</v>
      </c>
      <c r="E7749" s="4">
        <v>-32521</v>
      </c>
      <c r="F7749" s="3" t="s">
        <v>3569</v>
      </c>
      <c r="G7749" s="3" t="s">
        <v>180</v>
      </c>
      <c r="H7749" s="2" t="s">
        <v>74</v>
      </c>
      <c r="I7749" s="2" t="s">
        <v>19460</v>
      </c>
      <c r="J7749" s="3" t="str">
        <f>HYPERLINK("https://www.boe.es/gazeta/dias/1810/12/16/pdfs/GMD-1810-350.pdf#page=3","Abrir facsímil")</f>
        <v>Abrir facsímil</v>
      </c>
      <c r="K7749" s="3" t="s">
        <v>76</v>
      </c>
    </row>
    <row r="7750" spans="1:11" ht="42" customHeight="1">
      <c r="A7750" s="2" t="s">
        <v>19461</v>
      </c>
      <c r="B7750" s="2" t="s">
        <v>19461</v>
      </c>
      <c r="C7750" s="2" t="s">
        <v>88</v>
      </c>
      <c r="D7750" s="2" t="s">
        <v>27</v>
      </c>
      <c r="E7750" s="4">
        <v>-32845</v>
      </c>
      <c r="F7750" s="3" t="s">
        <v>1454</v>
      </c>
      <c r="G7750" s="3" t="s">
        <v>1656</v>
      </c>
      <c r="H7750" s="2" t="s">
        <v>74</v>
      </c>
      <c r="I7750" s="2" t="s">
        <v>19462</v>
      </c>
      <c r="J7750" s="3" t="str">
        <f>HYPERLINK("https://www.boe.es/gazeta/dias/1810/01/26/pdfs/GMD-1810-26.pdf#page=1","Abrir facsímil")</f>
        <v>Abrir facsímil</v>
      </c>
      <c r="K7750" s="3" t="s">
        <v>76</v>
      </c>
    </row>
    <row r="7751" spans="1:11" ht="42" customHeight="1">
      <c r="A7751" s="2" t="s">
        <v>19461</v>
      </c>
      <c r="B7751" s="2" t="s">
        <v>19461</v>
      </c>
      <c r="C7751" s="2" t="s">
        <v>88</v>
      </c>
      <c r="D7751" s="2" t="s">
        <v>39</v>
      </c>
      <c r="E7751" s="4">
        <v>-32764</v>
      </c>
      <c r="F7751" s="3" t="s">
        <v>1546</v>
      </c>
      <c r="G7751" s="3" t="s">
        <v>131</v>
      </c>
      <c r="H7751" s="2" t="s">
        <v>74</v>
      </c>
      <c r="I7751" s="2" t="s">
        <v>19463</v>
      </c>
      <c r="J7751" s="3" t="str">
        <f>HYPERLINK("https://www.boe.es/gazeta/dias/1810/04/17/pdfs/GEI-D-1810-15.pdf#page=3","Abrir facsímil")</f>
        <v>Abrir facsímil</v>
      </c>
      <c r="K7751" s="3" t="s">
        <v>76</v>
      </c>
    </row>
    <row r="7752" spans="1:11" ht="42" customHeight="1">
      <c r="A7752" s="2" t="s">
        <v>19461</v>
      </c>
      <c r="B7752" s="2" t="s">
        <v>19461</v>
      </c>
      <c r="C7752" s="2" t="s">
        <v>88</v>
      </c>
      <c r="D7752" s="2" t="s">
        <v>27</v>
      </c>
      <c r="E7752" s="4">
        <v>-32757</v>
      </c>
      <c r="F7752" s="3" t="s">
        <v>1136</v>
      </c>
      <c r="G7752" s="3" t="s">
        <v>691</v>
      </c>
      <c r="H7752" s="2" t="s">
        <v>74</v>
      </c>
      <c r="I7752" s="2" t="s">
        <v>19464</v>
      </c>
      <c r="J7752" s="3" t="str">
        <f>HYPERLINK("https://www.boe.es/gazeta/dias/1810/04/24/pdfs/GEI-1810-17.pdf#page=6","Abrir facsímil")</f>
        <v>Abrir facsímil</v>
      </c>
      <c r="K7752" s="3" t="s">
        <v>76</v>
      </c>
    </row>
    <row r="7753" spans="1:11" ht="42" customHeight="1">
      <c r="A7753" s="2" t="s">
        <v>19465</v>
      </c>
      <c r="B7753" s="2" t="s">
        <v>19466</v>
      </c>
      <c r="C7753" s="2" t="s">
        <v>26</v>
      </c>
      <c r="D7753" s="2" t="s">
        <v>27</v>
      </c>
      <c r="E7753" s="4">
        <v>-32672</v>
      </c>
      <c r="F7753" s="3" t="s">
        <v>1663</v>
      </c>
      <c r="G7753" s="3" t="s">
        <v>465</v>
      </c>
      <c r="H7753" s="2" t="s">
        <v>74</v>
      </c>
      <c r="I7753" s="2" t="s">
        <v>19467</v>
      </c>
      <c r="J7753" s="3" t="str">
        <f>HYPERLINK("https://www.boe.es/gazeta/dias/1810/07/18/pdfs/GMD-1810-199.pdf#page=1","Abrir facsímil")</f>
        <v>Abrir facsímil</v>
      </c>
      <c r="K7753" s="3" t="s">
        <v>76</v>
      </c>
    </row>
    <row r="7754" spans="1:11" ht="42" customHeight="1">
      <c r="A7754" s="2" t="s">
        <v>19465</v>
      </c>
      <c r="B7754" s="2" t="s">
        <v>19466</v>
      </c>
      <c r="C7754" s="2" t="s">
        <v>225</v>
      </c>
      <c r="D7754" s="2" t="s">
        <v>27</v>
      </c>
      <c r="E7754" s="4">
        <v>-32520</v>
      </c>
      <c r="F7754" s="3" t="s">
        <v>2109</v>
      </c>
      <c r="G7754" s="3" t="s">
        <v>2110</v>
      </c>
      <c r="H7754" s="2" t="s">
        <v>74</v>
      </c>
      <c r="I7754" s="2" t="s">
        <v>19468</v>
      </c>
      <c r="J7754" s="3" t="str">
        <f>HYPERLINK("https://www.boe.es/gazeta/dias/1810/12/17/pdfs/GMD-1810-351.pdf#page=2","Abrir facsímil")</f>
        <v>Abrir facsímil</v>
      </c>
      <c r="K7754" s="3" t="s">
        <v>76</v>
      </c>
    </row>
    <row r="7755" spans="1:11" ht="42" customHeight="1">
      <c r="A7755" s="2" t="s">
        <v>19469</v>
      </c>
      <c r="B7755" s="2" t="s">
        <v>19470</v>
      </c>
      <c r="C7755" s="2" t="s">
        <v>17</v>
      </c>
      <c r="D7755" s="2" t="s">
        <v>27</v>
      </c>
      <c r="E7755" s="4">
        <v>-32820</v>
      </c>
      <c r="F7755" s="3" t="s">
        <v>226</v>
      </c>
      <c r="G7755" s="3" t="s">
        <v>227</v>
      </c>
      <c r="H7755" s="2" t="s">
        <v>74</v>
      </c>
      <c r="I7755" s="2" t="s">
        <v>19471</v>
      </c>
      <c r="J7755" s="3" t="str">
        <f>HYPERLINK("https://www.boe.es/gazeta/dias/1810/02/20/pdfs/GMD-1810-51.pdf#page=4","Abrir facsímil")</f>
        <v>Abrir facsímil</v>
      </c>
      <c r="K7755" s="3" t="s">
        <v>76</v>
      </c>
    </row>
    <row r="7756" spans="1:11" ht="42" customHeight="1">
      <c r="A7756" s="2" t="s">
        <v>19472</v>
      </c>
      <c r="B7756" s="2" t="s">
        <v>19473</v>
      </c>
      <c r="C7756" s="2" t="s">
        <v>225</v>
      </c>
      <c r="D7756" s="2" t="s">
        <v>27</v>
      </c>
      <c r="E7756" s="4">
        <v>-32782</v>
      </c>
      <c r="F7756" s="3" t="s">
        <v>1141</v>
      </c>
      <c r="G7756" s="3" t="s">
        <v>99</v>
      </c>
      <c r="H7756" s="2" t="s">
        <v>74</v>
      </c>
      <c r="I7756" s="2" t="s">
        <v>19474</v>
      </c>
      <c r="J7756" s="3" t="str">
        <f>HYPERLINK("https://www.boe.es/gazeta/dias/1810/03/30/pdfs/GMD-1810-89.pdf#page=3","Abrir facsímil")</f>
        <v>Abrir facsímil</v>
      </c>
      <c r="K7756" s="3" t="s">
        <v>76</v>
      </c>
    </row>
    <row r="7757" spans="1:11" ht="42" customHeight="1">
      <c r="A7757" s="2" t="s">
        <v>19475</v>
      </c>
      <c r="B7757" s="2" t="s">
        <v>19476</v>
      </c>
      <c r="C7757" s="2" t="s">
        <v>225</v>
      </c>
      <c r="D7757" s="2" t="s">
        <v>27</v>
      </c>
      <c r="E7757" s="4">
        <v>-32547</v>
      </c>
      <c r="F7757" s="3" t="s">
        <v>407</v>
      </c>
      <c r="G7757" s="3" t="s">
        <v>227</v>
      </c>
      <c r="H7757" s="2" t="s">
        <v>74</v>
      </c>
      <c r="I7757" s="2" t="s">
        <v>19477</v>
      </c>
      <c r="J7757" s="3" t="str">
        <f>HYPERLINK("https://www.boe.es/gazeta/dias/1810/11/20/pdfs/GEI-1810-97.pdf#page=5","Abrir facsímil")</f>
        <v>Abrir facsímil</v>
      </c>
      <c r="K7757" s="3" t="s">
        <v>76</v>
      </c>
    </row>
    <row r="7758" spans="1:11" ht="42" customHeight="1">
      <c r="A7758" s="2" t="s">
        <v>19478</v>
      </c>
      <c r="B7758" s="2" t="s">
        <v>19479</v>
      </c>
      <c r="C7758" s="2" t="s">
        <v>26</v>
      </c>
      <c r="D7758" s="2" t="s">
        <v>39</v>
      </c>
      <c r="E7758" s="4">
        <v>-32702</v>
      </c>
      <c r="F7758" s="3" t="s">
        <v>179</v>
      </c>
      <c r="G7758" s="3" t="s">
        <v>119</v>
      </c>
      <c r="H7758" s="2" t="s">
        <v>74</v>
      </c>
      <c r="I7758" s="2" t="s">
        <v>19480</v>
      </c>
      <c r="J7758" s="3" t="str">
        <f>HYPERLINK("https://www.boe.es/gazeta/dias/1810/06/18/pdfs/GMD-C-1810-169.pdf#page=1","Abrir facsímil")</f>
        <v>Abrir facsímil</v>
      </c>
      <c r="K7758" s="3" t="s">
        <v>76</v>
      </c>
    </row>
    <row r="7759" spans="1:11" ht="42" customHeight="1">
      <c r="A7759" s="2" t="s">
        <v>19481</v>
      </c>
      <c r="B7759" s="2" t="s">
        <v>19482</v>
      </c>
      <c r="C7759" s="2" t="s">
        <v>26</v>
      </c>
      <c r="D7759" s="2" t="s">
        <v>220</v>
      </c>
      <c r="E7759" s="4">
        <v>-32537</v>
      </c>
      <c r="F7759" s="3" t="s">
        <v>1091</v>
      </c>
      <c r="G7759" s="3" t="s">
        <v>131</v>
      </c>
      <c r="H7759" s="2" t="s">
        <v>74</v>
      </c>
      <c r="I7759" s="2" t="s">
        <v>19483</v>
      </c>
      <c r="J7759" s="3" t="str">
        <f>HYPERLINK("https://www.boe.es/gazeta/dias/1810/11/30/pdfs/GMD-1810-334.pdf#page=2","Abrir facsímil")</f>
        <v>Abrir facsímil</v>
      </c>
      <c r="K7759" s="3" t="s">
        <v>76</v>
      </c>
    </row>
    <row r="7760" spans="1:11" ht="42" customHeight="1">
      <c r="A7760" s="2" t="s">
        <v>19484</v>
      </c>
      <c r="B7760" s="2" t="s">
        <v>19484</v>
      </c>
      <c r="C7760" s="2" t="s">
        <v>88</v>
      </c>
      <c r="D7760" s="2" t="s">
        <v>117</v>
      </c>
      <c r="E7760" s="4">
        <v>-32846</v>
      </c>
      <c r="F7760" s="3" t="s">
        <v>1153</v>
      </c>
      <c r="G7760" s="3" t="s">
        <v>29</v>
      </c>
      <c r="H7760" s="2" t="s">
        <v>74</v>
      </c>
      <c r="I7760" s="2" t="s">
        <v>19485</v>
      </c>
      <c r="J7760" s="3" t="str">
        <f>HYPERLINK("https://www.boe.es/gazeta/dias/1810/01/25/pdfs/GMD-1810-25.pdf#page=2","Abrir facsímil")</f>
        <v>Abrir facsímil</v>
      </c>
      <c r="K7760" s="3" t="s">
        <v>76</v>
      </c>
    </row>
    <row r="7761" spans="1:11" ht="42" customHeight="1">
      <c r="A7761" s="2" t="s">
        <v>19486</v>
      </c>
      <c r="B7761" s="2" t="s">
        <v>19486</v>
      </c>
      <c r="C7761" s="2" t="s">
        <v>195</v>
      </c>
      <c r="D7761" s="2" t="s">
        <v>27</v>
      </c>
      <c r="E7761" s="4">
        <v>-32608</v>
      </c>
      <c r="F7761" s="3" t="s">
        <v>781</v>
      </c>
      <c r="G7761" s="3" t="s">
        <v>782</v>
      </c>
      <c r="H7761" s="2" t="s">
        <v>74</v>
      </c>
      <c r="I7761" s="2" t="s">
        <v>19487</v>
      </c>
      <c r="J7761" s="3" t="str">
        <f>HYPERLINK("https://www.boe.es/gazeta/dias/1810/09/20/pdfs/GEI-1810-70.pdf#page=5","Abrir facsímil")</f>
        <v>Abrir facsímil</v>
      </c>
      <c r="K7761" s="3" t="s">
        <v>76</v>
      </c>
    </row>
    <row r="7762" spans="1:11" ht="42" customHeight="1">
      <c r="A7762" s="2" t="s">
        <v>19488</v>
      </c>
      <c r="B7762" s="2" t="s">
        <v>19488</v>
      </c>
      <c r="C7762" s="2" t="s">
        <v>88</v>
      </c>
      <c r="D7762" s="2" t="s">
        <v>27</v>
      </c>
      <c r="E7762" s="4">
        <v>-32592</v>
      </c>
      <c r="F7762" s="3" t="s">
        <v>2782</v>
      </c>
      <c r="G7762" s="3" t="s">
        <v>12782</v>
      </c>
      <c r="H7762" s="2" t="s">
        <v>74</v>
      </c>
      <c r="I7762" s="2" t="s">
        <v>19489</v>
      </c>
      <c r="J7762" s="3" t="str">
        <f>HYPERLINK("https://www.boe.es/gazeta/dias/1810/10/06/pdfs/GMD-1810-279.pdf#page=1","Abrir facsímil")</f>
        <v>Abrir facsímil</v>
      </c>
      <c r="K7762" s="3" t="s">
        <v>76</v>
      </c>
    </row>
    <row r="7763" spans="1:11" ht="42" customHeight="1">
      <c r="A7763" s="2" t="s">
        <v>19490</v>
      </c>
      <c r="B7763" s="2" t="s">
        <v>19491</v>
      </c>
      <c r="C7763" s="2" t="s">
        <v>88</v>
      </c>
      <c r="D7763" s="2" t="s">
        <v>27</v>
      </c>
      <c r="E7763" s="4">
        <v>-32697</v>
      </c>
      <c r="F7763" s="3" t="s">
        <v>1859</v>
      </c>
      <c r="G7763" s="3" t="s">
        <v>70</v>
      </c>
      <c r="H7763" s="2" t="s">
        <v>74</v>
      </c>
      <c r="I7763" s="2" t="s">
        <v>19492</v>
      </c>
      <c r="J7763" s="3" t="str">
        <f>HYPERLINK("https://www.boe.es/gazeta/dias/1810/06/23/pdfs/GMD-1810-174.pdf#page=4","Abrir facsímil")</f>
        <v>Abrir facsímil</v>
      </c>
      <c r="K7763" s="3" t="s">
        <v>76</v>
      </c>
    </row>
    <row r="7764" spans="1:11" ht="42" customHeight="1">
      <c r="A7764" s="2" t="s">
        <v>19493</v>
      </c>
      <c r="B7764" s="2" t="s">
        <v>19494</v>
      </c>
      <c r="C7764" s="2" t="s">
        <v>26</v>
      </c>
      <c r="D7764" s="2" t="s">
        <v>27</v>
      </c>
      <c r="E7764" s="4">
        <v>-32591</v>
      </c>
      <c r="F7764" s="3" t="s">
        <v>377</v>
      </c>
      <c r="G7764" s="3" t="s">
        <v>136</v>
      </c>
      <c r="H7764" s="2" t="s">
        <v>74</v>
      </c>
      <c r="I7764" s="2" t="s">
        <v>19495</v>
      </c>
      <c r="J7764" s="3" t="str">
        <f>HYPERLINK("https://www.boe.es/gazeta/dias/1810/10/07/pdfs/GMD-1810-280.pdf#page=3","Abrir facsímil")</f>
        <v>Abrir facsímil</v>
      </c>
      <c r="K7764" s="3" t="s">
        <v>76</v>
      </c>
    </row>
    <row r="7765" spans="1:11" ht="42" customHeight="1">
      <c r="A7765" s="2" t="s">
        <v>19496</v>
      </c>
      <c r="B7765" s="2" t="s">
        <v>19497</v>
      </c>
      <c r="C7765" s="2" t="s">
        <v>26</v>
      </c>
      <c r="D7765" s="2" t="s">
        <v>27</v>
      </c>
      <c r="E7765" s="4">
        <v>-32533</v>
      </c>
      <c r="F7765" s="3" t="s">
        <v>1357</v>
      </c>
      <c r="G7765" s="3" t="s">
        <v>1894</v>
      </c>
      <c r="H7765" s="2" t="s">
        <v>74</v>
      </c>
      <c r="I7765" s="2" t="s">
        <v>19498</v>
      </c>
      <c r="J7765" s="3" t="str">
        <f>HYPERLINK("https://www.boe.es/gazeta/dias/1810/12/04/pdfs/GEI-1810-103.pdf#page=7","Abrir facsímil")</f>
        <v>Abrir facsímil</v>
      </c>
      <c r="K7765" s="3" t="s">
        <v>76</v>
      </c>
    </row>
    <row r="7766" spans="1:11" ht="42" customHeight="1">
      <c r="A7766" s="2" t="s">
        <v>19499</v>
      </c>
      <c r="B7766" s="2" t="s">
        <v>19500</v>
      </c>
      <c r="C7766" s="2" t="s">
        <v>33</v>
      </c>
      <c r="D7766" s="2" t="s">
        <v>27</v>
      </c>
      <c r="E7766" s="4">
        <v>-32557</v>
      </c>
      <c r="F7766" s="3" t="s">
        <v>837</v>
      </c>
      <c r="G7766" s="3" t="s">
        <v>8451</v>
      </c>
      <c r="H7766" s="2" t="s">
        <v>74</v>
      </c>
      <c r="I7766" s="2" t="s">
        <v>19501</v>
      </c>
      <c r="J7766" s="3" t="str">
        <f>HYPERLINK("https://www.boe.es/gazeta/dias/1810/11/10/pdfs/GEI-1810-93.pdf#page=8","Abrir facsímil")</f>
        <v>Abrir facsímil</v>
      </c>
      <c r="K7766" s="3" t="s">
        <v>76</v>
      </c>
    </row>
    <row r="7767" spans="1:11" ht="42" customHeight="1">
      <c r="A7767" s="2" t="s">
        <v>19502</v>
      </c>
      <c r="B7767" s="2" t="s">
        <v>19503</v>
      </c>
      <c r="C7767" s="2" t="s">
        <v>26</v>
      </c>
      <c r="D7767" s="2" t="s">
        <v>27</v>
      </c>
      <c r="E7767" s="4">
        <v>-32543</v>
      </c>
      <c r="F7767" s="3" t="s">
        <v>69</v>
      </c>
      <c r="G7767" s="3" t="s">
        <v>84</v>
      </c>
      <c r="H7767" s="2" t="s">
        <v>74</v>
      </c>
      <c r="I7767" s="2" t="s">
        <v>19504</v>
      </c>
      <c r="J7767" s="3" t="str">
        <f>HYPERLINK("https://www.boe.es/gazeta/dias/1810/11/24/pdfs/GEI-1810-99.pdf#page=7","Abrir facsímil")</f>
        <v>Abrir facsímil</v>
      </c>
      <c r="K7767" s="3" t="s">
        <v>76</v>
      </c>
    </row>
    <row r="7768" spans="1:11" ht="42" customHeight="1">
      <c r="A7768" s="2" t="s">
        <v>19505</v>
      </c>
      <c r="B7768" s="2" t="s">
        <v>19506</v>
      </c>
      <c r="C7768" s="2" t="s">
        <v>26</v>
      </c>
      <c r="D7768" s="2" t="s">
        <v>27</v>
      </c>
      <c r="E7768" s="4">
        <v>-32647</v>
      </c>
      <c r="F7768" s="3" t="s">
        <v>118</v>
      </c>
      <c r="G7768" s="3" t="s">
        <v>119</v>
      </c>
      <c r="H7768" s="2" t="s">
        <v>74</v>
      </c>
      <c r="I7768" s="2" t="s">
        <v>19507</v>
      </c>
      <c r="J7768" s="3" t="str">
        <f>HYPERLINK("https://www.boe.es/gazeta/dias/1810/08/12/pdfs/GMD-1810-224.pdf#page=3","Abrir facsímil")</f>
        <v>Abrir facsímil</v>
      </c>
      <c r="K7768" s="3" t="s">
        <v>76</v>
      </c>
    </row>
    <row r="7769" spans="1:11" ht="42" customHeight="1">
      <c r="A7769" s="2" t="s">
        <v>19508</v>
      </c>
      <c r="B7769" s="2" t="s">
        <v>19509</v>
      </c>
      <c r="C7769" s="2" t="s">
        <v>88</v>
      </c>
      <c r="D7769" s="2" t="s">
        <v>58</v>
      </c>
      <c r="E7769" s="4">
        <v>-32651</v>
      </c>
      <c r="F7769" s="3" t="s">
        <v>59</v>
      </c>
      <c r="G7769" s="3" t="s">
        <v>13695</v>
      </c>
      <c r="H7769" s="2" t="s">
        <v>74</v>
      </c>
      <c r="I7769" s="2" t="s">
        <v>19510</v>
      </c>
      <c r="J7769" s="3" t="str">
        <f>HYPERLINK("https://www.boe.es/gazeta/dias/1810/08/08/pdfs/GEI-1810-53E.pdf#page=1","Abrir facsímil")</f>
        <v>Abrir facsímil</v>
      </c>
      <c r="K7769" s="3" t="s">
        <v>76</v>
      </c>
    </row>
    <row r="7770" spans="1:11" ht="42" customHeight="1">
      <c r="A7770" s="2" t="s">
        <v>19511</v>
      </c>
      <c r="B7770" s="2" t="s">
        <v>19512</v>
      </c>
      <c r="C7770" s="2" t="s">
        <v>26</v>
      </c>
      <c r="D7770" s="2" t="s">
        <v>58</v>
      </c>
      <c r="E7770" s="4">
        <v>-32651</v>
      </c>
      <c r="F7770" s="3" t="s">
        <v>59</v>
      </c>
      <c r="G7770" s="3" t="s">
        <v>60</v>
      </c>
      <c r="H7770" s="2" t="s">
        <v>74</v>
      </c>
      <c r="I7770" s="2" t="s">
        <v>19513</v>
      </c>
      <c r="J7770" s="3" t="str">
        <f>HYPERLINK("https://www.boe.es/gazeta/dias/1810/08/08/pdfs/GEI-1810-53E.pdf#page=3","Abrir facsímil")</f>
        <v>Abrir facsímil</v>
      </c>
      <c r="K7770" s="3" t="s">
        <v>76</v>
      </c>
    </row>
    <row r="7771" spans="1:11" ht="42" customHeight="1">
      <c r="A7771" s="2" t="s">
        <v>19514</v>
      </c>
      <c r="B7771" s="2" t="s">
        <v>19515</v>
      </c>
      <c r="C7771" s="2" t="s">
        <v>88</v>
      </c>
      <c r="D7771" s="2" t="s">
        <v>27</v>
      </c>
      <c r="E7771" s="4">
        <v>-32645</v>
      </c>
      <c r="F7771" s="3" t="s">
        <v>122</v>
      </c>
      <c r="G7771" s="3" t="s">
        <v>588</v>
      </c>
      <c r="H7771" s="2" t="s">
        <v>74</v>
      </c>
      <c r="I7771" s="2" t="s">
        <v>19516</v>
      </c>
      <c r="J7771" s="3" t="str">
        <f>HYPERLINK("https://www.boe.es/gazeta/dias/1810/08/14/pdfs/GEI-1810-56.pdf#page=15","Abrir facsímil")</f>
        <v>Abrir facsímil</v>
      </c>
      <c r="K7771" s="3" t="s">
        <v>76</v>
      </c>
    </row>
    <row r="7772" spans="1:11" ht="42" customHeight="1">
      <c r="A7772" s="2" t="s">
        <v>19517</v>
      </c>
      <c r="B7772" s="2" t="s">
        <v>19518</v>
      </c>
      <c r="C7772" s="2" t="s">
        <v>33</v>
      </c>
      <c r="D7772" s="2" t="s">
        <v>27</v>
      </c>
      <c r="E7772" s="4">
        <v>-32784</v>
      </c>
      <c r="F7772" s="3" t="s">
        <v>429</v>
      </c>
      <c r="G7772" s="3" t="s">
        <v>131</v>
      </c>
      <c r="H7772" s="2" t="s">
        <v>74</v>
      </c>
      <c r="I7772" s="2" t="s">
        <v>19519</v>
      </c>
      <c r="J7772" s="3" t="str">
        <f>HYPERLINK("https://www.boe.es/gazeta/dias/1810/03/28/pdfs/GMD-1810-87.pdf#page=3","Abrir facsímil")</f>
        <v>Abrir facsímil</v>
      </c>
      <c r="K7772" s="3" t="s">
        <v>76</v>
      </c>
    </row>
    <row r="7773" spans="1:11" ht="42" customHeight="1">
      <c r="A7773" s="2" t="s">
        <v>19517</v>
      </c>
      <c r="B7773" s="2" t="s">
        <v>19518</v>
      </c>
      <c r="C7773" s="2" t="s">
        <v>26</v>
      </c>
      <c r="D7773" s="2" t="s">
        <v>27</v>
      </c>
      <c r="E7773" s="4">
        <v>-32547</v>
      </c>
      <c r="F7773" s="3" t="s">
        <v>407</v>
      </c>
      <c r="G7773" s="3" t="s">
        <v>227</v>
      </c>
      <c r="H7773" s="2" t="s">
        <v>74</v>
      </c>
      <c r="I7773" s="2" t="s">
        <v>19520</v>
      </c>
      <c r="J7773" s="3" t="str">
        <f>HYPERLINK("https://www.boe.es/gazeta/dias/1810/11/20/pdfs/GEI-1810-97.pdf#page=5","Abrir facsímil")</f>
        <v>Abrir facsímil</v>
      </c>
      <c r="K7773" s="3" t="s">
        <v>76</v>
      </c>
    </row>
    <row r="7774" spans="1:11" ht="42" customHeight="1">
      <c r="A7774" s="2" t="s">
        <v>19521</v>
      </c>
      <c r="B7774" s="2" t="s">
        <v>19522</v>
      </c>
      <c r="C7774" s="2" t="s">
        <v>225</v>
      </c>
      <c r="D7774" s="2" t="s">
        <v>27</v>
      </c>
      <c r="E7774" s="4">
        <v>-32778</v>
      </c>
      <c r="F7774" s="3" t="s">
        <v>4255</v>
      </c>
      <c r="G7774" s="3" t="s">
        <v>99</v>
      </c>
      <c r="H7774" s="2" t="s">
        <v>74</v>
      </c>
      <c r="I7774" s="2" t="s">
        <v>19523</v>
      </c>
      <c r="J7774" s="3" t="str">
        <f>HYPERLINK("https://www.boe.es/gazeta/dias/1810/04/03/pdfs/GMD-1810-93.pdf#page=3","Abrir facsímil")</f>
        <v>Abrir facsímil</v>
      </c>
      <c r="K7774" s="3" t="s">
        <v>76</v>
      </c>
    </row>
    <row r="7775" spans="1:11" ht="42" customHeight="1">
      <c r="A7775" s="2" t="s">
        <v>19521</v>
      </c>
      <c r="B7775" s="2" t="s">
        <v>19522</v>
      </c>
      <c r="C7775" s="2" t="s">
        <v>26</v>
      </c>
      <c r="D7775" s="2" t="s">
        <v>27</v>
      </c>
      <c r="E7775" s="4">
        <v>-32744</v>
      </c>
      <c r="F7775" s="3" t="s">
        <v>1570</v>
      </c>
      <c r="G7775" s="3" t="s">
        <v>29</v>
      </c>
      <c r="H7775" s="2" t="s">
        <v>74</v>
      </c>
      <c r="I7775" s="2" t="s">
        <v>19524</v>
      </c>
      <c r="J7775" s="3" t="str">
        <f>HYPERLINK("https://www.boe.es/gazeta/dias/1810/05/07/pdfs/GMD-1810-127.pdf#page=3","Abrir facsímil")</f>
        <v>Abrir facsímil</v>
      </c>
      <c r="K7775" s="3" t="s">
        <v>76</v>
      </c>
    </row>
    <row r="7776" spans="1:11" ht="42" customHeight="1">
      <c r="A7776" s="2" t="s">
        <v>19521</v>
      </c>
      <c r="B7776" s="2" t="s">
        <v>19522</v>
      </c>
      <c r="C7776" s="2" t="s">
        <v>26</v>
      </c>
      <c r="D7776" s="2" t="s">
        <v>39</v>
      </c>
      <c r="E7776" s="4">
        <v>-32635</v>
      </c>
      <c r="F7776" s="3" t="s">
        <v>2674</v>
      </c>
      <c r="G7776" s="3" t="s">
        <v>291</v>
      </c>
      <c r="H7776" s="2" t="s">
        <v>74</v>
      </c>
      <c r="I7776" s="2" t="s">
        <v>19525</v>
      </c>
      <c r="J7776" s="3" t="str">
        <f>HYPERLINK("https://www.boe.es/gazeta/dias/1810/08/24/pdfs/GEI-D-1810-59.pdf#page=5","Abrir facsímil")</f>
        <v>Abrir facsímil</v>
      </c>
      <c r="K7776" s="3" t="s">
        <v>76</v>
      </c>
    </row>
    <row r="7777" spans="1:11" ht="42" customHeight="1">
      <c r="A7777" s="2" t="s">
        <v>19526</v>
      </c>
      <c r="B7777" s="2" t="s">
        <v>19527</v>
      </c>
      <c r="C7777" s="2" t="s">
        <v>26</v>
      </c>
      <c r="D7777" s="2" t="s">
        <v>27</v>
      </c>
      <c r="E7777" s="4">
        <v>-32729</v>
      </c>
      <c r="F7777" s="3" t="s">
        <v>174</v>
      </c>
      <c r="G7777" s="3" t="s">
        <v>175</v>
      </c>
      <c r="H7777" s="2" t="s">
        <v>74</v>
      </c>
      <c r="I7777" s="2" t="s">
        <v>19528</v>
      </c>
      <c r="J7777" s="3" t="str">
        <f>HYPERLINK("https://www.boe.es/gazeta/dias/1810/05/22/pdfs/GEI-1810-28.pdf#page=10","Abrir facsímil")</f>
        <v>Abrir facsímil</v>
      </c>
      <c r="K7777" s="3" t="s">
        <v>76</v>
      </c>
    </row>
    <row r="7778" spans="1:11" ht="42" customHeight="1">
      <c r="A7778" s="2" t="s">
        <v>19529</v>
      </c>
      <c r="B7778" s="2" t="s">
        <v>19530</v>
      </c>
      <c r="C7778" s="2" t="s">
        <v>26</v>
      </c>
      <c r="D7778" s="2" t="s">
        <v>27</v>
      </c>
      <c r="E7778" s="4">
        <v>-32533</v>
      </c>
      <c r="F7778" s="3" t="s">
        <v>1357</v>
      </c>
      <c r="G7778" s="3" t="s">
        <v>701</v>
      </c>
      <c r="H7778" s="2" t="s">
        <v>74</v>
      </c>
      <c r="I7778" s="2" t="s">
        <v>19531</v>
      </c>
      <c r="J7778" s="3" t="str">
        <f>HYPERLINK("https://www.boe.es/gazeta/dias/1810/12/04/pdfs/GEI-1810-103.pdf#page=8","Abrir facsímil")</f>
        <v>Abrir facsímil</v>
      </c>
      <c r="K7778" s="3" t="s">
        <v>76</v>
      </c>
    </row>
    <row r="7779" spans="1:11" ht="42" customHeight="1">
      <c r="A7779" s="2" t="s">
        <v>19532</v>
      </c>
      <c r="B7779" s="2" t="s">
        <v>19533</v>
      </c>
      <c r="C7779" s="2" t="s">
        <v>26</v>
      </c>
      <c r="D7779" s="2" t="s">
        <v>39</v>
      </c>
      <c r="E7779" s="4">
        <v>-32701</v>
      </c>
      <c r="F7779" s="3" t="s">
        <v>40</v>
      </c>
      <c r="G7779" s="3" t="s">
        <v>333</v>
      </c>
      <c r="H7779" s="2" t="s">
        <v>74</v>
      </c>
      <c r="I7779" s="2" t="s">
        <v>19534</v>
      </c>
      <c r="J7779" s="3" t="str">
        <f>HYPERLINK("https://www.boe.es/gazeta/dias/1810/06/19/pdfs/GMD-C-1810-170.pdf#page=4","Abrir facsímil")</f>
        <v>Abrir facsímil</v>
      </c>
      <c r="K7779" s="3" t="s">
        <v>76</v>
      </c>
    </row>
    <row r="7780" spans="1:11" ht="42" customHeight="1">
      <c r="A7780" s="2" t="s">
        <v>19535</v>
      </c>
      <c r="B7780" s="2" t="s">
        <v>19536</v>
      </c>
      <c r="C7780" s="2" t="s">
        <v>26</v>
      </c>
      <c r="D7780" s="2" t="s">
        <v>27</v>
      </c>
      <c r="E7780" s="4">
        <v>-32757</v>
      </c>
      <c r="F7780" s="3" t="s">
        <v>1136</v>
      </c>
      <c r="G7780" s="3" t="s">
        <v>1901</v>
      </c>
      <c r="H7780" s="2" t="s">
        <v>74</v>
      </c>
      <c r="I7780" s="2" t="s">
        <v>19537</v>
      </c>
      <c r="J7780" s="3" t="str">
        <f>HYPERLINK("https://www.boe.es/gazeta/dias/1810/04/24/pdfs/GEI-1810-17.pdf#page=8","Abrir facsímil")</f>
        <v>Abrir facsímil</v>
      </c>
      <c r="K7780" s="3" t="s">
        <v>76</v>
      </c>
    </row>
    <row r="7781" spans="1:11" ht="42" customHeight="1">
      <c r="A7781" s="2" t="s">
        <v>19538</v>
      </c>
      <c r="B7781" s="2" t="s">
        <v>19539</v>
      </c>
      <c r="C7781" s="2" t="s">
        <v>26</v>
      </c>
      <c r="D7781" s="2" t="s">
        <v>27</v>
      </c>
      <c r="E7781" s="4">
        <v>-32608</v>
      </c>
      <c r="F7781" s="3" t="s">
        <v>781</v>
      </c>
      <c r="G7781" s="3" t="s">
        <v>782</v>
      </c>
      <c r="H7781" s="2" t="s">
        <v>74</v>
      </c>
      <c r="I7781" s="2" t="s">
        <v>19540</v>
      </c>
      <c r="J7781" s="3" t="str">
        <f>HYPERLINK("https://www.boe.es/gazeta/dias/1810/09/20/pdfs/GEI-1810-70.pdf#page=5","Abrir facsímil")</f>
        <v>Abrir facsímil</v>
      </c>
      <c r="K7781" s="3" t="s">
        <v>76</v>
      </c>
    </row>
    <row r="7782" spans="1:11" ht="42" customHeight="1">
      <c r="A7782" s="2" t="s">
        <v>19541</v>
      </c>
      <c r="B7782" s="2" t="s">
        <v>19541</v>
      </c>
      <c r="C7782" s="2" t="s">
        <v>88</v>
      </c>
      <c r="D7782" s="2" t="s">
        <v>27</v>
      </c>
      <c r="E7782" s="4">
        <v>-32780</v>
      </c>
      <c r="F7782" s="3" t="s">
        <v>1295</v>
      </c>
      <c r="G7782" s="3" t="s">
        <v>1630</v>
      </c>
      <c r="H7782" s="2" t="s">
        <v>74</v>
      </c>
      <c r="I7782" s="2" t="s">
        <v>19542</v>
      </c>
      <c r="J7782" s="3" t="str">
        <f>HYPERLINK("https://www.boe.es/gazeta/dias/1810/04/01/pdfs/GMD-1810-91.pdf#page=2","Abrir facsímil")</f>
        <v>Abrir facsímil</v>
      </c>
      <c r="K7782" s="3" t="s">
        <v>76</v>
      </c>
    </row>
    <row r="7783" spans="1:11" ht="42" customHeight="1">
      <c r="A7783" s="2" t="s">
        <v>19541</v>
      </c>
      <c r="B7783" s="2" t="s">
        <v>19541</v>
      </c>
      <c r="C7783" s="2" t="s">
        <v>88</v>
      </c>
      <c r="D7783" s="2" t="s">
        <v>27</v>
      </c>
      <c r="E7783" s="4">
        <v>-32780</v>
      </c>
      <c r="F7783" s="3" t="s">
        <v>1295</v>
      </c>
      <c r="G7783" s="3" t="s">
        <v>213</v>
      </c>
      <c r="H7783" s="2" t="s">
        <v>74</v>
      </c>
      <c r="I7783" s="2" t="s">
        <v>19543</v>
      </c>
      <c r="J7783" s="3" t="str">
        <f>HYPERLINK("https://www.boe.es/gazeta/dias/1810/04/01/pdfs/GMD-1810-91.pdf#page=3","Abrir facsímil")</f>
        <v>Abrir facsímil</v>
      </c>
      <c r="K7783" s="3" t="s">
        <v>76</v>
      </c>
    </row>
    <row r="7784" spans="1:11" ht="42" customHeight="1">
      <c r="A7784" s="2" t="s">
        <v>19541</v>
      </c>
      <c r="B7784" s="2" t="s">
        <v>19541</v>
      </c>
      <c r="C7784" s="2" t="s">
        <v>88</v>
      </c>
      <c r="D7784" s="2" t="s">
        <v>117</v>
      </c>
      <c r="E7784" s="4">
        <v>-32724</v>
      </c>
      <c r="F7784" s="3" t="s">
        <v>1027</v>
      </c>
      <c r="G7784" s="3" t="s">
        <v>113</v>
      </c>
      <c r="H7784" s="2" t="s">
        <v>74</v>
      </c>
      <c r="I7784" s="2" t="s">
        <v>19544</v>
      </c>
      <c r="J7784" s="3" t="str">
        <f>HYPERLINK("https://www.boe.es/gazeta/dias/1810/05/27/pdfs/GMD-1810-147.pdf#page=3","Abrir facsímil")</f>
        <v>Abrir facsímil</v>
      </c>
      <c r="K7784" s="3" t="s">
        <v>76</v>
      </c>
    </row>
    <row r="7785" spans="1:11" ht="42" customHeight="1">
      <c r="A7785" s="2" t="s">
        <v>19545</v>
      </c>
      <c r="B7785" s="2" t="s">
        <v>19545</v>
      </c>
      <c r="C7785" s="2" t="s">
        <v>17</v>
      </c>
      <c r="D7785" s="2" t="s">
        <v>27</v>
      </c>
      <c r="E7785" s="4">
        <v>-32694</v>
      </c>
      <c r="F7785" s="3" t="s">
        <v>2189</v>
      </c>
      <c r="G7785" s="3" t="s">
        <v>19546</v>
      </c>
      <c r="H7785" s="2" t="s">
        <v>74</v>
      </c>
      <c r="I7785" s="2" t="s">
        <v>19547</v>
      </c>
      <c r="J7785" s="3" t="str">
        <f>HYPERLINK("https://www.boe.es/gazeta/dias/1810/06/26/pdfs/GEI-1810-39.pdf#page=8","Abrir facsímil")</f>
        <v>Abrir facsímil</v>
      </c>
      <c r="K7785" s="3" t="s">
        <v>76</v>
      </c>
    </row>
    <row r="7786" spans="1:11" ht="42" customHeight="1">
      <c r="A7786" s="2" t="s">
        <v>19548</v>
      </c>
      <c r="B7786" s="2" t="s">
        <v>19548</v>
      </c>
      <c r="C7786" s="2" t="s">
        <v>26</v>
      </c>
      <c r="D7786" s="2" t="s">
        <v>27</v>
      </c>
      <c r="E7786" s="4">
        <v>-32829</v>
      </c>
      <c r="F7786" s="3" t="s">
        <v>1126</v>
      </c>
      <c r="G7786" s="3" t="s">
        <v>99</v>
      </c>
      <c r="H7786" s="2" t="s">
        <v>74</v>
      </c>
      <c r="I7786" s="2" t="s">
        <v>19549</v>
      </c>
      <c r="J7786" s="3" t="str">
        <f>HYPERLINK("https://www.boe.es/gazeta/dias/1810/02/11/pdfs/GMD-1810-42.pdf#page=3","Abrir facsímil")</f>
        <v>Abrir facsímil</v>
      </c>
      <c r="K7786" s="3" t="s">
        <v>76</v>
      </c>
    </row>
    <row r="7787" spans="1:11" ht="42" customHeight="1">
      <c r="A7787" s="2" t="s">
        <v>19550</v>
      </c>
      <c r="B7787" s="2" t="s">
        <v>19550</v>
      </c>
      <c r="C7787" s="2" t="s">
        <v>88</v>
      </c>
      <c r="D7787" s="2" t="s">
        <v>117</v>
      </c>
      <c r="E7787" s="4">
        <v>-32865</v>
      </c>
      <c r="F7787" s="3" t="s">
        <v>4391</v>
      </c>
      <c r="G7787" s="3" t="s">
        <v>1044</v>
      </c>
      <c r="H7787" s="2" t="s">
        <v>74</v>
      </c>
      <c r="I7787" s="2" t="s">
        <v>19551</v>
      </c>
      <c r="J7787" s="3" t="str">
        <f>HYPERLINK("https://www.boe.es/gazeta/dias/1810/01/06/pdfs/GGB-1810-3.pdf#page=5","Abrir facsímil")</f>
        <v>Abrir facsímil</v>
      </c>
      <c r="K7787" s="3" t="s">
        <v>76</v>
      </c>
    </row>
    <row r="7788" spans="1:11" ht="42" customHeight="1">
      <c r="A7788" s="2" t="s">
        <v>19550</v>
      </c>
      <c r="B7788" s="2" t="s">
        <v>19550</v>
      </c>
      <c r="C7788" s="2" t="s">
        <v>88</v>
      </c>
      <c r="D7788" s="2" t="s">
        <v>117</v>
      </c>
      <c r="E7788" s="4">
        <v>-32855</v>
      </c>
      <c r="F7788" s="3" t="s">
        <v>3911</v>
      </c>
      <c r="G7788" s="3" t="s">
        <v>5628</v>
      </c>
      <c r="H7788" s="2" t="s">
        <v>74</v>
      </c>
      <c r="I7788" s="2" t="s">
        <v>19552</v>
      </c>
      <c r="J7788" s="3" t="str">
        <f>HYPERLINK("https://www.boe.es/gazeta/dias/1810/01/16/pdfs/GGB-1810-7.pdf#page=4","Abrir facsímil")</f>
        <v>Abrir facsímil</v>
      </c>
      <c r="K7788" s="3" t="s">
        <v>76</v>
      </c>
    </row>
    <row r="7789" spans="1:11" ht="42" customHeight="1">
      <c r="A7789" s="2" t="s">
        <v>19550</v>
      </c>
      <c r="B7789" s="2" t="s">
        <v>19550</v>
      </c>
      <c r="C7789" s="2" t="s">
        <v>88</v>
      </c>
      <c r="D7789" s="2" t="s">
        <v>117</v>
      </c>
      <c r="E7789" s="4">
        <v>-32809</v>
      </c>
      <c r="F7789" s="3" t="s">
        <v>1873</v>
      </c>
      <c r="G7789" s="3" t="s">
        <v>70</v>
      </c>
      <c r="H7789" s="2" t="s">
        <v>74</v>
      </c>
      <c r="I7789" s="2" t="s">
        <v>19553</v>
      </c>
      <c r="J7789" s="3" t="str">
        <f>HYPERLINK("https://www.boe.es/gazeta/dias/1810/03/03/pdfs/GMD-1810-62.pdf#page=3","Abrir facsímil")</f>
        <v>Abrir facsímil</v>
      </c>
      <c r="K7789" s="3" t="s">
        <v>76</v>
      </c>
    </row>
    <row r="7790" spans="1:11" ht="42" customHeight="1">
      <c r="A7790" s="2" t="s">
        <v>19550</v>
      </c>
      <c r="B7790" s="2" t="s">
        <v>19550</v>
      </c>
      <c r="C7790" s="2" t="s">
        <v>317</v>
      </c>
      <c r="D7790" s="2" t="s">
        <v>117</v>
      </c>
      <c r="E7790" s="4">
        <v>-32745</v>
      </c>
      <c r="F7790" s="3" t="s">
        <v>7101</v>
      </c>
      <c r="G7790" s="3" t="s">
        <v>70</v>
      </c>
      <c r="H7790" s="2" t="s">
        <v>74</v>
      </c>
      <c r="I7790" s="2" t="s">
        <v>19554</v>
      </c>
      <c r="J7790" s="3" t="str">
        <f>HYPERLINK("https://www.boe.es/gazeta/dias/1810/05/06/pdfs/GMD-1810-126.pdf#page=4","Abrir facsímil")</f>
        <v>Abrir facsímil</v>
      </c>
      <c r="K7790" s="3" t="s">
        <v>76</v>
      </c>
    </row>
    <row r="7791" spans="1:11" ht="42" customHeight="1">
      <c r="A7791" s="2" t="s">
        <v>19550</v>
      </c>
      <c r="B7791" s="2" t="s">
        <v>19550</v>
      </c>
      <c r="C7791" s="2" t="s">
        <v>88</v>
      </c>
      <c r="D7791" s="2" t="s">
        <v>117</v>
      </c>
      <c r="E7791" s="4">
        <v>-32740</v>
      </c>
      <c r="F7791" s="3" t="s">
        <v>1207</v>
      </c>
      <c r="G7791" s="3" t="s">
        <v>29</v>
      </c>
      <c r="H7791" s="2" t="s">
        <v>74</v>
      </c>
      <c r="I7791" s="2" t="s">
        <v>19555</v>
      </c>
      <c r="J7791" s="3" t="str">
        <f>HYPERLINK("https://www.boe.es/gazeta/dias/1810/05/11/pdfs/GMD-1810-131.pdf#page=2","Abrir facsímil")</f>
        <v>Abrir facsímil</v>
      </c>
      <c r="K7791" s="3" t="s">
        <v>76</v>
      </c>
    </row>
    <row r="7792" spans="1:11" ht="42" customHeight="1">
      <c r="A7792" s="2" t="s">
        <v>19550</v>
      </c>
      <c r="B7792" s="2" t="s">
        <v>19550</v>
      </c>
      <c r="C7792" s="2" t="s">
        <v>225</v>
      </c>
      <c r="D7792" s="2" t="s">
        <v>18</v>
      </c>
      <c r="E7792" s="4">
        <v>-32726</v>
      </c>
      <c r="F7792" s="3" t="s">
        <v>1850</v>
      </c>
      <c r="G7792" s="3" t="s">
        <v>119</v>
      </c>
      <c r="H7792" s="2" t="s">
        <v>74</v>
      </c>
      <c r="I7792" s="2" t="s">
        <v>19556</v>
      </c>
      <c r="J7792" s="3" t="str">
        <f>HYPERLINK("https://www.boe.es/gazeta/dias/1810/05/25/pdfs/GEI-1810-30.pdf#page=6","Abrir facsímil")</f>
        <v>Abrir facsímil</v>
      </c>
      <c r="K7792" s="3" t="s">
        <v>76</v>
      </c>
    </row>
    <row r="7793" spans="1:11" ht="42" customHeight="1">
      <c r="A7793" s="2" t="s">
        <v>19550</v>
      </c>
      <c r="B7793" s="2" t="s">
        <v>19550</v>
      </c>
      <c r="C7793" s="2" t="s">
        <v>88</v>
      </c>
      <c r="D7793" s="2" t="s">
        <v>27</v>
      </c>
      <c r="E7793" s="4">
        <v>-32723</v>
      </c>
      <c r="F7793" s="3" t="s">
        <v>464</v>
      </c>
      <c r="G7793" s="3" t="s">
        <v>469</v>
      </c>
      <c r="H7793" s="2" t="s">
        <v>74</v>
      </c>
      <c r="I7793" s="2" t="s">
        <v>19557</v>
      </c>
      <c r="J7793" s="3" t="str">
        <f>HYPERLINK("https://www.boe.es/gazeta/dias/1810/05/28/pdfs/GMD-1810-148.pdf#page=4","Abrir facsímil")</f>
        <v>Abrir facsímil</v>
      </c>
      <c r="K7793" s="3" t="s">
        <v>76</v>
      </c>
    </row>
    <row r="7794" spans="1:11" ht="42" customHeight="1">
      <c r="A7794" s="2" t="s">
        <v>19550</v>
      </c>
      <c r="B7794" s="2" t="s">
        <v>19550</v>
      </c>
      <c r="C7794" s="2" t="s">
        <v>26</v>
      </c>
      <c r="D7794" s="2" t="s">
        <v>27</v>
      </c>
      <c r="E7794" s="4">
        <v>-32701</v>
      </c>
      <c r="F7794" s="3" t="s">
        <v>671</v>
      </c>
      <c r="G7794" s="3" t="s">
        <v>1938</v>
      </c>
      <c r="H7794" s="2" t="s">
        <v>74</v>
      </c>
      <c r="I7794" s="2" t="s">
        <v>19558</v>
      </c>
      <c r="J7794" s="3" t="str">
        <f>HYPERLINK("https://www.boe.es/gazeta/dias/1810/06/19/pdfs/GEI-1810-37.pdf#page=7","Abrir facsímil")</f>
        <v>Abrir facsímil</v>
      </c>
      <c r="K7794" s="3" t="s">
        <v>76</v>
      </c>
    </row>
    <row r="7795" spans="1:11" ht="42" customHeight="1">
      <c r="A7795" s="2" t="s">
        <v>19550</v>
      </c>
      <c r="B7795" s="2" t="s">
        <v>19550</v>
      </c>
      <c r="C7795" s="2" t="s">
        <v>26</v>
      </c>
      <c r="D7795" s="2" t="s">
        <v>18</v>
      </c>
      <c r="E7795" s="4">
        <v>-32635</v>
      </c>
      <c r="F7795" s="3" t="s">
        <v>3132</v>
      </c>
      <c r="G7795" s="3" t="s">
        <v>13638</v>
      </c>
      <c r="H7795" s="2" t="s">
        <v>74</v>
      </c>
      <c r="I7795" s="2" t="s">
        <v>19559</v>
      </c>
      <c r="J7795" s="3" t="str">
        <f>HYPERLINK("https://www.boe.es/gazeta/dias/1810/08/24/pdfs/GEI-1810-59.pdf#page=7","Abrir facsímil")</f>
        <v>Abrir facsímil</v>
      </c>
      <c r="K7795" s="3" t="s">
        <v>76</v>
      </c>
    </row>
    <row r="7796" spans="1:11" ht="42" customHeight="1">
      <c r="A7796" s="2" t="s">
        <v>19550</v>
      </c>
      <c r="B7796" s="2" t="s">
        <v>19550</v>
      </c>
      <c r="C7796" s="2" t="s">
        <v>88</v>
      </c>
      <c r="D7796" s="2" t="s">
        <v>39</v>
      </c>
      <c r="E7796" s="4">
        <v>-32631</v>
      </c>
      <c r="F7796" s="3" t="s">
        <v>2830</v>
      </c>
      <c r="G7796" s="3" t="s">
        <v>252</v>
      </c>
      <c r="H7796" s="2" t="s">
        <v>74</v>
      </c>
      <c r="I7796" s="2" t="s">
        <v>19560</v>
      </c>
      <c r="J7796" s="3" t="str">
        <f>HYPERLINK("https://www.boe.es/gazeta/dias/1810/08/28/pdfs/GEI-D-1810-60.pdf#page=4","Abrir facsímil")</f>
        <v>Abrir facsímil</v>
      </c>
      <c r="K7796" s="3" t="s">
        <v>76</v>
      </c>
    </row>
    <row r="7797" spans="1:11" ht="42" customHeight="1">
      <c r="A7797" s="2" t="s">
        <v>19561</v>
      </c>
      <c r="B7797" s="2" t="s">
        <v>19562</v>
      </c>
      <c r="C7797" s="2" t="s">
        <v>26</v>
      </c>
      <c r="D7797" s="2" t="s">
        <v>27</v>
      </c>
      <c r="E7797" s="4">
        <v>-32761</v>
      </c>
      <c r="F7797" s="3" t="s">
        <v>811</v>
      </c>
      <c r="G7797" s="3" t="s">
        <v>140</v>
      </c>
      <c r="H7797" s="2" t="s">
        <v>74</v>
      </c>
      <c r="I7797" s="2" t="s">
        <v>19563</v>
      </c>
      <c r="J7797" s="3" t="str">
        <f>HYPERLINK("https://www.boe.es/gazeta/dias/1810/04/20/pdfs/GEI-1810-16.pdf#page=8","Abrir facsímil")</f>
        <v>Abrir facsímil</v>
      </c>
      <c r="K7797" s="3" t="s">
        <v>76</v>
      </c>
    </row>
    <row r="7798" spans="1:11" ht="42" customHeight="1">
      <c r="A7798" s="2" t="s">
        <v>19564</v>
      </c>
      <c r="B7798" s="2" t="s">
        <v>19564</v>
      </c>
      <c r="C7798" s="2" t="s">
        <v>88</v>
      </c>
      <c r="D7798" s="2" t="s">
        <v>117</v>
      </c>
      <c r="E7798" s="4">
        <v>-32780</v>
      </c>
      <c r="F7798" s="3" t="s">
        <v>1295</v>
      </c>
      <c r="G7798" s="3" t="s">
        <v>1630</v>
      </c>
      <c r="H7798" s="2" t="s">
        <v>74</v>
      </c>
      <c r="I7798" s="2" t="s">
        <v>19565</v>
      </c>
      <c r="J7798" s="3" t="str">
        <f>HYPERLINK("https://www.boe.es/gazeta/dias/1810/04/01/pdfs/GMD-1810-91.pdf#page=2","Abrir facsímil")</f>
        <v>Abrir facsímil</v>
      </c>
      <c r="K7798" s="3" t="s">
        <v>76</v>
      </c>
    </row>
    <row r="7799" spans="1:11" ht="42" customHeight="1">
      <c r="A7799" s="2" t="s">
        <v>19566</v>
      </c>
      <c r="B7799" s="2" t="s">
        <v>19566</v>
      </c>
      <c r="C7799" s="2" t="s">
        <v>26</v>
      </c>
      <c r="D7799" s="2" t="s">
        <v>27</v>
      </c>
      <c r="E7799" s="4">
        <v>-32595</v>
      </c>
      <c r="F7799" s="3" t="s">
        <v>700</v>
      </c>
      <c r="G7799" s="3" t="s">
        <v>465</v>
      </c>
      <c r="H7799" s="2" t="s">
        <v>74</v>
      </c>
      <c r="I7799" s="2" t="s">
        <v>19567</v>
      </c>
      <c r="J7799" s="3" t="str">
        <f>HYPERLINK("https://www.boe.es/gazeta/dias/1810/10/03/pdfs/GMD-1810-276.pdf#page=1","Abrir facsímil")</f>
        <v>Abrir facsímil</v>
      </c>
      <c r="K7799" s="3" t="s">
        <v>76</v>
      </c>
    </row>
    <row r="7800" spans="1:11" ht="42" customHeight="1">
      <c r="A7800" s="2" t="s">
        <v>19566</v>
      </c>
      <c r="B7800" s="2" t="s">
        <v>19566</v>
      </c>
      <c r="C7800" s="2" t="s">
        <v>88</v>
      </c>
      <c r="D7800" s="2" t="s">
        <v>27</v>
      </c>
      <c r="E7800" s="4">
        <v>-32564</v>
      </c>
      <c r="F7800" s="3" t="s">
        <v>1604</v>
      </c>
      <c r="G7800" s="3" t="s">
        <v>90</v>
      </c>
      <c r="H7800" s="2" t="s">
        <v>74</v>
      </c>
      <c r="I7800" s="2" t="s">
        <v>19568</v>
      </c>
      <c r="J7800" s="3" t="str">
        <f>HYPERLINK("https://www.boe.es/gazeta/dias/1810/11/03/pdfs/GMD-1810-307.pdf#page=1","Abrir facsímil")</f>
        <v>Abrir facsímil</v>
      </c>
      <c r="K7800" s="3" t="s">
        <v>76</v>
      </c>
    </row>
    <row r="7801" spans="1:11" ht="42" customHeight="1">
      <c r="A7801" s="2" t="s">
        <v>19569</v>
      </c>
      <c r="B7801" s="2" t="s">
        <v>19569</v>
      </c>
      <c r="C7801" s="2" t="s">
        <v>17</v>
      </c>
      <c r="D7801" s="2" t="s">
        <v>27</v>
      </c>
      <c r="E7801" s="4">
        <v>-32541</v>
      </c>
      <c r="F7801" s="3" t="s">
        <v>748</v>
      </c>
      <c r="G7801" s="3" t="s">
        <v>35</v>
      </c>
      <c r="H7801" s="2" t="s">
        <v>74</v>
      </c>
      <c r="I7801" s="2" t="s">
        <v>19570</v>
      </c>
      <c r="J7801" s="3" t="str">
        <f>HYPERLINK("https://www.boe.es/gazeta/dias/1810/11/26/pdfs/GMD-1810-330.pdf#page=2","Abrir facsímil")</f>
        <v>Abrir facsímil</v>
      </c>
      <c r="K7801" s="3" t="s">
        <v>76</v>
      </c>
    </row>
    <row r="7802" spans="1:11" ht="42" customHeight="1">
      <c r="A7802" s="2" t="s">
        <v>19571</v>
      </c>
      <c r="B7802" s="2" t="s">
        <v>19572</v>
      </c>
      <c r="C7802" s="2" t="s">
        <v>88</v>
      </c>
      <c r="D7802" s="2" t="s">
        <v>27</v>
      </c>
      <c r="E7802" s="4">
        <v>-32817</v>
      </c>
      <c r="F7802" s="3" t="s">
        <v>450</v>
      </c>
      <c r="G7802" s="3" t="s">
        <v>1638</v>
      </c>
      <c r="H7802" s="2" t="s">
        <v>74</v>
      </c>
      <c r="I7802" s="2" t="s">
        <v>19573</v>
      </c>
      <c r="J7802" s="3" t="str">
        <f>HYPERLINK("https://www.boe.es/gazeta/dias/1810/02/23/pdfs/GMD-1810-54.pdf#page=2","Abrir facsímil")</f>
        <v>Abrir facsímil</v>
      </c>
      <c r="K7802" s="3" t="s">
        <v>76</v>
      </c>
    </row>
    <row r="7803" spans="1:11" ht="42" customHeight="1">
      <c r="A7803" s="2" t="s">
        <v>19574</v>
      </c>
      <c r="B7803" s="2" t="s">
        <v>19574</v>
      </c>
      <c r="C7803" s="2" t="s">
        <v>88</v>
      </c>
      <c r="D7803" s="2" t="s">
        <v>27</v>
      </c>
      <c r="E7803" s="4">
        <v>-32597</v>
      </c>
      <c r="F7803" s="3" t="s">
        <v>2506</v>
      </c>
      <c r="G7803" s="3" t="s">
        <v>35</v>
      </c>
      <c r="H7803" s="2" t="s">
        <v>74</v>
      </c>
      <c r="I7803" s="2" t="s">
        <v>19575</v>
      </c>
      <c r="J7803" s="3" t="str">
        <f>HYPERLINK("https://www.boe.es/gazeta/dias/1810/10/01/pdfs/GMD-1810-274.pdf#page=2","Abrir facsímil")</f>
        <v>Abrir facsímil</v>
      </c>
      <c r="K7803" s="3" t="s">
        <v>76</v>
      </c>
    </row>
    <row r="7804" spans="1:11" ht="42" customHeight="1">
      <c r="A7804" s="2" t="s">
        <v>19574</v>
      </c>
      <c r="B7804" s="2" t="s">
        <v>19574</v>
      </c>
      <c r="C7804" s="2" t="s">
        <v>88</v>
      </c>
      <c r="D7804" s="2" t="s">
        <v>27</v>
      </c>
      <c r="E7804" s="4">
        <v>-32556</v>
      </c>
      <c r="F7804" s="3" t="s">
        <v>799</v>
      </c>
      <c r="G7804" s="3" t="s">
        <v>140</v>
      </c>
      <c r="H7804" s="2" t="s">
        <v>74</v>
      </c>
      <c r="I7804" s="2" t="s">
        <v>19576</v>
      </c>
      <c r="J7804" s="3" t="str">
        <f>HYPERLINK("https://www.boe.es/gazeta/dias/1810/11/11/pdfs/GMD-1810-315.pdf#page=2","Abrir facsímil")</f>
        <v>Abrir facsímil</v>
      </c>
      <c r="K7804" s="3" t="s">
        <v>76</v>
      </c>
    </row>
    <row r="7805" spans="1:11" ht="42" customHeight="1">
      <c r="A7805" s="2" t="s">
        <v>19577</v>
      </c>
      <c r="B7805" s="2" t="s">
        <v>19578</v>
      </c>
      <c r="C7805" s="2" t="s">
        <v>88</v>
      </c>
      <c r="D7805" s="2" t="s">
        <v>27</v>
      </c>
      <c r="E7805" s="4">
        <v>-32571</v>
      </c>
      <c r="F7805" s="3" t="s">
        <v>737</v>
      </c>
      <c r="G7805" s="3" t="s">
        <v>1985</v>
      </c>
      <c r="H7805" s="2" t="s">
        <v>74</v>
      </c>
      <c r="I7805" s="2" t="s">
        <v>19579</v>
      </c>
      <c r="J7805" s="3" t="str">
        <f>HYPERLINK("https://www.boe.es/gazeta/dias/1810/10/27/pdfs/GEI-1810-87.pdf#page=2","Abrir facsímil")</f>
        <v>Abrir facsímil</v>
      </c>
      <c r="K7805" s="3" t="s">
        <v>76</v>
      </c>
    </row>
    <row r="7806" spans="1:11" ht="42" customHeight="1">
      <c r="A7806" s="2" t="s">
        <v>19577</v>
      </c>
      <c r="B7806" s="2" t="s">
        <v>19578</v>
      </c>
      <c r="C7806" s="2" t="s">
        <v>88</v>
      </c>
      <c r="D7806" s="2" t="s">
        <v>117</v>
      </c>
      <c r="E7806" s="4">
        <v>-32566</v>
      </c>
      <c r="F7806" s="3" t="s">
        <v>649</v>
      </c>
      <c r="G7806" s="3" t="s">
        <v>3311</v>
      </c>
      <c r="H7806" s="2" t="s">
        <v>74</v>
      </c>
      <c r="I7806" s="2" t="s">
        <v>19580</v>
      </c>
      <c r="J7806" s="3" t="str">
        <f>HYPERLINK("https://www.boe.es/gazeta/dias/1810/11/01/pdfs/GEI-1810-89.pdf#page=1","Abrir facsímil")</f>
        <v>Abrir facsímil</v>
      </c>
      <c r="K7806" s="3" t="s">
        <v>76</v>
      </c>
    </row>
    <row r="7807" spans="1:11" ht="42" customHeight="1">
      <c r="A7807" s="2" t="s">
        <v>19577</v>
      </c>
      <c r="B7807" s="2" t="s">
        <v>19578</v>
      </c>
      <c r="C7807" s="2" t="s">
        <v>88</v>
      </c>
      <c r="D7807" s="2" t="s">
        <v>117</v>
      </c>
      <c r="E7807" s="4">
        <v>-32531</v>
      </c>
      <c r="F7807" s="3" t="s">
        <v>2483</v>
      </c>
      <c r="G7807" s="3" t="s">
        <v>3723</v>
      </c>
      <c r="H7807" s="2" t="s">
        <v>74</v>
      </c>
      <c r="I7807" s="2" t="s">
        <v>19581</v>
      </c>
      <c r="J7807" s="3" t="str">
        <f>HYPERLINK("https://www.boe.es/gazeta/dias/1810/12/06/pdfs/GEI-1810-104.pdf#page=5","Abrir facsímil")</f>
        <v>Abrir facsímil</v>
      </c>
      <c r="K7807" s="3" t="s">
        <v>76</v>
      </c>
    </row>
    <row r="7808" spans="1:11" ht="42" customHeight="1">
      <c r="A7808" s="2" t="s">
        <v>19582</v>
      </c>
      <c r="B7808" s="2" t="s">
        <v>19582</v>
      </c>
      <c r="C7808" s="2" t="s">
        <v>26</v>
      </c>
      <c r="D7808" s="2" t="s">
        <v>27</v>
      </c>
      <c r="E7808" s="4">
        <v>-32530</v>
      </c>
      <c r="F7808" s="3" t="s">
        <v>11723</v>
      </c>
      <c r="G7808" s="3" t="s">
        <v>180</v>
      </c>
      <c r="H7808" s="2" t="s">
        <v>74</v>
      </c>
      <c r="I7808" s="2" t="s">
        <v>19583</v>
      </c>
      <c r="J7808" s="3" t="str">
        <f>HYPERLINK("https://www.boe.es/gazeta/dias/1810/12/07/pdfs/GMD-1810-341.pdf#page=1","Abrir facsímil")</f>
        <v>Abrir facsímil</v>
      </c>
      <c r="K7808" s="3" t="s">
        <v>76</v>
      </c>
    </row>
    <row r="7809" spans="1:11" ht="42" customHeight="1">
      <c r="A7809" s="2" t="s">
        <v>19584</v>
      </c>
      <c r="B7809" s="2" t="s">
        <v>19585</v>
      </c>
      <c r="C7809" s="2" t="s">
        <v>88</v>
      </c>
      <c r="D7809" s="2" t="s">
        <v>220</v>
      </c>
      <c r="E7809" s="4">
        <v>-32571</v>
      </c>
      <c r="F7809" s="3" t="s">
        <v>6811</v>
      </c>
      <c r="G7809" s="3" t="s">
        <v>90</v>
      </c>
      <c r="H7809" s="2" t="s">
        <v>21</v>
      </c>
      <c r="I7809" s="2" t="s">
        <v>19586</v>
      </c>
      <c r="J7809" s="3" t="str">
        <f>HYPERLINK("https://www.boe.es/gazeta/dias/1810/10/27/pdfs/GMD-1810-300.pdf#page=3","Abrir facsímil")</f>
        <v>Abrir facsímil</v>
      </c>
      <c r="K7809" s="3" t="s">
        <v>23</v>
      </c>
    </row>
    <row r="7810" spans="1:11" ht="42" customHeight="1">
      <c r="A7810" s="2" t="s">
        <v>19587</v>
      </c>
      <c r="B7810" s="2" t="s">
        <v>19587</v>
      </c>
      <c r="C7810" s="2" t="s">
        <v>88</v>
      </c>
      <c r="D7810" s="2" t="s">
        <v>27</v>
      </c>
      <c r="E7810" s="4">
        <v>-32639</v>
      </c>
      <c r="F7810" s="3" t="s">
        <v>3411</v>
      </c>
      <c r="G7810" s="3" t="s">
        <v>8237</v>
      </c>
      <c r="H7810" s="2" t="s">
        <v>74</v>
      </c>
      <c r="I7810" s="2" t="s">
        <v>19588</v>
      </c>
      <c r="J7810" s="3" t="str">
        <f>HYPERLINK("https://www.boe.es/gazeta/dias/1810/08/20/pdfs/GMD-1810-232.pdf#page=2","Abrir facsímil")</f>
        <v>Abrir facsímil</v>
      </c>
      <c r="K7810" s="3" t="s">
        <v>76</v>
      </c>
    </row>
    <row r="7811" spans="1:11" ht="42" customHeight="1">
      <c r="A7811" s="2" t="s">
        <v>19589</v>
      </c>
      <c r="B7811" s="2" t="s">
        <v>19589</v>
      </c>
      <c r="C7811" s="2" t="s">
        <v>33</v>
      </c>
      <c r="D7811" s="2" t="s">
        <v>220</v>
      </c>
      <c r="E7811" s="4">
        <v>-32539</v>
      </c>
      <c r="F7811" s="3" t="s">
        <v>11216</v>
      </c>
      <c r="G7811" s="3" t="s">
        <v>11473</v>
      </c>
      <c r="H7811" s="2" t="s">
        <v>74</v>
      </c>
      <c r="I7811" s="2" t="s">
        <v>19590</v>
      </c>
      <c r="J7811" s="3" t="str">
        <f>HYPERLINK("https://www.boe.es/gazeta/dias/1810/11/28/pdfs/GMD-1810-332.pdf#page=1","Abrir facsímil")</f>
        <v>Abrir facsímil</v>
      </c>
      <c r="K7811" s="3" t="s">
        <v>76</v>
      </c>
    </row>
    <row r="7812" spans="1:11" ht="42" customHeight="1">
      <c r="A7812" s="2" t="s">
        <v>19591</v>
      </c>
      <c r="B7812" s="2" t="s">
        <v>19591</v>
      </c>
      <c r="C7812" s="2" t="s">
        <v>88</v>
      </c>
      <c r="D7812" s="2" t="s">
        <v>117</v>
      </c>
      <c r="E7812" s="4">
        <v>-32739</v>
      </c>
      <c r="F7812" s="3" t="s">
        <v>724</v>
      </c>
      <c r="G7812" s="3" t="s">
        <v>119</v>
      </c>
      <c r="H7812" s="2" t="s">
        <v>74</v>
      </c>
      <c r="I7812" s="2" t="s">
        <v>19592</v>
      </c>
      <c r="J7812" s="3" t="str">
        <f>HYPERLINK("https://www.boe.es/gazeta/dias/1810/05/12/pdfs/GMD-1810-132.pdf#page=1","Abrir facsímil")</f>
        <v>Abrir facsímil</v>
      </c>
      <c r="K7812" s="3" t="s">
        <v>76</v>
      </c>
    </row>
    <row r="7813" spans="1:11" ht="42" customHeight="1">
      <c r="A7813" s="2" t="s">
        <v>19593</v>
      </c>
      <c r="B7813" s="2" t="s">
        <v>19594</v>
      </c>
      <c r="C7813" s="2" t="s">
        <v>88</v>
      </c>
      <c r="D7813" s="2" t="s">
        <v>27</v>
      </c>
      <c r="E7813" s="4">
        <v>-32763</v>
      </c>
      <c r="F7813" s="3" t="s">
        <v>1146</v>
      </c>
      <c r="G7813" s="3" t="s">
        <v>20</v>
      </c>
      <c r="H7813" s="2" t="s">
        <v>74</v>
      </c>
      <c r="I7813" s="2" t="s">
        <v>19595</v>
      </c>
      <c r="J7813" s="3" t="str">
        <f>HYPERLINK("https://www.boe.es/gazeta/dias/1810/04/18/pdfs/GMD-1810-108.pdf#page=4","Abrir facsímil")</f>
        <v>Abrir facsímil</v>
      </c>
      <c r="K7813" s="3" t="s">
        <v>76</v>
      </c>
    </row>
    <row r="7814" spans="1:11" ht="42" customHeight="1">
      <c r="A7814" s="2" t="s">
        <v>19596</v>
      </c>
      <c r="B7814" s="2" t="s">
        <v>19596</v>
      </c>
      <c r="C7814" s="2" t="s">
        <v>225</v>
      </c>
      <c r="D7814" s="2" t="s">
        <v>27</v>
      </c>
      <c r="E7814" s="4">
        <v>-32627</v>
      </c>
      <c r="F7814" s="3" t="s">
        <v>1496</v>
      </c>
      <c r="G7814" s="3" t="s">
        <v>1497</v>
      </c>
      <c r="H7814" s="2" t="s">
        <v>74</v>
      </c>
      <c r="I7814" s="2" t="s">
        <v>19597</v>
      </c>
      <c r="J7814" s="3" t="str">
        <f>HYPERLINK("https://www.boe.es/gazeta/dias/1810/09/01/pdfs/GMD-1810-244.pdf#page=1","Abrir facsímil")</f>
        <v>Abrir facsímil</v>
      </c>
      <c r="K7814" s="3" t="s">
        <v>76</v>
      </c>
    </row>
    <row r="7815" spans="1:11" ht="42" customHeight="1">
      <c r="A7815" s="2" t="s">
        <v>19598</v>
      </c>
      <c r="B7815" s="2" t="s">
        <v>19598</v>
      </c>
      <c r="C7815" s="2" t="s">
        <v>26</v>
      </c>
      <c r="D7815" s="2" t="s">
        <v>220</v>
      </c>
      <c r="E7815" s="4">
        <v>-32619</v>
      </c>
      <c r="F7815" s="3" t="s">
        <v>1270</v>
      </c>
      <c r="G7815" s="3" t="s">
        <v>14580</v>
      </c>
      <c r="H7815" s="2" t="s">
        <v>74</v>
      </c>
      <c r="I7815" s="2" t="s">
        <v>19599</v>
      </c>
      <c r="J7815" s="3" t="str">
        <f>HYPERLINK("https://www.boe.es/gazeta/dias/1810/09/09/pdfs/GMD-1810-252.pdf#page=2","Abrir facsímil")</f>
        <v>Abrir facsímil</v>
      </c>
      <c r="K7815" s="3" t="s">
        <v>76</v>
      </c>
    </row>
    <row r="7816" spans="1:11" ht="42" customHeight="1">
      <c r="A7816" s="2" t="s">
        <v>19600</v>
      </c>
      <c r="B7816" s="2" t="s">
        <v>19600</v>
      </c>
      <c r="C7816" s="2" t="s">
        <v>88</v>
      </c>
      <c r="D7816" s="2" t="s">
        <v>18</v>
      </c>
      <c r="E7816" s="4">
        <v>-32595</v>
      </c>
      <c r="F7816" s="3" t="s">
        <v>700</v>
      </c>
      <c r="G7816" s="3" t="s">
        <v>140</v>
      </c>
      <c r="H7816" s="2" t="s">
        <v>74</v>
      </c>
      <c r="I7816" s="2" t="s">
        <v>19601</v>
      </c>
      <c r="J7816" s="3" t="str">
        <f>HYPERLINK("https://www.boe.es/gazeta/dias/1810/10/03/pdfs/GMD-1810-276.pdf#page=2","Abrir facsímil")</f>
        <v>Abrir facsímil</v>
      </c>
      <c r="K7816" s="3" t="s">
        <v>76</v>
      </c>
    </row>
    <row r="7817" spans="1:11" ht="42" customHeight="1">
      <c r="A7817" s="2" t="s">
        <v>19602</v>
      </c>
      <c r="B7817" s="2" t="s">
        <v>19602</v>
      </c>
      <c r="C7817" s="2" t="s">
        <v>33</v>
      </c>
      <c r="D7817" s="2" t="s">
        <v>220</v>
      </c>
      <c r="E7817" s="4">
        <v>-32761</v>
      </c>
      <c r="F7817" s="3" t="s">
        <v>2093</v>
      </c>
      <c r="G7817" s="3" t="s">
        <v>140</v>
      </c>
      <c r="H7817" s="2" t="s">
        <v>74</v>
      </c>
      <c r="I7817" s="2" t="s">
        <v>19603</v>
      </c>
      <c r="J7817" s="3" t="str">
        <f>HYPERLINK("https://www.boe.es/gazeta/dias/1810/04/20/pdfs/GMD-1810-110.pdf#page=1","Abrir facsímil")</f>
        <v>Abrir facsímil</v>
      </c>
      <c r="K7817" s="3" t="s">
        <v>76</v>
      </c>
    </row>
    <row r="7818" spans="1:11" ht="42" customHeight="1">
      <c r="A7818" s="2" t="s">
        <v>19604</v>
      </c>
      <c r="B7818" s="2" t="s">
        <v>19605</v>
      </c>
      <c r="C7818" s="2" t="s">
        <v>26</v>
      </c>
      <c r="D7818" s="2" t="s">
        <v>27</v>
      </c>
      <c r="E7818" s="4">
        <v>-32684</v>
      </c>
      <c r="F7818" s="3" t="s">
        <v>1373</v>
      </c>
      <c r="G7818" s="3" t="s">
        <v>1374</v>
      </c>
      <c r="H7818" s="2" t="s">
        <v>74</v>
      </c>
      <c r="I7818" s="2" t="s">
        <v>19606</v>
      </c>
      <c r="J7818" s="3" t="str">
        <f>HYPERLINK("https://www.boe.es/gazeta/dias/1810/07/06/pdfs/GEI-1810-42.pdf#page=8","Abrir facsímil")</f>
        <v>Abrir facsímil</v>
      </c>
      <c r="K7818" s="3" t="s">
        <v>76</v>
      </c>
    </row>
    <row r="7819" spans="1:11" ht="42" customHeight="1">
      <c r="A7819" s="2" t="s">
        <v>19607</v>
      </c>
      <c r="B7819" s="2" t="s">
        <v>19607</v>
      </c>
      <c r="C7819" s="2" t="s">
        <v>88</v>
      </c>
      <c r="D7819" s="2" t="s">
        <v>117</v>
      </c>
      <c r="E7819" s="4">
        <v>-32827</v>
      </c>
      <c r="F7819" s="3" t="s">
        <v>290</v>
      </c>
      <c r="G7819" s="3" t="s">
        <v>695</v>
      </c>
      <c r="H7819" s="2" t="s">
        <v>74</v>
      </c>
      <c r="I7819" s="2" t="s">
        <v>19608</v>
      </c>
      <c r="J7819" s="3" t="str">
        <f>HYPERLINK("https://www.boe.es/gazeta/dias/1810/02/13/pdfs/GMD-1810-44.pdf#page=2","Abrir facsímil")</f>
        <v>Abrir facsímil</v>
      </c>
      <c r="K7819" s="3" t="s">
        <v>76</v>
      </c>
    </row>
    <row r="7820" spans="1:11" ht="42" customHeight="1">
      <c r="A7820" s="2" t="s">
        <v>19609</v>
      </c>
      <c r="B7820" s="2" t="s">
        <v>19610</v>
      </c>
      <c r="C7820" s="2" t="s">
        <v>111</v>
      </c>
      <c r="D7820" s="2" t="s">
        <v>27</v>
      </c>
      <c r="E7820" s="4">
        <v>-32860</v>
      </c>
      <c r="F7820" s="3" t="s">
        <v>504</v>
      </c>
      <c r="G7820" s="3" t="s">
        <v>493</v>
      </c>
      <c r="H7820" s="2" t="s">
        <v>74</v>
      </c>
      <c r="I7820" s="2" t="s">
        <v>19611</v>
      </c>
      <c r="J7820" s="3" t="str">
        <f>HYPERLINK("https://www.boe.es/gazeta/dias/1810/01/11/pdfs/GGB-1810-5.pdf#page=8","Abrir facsímil")</f>
        <v>Abrir facsímil</v>
      </c>
      <c r="K7820" s="3" t="s">
        <v>76</v>
      </c>
    </row>
    <row r="7821" spans="1:11" ht="42" customHeight="1">
      <c r="A7821" s="2" t="s">
        <v>19612</v>
      </c>
      <c r="B7821" s="2" t="s">
        <v>19612</v>
      </c>
      <c r="C7821" s="2" t="s">
        <v>88</v>
      </c>
      <c r="D7821" s="2" t="s">
        <v>27</v>
      </c>
      <c r="E7821" s="4">
        <v>-32662</v>
      </c>
      <c r="F7821" s="3" t="s">
        <v>1487</v>
      </c>
      <c r="G7821" s="3" t="s">
        <v>19613</v>
      </c>
      <c r="H7821" s="2" t="s">
        <v>74</v>
      </c>
      <c r="I7821" s="2" t="s">
        <v>19614</v>
      </c>
      <c r="J7821" s="3" t="str">
        <f>HYPERLINK("https://www.boe.es/gazeta/dias/1810/07/28/pdfs/GMD-1810-209.pdf#page=2","Abrir facsímil")</f>
        <v>Abrir facsímil</v>
      </c>
      <c r="K7821" s="3" t="s">
        <v>76</v>
      </c>
    </row>
    <row r="7822" spans="1:11" ht="42" customHeight="1">
      <c r="A7822" s="2" t="s">
        <v>19612</v>
      </c>
      <c r="B7822" s="2" t="s">
        <v>19612</v>
      </c>
      <c r="C7822" s="2" t="s">
        <v>88</v>
      </c>
      <c r="D7822" s="2" t="s">
        <v>27</v>
      </c>
      <c r="E7822" s="4">
        <v>-32645</v>
      </c>
      <c r="F7822" s="3" t="s">
        <v>4819</v>
      </c>
      <c r="G7822" s="3" t="s">
        <v>35</v>
      </c>
      <c r="H7822" s="2" t="s">
        <v>74</v>
      </c>
      <c r="I7822" s="2" t="s">
        <v>19615</v>
      </c>
      <c r="J7822" s="3" t="str">
        <f>HYPERLINK("https://www.boe.es/gazeta/dias/1810/08/14/pdfs/GMD-1810-226.pdf#page=2","Abrir facsímil")</f>
        <v>Abrir facsímil</v>
      </c>
      <c r="K7822" s="3" t="s">
        <v>76</v>
      </c>
    </row>
    <row r="7823" spans="1:11" ht="42" customHeight="1">
      <c r="A7823" s="2" t="s">
        <v>19616</v>
      </c>
      <c r="B7823" s="2" t="s">
        <v>19616</v>
      </c>
      <c r="C7823" s="2" t="s">
        <v>26</v>
      </c>
      <c r="D7823" s="2" t="s">
        <v>27</v>
      </c>
      <c r="E7823" s="4">
        <v>-32830</v>
      </c>
      <c r="F7823" s="3" t="s">
        <v>3354</v>
      </c>
      <c r="G7823" s="3" t="s">
        <v>213</v>
      </c>
      <c r="H7823" s="2" t="s">
        <v>74</v>
      </c>
      <c r="I7823" s="2" t="s">
        <v>19617</v>
      </c>
      <c r="J7823" s="3" t="str">
        <f>HYPERLINK("https://www.boe.es/gazeta/dias/1810/02/10/pdfs/GMD-1810-41.pdf#page=1","Abrir facsímil")</f>
        <v>Abrir facsímil</v>
      </c>
      <c r="K7823" s="3" t="s">
        <v>76</v>
      </c>
    </row>
    <row r="7824" spans="1:11" ht="42" customHeight="1">
      <c r="A7824" s="2" t="s">
        <v>19618</v>
      </c>
      <c r="B7824" s="2" t="s">
        <v>19618</v>
      </c>
      <c r="C7824" s="2" t="s">
        <v>88</v>
      </c>
      <c r="D7824" s="2" t="s">
        <v>117</v>
      </c>
      <c r="E7824" s="4">
        <v>-32552</v>
      </c>
      <c r="F7824" s="3" t="s">
        <v>234</v>
      </c>
      <c r="G7824" s="3" t="s">
        <v>227</v>
      </c>
      <c r="H7824" s="2" t="s">
        <v>74</v>
      </c>
      <c r="I7824" s="2" t="s">
        <v>19619</v>
      </c>
      <c r="J7824" s="3" t="str">
        <f>HYPERLINK("https://www.boe.es/gazeta/dias/1810/11/15/pdfs/GMD-1810-319.pdf#page=2","Abrir facsímil")</f>
        <v>Abrir facsímil</v>
      </c>
      <c r="K7824" s="3" t="s">
        <v>76</v>
      </c>
    </row>
    <row r="7825" spans="1:11" ht="42" customHeight="1">
      <c r="A7825" s="2" t="s">
        <v>19620</v>
      </c>
      <c r="B7825" s="2" t="s">
        <v>19620</v>
      </c>
      <c r="C7825" s="2" t="s">
        <v>88</v>
      </c>
      <c r="D7825" s="2" t="s">
        <v>117</v>
      </c>
      <c r="E7825" s="4">
        <v>-32851</v>
      </c>
      <c r="F7825" s="3" t="s">
        <v>4243</v>
      </c>
      <c r="G7825" s="3" t="s">
        <v>213</v>
      </c>
      <c r="H7825" s="2" t="s">
        <v>74</v>
      </c>
      <c r="I7825" s="2" t="s">
        <v>19621</v>
      </c>
      <c r="J7825" s="3" t="str">
        <f>HYPERLINK("https://www.boe.es/gazeta/dias/1810/01/20/pdfs/GMD-1810-20.pdf#page=1","Abrir facsímil")</f>
        <v>Abrir facsímil</v>
      </c>
      <c r="K7825" s="3" t="s">
        <v>76</v>
      </c>
    </row>
    <row r="7826" spans="1:11" ht="42" customHeight="1">
      <c r="A7826" s="2" t="s">
        <v>19622</v>
      </c>
      <c r="B7826" s="2" t="s">
        <v>19623</v>
      </c>
      <c r="C7826" s="2" t="s">
        <v>26</v>
      </c>
      <c r="D7826" s="2" t="s">
        <v>27</v>
      </c>
      <c r="E7826" s="4">
        <v>-32526</v>
      </c>
      <c r="F7826" s="3" t="s">
        <v>530</v>
      </c>
      <c r="G7826" s="3" t="s">
        <v>531</v>
      </c>
      <c r="H7826" s="2" t="s">
        <v>74</v>
      </c>
      <c r="I7826" s="2" t="s">
        <v>19624</v>
      </c>
      <c r="J7826" s="3" t="str">
        <f>HYPERLINK("https://www.boe.es/gazeta/dias/1810/12/11/pdfs/GEI-1810-106.pdf#page=2","Abrir facsímil")</f>
        <v>Abrir facsímil</v>
      </c>
      <c r="K7826" s="3" t="s">
        <v>76</v>
      </c>
    </row>
    <row r="7827" spans="1:11" ht="42" customHeight="1">
      <c r="A7827" s="2" t="s">
        <v>19625</v>
      </c>
      <c r="B7827" s="2" t="s">
        <v>19625</v>
      </c>
      <c r="C7827" s="2" t="s">
        <v>88</v>
      </c>
      <c r="D7827" s="2" t="s">
        <v>117</v>
      </c>
      <c r="E7827" s="4">
        <v>-32599</v>
      </c>
      <c r="F7827" s="3" t="s">
        <v>1586</v>
      </c>
      <c r="G7827" s="3" t="s">
        <v>1638</v>
      </c>
      <c r="H7827" s="2" t="s">
        <v>74</v>
      </c>
      <c r="I7827" s="2" t="s">
        <v>19626</v>
      </c>
      <c r="J7827" s="3" t="str">
        <f>HYPERLINK("https://www.boe.es/gazeta/dias/1810/09/29/pdfs/GMD-1810-272.pdf#page=2","Abrir facsímil")</f>
        <v>Abrir facsímil</v>
      </c>
      <c r="K7827" s="3" t="s">
        <v>76</v>
      </c>
    </row>
    <row r="7828" spans="1:11" ht="42" customHeight="1">
      <c r="A7828" s="2" t="s">
        <v>19627</v>
      </c>
      <c r="B7828" s="2" t="s">
        <v>19627</v>
      </c>
      <c r="C7828" s="2" t="s">
        <v>88</v>
      </c>
      <c r="D7828" s="2" t="s">
        <v>117</v>
      </c>
      <c r="E7828" s="4">
        <v>-32599</v>
      </c>
      <c r="F7828" s="3" t="s">
        <v>1586</v>
      </c>
      <c r="G7828" s="3" t="s">
        <v>1638</v>
      </c>
      <c r="H7828" s="2" t="s">
        <v>74</v>
      </c>
      <c r="I7828" s="2" t="s">
        <v>19628</v>
      </c>
      <c r="J7828" s="3" t="str">
        <f>HYPERLINK("https://www.boe.es/gazeta/dias/1810/09/29/pdfs/GMD-1810-272.pdf#page=2","Abrir facsímil")</f>
        <v>Abrir facsímil</v>
      </c>
      <c r="K7828" s="3" t="s">
        <v>76</v>
      </c>
    </row>
    <row r="7829" spans="1:11" ht="42" customHeight="1">
      <c r="A7829" s="2" t="s">
        <v>19629</v>
      </c>
      <c r="B7829" s="2" t="s">
        <v>19629</v>
      </c>
      <c r="C7829" s="2" t="s">
        <v>88</v>
      </c>
      <c r="D7829" s="2" t="s">
        <v>27</v>
      </c>
      <c r="E7829" s="4">
        <v>-32798</v>
      </c>
      <c r="F7829" s="3" t="s">
        <v>2002</v>
      </c>
      <c r="G7829" s="3" t="s">
        <v>180</v>
      </c>
      <c r="H7829" s="2" t="s">
        <v>74</v>
      </c>
      <c r="I7829" s="2" t="s">
        <v>19630</v>
      </c>
      <c r="J7829" s="3" t="str">
        <f>HYPERLINK("https://www.boe.es/gazeta/dias/1810/03/14/pdfs/GMD-1810-73.pdf#page=1","Abrir facsímil")</f>
        <v>Abrir facsímil</v>
      </c>
      <c r="K7829" s="3" t="s">
        <v>76</v>
      </c>
    </row>
    <row r="7830" spans="1:11" ht="42" customHeight="1">
      <c r="A7830" s="2" t="s">
        <v>19631</v>
      </c>
      <c r="B7830" s="2" t="s">
        <v>19632</v>
      </c>
      <c r="C7830" s="2" t="s">
        <v>88</v>
      </c>
      <c r="D7830" s="2" t="s">
        <v>117</v>
      </c>
      <c r="E7830" s="4">
        <v>-32756</v>
      </c>
      <c r="F7830" s="3" t="s">
        <v>203</v>
      </c>
      <c r="G7830" s="3" t="s">
        <v>60</v>
      </c>
      <c r="H7830" s="2" t="s">
        <v>74</v>
      </c>
      <c r="I7830" s="2" t="s">
        <v>19633</v>
      </c>
      <c r="J7830" s="3" t="str">
        <f>HYPERLINK("https://www.boe.es/gazeta/dias/1810/04/25/pdfs/GMD-1810-115.pdf#page=2","Abrir facsímil")</f>
        <v>Abrir facsímil</v>
      </c>
      <c r="K7830" s="3" t="s">
        <v>76</v>
      </c>
    </row>
    <row r="7831" spans="1:11" ht="42" customHeight="1">
      <c r="A7831" s="2" t="s">
        <v>19634</v>
      </c>
      <c r="B7831" s="2" t="s">
        <v>19634</v>
      </c>
      <c r="C7831" s="2" t="s">
        <v>88</v>
      </c>
      <c r="D7831" s="2" t="s">
        <v>117</v>
      </c>
      <c r="E7831" s="4">
        <v>-32752</v>
      </c>
      <c r="F7831" s="3" t="s">
        <v>601</v>
      </c>
      <c r="G7831" s="3" t="s">
        <v>35</v>
      </c>
      <c r="H7831" s="2" t="s">
        <v>74</v>
      </c>
      <c r="I7831" s="2" t="s">
        <v>19635</v>
      </c>
      <c r="J7831" s="3" t="str">
        <f>HYPERLINK("https://www.boe.es/gazeta/dias/1810/04/29/pdfs/GMD-1810-119.pdf#page=2","Abrir facsímil")</f>
        <v>Abrir facsímil</v>
      </c>
      <c r="K7831" s="3" t="s">
        <v>76</v>
      </c>
    </row>
    <row r="7832" spans="1:11" ht="42" customHeight="1">
      <c r="A7832" s="2" t="s">
        <v>19636</v>
      </c>
      <c r="B7832" s="2" t="s">
        <v>19636</v>
      </c>
      <c r="C7832" s="2" t="s">
        <v>88</v>
      </c>
      <c r="D7832" s="2" t="s">
        <v>27</v>
      </c>
      <c r="E7832" s="4">
        <v>-32794</v>
      </c>
      <c r="F7832" s="3" t="s">
        <v>10648</v>
      </c>
      <c r="G7832" s="3" t="s">
        <v>1590</v>
      </c>
      <c r="H7832" s="2" t="s">
        <v>74</v>
      </c>
      <c r="I7832" s="2" t="s">
        <v>19637</v>
      </c>
      <c r="J7832" s="3" t="str">
        <f>HYPERLINK("https://www.boe.es/gazeta/dias/1810/03/18/pdfs/GMD-1810-77.pdf#page=2","Abrir facsímil")</f>
        <v>Abrir facsímil</v>
      </c>
      <c r="K7832" s="3" t="s">
        <v>76</v>
      </c>
    </row>
    <row r="7833" spans="1:11" ht="42" customHeight="1">
      <c r="A7833" s="2" t="s">
        <v>19638</v>
      </c>
      <c r="B7833" s="2" t="s">
        <v>19638</v>
      </c>
      <c r="C7833" s="2" t="s">
        <v>88</v>
      </c>
      <c r="D7833" s="2" t="s">
        <v>27</v>
      </c>
      <c r="E7833" s="4">
        <v>-32515</v>
      </c>
      <c r="F7833" s="3" t="s">
        <v>351</v>
      </c>
      <c r="G7833" s="3" t="s">
        <v>3473</v>
      </c>
      <c r="H7833" s="2" t="s">
        <v>74</v>
      </c>
      <c r="I7833" s="2" t="s">
        <v>19639</v>
      </c>
      <c r="J7833" s="3" t="str">
        <f>HYPERLINK("https://www.boe.es/gazeta/dias/1810/12/22/pdfs/GEI-1810-111.pdf#page=1","Abrir facsímil")</f>
        <v>Abrir facsímil</v>
      </c>
      <c r="K7833" s="3" t="s">
        <v>76</v>
      </c>
    </row>
    <row r="7834" spans="1:11" ht="42" customHeight="1">
      <c r="A7834" s="2" t="s">
        <v>19640</v>
      </c>
      <c r="B7834" s="2" t="s">
        <v>19640</v>
      </c>
      <c r="C7834" s="2" t="s">
        <v>225</v>
      </c>
      <c r="D7834" s="2" t="s">
        <v>27</v>
      </c>
      <c r="E7834" s="4">
        <v>-32708</v>
      </c>
      <c r="F7834" s="3" t="s">
        <v>206</v>
      </c>
      <c r="G7834" s="3" t="s">
        <v>29</v>
      </c>
      <c r="H7834" s="2" t="s">
        <v>74</v>
      </c>
      <c r="I7834" s="2" t="s">
        <v>19641</v>
      </c>
      <c r="J7834" s="3" t="str">
        <f>HYPERLINK("https://www.boe.es/gazeta/dias/1810/06/12/pdfs/GMD-1810-163.pdf#page=2","Abrir facsímil")</f>
        <v>Abrir facsímil</v>
      </c>
      <c r="K7834" s="3" t="s">
        <v>76</v>
      </c>
    </row>
    <row r="7835" spans="1:11" ht="42" customHeight="1">
      <c r="A7835" s="2" t="s">
        <v>19640</v>
      </c>
      <c r="B7835" s="2" t="s">
        <v>19640</v>
      </c>
      <c r="C7835" s="2" t="s">
        <v>88</v>
      </c>
      <c r="D7835" s="2" t="s">
        <v>27</v>
      </c>
      <c r="E7835" s="4">
        <v>-32655</v>
      </c>
      <c r="F7835" s="3" t="s">
        <v>1040</v>
      </c>
      <c r="G7835" s="3" t="s">
        <v>180</v>
      </c>
      <c r="H7835" s="2" t="s">
        <v>74</v>
      </c>
      <c r="I7835" s="2" t="s">
        <v>19642</v>
      </c>
      <c r="J7835" s="3" t="str">
        <f>HYPERLINK("https://www.boe.es/gazeta/dias/1810/08/04/pdfs/GMD-1810-216.pdf#page=3","Abrir facsímil")</f>
        <v>Abrir facsímil</v>
      </c>
      <c r="K7835" s="3" t="s">
        <v>76</v>
      </c>
    </row>
    <row r="7836" spans="1:11" ht="42" customHeight="1">
      <c r="A7836" s="2" t="s">
        <v>19640</v>
      </c>
      <c r="B7836" s="2" t="s">
        <v>19640</v>
      </c>
      <c r="C7836" s="2" t="s">
        <v>88</v>
      </c>
      <c r="D7836" s="2" t="s">
        <v>220</v>
      </c>
      <c r="E7836" s="4">
        <v>-32604</v>
      </c>
      <c r="F7836" s="3" t="s">
        <v>2233</v>
      </c>
      <c r="G7836" s="3" t="s">
        <v>1985</v>
      </c>
      <c r="H7836" s="2" t="s">
        <v>74</v>
      </c>
      <c r="I7836" s="2" t="s">
        <v>19643</v>
      </c>
      <c r="J7836" s="3" t="str">
        <f>HYPERLINK("https://www.boe.es/gazeta/dias/1810/09/24/pdfs/GMD-1810-267.pdf#page=2","Abrir facsímil")</f>
        <v>Abrir facsímil</v>
      </c>
      <c r="K7836" s="3" t="s">
        <v>76</v>
      </c>
    </row>
    <row r="7837" spans="1:11" ht="42" customHeight="1">
      <c r="A7837" s="2" t="s">
        <v>19640</v>
      </c>
      <c r="B7837" s="2" t="s">
        <v>19640</v>
      </c>
      <c r="C7837" s="2" t="s">
        <v>88</v>
      </c>
      <c r="D7837" s="2" t="s">
        <v>27</v>
      </c>
      <c r="E7837" s="4">
        <v>-32515</v>
      </c>
      <c r="F7837" s="3" t="s">
        <v>351</v>
      </c>
      <c r="G7837" s="3" t="s">
        <v>15431</v>
      </c>
      <c r="H7837" s="2" t="s">
        <v>74</v>
      </c>
      <c r="I7837" s="2" t="s">
        <v>19644</v>
      </c>
      <c r="J7837" s="3" t="str">
        <f>HYPERLINK("https://www.boe.es/gazeta/dias/1810/12/22/pdfs/GEI-1810-111.pdf#page=4","Abrir facsímil")</f>
        <v>Abrir facsímil</v>
      </c>
      <c r="K7837" s="3" t="s">
        <v>76</v>
      </c>
    </row>
    <row r="7838" spans="1:11" ht="42" customHeight="1">
      <c r="A7838" s="2" t="s">
        <v>19645</v>
      </c>
      <c r="B7838" s="2" t="s">
        <v>19646</v>
      </c>
      <c r="C7838" s="2" t="s">
        <v>88</v>
      </c>
      <c r="D7838" s="2" t="s">
        <v>27</v>
      </c>
      <c r="E7838" s="4">
        <v>-32515</v>
      </c>
      <c r="F7838" s="3" t="s">
        <v>351</v>
      </c>
      <c r="G7838" s="3" t="s">
        <v>3473</v>
      </c>
      <c r="H7838" s="2" t="s">
        <v>74</v>
      </c>
      <c r="I7838" s="2" t="s">
        <v>19647</v>
      </c>
      <c r="J7838" s="3" t="str">
        <f>HYPERLINK("https://www.boe.es/gazeta/dias/1810/12/22/pdfs/GEI-1810-111.pdf#page=1","Abrir facsímil")</f>
        <v>Abrir facsímil</v>
      </c>
      <c r="K7838" s="3" t="s">
        <v>76</v>
      </c>
    </row>
    <row r="7839" spans="1:11" ht="42" customHeight="1">
      <c r="A7839" s="2" t="s">
        <v>19648</v>
      </c>
      <c r="B7839" s="2" t="s">
        <v>19648</v>
      </c>
      <c r="C7839" s="2" t="s">
        <v>225</v>
      </c>
      <c r="D7839" s="2" t="s">
        <v>27</v>
      </c>
      <c r="E7839" s="4">
        <v>-32841</v>
      </c>
      <c r="F7839" s="3" t="s">
        <v>4274</v>
      </c>
      <c r="G7839" s="3" t="s">
        <v>6380</v>
      </c>
      <c r="H7839" s="2" t="s">
        <v>74</v>
      </c>
      <c r="I7839" s="2" t="s">
        <v>19649</v>
      </c>
      <c r="J7839" s="3" t="str">
        <f>HYPERLINK("https://www.boe.es/gazeta/dias/1810/01/30/pdfs/GMD-1810-30.pdf#page=1","Abrir facsímil")</f>
        <v>Abrir facsímil</v>
      </c>
      <c r="K7839" s="3" t="s">
        <v>76</v>
      </c>
    </row>
    <row r="7840" spans="1:11" ht="42" customHeight="1">
      <c r="A7840" s="2" t="s">
        <v>19650</v>
      </c>
      <c r="B7840" s="2" t="s">
        <v>19651</v>
      </c>
      <c r="C7840" s="2" t="s">
        <v>26</v>
      </c>
      <c r="D7840" s="2" t="s">
        <v>27</v>
      </c>
      <c r="E7840" s="4">
        <v>-32702</v>
      </c>
      <c r="F7840" s="3" t="s">
        <v>8773</v>
      </c>
      <c r="G7840" s="3" t="s">
        <v>113</v>
      </c>
      <c r="H7840" s="2" t="s">
        <v>74</v>
      </c>
      <c r="I7840" s="2" t="s">
        <v>19652</v>
      </c>
      <c r="J7840" s="3" t="str">
        <f>HYPERLINK("https://www.boe.es/gazeta/dias/1810/06/18/pdfs/GMD-1810-169.pdf#page=4","Abrir facsímil")</f>
        <v>Abrir facsímil</v>
      </c>
      <c r="K7840" s="3" t="s">
        <v>76</v>
      </c>
    </row>
    <row r="7841" spans="1:11" ht="42" customHeight="1">
      <c r="A7841" s="2" t="s">
        <v>19653</v>
      </c>
      <c r="B7841" s="2" t="s">
        <v>19654</v>
      </c>
      <c r="C7841" s="2" t="s">
        <v>225</v>
      </c>
      <c r="D7841" s="2" t="s">
        <v>27</v>
      </c>
      <c r="E7841" s="4">
        <v>-32820</v>
      </c>
      <c r="F7841" s="3" t="s">
        <v>226</v>
      </c>
      <c r="G7841" s="3" t="s">
        <v>356</v>
      </c>
      <c r="H7841" s="2" t="s">
        <v>74</v>
      </c>
      <c r="I7841" s="2" t="s">
        <v>19655</v>
      </c>
      <c r="J7841" s="3" t="str">
        <f>HYPERLINK("https://www.boe.es/gazeta/dias/1810/02/20/pdfs/GMD-1810-51.pdf#page=3","Abrir facsímil")</f>
        <v>Abrir facsímil</v>
      </c>
      <c r="K7841" s="3" t="s">
        <v>76</v>
      </c>
    </row>
    <row r="7842" spans="1:11" ht="42" customHeight="1">
      <c r="A7842" s="2" t="s">
        <v>19656</v>
      </c>
      <c r="B7842" s="2" t="s">
        <v>19657</v>
      </c>
      <c r="C7842" s="2" t="s">
        <v>26</v>
      </c>
      <c r="D7842" s="2" t="s">
        <v>27</v>
      </c>
      <c r="E7842" s="4">
        <v>-32575</v>
      </c>
      <c r="F7842" s="3" t="s">
        <v>135</v>
      </c>
      <c r="G7842" s="3" t="s">
        <v>11524</v>
      </c>
      <c r="H7842" s="2" t="s">
        <v>74</v>
      </c>
      <c r="I7842" s="2" t="s">
        <v>19658</v>
      </c>
      <c r="J7842" s="3" t="str">
        <f>HYPERLINK("https://www.boe.es/gazeta/dias/1810/10/23/pdfs/GEI-1810-85.pdf#page=12","Abrir facsímil")</f>
        <v>Abrir facsímil</v>
      </c>
      <c r="K7842" s="3" t="s">
        <v>76</v>
      </c>
    </row>
    <row r="7843" spans="1:11" ht="42" customHeight="1">
      <c r="A7843" s="2" t="s">
        <v>19659</v>
      </c>
      <c r="B7843" s="2" t="s">
        <v>19660</v>
      </c>
      <c r="C7843" s="2" t="s">
        <v>26</v>
      </c>
      <c r="D7843" s="2" t="s">
        <v>18</v>
      </c>
      <c r="E7843" s="4">
        <v>-32601</v>
      </c>
      <c r="F7843" s="3" t="s">
        <v>392</v>
      </c>
      <c r="G7843" s="3" t="s">
        <v>35</v>
      </c>
      <c r="H7843" s="2" t="s">
        <v>74</v>
      </c>
      <c r="I7843" s="2" t="s">
        <v>19661</v>
      </c>
      <c r="J7843" s="3" t="str">
        <f>HYPERLINK("https://www.boe.es/gazeta/dias/1810/09/27/pdfs/GEI-1810-74E.pdf#page=2","Abrir facsímil")</f>
        <v>Abrir facsímil</v>
      </c>
      <c r="K7843" s="3" t="s">
        <v>76</v>
      </c>
    </row>
    <row r="7844" spans="1:11" ht="42" customHeight="1">
      <c r="A7844" s="2" t="s">
        <v>19662</v>
      </c>
      <c r="B7844" s="2" t="s">
        <v>19663</v>
      </c>
      <c r="C7844" s="2" t="s">
        <v>26</v>
      </c>
      <c r="D7844" s="2" t="s">
        <v>39</v>
      </c>
      <c r="E7844" s="4">
        <v>-32749</v>
      </c>
      <c r="F7844" s="3" t="s">
        <v>803</v>
      </c>
      <c r="G7844" s="3" t="s">
        <v>213</v>
      </c>
      <c r="H7844" s="2" t="s">
        <v>74</v>
      </c>
      <c r="I7844" s="2" t="s">
        <v>19664</v>
      </c>
      <c r="J7844" s="3" t="str">
        <f>HYPERLINK("https://www.boe.es/gazeta/dias/1810/05/02/pdfs/GMD-C-1810-122.pdf#page=2","Abrir facsímil")</f>
        <v>Abrir facsímil</v>
      </c>
      <c r="K7844" s="3" t="s">
        <v>76</v>
      </c>
    </row>
    <row r="7845" spans="1:11" ht="42" customHeight="1">
      <c r="A7845" s="2" t="s">
        <v>19665</v>
      </c>
      <c r="B7845" s="2" t="s">
        <v>19666</v>
      </c>
      <c r="C7845" s="2" t="s">
        <v>26</v>
      </c>
      <c r="D7845" s="2" t="s">
        <v>18</v>
      </c>
      <c r="E7845" s="4">
        <v>-32691</v>
      </c>
      <c r="F7845" s="3" t="s">
        <v>727</v>
      </c>
      <c r="G7845" s="3" t="s">
        <v>140</v>
      </c>
      <c r="H7845" s="2" t="s">
        <v>74</v>
      </c>
      <c r="I7845" s="2" t="s">
        <v>19667</v>
      </c>
      <c r="J7845" s="3" t="str">
        <f>HYPERLINK("https://www.boe.es/gazeta/dias/1810/06/29/pdfs/GMD-1810-180.pdf#page=4","Abrir facsímil")</f>
        <v>Abrir facsímil</v>
      </c>
      <c r="K7845" s="3" t="s">
        <v>76</v>
      </c>
    </row>
    <row r="7846" spans="1:11" ht="42" customHeight="1">
      <c r="A7846" s="2" t="s">
        <v>19668</v>
      </c>
      <c r="B7846" s="2" t="s">
        <v>19669</v>
      </c>
      <c r="C7846" s="2" t="s">
        <v>33</v>
      </c>
      <c r="D7846" s="2" t="s">
        <v>58</v>
      </c>
      <c r="E7846" s="4">
        <v>-32601</v>
      </c>
      <c r="F7846" s="3" t="s">
        <v>392</v>
      </c>
      <c r="G7846" s="3" t="s">
        <v>1430</v>
      </c>
      <c r="H7846" s="2" t="s">
        <v>74</v>
      </c>
      <c r="I7846" s="2" t="s">
        <v>19670</v>
      </c>
      <c r="J7846" s="3" t="str">
        <f>HYPERLINK("https://www.boe.es/gazeta/dias/1810/09/27/pdfs/GEI-1810-74E.pdf#page=3","Abrir facsímil")</f>
        <v>Abrir facsímil</v>
      </c>
      <c r="K7846" s="3" t="s">
        <v>76</v>
      </c>
    </row>
    <row r="7847" spans="1:11" ht="42" customHeight="1">
      <c r="A7847" s="2" t="s">
        <v>19671</v>
      </c>
      <c r="B7847" s="2" t="s">
        <v>19672</v>
      </c>
      <c r="C7847" s="2" t="s">
        <v>88</v>
      </c>
      <c r="D7847" s="2" t="s">
        <v>27</v>
      </c>
      <c r="E7847" s="4">
        <v>-32700</v>
      </c>
      <c r="F7847" s="3" t="s">
        <v>89</v>
      </c>
      <c r="G7847" s="3" t="s">
        <v>29</v>
      </c>
      <c r="H7847" s="2" t="s">
        <v>21</v>
      </c>
      <c r="I7847" s="2" t="s">
        <v>19673</v>
      </c>
      <c r="J7847" s="3" t="str">
        <f>HYPERLINK("https://www.boe.es/gazeta/dias/1810/06/20/pdfs/GMD-1810-171.pdf#page=3","Abrir facsímil")</f>
        <v>Abrir facsímil</v>
      </c>
      <c r="K7847" s="3" t="s">
        <v>23</v>
      </c>
    </row>
    <row r="7848" spans="1:11" ht="42" customHeight="1">
      <c r="A7848" s="2" t="s">
        <v>19674</v>
      </c>
      <c r="B7848" s="2" t="s">
        <v>19674</v>
      </c>
      <c r="C7848" s="2" t="s">
        <v>88</v>
      </c>
      <c r="D7848" s="2" t="s">
        <v>18</v>
      </c>
      <c r="E7848" s="4">
        <v>-32722</v>
      </c>
      <c r="F7848" s="3" t="s">
        <v>2619</v>
      </c>
      <c r="G7848" s="3" t="s">
        <v>3066</v>
      </c>
      <c r="H7848" s="2" t="s">
        <v>74</v>
      </c>
      <c r="I7848" s="2" t="s">
        <v>19675</v>
      </c>
      <c r="J7848" s="3" t="str">
        <f>HYPERLINK("https://www.boe.es/gazeta/dias/1810/05/29/pdfs/GMD-1810-149.pdf#page=4","Abrir facsímil")</f>
        <v>Abrir facsímil</v>
      </c>
      <c r="K7848" s="3" t="s">
        <v>76</v>
      </c>
    </row>
    <row r="7849" spans="1:11" ht="42" customHeight="1">
      <c r="A7849" s="2" t="s">
        <v>19676</v>
      </c>
      <c r="B7849" s="2" t="s">
        <v>19676</v>
      </c>
      <c r="C7849" s="2" t="s">
        <v>26</v>
      </c>
      <c r="D7849" s="2" t="s">
        <v>18</v>
      </c>
      <c r="E7849" s="4">
        <v>-32615</v>
      </c>
      <c r="F7849" s="3" t="s">
        <v>4119</v>
      </c>
      <c r="G7849" s="3" t="s">
        <v>1292</v>
      </c>
      <c r="H7849" s="2" t="s">
        <v>74</v>
      </c>
      <c r="I7849" s="2" t="s">
        <v>19677</v>
      </c>
      <c r="J7849" s="3" t="str">
        <f>HYPERLINK("https://www.boe.es/gazeta/dias/1810/09/13/pdfs/GMD-1810-256.pdf#page=3","Abrir facsímil")</f>
        <v>Abrir facsímil</v>
      </c>
      <c r="K7849" s="3" t="s">
        <v>76</v>
      </c>
    </row>
    <row r="7850" spans="1:11" ht="42" customHeight="1">
      <c r="A7850" s="2" t="s">
        <v>19678</v>
      </c>
      <c r="B7850" s="2" t="s">
        <v>19678</v>
      </c>
      <c r="C7850" s="2" t="s">
        <v>88</v>
      </c>
      <c r="D7850" s="2" t="s">
        <v>27</v>
      </c>
      <c r="E7850" s="4">
        <v>-32860</v>
      </c>
      <c r="F7850" s="3" t="s">
        <v>504</v>
      </c>
      <c r="G7850" s="3" t="s">
        <v>140</v>
      </c>
      <c r="H7850" s="2" t="s">
        <v>74</v>
      </c>
      <c r="I7850" s="2" t="s">
        <v>19679</v>
      </c>
      <c r="J7850" s="3" t="str">
        <f>HYPERLINK("https://www.boe.es/gazeta/dias/1810/01/11/pdfs/GGB-1810-5.pdf#page=4","Abrir facsímil")</f>
        <v>Abrir facsímil</v>
      </c>
      <c r="K7850" s="3" t="s">
        <v>76</v>
      </c>
    </row>
    <row r="7851" spans="1:11" ht="42" customHeight="1">
      <c r="A7851" s="2" t="s">
        <v>19678</v>
      </c>
      <c r="B7851" s="2" t="s">
        <v>19678</v>
      </c>
      <c r="C7851" s="2" t="s">
        <v>88</v>
      </c>
      <c r="D7851" s="2" t="s">
        <v>18</v>
      </c>
      <c r="E7851" s="4">
        <v>-32842</v>
      </c>
      <c r="F7851" s="3" t="s">
        <v>1291</v>
      </c>
      <c r="G7851" s="3" t="s">
        <v>1292</v>
      </c>
      <c r="H7851" s="2" t="s">
        <v>74</v>
      </c>
      <c r="I7851" s="2" t="s">
        <v>19680</v>
      </c>
      <c r="J7851" s="3" t="str">
        <f>HYPERLINK("https://www.boe.es/gazeta/dias/1810/01/29/pdfs/GMD-1810-29.pdf#page=3","Abrir facsímil")</f>
        <v>Abrir facsímil</v>
      </c>
      <c r="K7851" s="3" t="s">
        <v>76</v>
      </c>
    </row>
    <row r="7852" spans="1:11" ht="42" customHeight="1">
      <c r="A7852" s="2" t="s">
        <v>19678</v>
      </c>
      <c r="B7852" s="2" t="s">
        <v>19678</v>
      </c>
      <c r="C7852" s="2" t="s">
        <v>88</v>
      </c>
      <c r="D7852" s="2" t="s">
        <v>117</v>
      </c>
      <c r="E7852" s="4">
        <v>-32749</v>
      </c>
      <c r="F7852" s="3" t="s">
        <v>2451</v>
      </c>
      <c r="G7852" s="3" t="s">
        <v>29</v>
      </c>
      <c r="H7852" s="2" t="s">
        <v>74</v>
      </c>
      <c r="I7852" s="2" t="s">
        <v>19681</v>
      </c>
      <c r="J7852" s="3" t="str">
        <f>HYPERLINK("https://www.boe.es/gazeta/dias/1810/05/02/pdfs/GEI-1810-20E.pdf#page=2","Abrir facsímil")</f>
        <v>Abrir facsímil</v>
      </c>
      <c r="K7852" s="3" t="s">
        <v>76</v>
      </c>
    </row>
    <row r="7853" spans="1:11" ht="42" customHeight="1">
      <c r="A7853" s="2" t="s">
        <v>19678</v>
      </c>
      <c r="B7853" s="2" t="s">
        <v>19678</v>
      </c>
      <c r="C7853" s="2" t="s">
        <v>88</v>
      </c>
      <c r="D7853" s="2" t="s">
        <v>18</v>
      </c>
      <c r="E7853" s="4">
        <v>-32739</v>
      </c>
      <c r="F7853" s="3" t="s">
        <v>724</v>
      </c>
      <c r="G7853" s="3" t="s">
        <v>20</v>
      </c>
      <c r="H7853" s="2" t="s">
        <v>74</v>
      </c>
      <c r="I7853" s="2" t="s">
        <v>19682</v>
      </c>
      <c r="J7853" s="3" t="str">
        <f>HYPERLINK("https://www.boe.es/gazeta/dias/1810/05/12/pdfs/GMD-1810-132.pdf#page=4","Abrir facsímil")</f>
        <v>Abrir facsímil</v>
      </c>
      <c r="K7853" s="3" t="s">
        <v>76</v>
      </c>
    </row>
    <row r="7854" spans="1:11" ht="42" customHeight="1">
      <c r="A7854" s="2" t="s">
        <v>19678</v>
      </c>
      <c r="B7854" s="2" t="s">
        <v>19678</v>
      </c>
      <c r="C7854" s="2" t="s">
        <v>88</v>
      </c>
      <c r="D7854" s="2" t="s">
        <v>39</v>
      </c>
      <c r="E7854" s="4">
        <v>-32715</v>
      </c>
      <c r="F7854" s="3" t="s">
        <v>6792</v>
      </c>
      <c r="G7854" s="3" t="s">
        <v>11810</v>
      </c>
      <c r="H7854" s="2" t="s">
        <v>74</v>
      </c>
      <c r="I7854" s="2" t="s">
        <v>19683</v>
      </c>
      <c r="J7854" s="3" t="str">
        <f>HYPERLINK("https://www.boe.es/gazeta/dias/1810/06/05/pdfs/GEI-D-1810-33.pdf#page=2","Abrir facsímil")</f>
        <v>Abrir facsímil</v>
      </c>
      <c r="K7854" s="3" t="s">
        <v>76</v>
      </c>
    </row>
    <row r="7855" spans="1:11" ht="42" customHeight="1">
      <c r="A7855" s="2" t="s">
        <v>19678</v>
      </c>
      <c r="B7855" s="2" t="s">
        <v>19678</v>
      </c>
      <c r="C7855" s="2" t="s">
        <v>88</v>
      </c>
      <c r="D7855" s="2" t="s">
        <v>27</v>
      </c>
      <c r="E7855" s="4">
        <v>-32708</v>
      </c>
      <c r="F7855" s="3" t="s">
        <v>654</v>
      </c>
      <c r="G7855" s="3" t="s">
        <v>8120</v>
      </c>
      <c r="H7855" s="2" t="s">
        <v>74</v>
      </c>
      <c r="I7855" s="2" t="s">
        <v>19684</v>
      </c>
      <c r="J7855" s="3" t="str">
        <f>HYPERLINK("https://www.boe.es/gazeta/dias/1810/06/12/pdfs/GEI-1810-35.pdf#page=7","Abrir facsímil")</f>
        <v>Abrir facsímil</v>
      </c>
      <c r="K7855" s="3" t="s">
        <v>76</v>
      </c>
    </row>
    <row r="7856" spans="1:11" ht="42" customHeight="1">
      <c r="A7856" s="2" t="s">
        <v>19678</v>
      </c>
      <c r="B7856" s="2" t="s">
        <v>19678</v>
      </c>
      <c r="C7856" s="2" t="s">
        <v>88</v>
      </c>
      <c r="D7856" s="2" t="s">
        <v>27</v>
      </c>
      <c r="E7856" s="4">
        <v>-32696</v>
      </c>
      <c r="F7856" s="3" t="s">
        <v>1863</v>
      </c>
      <c r="G7856" s="3" t="s">
        <v>701</v>
      </c>
      <c r="H7856" s="2" t="s">
        <v>74</v>
      </c>
      <c r="I7856" s="2" t="s">
        <v>19685</v>
      </c>
      <c r="J7856" s="3" t="str">
        <f>HYPERLINK("https://www.boe.es/gazeta/dias/1810/06/24/pdfs/GMD-1810-175.pdf#page=4","Abrir facsímil")</f>
        <v>Abrir facsímil</v>
      </c>
      <c r="K7856" s="3" t="s">
        <v>76</v>
      </c>
    </row>
    <row r="7857" spans="1:11" ht="42" customHeight="1">
      <c r="A7857" s="2" t="s">
        <v>19678</v>
      </c>
      <c r="B7857" s="2" t="s">
        <v>19678</v>
      </c>
      <c r="C7857" s="2" t="s">
        <v>88</v>
      </c>
      <c r="D7857" s="2" t="s">
        <v>18</v>
      </c>
      <c r="E7857" s="4">
        <v>-32671</v>
      </c>
      <c r="F7857" s="3" t="s">
        <v>3682</v>
      </c>
      <c r="G7857" s="3" t="s">
        <v>19686</v>
      </c>
      <c r="H7857" s="2" t="s">
        <v>74</v>
      </c>
      <c r="I7857" s="2" t="s">
        <v>19687</v>
      </c>
      <c r="J7857" s="3" t="str">
        <f>HYPERLINK("https://www.boe.es/gazeta/dias/1810/07/19/pdfs/GMD-1810-200.pdf#page=4","Abrir facsímil")</f>
        <v>Abrir facsímil</v>
      </c>
      <c r="K7857" s="3" t="s">
        <v>76</v>
      </c>
    </row>
    <row r="7858" spans="1:11" ht="42" customHeight="1">
      <c r="A7858" s="2" t="s">
        <v>19678</v>
      </c>
      <c r="B7858" s="2" t="s">
        <v>19678</v>
      </c>
      <c r="C7858" s="2" t="s">
        <v>225</v>
      </c>
      <c r="D7858" s="2" t="s">
        <v>27</v>
      </c>
      <c r="E7858" s="4">
        <v>-32635</v>
      </c>
      <c r="F7858" s="3" t="s">
        <v>3132</v>
      </c>
      <c r="G7858" s="3" t="s">
        <v>3712</v>
      </c>
      <c r="H7858" s="2" t="s">
        <v>74</v>
      </c>
      <c r="I7858" s="2" t="s">
        <v>19688</v>
      </c>
      <c r="J7858" s="3" t="str">
        <f>HYPERLINK("https://www.boe.es/gazeta/dias/1810/08/24/pdfs/GEI-1810-59.pdf#page=5","Abrir facsímil")</f>
        <v>Abrir facsímil</v>
      </c>
      <c r="K7858" s="3" t="s">
        <v>76</v>
      </c>
    </row>
    <row r="7859" spans="1:11" ht="42" customHeight="1">
      <c r="A7859" s="2" t="s">
        <v>19678</v>
      </c>
      <c r="B7859" s="2" t="s">
        <v>19678</v>
      </c>
      <c r="C7859" s="2" t="s">
        <v>88</v>
      </c>
      <c r="D7859" s="2" t="s">
        <v>220</v>
      </c>
      <c r="E7859" s="4">
        <v>-32615</v>
      </c>
      <c r="F7859" s="3" t="s">
        <v>4119</v>
      </c>
      <c r="G7859" s="3" t="s">
        <v>4798</v>
      </c>
      <c r="H7859" s="2" t="s">
        <v>74</v>
      </c>
      <c r="I7859" s="2" t="s">
        <v>19689</v>
      </c>
      <c r="J7859" s="3" t="str">
        <f>HYPERLINK("https://www.boe.es/gazeta/dias/1810/09/13/pdfs/GMD-1810-256.pdf#page=2","Abrir facsímil")</f>
        <v>Abrir facsímil</v>
      </c>
      <c r="K7859" s="3" t="s">
        <v>76</v>
      </c>
    </row>
    <row r="7860" spans="1:11" ht="42" customHeight="1">
      <c r="A7860" s="2" t="s">
        <v>19678</v>
      </c>
      <c r="B7860" s="2" t="s">
        <v>19678</v>
      </c>
      <c r="C7860" s="2" t="s">
        <v>88</v>
      </c>
      <c r="D7860" s="2" t="s">
        <v>27</v>
      </c>
      <c r="E7860" s="4">
        <v>-32599</v>
      </c>
      <c r="F7860" s="3" t="s">
        <v>6642</v>
      </c>
      <c r="G7860" s="3" t="s">
        <v>90</v>
      </c>
      <c r="H7860" s="2" t="s">
        <v>74</v>
      </c>
      <c r="I7860" s="2" t="s">
        <v>19690</v>
      </c>
      <c r="J7860" s="3" t="str">
        <f>HYPERLINK("https://www.boe.es/gazeta/dias/1810/09/29/pdfs/GEI-1810-75.pdf#page=6","Abrir facsímil")</f>
        <v>Abrir facsímil</v>
      </c>
      <c r="K7860" s="3" t="s">
        <v>76</v>
      </c>
    </row>
    <row r="7861" spans="1:11" ht="42" customHeight="1">
      <c r="A7861" s="2" t="s">
        <v>19678</v>
      </c>
      <c r="B7861" s="2" t="s">
        <v>19678</v>
      </c>
      <c r="C7861" s="2" t="s">
        <v>88</v>
      </c>
      <c r="D7861" s="2" t="s">
        <v>117</v>
      </c>
      <c r="E7861" s="4">
        <v>-32545</v>
      </c>
      <c r="F7861" s="3" t="s">
        <v>2807</v>
      </c>
      <c r="G7861" s="3" t="s">
        <v>70</v>
      </c>
      <c r="H7861" s="2" t="s">
        <v>74</v>
      </c>
      <c r="I7861" s="2" t="s">
        <v>19691</v>
      </c>
      <c r="J7861" s="3" t="str">
        <f>HYPERLINK("https://www.boe.es/gazeta/dias/1810/11/22/pdfs/GMD-1810-326.pdf#page=3","Abrir facsímil")</f>
        <v>Abrir facsímil</v>
      </c>
      <c r="K7861" s="3" t="s">
        <v>76</v>
      </c>
    </row>
    <row r="7862" spans="1:11" ht="42" customHeight="1">
      <c r="A7862" s="2" t="s">
        <v>19692</v>
      </c>
      <c r="B7862" s="2" t="s">
        <v>19692</v>
      </c>
      <c r="C7862" s="2" t="s">
        <v>88</v>
      </c>
      <c r="D7862" s="2" t="s">
        <v>27</v>
      </c>
      <c r="E7862" s="4">
        <v>-32696</v>
      </c>
      <c r="F7862" s="3" t="s">
        <v>1863</v>
      </c>
      <c r="G7862" s="3" t="s">
        <v>70</v>
      </c>
      <c r="H7862" s="2" t="s">
        <v>74</v>
      </c>
      <c r="I7862" s="2" t="s">
        <v>19693</v>
      </c>
      <c r="J7862" s="3" t="str">
        <f>HYPERLINK("https://www.boe.es/gazeta/dias/1810/06/24/pdfs/GMD-1810-175.pdf#page=3","Abrir facsímil")</f>
        <v>Abrir facsímil</v>
      </c>
      <c r="K7862" s="3" t="s">
        <v>76</v>
      </c>
    </row>
    <row r="7863" spans="1:11" ht="42" customHeight="1">
      <c r="A7863" s="2" t="s">
        <v>19694</v>
      </c>
      <c r="B7863" s="2" t="s">
        <v>19694</v>
      </c>
      <c r="C7863" s="2" t="s">
        <v>88</v>
      </c>
      <c r="D7863" s="2" t="s">
        <v>117</v>
      </c>
      <c r="E7863" s="4">
        <v>-32775</v>
      </c>
      <c r="F7863" s="3" t="s">
        <v>553</v>
      </c>
      <c r="G7863" s="3" t="s">
        <v>2686</v>
      </c>
      <c r="H7863" s="2" t="s">
        <v>74</v>
      </c>
      <c r="I7863" s="2" t="s">
        <v>19695</v>
      </c>
      <c r="J7863" s="3" t="str">
        <f>HYPERLINK("https://www.boe.es/gazeta/dias/1810/04/06/pdfs/GEI-1810-12.pdf#page=8","Abrir facsímil")</f>
        <v>Abrir facsímil</v>
      </c>
      <c r="K7863" s="3" t="s">
        <v>76</v>
      </c>
    </row>
    <row r="7864" spans="1:11" ht="42" customHeight="1">
      <c r="A7864" s="2" t="s">
        <v>19696</v>
      </c>
      <c r="B7864" s="2" t="s">
        <v>19696</v>
      </c>
      <c r="C7864" s="2" t="s">
        <v>88</v>
      </c>
      <c r="D7864" s="2" t="s">
        <v>117</v>
      </c>
      <c r="E7864" s="4">
        <v>-32696</v>
      </c>
      <c r="F7864" s="3" t="s">
        <v>1863</v>
      </c>
      <c r="G7864" s="3" t="s">
        <v>70</v>
      </c>
      <c r="H7864" s="2" t="s">
        <v>74</v>
      </c>
      <c r="I7864" s="2" t="s">
        <v>19697</v>
      </c>
      <c r="J7864" s="3" t="str">
        <f>HYPERLINK("https://www.boe.es/gazeta/dias/1810/06/24/pdfs/GMD-1810-175.pdf#page=3","Abrir facsímil")</f>
        <v>Abrir facsímil</v>
      </c>
      <c r="K7864" s="3" t="s">
        <v>76</v>
      </c>
    </row>
    <row r="7865" spans="1:11" ht="42" customHeight="1">
      <c r="A7865" s="2" t="s">
        <v>19696</v>
      </c>
      <c r="B7865" s="2" t="s">
        <v>19696</v>
      </c>
      <c r="C7865" s="2" t="s">
        <v>88</v>
      </c>
      <c r="D7865" s="2" t="s">
        <v>117</v>
      </c>
      <c r="E7865" s="4">
        <v>-32599</v>
      </c>
      <c r="F7865" s="3" t="s">
        <v>6642</v>
      </c>
      <c r="G7865" s="3" t="s">
        <v>1217</v>
      </c>
      <c r="H7865" s="2" t="s">
        <v>74</v>
      </c>
      <c r="I7865" s="2" t="s">
        <v>19698</v>
      </c>
      <c r="J7865" s="3" t="str">
        <f>HYPERLINK("https://www.boe.es/gazeta/dias/1810/09/29/pdfs/GEI-1810-75.pdf#page=3","Abrir facsímil")</f>
        <v>Abrir facsímil</v>
      </c>
      <c r="K7865" s="3" t="s">
        <v>76</v>
      </c>
    </row>
    <row r="7866" spans="1:11" ht="42" customHeight="1">
      <c r="A7866" s="2" t="s">
        <v>19699</v>
      </c>
      <c r="B7866" s="2" t="s">
        <v>19699</v>
      </c>
      <c r="C7866" s="2" t="s">
        <v>88</v>
      </c>
      <c r="D7866" s="2" t="s">
        <v>27</v>
      </c>
      <c r="E7866" s="4">
        <v>-32606</v>
      </c>
      <c r="F7866" s="3" t="s">
        <v>1676</v>
      </c>
      <c r="G7866" s="3" t="s">
        <v>227</v>
      </c>
      <c r="H7866" s="2" t="s">
        <v>21</v>
      </c>
      <c r="I7866" s="2" t="s">
        <v>19700</v>
      </c>
      <c r="J7866" s="3" t="str">
        <f>HYPERLINK("https://www.boe.es/gazeta/dias/1810/09/22/pdfs/GMD-1810-265.pdf#page=3","Abrir facsímil")</f>
        <v>Abrir facsímil</v>
      </c>
      <c r="K7866" s="3" t="s">
        <v>23</v>
      </c>
    </row>
    <row r="7867" spans="1:11" ht="42" customHeight="1">
      <c r="A7867" s="2" t="s">
        <v>19701</v>
      </c>
      <c r="B7867" s="2" t="s">
        <v>19702</v>
      </c>
      <c r="C7867" s="2" t="s">
        <v>26</v>
      </c>
      <c r="D7867" s="2" t="s">
        <v>27</v>
      </c>
      <c r="E7867" s="4">
        <v>-32608</v>
      </c>
      <c r="F7867" s="3" t="s">
        <v>150</v>
      </c>
      <c r="G7867" s="3" t="s">
        <v>19259</v>
      </c>
      <c r="H7867" s="2" t="s">
        <v>74</v>
      </c>
      <c r="I7867" s="2" t="s">
        <v>19703</v>
      </c>
      <c r="J7867" s="3" t="str">
        <f>HYPERLINK("https://www.boe.es/gazeta/dias/1810/09/20/pdfs/GMD-1810-263.pdf#page=4","Abrir facsímil")</f>
        <v>Abrir facsímil</v>
      </c>
      <c r="K7867" s="3" t="s">
        <v>76</v>
      </c>
    </row>
    <row r="7868" spans="1:11" ht="42" customHeight="1">
      <c r="A7868" s="2" t="s">
        <v>19704</v>
      </c>
      <c r="B7868" s="2" t="s">
        <v>19705</v>
      </c>
      <c r="C7868" s="2" t="s">
        <v>26</v>
      </c>
      <c r="D7868" s="2" t="s">
        <v>27</v>
      </c>
      <c r="E7868" s="4">
        <v>-32647</v>
      </c>
      <c r="F7868" s="3" t="s">
        <v>118</v>
      </c>
      <c r="G7868" s="3" t="s">
        <v>140</v>
      </c>
      <c r="H7868" s="2" t="s">
        <v>74</v>
      </c>
      <c r="I7868" s="2" t="s">
        <v>19706</v>
      </c>
      <c r="J7868" s="3" t="str">
        <f>HYPERLINK("https://www.boe.es/gazeta/dias/1810/08/12/pdfs/GMD-1810-224.pdf#page=2","Abrir facsímil")</f>
        <v>Abrir facsímil</v>
      </c>
      <c r="K7868" s="3" t="s">
        <v>76</v>
      </c>
    </row>
    <row r="7869" spans="1:11" ht="42" customHeight="1">
      <c r="A7869" s="2" t="s">
        <v>19707</v>
      </c>
      <c r="B7869" s="2" t="s">
        <v>19708</v>
      </c>
      <c r="C7869" s="2" t="s">
        <v>26</v>
      </c>
      <c r="D7869" s="2" t="s">
        <v>27</v>
      </c>
      <c r="E7869" s="4">
        <v>-32591</v>
      </c>
      <c r="F7869" s="3" t="s">
        <v>377</v>
      </c>
      <c r="G7869" s="3" t="s">
        <v>140</v>
      </c>
      <c r="H7869" s="2" t="s">
        <v>74</v>
      </c>
      <c r="I7869" s="2" t="s">
        <v>19709</v>
      </c>
      <c r="J7869" s="3" t="str">
        <f>HYPERLINK("https://www.boe.es/gazeta/dias/1810/10/07/pdfs/GMD-1810-280.pdf#page=4","Abrir facsímil")</f>
        <v>Abrir facsímil</v>
      </c>
      <c r="K7869" s="3" t="s">
        <v>76</v>
      </c>
    </row>
    <row r="7870" spans="1:11" ht="42" customHeight="1">
      <c r="A7870" s="2" t="s">
        <v>19710</v>
      </c>
      <c r="B7870" s="2" t="s">
        <v>19710</v>
      </c>
      <c r="C7870" s="2" t="s">
        <v>225</v>
      </c>
      <c r="D7870" s="2" t="s">
        <v>220</v>
      </c>
      <c r="E7870" s="4">
        <v>-32796</v>
      </c>
      <c r="F7870" s="3" t="s">
        <v>246</v>
      </c>
      <c r="G7870" s="3" t="s">
        <v>35</v>
      </c>
      <c r="H7870" s="2" t="s">
        <v>74</v>
      </c>
      <c r="I7870" s="2" t="s">
        <v>19711</v>
      </c>
      <c r="J7870" s="3" t="str">
        <f>HYPERLINK("https://www.boe.es/gazeta/dias/1810/03/16/pdfs/GEI-1810-2.pdf#page=2","Abrir facsímil")</f>
        <v>Abrir facsímil</v>
      </c>
      <c r="K7870" s="3" t="s">
        <v>76</v>
      </c>
    </row>
    <row r="7871" spans="1:11" ht="42" customHeight="1">
      <c r="A7871" s="2" t="s">
        <v>19712</v>
      </c>
      <c r="B7871" s="2" t="s">
        <v>19713</v>
      </c>
      <c r="C7871" s="2" t="s">
        <v>88</v>
      </c>
      <c r="D7871" s="2" t="s">
        <v>27</v>
      </c>
      <c r="E7871" s="4">
        <v>-32554</v>
      </c>
      <c r="F7871" s="3" t="s">
        <v>5190</v>
      </c>
      <c r="G7871" s="3" t="s">
        <v>5191</v>
      </c>
      <c r="H7871" s="2" t="s">
        <v>74</v>
      </c>
      <c r="I7871" s="2" t="s">
        <v>19714</v>
      </c>
      <c r="J7871" s="3" t="str">
        <f>HYPERLINK("https://www.boe.es/gazeta/dias/1810/11/13/pdfs/GEI-1810-94.pdf#page=8","Abrir facsímil")</f>
        <v>Abrir facsímil</v>
      </c>
      <c r="K7871" s="3" t="s">
        <v>76</v>
      </c>
    </row>
    <row r="7872" spans="1:11" ht="42" customHeight="1">
      <c r="A7872" s="2" t="s">
        <v>19715</v>
      </c>
      <c r="B7872" s="2" t="s">
        <v>19715</v>
      </c>
      <c r="C7872" s="2" t="s">
        <v>88</v>
      </c>
      <c r="D7872" s="2" t="s">
        <v>27</v>
      </c>
      <c r="E7872" s="4">
        <v>-32827</v>
      </c>
      <c r="F7872" s="3" t="s">
        <v>290</v>
      </c>
      <c r="G7872" s="3" t="s">
        <v>1322</v>
      </c>
      <c r="H7872" s="2" t="s">
        <v>21</v>
      </c>
      <c r="I7872" s="2" t="s">
        <v>19716</v>
      </c>
      <c r="J7872" s="3" t="str">
        <f>HYPERLINK("https://www.boe.es/gazeta/dias/1810/02/13/pdfs/GMD-1810-44.pdf#page=1","Abrir facsímil")</f>
        <v>Abrir facsímil</v>
      </c>
      <c r="K7872" s="3" t="s">
        <v>23</v>
      </c>
    </row>
    <row r="7873" spans="1:11" ht="42" customHeight="1">
      <c r="A7873" s="2" t="s">
        <v>19717</v>
      </c>
      <c r="B7873" s="2" t="s">
        <v>19717</v>
      </c>
      <c r="C7873" s="2" t="s">
        <v>88</v>
      </c>
      <c r="D7873" s="2" t="s">
        <v>27</v>
      </c>
      <c r="E7873" s="4">
        <v>-32800</v>
      </c>
      <c r="F7873" s="3" t="s">
        <v>388</v>
      </c>
      <c r="G7873" s="3" t="s">
        <v>119</v>
      </c>
      <c r="H7873" s="2" t="s">
        <v>74</v>
      </c>
      <c r="I7873" s="2" t="s">
        <v>19718</v>
      </c>
      <c r="J7873" s="3" t="str">
        <f>HYPERLINK("https://www.boe.es/gazeta/dias/1810/03/12/pdfs/GMD-1810-71.pdf#page=3","Abrir facsímil")</f>
        <v>Abrir facsímil</v>
      </c>
      <c r="K7873" s="3" t="s">
        <v>76</v>
      </c>
    </row>
    <row r="7874" spans="1:11" ht="42" customHeight="1">
      <c r="A7874" s="2" t="s">
        <v>19719</v>
      </c>
      <c r="B7874" s="2" t="s">
        <v>19720</v>
      </c>
      <c r="C7874" s="2" t="s">
        <v>17</v>
      </c>
      <c r="D7874" s="2" t="s">
        <v>27</v>
      </c>
      <c r="E7874" s="4">
        <v>-32654</v>
      </c>
      <c r="F7874" s="3" t="s">
        <v>1226</v>
      </c>
      <c r="G7874" s="3" t="s">
        <v>180</v>
      </c>
      <c r="H7874" s="2" t="s">
        <v>74</v>
      </c>
      <c r="I7874" s="2" t="s">
        <v>19721</v>
      </c>
      <c r="J7874" s="3" t="str">
        <f>HYPERLINK("https://www.boe.es/gazeta/dias/1810/08/05/pdfs/GMD-1810-217.pdf#page=4","Abrir facsímil")</f>
        <v>Abrir facsímil</v>
      </c>
      <c r="K7874" s="3" t="s">
        <v>76</v>
      </c>
    </row>
    <row r="7875" spans="1:11" ht="42" customHeight="1">
      <c r="A7875" s="2" t="s">
        <v>19722</v>
      </c>
      <c r="B7875" s="2" t="s">
        <v>19723</v>
      </c>
      <c r="C7875" s="2" t="s">
        <v>26</v>
      </c>
      <c r="D7875" s="2" t="s">
        <v>27</v>
      </c>
      <c r="E7875" s="4">
        <v>-32575</v>
      </c>
      <c r="F7875" s="3" t="s">
        <v>135</v>
      </c>
      <c r="G7875" s="3" t="s">
        <v>140</v>
      </c>
      <c r="H7875" s="2" t="s">
        <v>74</v>
      </c>
      <c r="I7875" s="2" t="s">
        <v>19724</v>
      </c>
      <c r="J7875" s="3" t="str">
        <f>HYPERLINK("https://www.boe.es/gazeta/dias/1810/10/23/pdfs/GEI-1810-85.pdf#page=10","Abrir facsímil")</f>
        <v>Abrir facsímil</v>
      </c>
      <c r="K7875" s="3" t="s">
        <v>76</v>
      </c>
    </row>
    <row r="7876" spans="1:11" ht="42" customHeight="1">
      <c r="A7876" s="2" t="s">
        <v>19725</v>
      </c>
      <c r="B7876" s="2" t="s">
        <v>19726</v>
      </c>
      <c r="C7876" s="2" t="s">
        <v>26</v>
      </c>
      <c r="D7876" s="2" t="s">
        <v>39</v>
      </c>
      <c r="E7876" s="4">
        <v>-32684</v>
      </c>
      <c r="F7876" s="3" t="s">
        <v>372</v>
      </c>
      <c r="G7876" s="3" t="s">
        <v>373</v>
      </c>
      <c r="H7876" s="2" t="s">
        <v>74</v>
      </c>
      <c r="I7876" s="2" t="s">
        <v>19727</v>
      </c>
      <c r="J7876" s="3" t="str">
        <f>HYPERLINK("https://www.boe.es/gazeta/dias/1810/07/06/pdfs/GEI-D-1810-42.pdf#page=8","Abrir facsímil")</f>
        <v>Abrir facsímil</v>
      </c>
      <c r="K7876" s="3" t="s">
        <v>76</v>
      </c>
    </row>
    <row r="7877" spans="1:11" ht="42" customHeight="1">
      <c r="A7877" s="2" t="s">
        <v>19728</v>
      </c>
      <c r="B7877" s="2" t="s">
        <v>19729</v>
      </c>
      <c r="C7877" s="2" t="s">
        <v>88</v>
      </c>
      <c r="D7877" s="2" t="s">
        <v>27</v>
      </c>
      <c r="E7877" s="4">
        <v>-32559</v>
      </c>
      <c r="F7877" s="3" t="s">
        <v>3062</v>
      </c>
      <c r="G7877" s="3" t="s">
        <v>291</v>
      </c>
      <c r="H7877" s="2" t="s">
        <v>74</v>
      </c>
      <c r="I7877" s="2" t="s">
        <v>19730</v>
      </c>
      <c r="J7877" s="3" t="str">
        <f>HYPERLINK("https://www.boe.es/gazeta/dias/1810/11/08/pdfs/GEI-1810-92.pdf#page=2","Abrir facsímil")</f>
        <v>Abrir facsímil</v>
      </c>
      <c r="K7877" s="3" t="s">
        <v>76</v>
      </c>
    </row>
    <row r="7878" spans="1:11" ht="42" customHeight="1">
      <c r="A7878" s="2" t="s">
        <v>19731</v>
      </c>
      <c r="B7878" s="2" t="s">
        <v>19731</v>
      </c>
      <c r="C7878" s="2" t="s">
        <v>88</v>
      </c>
      <c r="D7878" s="2" t="s">
        <v>117</v>
      </c>
      <c r="E7878" s="4">
        <v>-32575</v>
      </c>
      <c r="F7878" s="3" t="s">
        <v>135</v>
      </c>
      <c r="G7878" s="3" t="s">
        <v>3467</v>
      </c>
      <c r="H7878" s="2" t="s">
        <v>74</v>
      </c>
      <c r="I7878" s="2" t="s">
        <v>19732</v>
      </c>
      <c r="J7878" s="3" t="str">
        <f>HYPERLINK("https://www.boe.es/gazeta/dias/1810/10/23/pdfs/GEI-1810-85.pdf#page=2","Abrir facsímil")</f>
        <v>Abrir facsímil</v>
      </c>
      <c r="K7878" s="3" t="s">
        <v>76</v>
      </c>
    </row>
    <row r="7879" spans="1:11" ht="42" customHeight="1">
      <c r="A7879" s="2" t="s">
        <v>19733</v>
      </c>
      <c r="B7879" s="2" t="s">
        <v>19733</v>
      </c>
      <c r="C7879" s="2" t="s">
        <v>88</v>
      </c>
      <c r="D7879" s="2" t="s">
        <v>117</v>
      </c>
      <c r="E7879" s="4">
        <v>-32568</v>
      </c>
      <c r="F7879" s="3" t="s">
        <v>1233</v>
      </c>
      <c r="G7879" s="3" t="s">
        <v>2902</v>
      </c>
      <c r="H7879" s="2" t="s">
        <v>74</v>
      </c>
      <c r="I7879" s="2" t="s">
        <v>19734</v>
      </c>
      <c r="J7879" s="3" t="str">
        <f>HYPERLINK("https://www.boe.es/gazeta/dias/1810/10/30/pdfs/GMD-1810-303.pdf#page=1","Abrir facsímil")</f>
        <v>Abrir facsímil</v>
      </c>
      <c r="K7879" s="3" t="s">
        <v>76</v>
      </c>
    </row>
    <row r="7880" spans="1:11" ht="42" customHeight="1">
      <c r="A7880" s="2" t="s">
        <v>19735</v>
      </c>
      <c r="B7880" s="2" t="s">
        <v>19736</v>
      </c>
      <c r="C7880" s="2" t="s">
        <v>26</v>
      </c>
      <c r="D7880" s="2" t="s">
        <v>27</v>
      </c>
      <c r="E7880" s="4">
        <v>-32684</v>
      </c>
      <c r="F7880" s="3" t="s">
        <v>1373</v>
      </c>
      <c r="G7880" s="3" t="s">
        <v>1374</v>
      </c>
      <c r="H7880" s="2" t="s">
        <v>74</v>
      </c>
      <c r="I7880" s="2" t="s">
        <v>19737</v>
      </c>
      <c r="J7880" s="3" t="str">
        <f>HYPERLINK("https://www.boe.es/gazeta/dias/1810/07/06/pdfs/GEI-1810-42.pdf#page=8","Abrir facsímil")</f>
        <v>Abrir facsímil</v>
      </c>
      <c r="K7880" s="3" t="s">
        <v>76</v>
      </c>
    </row>
    <row r="7881" spans="1:11" ht="42" customHeight="1">
      <c r="A7881" s="2" t="s">
        <v>19738</v>
      </c>
      <c r="B7881" s="2" t="s">
        <v>19739</v>
      </c>
      <c r="C7881" s="2" t="s">
        <v>26</v>
      </c>
      <c r="D7881" s="2" t="s">
        <v>27</v>
      </c>
      <c r="E7881" s="4">
        <v>-32730</v>
      </c>
      <c r="F7881" s="3" t="s">
        <v>50</v>
      </c>
      <c r="G7881" s="3" t="s">
        <v>20</v>
      </c>
      <c r="H7881" s="2" t="s">
        <v>21</v>
      </c>
      <c r="I7881" s="2" t="s">
        <v>19740</v>
      </c>
      <c r="J7881" s="3" t="str">
        <f>HYPERLINK("https://www.boe.es/gazeta/dias/1810/05/21/pdfs/GMD-1810-141.pdf#page=4","Abrir facsímil")</f>
        <v>Abrir facsímil</v>
      </c>
      <c r="K7881" s="3" t="s">
        <v>23</v>
      </c>
    </row>
    <row r="7882" spans="1:11" ht="42" customHeight="1">
      <c r="A7882" s="2" t="s">
        <v>19741</v>
      </c>
      <c r="B7882" s="2" t="s">
        <v>19742</v>
      </c>
      <c r="C7882" s="2" t="s">
        <v>88</v>
      </c>
      <c r="D7882" s="2" t="s">
        <v>27</v>
      </c>
      <c r="E7882" s="4">
        <v>-32715</v>
      </c>
      <c r="F7882" s="3" t="s">
        <v>1029</v>
      </c>
      <c r="G7882" s="3" t="s">
        <v>3747</v>
      </c>
      <c r="H7882" s="2" t="s">
        <v>74</v>
      </c>
      <c r="I7882" s="2" t="s">
        <v>19743</v>
      </c>
      <c r="J7882" s="3" t="str">
        <f>HYPERLINK("https://www.boe.es/gazeta/dias/1810/06/05/pdfs/GEI-1810-33.pdf#page=4","Abrir facsímil")</f>
        <v>Abrir facsímil</v>
      </c>
      <c r="K7882" s="3" t="s">
        <v>76</v>
      </c>
    </row>
    <row r="7883" spans="1:11" ht="42" customHeight="1">
      <c r="A7883" s="2" t="s">
        <v>19744</v>
      </c>
      <c r="B7883" s="2" t="s">
        <v>19744</v>
      </c>
      <c r="C7883" s="2" t="s">
        <v>26</v>
      </c>
      <c r="D7883" s="2" t="s">
        <v>39</v>
      </c>
      <c r="E7883" s="4">
        <v>-32701</v>
      </c>
      <c r="F7883" s="3" t="s">
        <v>40</v>
      </c>
      <c r="G7883" s="3" t="s">
        <v>170</v>
      </c>
      <c r="H7883" s="2" t="s">
        <v>74</v>
      </c>
      <c r="I7883" s="2" t="s">
        <v>19745</v>
      </c>
      <c r="J7883" s="3" t="str">
        <f>HYPERLINK("https://www.boe.es/gazeta/dias/1810/06/19/pdfs/GMD-C-1810-170.pdf#page=1","Abrir facsímil")</f>
        <v>Abrir facsímil</v>
      </c>
      <c r="K7883" s="3" t="s">
        <v>76</v>
      </c>
    </row>
    <row r="7884" spans="1:11" ht="42" customHeight="1">
      <c r="A7884" s="2" t="s">
        <v>19746</v>
      </c>
      <c r="B7884" s="2" t="s">
        <v>19747</v>
      </c>
      <c r="C7884" s="2" t="s">
        <v>26</v>
      </c>
      <c r="D7884" s="2" t="s">
        <v>27</v>
      </c>
      <c r="E7884" s="4">
        <v>-32519</v>
      </c>
      <c r="F7884" s="3" t="s">
        <v>2299</v>
      </c>
      <c r="G7884" s="3" t="s">
        <v>2739</v>
      </c>
      <c r="H7884" s="2" t="s">
        <v>74</v>
      </c>
      <c r="I7884" s="2" t="s">
        <v>19748</v>
      </c>
      <c r="J7884" s="3" t="str">
        <f>HYPERLINK("https://www.boe.es/gazeta/dias/1810/12/18/pdfs/GEI-1810-109.pdf#page=6","Abrir facsímil")</f>
        <v>Abrir facsímil</v>
      </c>
      <c r="K7884" s="3" t="s">
        <v>76</v>
      </c>
    </row>
    <row r="7885" spans="1:11" ht="42" customHeight="1">
      <c r="A7885" s="2" t="s">
        <v>19749</v>
      </c>
      <c r="B7885" s="2" t="s">
        <v>19750</v>
      </c>
      <c r="C7885" s="2" t="s">
        <v>930</v>
      </c>
      <c r="D7885" s="2" t="s">
        <v>27</v>
      </c>
      <c r="E7885" s="4">
        <v>-32858</v>
      </c>
      <c r="F7885" s="3" t="s">
        <v>4182</v>
      </c>
      <c r="G7885" s="3" t="s">
        <v>151</v>
      </c>
      <c r="H7885" s="2" t="s">
        <v>74</v>
      </c>
      <c r="I7885" s="2" t="s">
        <v>19751</v>
      </c>
      <c r="J7885" s="3" t="str">
        <f>HYPERLINK("https://www.boe.es/gazeta/dias/1810/01/13/pdfs/GGB-1810-6.pdf#page=9","Abrir facsímil")</f>
        <v>Abrir facsímil</v>
      </c>
      <c r="K7885" s="3" t="s">
        <v>76</v>
      </c>
    </row>
    <row r="7886" spans="1:11" ht="42" customHeight="1">
      <c r="A7886" s="2" t="s">
        <v>19752</v>
      </c>
      <c r="B7886" s="2" t="s">
        <v>19752</v>
      </c>
      <c r="C7886" s="2" t="s">
        <v>88</v>
      </c>
      <c r="D7886" s="2" t="s">
        <v>117</v>
      </c>
      <c r="E7886" s="4">
        <v>-32684</v>
      </c>
      <c r="F7886" s="3" t="s">
        <v>1373</v>
      </c>
      <c r="G7886" s="3" t="s">
        <v>1821</v>
      </c>
      <c r="H7886" s="2" t="s">
        <v>74</v>
      </c>
      <c r="I7886" s="2" t="s">
        <v>19753</v>
      </c>
      <c r="J7886" s="3" t="str">
        <f>HYPERLINK("https://www.boe.es/gazeta/dias/1810/07/06/pdfs/GEI-1810-42.pdf#page=3","Abrir facsímil")</f>
        <v>Abrir facsímil</v>
      </c>
      <c r="K7886" s="3" t="s">
        <v>76</v>
      </c>
    </row>
    <row r="7887" spans="1:11" ht="42" customHeight="1">
      <c r="A7887" s="2" t="s">
        <v>19754</v>
      </c>
      <c r="B7887" s="2" t="s">
        <v>19754</v>
      </c>
      <c r="C7887" s="2" t="s">
        <v>88</v>
      </c>
      <c r="D7887" s="2" t="s">
        <v>18</v>
      </c>
      <c r="E7887" s="4">
        <v>-32666</v>
      </c>
      <c r="F7887" s="3" t="s">
        <v>346</v>
      </c>
      <c r="G7887" s="3" t="s">
        <v>347</v>
      </c>
      <c r="H7887" s="2" t="s">
        <v>74</v>
      </c>
      <c r="I7887" s="2" t="s">
        <v>19755</v>
      </c>
      <c r="J7887" s="3" t="str">
        <f>HYPERLINK("https://www.boe.es/gazeta/dias/1810/07/24/pdfs/GEI-1810-47.pdf#page=8","Abrir facsímil")</f>
        <v>Abrir facsímil</v>
      </c>
      <c r="K7887" s="3" t="s">
        <v>76</v>
      </c>
    </row>
    <row r="7888" spans="1:11" ht="42" customHeight="1">
      <c r="A7888" s="2" t="s">
        <v>19756</v>
      </c>
      <c r="B7888" s="2" t="s">
        <v>19756</v>
      </c>
      <c r="C7888" s="2" t="s">
        <v>88</v>
      </c>
      <c r="D7888" s="2" t="s">
        <v>117</v>
      </c>
      <c r="E7888" s="4">
        <v>-32559</v>
      </c>
      <c r="F7888" s="3" t="s">
        <v>3062</v>
      </c>
      <c r="G7888" s="3" t="s">
        <v>70</v>
      </c>
      <c r="H7888" s="2" t="s">
        <v>74</v>
      </c>
      <c r="I7888" s="2" t="s">
        <v>19757</v>
      </c>
      <c r="J7888" s="3" t="str">
        <f>HYPERLINK("https://www.boe.es/gazeta/dias/1810/11/08/pdfs/GEI-1810-92.pdf#page=6","Abrir facsímil")</f>
        <v>Abrir facsímil</v>
      </c>
      <c r="K7888" s="3" t="s">
        <v>76</v>
      </c>
    </row>
    <row r="7889" spans="1:11" ht="42" customHeight="1">
      <c r="A7889" s="2" t="s">
        <v>19758</v>
      </c>
      <c r="B7889" s="2" t="s">
        <v>19758</v>
      </c>
      <c r="C7889" s="2" t="s">
        <v>88</v>
      </c>
      <c r="D7889" s="2" t="s">
        <v>117</v>
      </c>
      <c r="E7889" s="4">
        <v>-32687</v>
      </c>
      <c r="F7889" s="3" t="s">
        <v>263</v>
      </c>
      <c r="G7889" s="3" t="s">
        <v>20</v>
      </c>
      <c r="H7889" s="2" t="s">
        <v>74</v>
      </c>
      <c r="I7889" s="2" t="s">
        <v>19759</v>
      </c>
      <c r="J7889" s="3" t="str">
        <f>HYPERLINK("https://www.boe.es/gazeta/dias/1810/07/03/pdfs/GEI-1810-41.pdf#page=4","Abrir facsímil")</f>
        <v>Abrir facsímil</v>
      </c>
      <c r="K7889" s="3" t="s">
        <v>76</v>
      </c>
    </row>
    <row r="7890" spans="1:11" ht="42" customHeight="1">
      <c r="A7890" s="2" t="s">
        <v>19760</v>
      </c>
      <c r="B7890" s="2" t="s">
        <v>19760</v>
      </c>
      <c r="C7890" s="2" t="s">
        <v>88</v>
      </c>
      <c r="D7890" s="2" t="s">
        <v>220</v>
      </c>
      <c r="E7890" s="4">
        <v>-32677</v>
      </c>
      <c r="F7890" s="3" t="s">
        <v>1940</v>
      </c>
      <c r="G7890" s="3" t="s">
        <v>2828</v>
      </c>
      <c r="H7890" s="2" t="s">
        <v>74</v>
      </c>
      <c r="I7890" s="2" t="s">
        <v>19761</v>
      </c>
      <c r="J7890" s="3" t="str">
        <f>HYPERLINK("https://www.boe.es/gazeta/dias/1810/07/13/pdfs/GEI-1810-44.pdf#page=3","Abrir facsímil")</f>
        <v>Abrir facsímil</v>
      </c>
      <c r="K7890" s="3" t="s">
        <v>76</v>
      </c>
    </row>
    <row r="7891" spans="1:11" ht="42" customHeight="1">
      <c r="A7891" s="2" t="s">
        <v>19758</v>
      </c>
      <c r="B7891" s="2" t="s">
        <v>19758</v>
      </c>
      <c r="C7891" s="2" t="s">
        <v>88</v>
      </c>
      <c r="D7891" s="2" t="s">
        <v>27</v>
      </c>
      <c r="E7891" s="4">
        <v>-32638</v>
      </c>
      <c r="F7891" s="3" t="s">
        <v>2498</v>
      </c>
      <c r="G7891" s="3" t="s">
        <v>119</v>
      </c>
      <c r="H7891" s="2" t="s">
        <v>74</v>
      </c>
      <c r="I7891" s="2" t="s">
        <v>19762</v>
      </c>
      <c r="J7891" s="3" t="str">
        <f>HYPERLINK("https://www.boe.es/gazeta/dias/1810/08/21/pdfs/GEI-1810-58.pdf#page=2","Abrir facsímil")</f>
        <v>Abrir facsímil</v>
      </c>
      <c r="K7891" s="3" t="s">
        <v>76</v>
      </c>
    </row>
    <row r="7892" spans="1:11" ht="42" customHeight="1">
      <c r="A7892" s="2" t="s">
        <v>19758</v>
      </c>
      <c r="B7892" s="2" t="s">
        <v>19758</v>
      </c>
      <c r="C7892" s="2" t="s">
        <v>88</v>
      </c>
      <c r="D7892" s="2" t="s">
        <v>27</v>
      </c>
      <c r="E7892" s="4">
        <v>-32624</v>
      </c>
      <c r="F7892" s="3" t="s">
        <v>2176</v>
      </c>
      <c r="G7892" s="3" t="s">
        <v>14057</v>
      </c>
      <c r="H7892" s="2" t="s">
        <v>74</v>
      </c>
      <c r="I7892" s="2" t="s">
        <v>19763</v>
      </c>
      <c r="J7892" s="3" t="str">
        <f>HYPERLINK("https://www.boe.es/gazeta/dias/1810/09/04/pdfs/GEI-1810-64.pdf#page=3","Abrir facsímil")</f>
        <v>Abrir facsímil</v>
      </c>
      <c r="K7892" s="3" t="s">
        <v>76</v>
      </c>
    </row>
    <row r="7893" spans="1:11" ht="42" customHeight="1">
      <c r="A7893" s="2" t="s">
        <v>19758</v>
      </c>
      <c r="B7893" s="2" t="s">
        <v>19758</v>
      </c>
      <c r="C7893" s="2" t="s">
        <v>88</v>
      </c>
      <c r="D7893" s="2" t="s">
        <v>117</v>
      </c>
      <c r="E7893" s="4">
        <v>-32624</v>
      </c>
      <c r="F7893" s="3" t="s">
        <v>6736</v>
      </c>
      <c r="G7893" s="3" t="s">
        <v>6737</v>
      </c>
      <c r="H7893" s="2" t="s">
        <v>74</v>
      </c>
      <c r="I7893" s="2" t="s">
        <v>19764</v>
      </c>
      <c r="J7893" s="3" t="str">
        <f>HYPERLINK("https://www.boe.es/gazeta/dias/1810/09/04/pdfs/GEI-D-1810-64.pdf#page=1","Abrir facsímil")</f>
        <v>Abrir facsímil</v>
      </c>
      <c r="K7893" s="3" t="s">
        <v>76</v>
      </c>
    </row>
    <row r="7894" spans="1:11" ht="42" customHeight="1">
      <c r="A7894" s="2" t="s">
        <v>19758</v>
      </c>
      <c r="B7894" s="2" t="s">
        <v>19758</v>
      </c>
      <c r="C7894" s="2" t="s">
        <v>88</v>
      </c>
      <c r="D7894" s="2" t="s">
        <v>220</v>
      </c>
      <c r="E7894" s="4">
        <v>-32624</v>
      </c>
      <c r="F7894" s="3" t="s">
        <v>6736</v>
      </c>
      <c r="G7894" s="3" t="s">
        <v>227</v>
      </c>
      <c r="H7894" s="2" t="s">
        <v>74</v>
      </c>
      <c r="I7894" s="2" t="s">
        <v>19765</v>
      </c>
      <c r="J7894" s="3" t="str">
        <f>HYPERLINK("https://www.boe.es/gazeta/dias/1810/09/04/pdfs/GEI-D-1810-64.pdf#page=2","Abrir facsímil")</f>
        <v>Abrir facsímil</v>
      </c>
      <c r="K7894" s="3" t="s">
        <v>76</v>
      </c>
    </row>
    <row r="7895" spans="1:11" ht="42" customHeight="1">
      <c r="A7895" s="2" t="s">
        <v>19758</v>
      </c>
      <c r="B7895" s="2" t="s">
        <v>19758</v>
      </c>
      <c r="C7895" s="2" t="s">
        <v>88</v>
      </c>
      <c r="D7895" s="2" t="s">
        <v>27</v>
      </c>
      <c r="E7895" s="4">
        <v>-32559</v>
      </c>
      <c r="F7895" s="3" t="s">
        <v>3062</v>
      </c>
      <c r="G7895" s="3" t="s">
        <v>70</v>
      </c>
      <c r="H7895" s="2" t="s">
        <v>74</v>
      </c>
      <c r="I7895" s="2" t="s">
        <v>19766</v>
      </c>
      <c r="J7895" s="3" t="str">
        <f>HYPERLINK("https://www.boe.es/gazeta/dias/1810/11/08/pdfs/GEI-1810-92.pdf#page=6","Abrir facsímil")</f>
        <v>Abrir facsímil</v>
      </c>
      <c r="K7895" s="3" t="s">
        <v>76</v>
      </c>
    </row>
    <row r="7896" spans="1:11" ht="42" customHeight="1">
      <c r="A7896" s="2" t="s">
        <v>19767</v>
      </c>
      <c r="B7896" s="2" t="s">
        <v>19768</v>
      </c>
      <c r="C7896" s="2" t="s">
        <v>88</v>
      </c>
      <c r="D7896" s="2" t="s">
        <v>39</v>
      </c>
      <c r="E7896" s="4">
        <v>-32624</v>
      </c>
      <c r="F7896" s="3" t="s">
        <v>6736</v>
      </c>
      <c r="G7896" s="3" t="s">
        <v>6737</v>
      </c>
      <c r="H7896" s="2" t="s">
        <v>74</v>
      </c>
      <c r="I7896" s="2" t="s">
        <v>19769</v>
      </c>
      <c r="J7896" s="3" t="str">
        <f>HYPERLINK("https://www.boe.es/gazeta/dias/1810/09/04/pdfs/GEI-D-1810-64.pdf#page=1","Abrir facsímil")</f>
        <v>Abrir facsímil</v>
      </c>
      <c r="K7896" s="3" t="s">
        <v>76</v>
      </c>
    </row>
    <row r="7897" spans="1:11" ht="42" customHeight="1">
      <c r="A7897" s="2" t="s">
        <v>19770</v>
      </c>
      <c r="B7897" s="2" t="s">
        <v>19771</v>
      </c>
      <c r="C7897" s="2" t="s">
        <v>26</v>
      </c>
      <c r="D7897" s="2" t="s">
        <v>27</v>
      </c>
      <c r="E7897" s="4">
        <v>-32771</v>
      </c>
      <c r="F7897" s="3" t="s">
        <v>543</v>
      </c>
      <c r="G7897" s="3" t="s">
        <v>274</v>
      </c>
      <c r="H7897" s="2" t="s">
        <v>74</v>
      </c>
      <c r="I7897" s="2" t="s">
        <v>19772</v>
      </c>
      <c r="J7897" s="3" t="str">
        <f>HYPERLINK("https://www.boe.es/gazeta/dias/1810/04/10/pdfs/GEI-1810-13.pdf#page=8","Abrir facsímil")</f>
        <v>Abrir facsímil</v>
      </c>
      <c r="K7897" s="3" t="s">
        <v>76</v>
      </c>
    </row>
    <row r="7898" spans="1:11" ht="42" customHeight="1">
      <c r="A7898" s="2" t="s">
        <v>19773</v>
      </c>
      <c r="B7898" s="2" t="s">
        <v>19774</v>
      </c>
      <c r="C7898" s="2" t="s">
        <v>88</v>
      </c>
      <c r="D7898" s="2" t="s">
        <v>27</v>
      </c>
      <c r="E7898" s="4">
        <v>-32716</v>
      </c>
      <c r="F7898" s="3" t="s">
        <v>624</v>
      </c>
      <c r="G7898" s="3" t="s">
        <v>140</v>
      </c>
      <c r="H7898" s="2" t="s">
        <v>74</v>
      </c>
      <c r="I7898" s="2" t="s">
        <v>19775</v>
      </c>
      <c r="J7898" s="3" t="str">
        <f>HYPERLINK("https://www.boe.es/gazeta/dias/1810/06/04/pdfs/GMD-1810-155.pdf#page=4","Abrir facsímil")</f>
        <v>Abrir facsímil</v>
      </c>
      <c r="K7898" s="3" t="s">
        <v>76</v>
      </c>
    </row>
    <row r="7899" spans="1:11" ht="42" customHeight="1">
      <c r="A7899" s="2" t="s">
        <v>19776</v>
      </c>
      <c r="B7899" s="2" t="s">
        <v>19777</v>
      </c>
      <c r="C7899" s="2" t="s">
        <v>26</v>
      </c>
      <c r="D7899" s="2" t="s">
        <v>27</v>
      </c>
      <c r="E7899" s="4">
        <v>-32508</v>
      </c>
      <c r="F7899" s="3" t="s">
        <v>2609</v>
      </c>
      <c r="G7899" s="3" t="s">
        <v>70</v>
      </c>
      <c r="H7899" s="2" t="s">
        <v>74</v>
      </c>
      <c r="I7899" s="2" t="s">
        <v>19778</v>
      </c>
      <c r="J7899" s="3" t="str">
        <f>HYPERLINK("https://www.boe.es/gazeta/dias/1810/12/29/pdfs/GMD-1810-363.pdf#page=4","Abrir facsímil")</f>
        <v>Abrir facsímil</v>
      </c>
      <c r="K7899" s="3" t="s">
        <v>76</v>
      </c>
    </row>
    <row r="7900" spans="1:11" ht="42" customHeight="1">
      <c r="A7900" s="2" t="s">
        <v>19779</v>
      </c>
      <c r="B7900" s="2" t="s">
        <v>19780</v>
      </c>
      <c r="C7900" s="2" t="s">
        <v>26</v>
      </c>
      <c r="D7900" s="2" t="s">
        <v>27</v>
      </c>
      <c r="E7900" s="4">
        <v>-32513</v>
      </c>
      <c r="F7900" s="3" t="s">
        <v>3702</v>
      </c>
      <c r="G7900" s="3" t="s">
        <v>465</v>
      </c>
      <c r="H7900" s="2" t="s">
        <v>74</v>
      </c>
      <c r="I7900" s="2" t="s">
        <v>19781</v>
      </c>
      <c r="J7900" s="3" t="str">
        <f>HYPERLINK("https://www.boe.es/gazeta/dias/1810/12/24/pdfs/GMD-1810-358.pdf#page=4","Abrir facsímil")</f>
        <v>Abrir facsímil</v>
      </c>
      <c r="K7900" s="3" t="s">
        <v>76</v>
      </c>
    </row>
    <row r="7901" spans="1:11" ht="42" customHeight="1">
      <c r="A7901" s="2" t="s">
        <v>19779</v>
      </c>
      <c r="B7901" s="2" t="s">
        <v>19780</v>
      </c>
      <c r="C7901" s="2" t="s">
        <v>111</v>
      </c>
      <c r="D7901" s="2" t="s">
        <v>27</v>
      </c>
      <c r="E7901" s="4">
        <v>-32511</v>
      </c>
      <c r="F7901" s="3" t="s">
        <v>482</v>
      </c>
      <c r="G7901" s="3" t="s">
        <v>20</v>
      </c>
      <c r="H7901" s="2" t="s">
        <v>74</v>
      </c>
      <c r="I7901" s="2" t="s">
        <v>19782</v>
      </c>
      <c r="J7901" s="3" t="str">
        <f>HYPERLINK("https://www.boe.es/gazeta/dias/1810/12/26/pdfs/GMD-1810-360.pdf#page=4","Abrir facsímil")</f>
        <v>Abrir facsímil</v>
      </c>
      <c r="K7901" s="3" t="s">
        <v>76</v>
      </c>
    </row>
    <row r="7902" spans="1:11" ht="42" customHeight="1">
      <c r="A7902" s="2" t="s">
        <v>19779</v>
      </c>
      <c r="B7902" s="2" t="s">
        <v>19780</v>
      </c>
      <c r="C7902" s="2" t="s">
        <v>26</v>
      </c>
      <c r="D7902" s="2" t="s">
        <v>220</v>
      </c>
      <c r="E7902" s="4">
        <v>-32510</v>
      </c>
      <c r="F7902" s="3" t="s">
        <v>9898</v>
      </c>
      <c r="G7902" s="3" t="s">
        <v>473</v>
      </c>
      <c r="H7902" s="2" t="s">
        <v>74</v>
      </c>
      <c r="I7902" s="2" t="s">
        <v>19783</v>
      </c>
      <c r="J7902" s="3" t="str">
        <f>HYPERLINK("https://www.boe.es/gazeta/dias/1810/12/27/pdfs/GMD-1810-361.pdf#page=4","Abrir facsímil")</f>
        <v>Abrir facsímil</v>
      </c>
      <c r="K7902" s="3" t="s">
        <v>76</v>
      </c>
    </row>
    <row r="7903" spans="1:11" ht="42" customHeight="1">
      <c r="A7903" s="2" t="s">
        <v>19779</v>
      </c>
      <c r="B7903" s="2" t="s">
        <v>19780</v>
      </c>
      <c r="C7903" s="2" t="s">
        <v>225</v>
      </c>
      <c r="D7903" s="2" t="s">
        <v>27</v>
      </c>
      <c r="E7903" s="4">
        <v>-32509</v>
      </c>
      <c r="F7903" s="3" t="s">
        <v>212</v>
      </c>
      <c r="G7903" s="3" t="s">
        <v>213</v>
      </c>
      <c r="H7903" s="2" t="s">
        <v>74</v>
      </c>
      <c r="I7903" s="2" t="s">
        <v>19784</v>
      </c>
      <c r="J7903" s="3" t="str">
        <f>HYPERLINK("https://www.boe.es/gazeta/dias/1810/12/28/pdfs/GMD-1810-362.pdf#page=4","Abrir facsímil")</f>
        <v>Abrir facsímil</v>
      </c>
      <c r="K7903" s="3" t="s">
        <v>76</v>
      </c>
    </row>
    <row r="7904" spans="1:11" ht="42" customHeight="1">
      <c r="A7904" s="2" t="s">
        <v>19779</v>
      </c>
      <c r="B7904" s="2" t="s">
        <v>19780</v>
      </c>
      <c r="C7904" s="2" t="s">
        <v>26</v>
      </c>
      <c r="D7904" s="2" t="s">
        <v>27</v>
      </c>
      <c r="E7904" s="4">
        <v>-32507</v>
      </c>
      <c r="F7904" s="3" t="s">
        <v>11205</v>
      </c>
      <c r="G7904" s="3" t="s">
        <v>227</v>
      </c>
      <c r="H7904" s="2" t="s">
        <v>74</v>
      </c>
      <c r="I7904" s="2" t="s">
        <v>19785</v>
      </c>
      <c r="J7904" s="3" t="str">
        <f>HYPERLINK("https://www.boe.es/gazeta/dias/1810/12/30/pdfs/GMD-1810-364.pdf#page=4","Abrir facsímil")</f>
        <v>Abrir facsímil</v>
      </c>
      <c r="K7904" s="3" t="s">
        <v>76</v>
      </c>
    </row>
    <row r="7905" spans="1:11" ht="42" customHeight="1">
      <c r="A7905" s="2" t="s">
        <v>19786</v>
      </c>
      <c r="B7905" s="2" t="s">
        <v>19787</v>
      </c>
      <c r="C7905" s="2" t="s">
        <v>26</v>
      </c>
      <c r="D7905" s="2" t="s">
        <v>27</v>
      </c>
      <c r="E7905" s="4">
        <v>-32512</v>
      </c>
      <c r="F7905" s="3" t="s">
        <v>2731</v>
      </c>
      <c r="G7905" s="3" t="s">
        <v>20</v>
      </c>
      <c r="H7905" s="2" t="s">
        <v>74</v>
      </c>
      <c r="I7905" s="2" t="s">
        <v>19788</v>
      </c>
      <c r="J7905" s="3" t="str">
        <f>HYPERLINK("https://www.boe.es/gazeta/dias/1810/12/25/pdfs/GMD-1810-359.pdf#page=4","Abrir facsímil")</f>
        <v>Abrir facsímil</v>
      </c>
      <c r="K7905" s="3" t="s">
        <v>76</v>
      </c>
    </row>
    <row r="7906" spans="1:11" ht="42" customHeight="1">
      <c r="A7906" s="2" t="s">
        <v>19789</v>
      </c>
      <c r="B7906" s="2" t="s">
        <v>19790</v>
      </c>
      <c r="C7906" s="2" t="s">
        <v>33</v>
      </c>
      <c r="D7906" s="2" t="s">
        <v>58</v>
      </c>
      <c r="E7906" s="4">
        <v>-32601</v>
      </c>
      <c r="F7906" s="3" t="s">
        <v>392</v>
      </c>
      <c r="G7906" s="3" t="s">
        <v>1430</v>
      </c>
      <c r="H7906" s="2" t="s">
        <v>74</v>
      </c>
      <c r="I7906" s="2" t="s">
        <v>19791</v>
      </c>
      <c r="J7906" s="3" t="str">
        <f>HYPERLINK("https://www.boe.es/gazeta/dias/1810/09/27/pdfs/GEI-1810-74E.pdf#page=3","Abrir facsímil")</f>
        <v>Abrir facsímil</v>
      </c>
      <c r="K7906" s="3" t="s">
        <v>76</v>
      </c>
    </row>
    <row r="7907" spans="1:11" ht="42" customHeight="1">
      <c r="A7907" s="2" t="s">
        <v>19792</v>
      </c>
      <c r="B7907" s="2" t="s">
        <v>19792</v>
      </c>
      <c r="C7907" s="2" t="s">
        <v>33</v>
      </c>
      <c r="D7907" s="2" t="s">
        <v>27</v>
      </c>
      <c r="E7907" s="4">
        <v>-32616</v>
      </c>
      <c r="F7907" s="3" t="s">
        <v>4444</v>
      </c>
      <c r="G7907" s="3" t="s">
        <v>99</v>
      </c>
      <c r="H7907" s="2" t="s">
        <v>74</v>
      </c>
      <c r="I7907" s="2" t="s">
        <v>19793</v>
      </c>
      <c r="J7907" s="3" t="str">
        <f>HYPERLINK("https://www.boe.es/gazeta/dias/1810/09/12/pdfs/GMD-1810-255.pdf#page=3","Abrir facsímil")</f>
        <v>Abrir facsímil</v>
      </c>
      <c r="K7907" s="3" t="s">
        <v>76</v>
      </c>
    </row>
    <row r="7908" spans="1:11" ht="42" customHeight="1">
      <c r="A7908" s="2" t="s">
        <v>19794</v>
      </c>
      <c r="B7908" s="2" t="s">
        <v>19795</v>
      </c>
      <c r="C7908" s="2" t="s">
        <v>88</v>
      </c>
      <c r="D7908" s="2" t="s">
        <v>27</v>
      </c>
      <c r="E7908" s="4">
        <v>-32729</v>
      </c>
      <c r="F7908" s="3" t="s">
        <v>174</v>
      </c>
      <c r="G7908" s="3" t="s">
        <v>70</v>
      </c>
      <c r="H7908" s="2" t="s">
        <v>74</v>
      </c>
      <c r="I7908" s="2" t="s">
        <v>19796</v>
      </c>
      <c r="J7908" s="3" t="str">
        <f>HYPERLINK("https://www.boe.es/gazeta/dias/1810/05/22/pdfs/GEI-1810-28.pdf#page=7","Abrir facsímil")</f>
        <v>Abrir facsímil</v>
      </c>
      <c r="K7908" s="3" t="s">
        <v>76</v>
      </c>
    </row>
    <row r="7909" spans="1:11" ht="42" customHeight="1">
      <c r="A7909" s="2" t="s">
        <v>19797</v>
      </c>
      <c r="B7909" s="2" t="s">
        <v>19798</v>
      </c>
      <c r="C7909" s="2" t="s">
        <v>225</v>
      </c>
      <c r="D7909" s="2" t="s">
        <v>27</v>
      </c>
      <c r="E7909" s="4">
        <v>-32509</v>
      </c>
      <c r="F7909" s="3" t="s">
        <v>212</v>
      </c>
      <c r="G7909" s="3" t="s">
        <v>213</v>
      </c>
      <c r="H7909" s="2" t="s">
        <v>74</v>
      </c>
      <c r="I7909" s="2" t="s">
        <v>19799</v>
      </c>
      <c r="J7909" s="3" t="str">
        <f>HYPERLINK("https://www.boe.es/gazeta/dias/1810/12/28/pdfs/GMD-1810-362.pdf#page=4","Abrir facsímil")</f>
        <v>Abrir facsímil</v>
      </c>
      <c r="K7909" s="3" t="s">
        <v>76</v>
      </c>
    </row>
    <row r="7910" spans="1:11" ht="42" customHeight="1">
      <c r="A7910" s="2" t="s">
        <v>19800</v>
      </c>
      <c r="B7910" s="2" t="s">
        <v>19800</v>
      </c>
      <c r="C7910" s="2" t="s">
        <v>88</v>
      </c>
      <c r="D7910" s="2" t="s">
        <v>117</v>
      </c>
      <c r="E7910" s="4">
        <v>-32620</v>
      </c>
      <c r="F7910" s="3" t="s">
        <v>1499</v>
      </c>
      <c r="G7910" s="3" t="s">
        <v>695</v>
      </c>
      <c r="H7910" s="2" t="s">
        <v>74</v>
      </c>
      <c r="I7910" s="2" t="s">
        <v>19801</v>
      </c>
      <c r="J7910" s="3" t="str">
        <f>HYPERLINK("https://www.boe.es/gazeta/dias/1810/09/08/pdfs/GMD-1810-251.pdf#page=3","Abrir facsímil")</f>
        <v>Abrir facsímil</v>
      </c>
      <c r="K7910" s="3" t="s">
        <v>76</v>
      </c>
    </row>
    <row r="7911" spans="1:11" ht="42" customHeight="1">
      <c r="A7911" s="2" t="s">
        <v>19800</v>
      </c>
      <c r="B7911" s="2" t="s">
        <v>19800</v>
      </c>
      <c r="C7911" s="2" t="s">
        <v>88</v>
      </c>
      <c r="D7911" s="2" t="s">
        <v>117</v>
      </c>
      <c r="E7911" s="4">
        <v>-32552</v>
      </c>
      <c r="F7911" s="3" t="s">
        <v>234</v>
      </c>
      <c r="G7911" s="3" t="s">
        <v>227</v>
      </c>
      <c r="H7911" s="2" t="s">
        <v>74</v>
      </c>
      <c r="I7911" s="2" t="s">
        <v>19802</v>
      </c>
      <c r="J7911" s="3" t="str">
        <f>HYPERLINK("https://www.boe.es/gazeta/dias/1810/11/15/pdfs/GMD-1810-319.pdf#page=2","Abrir facsímil")</f>
        <v>Abrir facsímil</v>
      </c>
      <c r="K7911" s="3" t="s">
        <v>76</v>
      </c>
    </row>
    <row r="7912" spans="1:11" ht="42" customHeight="1">
      <c r="A7912" s="2" t="s">
        <v>19803</v>
      </c>
      <c r="B7912" s="2" t="s">
        <v>19804</v>
      </c>
      <c r="C7912" s="2" t="s">
        <v>33</v>
      </c>
      <c r="D7912" s="2" t="s">
        <v>39</v>
      </c>
      <c r="E7912" s="4">
        <v>-32645</v>
      </c>
      <c r="F7912" s="3" t="s">
        <v>2492</v>
      </c>
      <c r="G7912" s="3" t="s">
        <v>20</v>
      </c>
      <c r="H7912" s="2" t="s">
        <v>74</v>
      </c>
      <c r="I7912" s="2" t="s">
        <v>19805</v>
      </c>
      <c r="J7912" s="3" t="str">
        <f>HYPERLINK("https://www.boe.es/gazeta/dias/1810/08/14/pdfs/GEI-D-1810-56.pdf#page=4","Abrir facsímil")</f>
        <v>Abrir facsímil</v>
      </c>
      <c r="K7912" s="3" t="s">
        <v>76</v>
      </c>
    </row>
    <row r="7913" spans="1:11" ht="42" customHeight="1">
      <c r="A7913" s="2" t="s">
        <v>19806</v>
      </c>
      <c r="B7913" s="2" t="s">
        <v>19807</v>
      </c>
      <c r="C7913" s="2" t="s">
        <v>88</v>
      </c>
      <c r="D7913" s="2" t="s">
        <v>27</v>
      </c>
      <c r="E7913" s="4">
        <v>-32544</v>
      </c>
      <c r="F7913" s="3" t="s">
        <v>1239</v>
      </c>
      <c r="G7913" s="3" t="s">
        <v>99</v>
      </c>
      <c r="H7913" s="2" t="s">
        <v>74</v>
      </c>
      <c r="I7913" s="2" t="s">
        <v>19808</v>
      </c>
      <c r="J7913" s="3" t="str">
        <f>HYPERLINK("https://www.boe.es/gazeta/dias/1810/11/23/pdfs/GMD-1810-327.pdf#page=3","Abrir facsímil")</f>
        <v>Abrir facsímil</v>
      </c>
      <c r="K7913" s="3" t="s">
        <v>76</v>
      </c>
    </row>
    <row r="7914" spans="1:11" ht="42" customHeight="1">
      <c r="A7914" s="2" t="s">
        <v>19809</v>
      </c>
      <c r="B7914" s="2" t="s">
        <v>19810</v>
      </c>
      <c r="C7914" s="2" t="s">
        <v>26</v>
      </c>
      <c r="D7914" s="2" t="s">
        <v>27</v>
      </c>
      <c r="E7914" s="4">
        <v>-32837</v>
      </c>
      <c r="F7914" s="3" t="s">
        <v>196</v>
      </c>
      <c r="G7914" s="3" t="s">
        <v>140</v>
      </c>
      <c r="H7914" s="2" t="s">
        <v>74</v>
      </c>
      <c r="I7914" s="2" t="s">
        <v>19811</v>
      </c>
      <c r="J7914" s="3" t="str">
        <f>HYPERLINK("https://www.boe.es/gazeta/dias/1810/02/03/pdfs/GMD-1810-34.pdf#page=4","Abrir facsímil")</f>
        <v>Abrir facsímil</v>
      </c>
      <c r="K7914" s="3" t="s">
        <v>76</v>
      </c>
    </row>
    <row r="7915" spans="1:11" ht="42" customHeight="1">
      <c r="A7915" s="2" t="s">
        <v>19812</v>
      </c>
      <c r="B7915" s="2" t="s">
        <v>19813</v>
      </c>
      <c r="C7915" s="2" t="s">
        <v>88</v>
      </c>
      <c r="D7915" s="2" t="s">
        <v>27</v>
      </c>
      <c r="E7915" s="4">
        <v>-32710</v>
      </c>
      <c r="F7915" s="3" t="s">
        <v>126</v>
      </c>
      <c r="G7915" s="3" t="s">
        <v>184</v>
      </c>
      <c r="H7915" s="2" t="s">
        <v>74</v>
      </c>
      <c r="I7915" s="2" t="s">
        <v>19814</v>
      </c>
      <c r="J7915" s="3" t="str">
        <f>HYPERLINK("https://www.boe.es/gazeta/dias/1810/06/10/pdfs/GMD-1810-161.pdf#page=3","Abrir facsímil")</f>
        <v>Abrir facsímil</v>
      </c>
      <c r="K7915" s="3" t="s">
        <v>76</v>
      </c>
    </row>
    <row r="7916" spans="1:11" ht="42" customHeight="1">
      <c r="A7916" s="2" t="s">
        <v>19815</v>
      </c>
      <c r="B7916" s="2" t="s">
        <v>19815</v>
      </c>
      <c r="C7916" s="2" t="s">
        <v>88</v>
      </c>
      <c r="D7916" s="2" t="s">
        <v>117</v>
      </c>
      <c r="E7916" s="4">
        <v>-32508</v>
      </c>
      <c r="F7916" s="3" t="s">
        <v>2609</v>
      </c>
      <c r="G7916" s="3" t="s">
        <v>227</v>
      </c>
      <c r="H7916" s="2" t="s">
        <v>74</v>
      </c>
      <c r="I7916" s="2" t="s">
        <v>19816</v>
      </c>
      <c r="J7916" s="3" t="str">
        <f>HYPERLINK("https://www.boe.es/gazeta/dias/1810/12/29/pdfs/GMD-1810-363.pdf#page=2","Abrir facsímil")</f>
        <v>Abrir facsímil</v>
      </c>
      <c r="K7916" s="3" t="s">
        <v>76</v>
      </c>
    </row>
    <row r="7917" spans="1:11" ht="42" customHeight="1">
      <c r="A7917" s="2" t="s">
        <v>19817</v>
      </c>
      <c r="B7917" s="2" t="s">
        <v>19818</v>
      </c>
      <c r="C7917" s="2" t="s">
        <v>225</v>
      </c>
      <c r="D7917" s="2" t="s">
        <v>117</v>
      </c>
      <c r="E7917" s="4">
        <v>-32761</v>
      </c>
      <c r="F7917" s="3" t="s">
        <v>811</v>
      </c>
      <c r="G7917" s="3" t="s">
        <v>140</v>
      </c>
      <c r="H7917" s="2" t="s">
        <v>74</v>
      </c>
      <c r="I7917" s="2" t="s">
        <v>19819</v>
      </c>
      <c r="J7917" s="3" t="str">
        <f>HYPERLINK("https://www.boe.es/gazeta/dias/1810/04/20/pdfs/GEI-1810-16.pdf#page=8","Abrir facsímil")</f>
        <v>Abrir facsímil</v>
      </c>
      <c r="K7917" s="3" t="s">
        <v>76</v>
      </c>
    </row>
    <row r="7918" spans="1:11" ht="42" customHeight="1">
      <c r="A7918" s="2" t="s">
        <v>19820</v>
      </c>
      <c r="B7918" s="2" t="s">
        <v>19821</v>
      </c>
      <c r="C7918" s="2" t="s">
        <v>111</v>
      </c>
      <c r="D7918" s="2" t="s">
        <v>27</v>
      </c>
      <c r="E7918" s="4">
        <v>-32680</v>
      </c>
      <c r="F7918" s="3" t="s">
        <v>509</v>
      </c>
      <c r="G7918" s="3" t="s">
        <v>119</v>
      </c>
      <c r="H7918" s="2" t="s">
        <v>74</v>
      </c>
      <c r="I7918" s="2" t="s">
        <v>19822</v>
      </c>
      <c r="J7918" s="3" t="str">
        <f>HYPERLINK("https://www.boe.es/gazeta/dias/1810/07/10/pdfs/GMD-1810-191.pdf#page=3","Abrir facsímil")</f>
        <v>Abrir facsímil</v>
      </c>
      <c r="K7918" s="3" t="s">
        <v>76</v>
      </c>
    </row>
    <row r="7919" spans="1:11" ht="42" customHeight="1">
      <c r="A7919" s="2" t="s">
        <v>19823</v>
      </c>
      <c r="B7919" s="2" t="s">
        <v>19824</v>
      </c>
      <c r="C7919" s="2" t="s">
        <v>26</v>
      </c>
      <c r="D7919" s="2" t="s">
        <v>27</v>
      </c>
      <c r="E7919" s="4">
        <v>-32689</v>
      </c>
      <c r="F7919" s="3" t="s">
        <v>571</v>
      </c>
      <c r="G7919" s="3" t="s">
        <v>29</v>
      </c>
      <c r="H7919" s="2" t="s">
        <v>74</v>
      </c>
      <c r="I7919" s="2" t="s">
        <v>19825</v>
      </c>
      <c r="J7919" s="3" t="str">
        <f>HYPERLINK("https://www.boe.es/gazeta/dias/1810/07/01/pdfs/GMD-1810-182.pdf#page=3","Abrir facsímil")</f>
        <v>Abrir facsímil</v>
      </c>
      <c r="K7919" s="3" t="s">
        <v>76</v>
      </c>
    </row>
    <row r="7920" spans="1:11" ht="42" customHeight="1">
      <c r="A7920" s="2" t="s">
        <v>19826</v>
      </c>
      <c r="B7920" s="2" t="s">
        <v>19826</v>
      </c>
      <c r="C7920" s="2" t="s">
        <v>88</v>
      </c>
      <c r="D7920" s="2" t="s">
        <v>117</v>
      </c>
      <c r="E7920" s="4">
        <v>-32754</v>
      </c>
      <c r="F7920" s="3" t="s">
        <v>1057</v>
      </c>
      <c r="G7920" s="3" t="s">
        <v>15756</v>
      </c>
      <c r="H7920" s="2" t="s">
        <v>74</v>
      </c>
      <c r="I7920" s="2" t="s">
        <v>19827</v>
      </c>
      <c r="J7920" s="3" t="str">
        <f>HYPERLINK("https://www.boe.es/gazeta/dias/1810/04/27/pdfs/GEI-1810-18.pdf#page=7","Abrir facsímil")</f>
        <v>Abrir facsímil</v>
      </c>
      <c r="K7920" s="3" t="s">
        <v>76</v>
      </c>
    </row>
    <row r="7921" spans="1:11" ht="42" customHeight="1">
      <c r="A7921" s="2" t="s">
        <v>19826</v>
      </c>
      <c r="B7921" s="2" t="s">
        <v>19826</v>
      </c>
      <c r="C7921" s="2" t="s">
        <v>26</v>
      </c>
      <c r="D7921" s="2" t="s">
        <v>27</v>
      </c>
      <c r="E7921" s="4">
        <v>-32754</v>
      </c>
      <c r="F7921" s="3" t="s">
        <v>1057</v>
      </c>
      <c r="G7921" s="3" t="s">
        <v>14195</v>
      </c>
      <c r="H7921" s="2" t="s">
        <v>74</v>
      </c>
      <c r="I7921" s="2" t="s">
        <v>19828</v>
      </c>
      <c r="J7921" s="3" t="str">
        <f>HYPERLINK("https://www.boe.es/gazeta/dias/1810/04/27/pdfs/GEI-1810-18.pdf#page=8","Abrir facsímil")</f>
        <v>Abrir facsímil</v>
      </c>
      <c r="K7921" s="3" t="s">
        <v>76</v>
      </c>
    </row>
    <row r="7922" spans="1:11" ht="42" customHeight="1">
      <c r="A7922" s="2" t="s">
        <v>19829</v>
      </c>
      <c r="B7922" s="2" t="s">
        <v>19830</v>
      </c>
      <c r="C7922" s="2" t="s">
        <v>88</v>
      </c>
      <c r="D7922" s="2" t="s">
        <v>27</v>
      </c>
      <c r="E7922" s="4">
        <v>-32543</v>
      </c>
      <c r="F7922" s="3" t="s">
        <v>69</v>
      </c>
      <c r="G7922" s="3" t="s">
        <v>70</v>
      </c>
      <c r="H7922" s="2" t="s">
        <v>74</v>
      </c>
      <c r="I7922" s="2" t="s">
        <v>19831</v>
      </c>
      <c r="J7922" s="3" t="str">
        <f>HYPERLINK("https://www.boe.es/gazeta/dias/1810/11/24/pdfs/GEI-1810-99.pdf#page=8","Abrir facsímil")</f>
        <v>Abrir facsímil</v>
      </c>
      <c r="K7922" s="3" t="s">
        <v>76</v>
      </c>
    </row>
    <row r="7923" spans="1:11" ht="42" customHeight="1">
      <c r="A7923" s="2" t="s">
        <v>19832</v>
      </c>
      <c r="B7923" s="2" t="s">
        <v>19833</v>
      </c>
      <c r="C7923" s="2" t="s">
        <v>26</v>
      </c>
      <c r="D7923" s="2" t="s">
        <v>27</v>
      </c>
      <c r="E7923" s="4">
        <v>-32730</v>
      </c>
      <c r="F7923" s="3" t="s">
        <v>50</v>
      </c>
      <c r="G7923" s="3" t="s">
        <v>20</v>
      </c>
      <c r="H7923" s="2" t="s">
        <v>74</v>
      </c>
      <c r="I7923" s="2" t="s">
        <v>19834</v>
      </c>
      <c r="J7923" s="3" t="str">
        <f>HYPERLINK("https://www.boe.es/gazeta/dias/1810/05/21/pdfs/GMD-1810-141.pdf#page=4","Abrir facsímil")</f>
        <v>Abrir facsímil</v>
      </c>
      <c r="K7923" s="3" t="s">
        <v>76</v>
      </c>
    </row>
    <row r="7924" spans="1:11" ht="42" customHeight="1">
      <c r="A7924" s="2" t="s">
        <v>19835</v>
      </c>
      <c r="B7924" s="2" t="s">
        <v>19836</v>
      </c>
      <c r="C7924" s="2" t="s">
        <v>26</v>
      </c>
      <c r="D7924" s="2" t="s">
        <v>27</v>
      </c>
      <c r="E7924" s="4">
        <v>-32715</v>
      </c>
      <c r="F7924" s="3" t="s">
        <v>1029</v>
      </c>
      <c r="G7924" s="3" t="s">
        <v>1638</v>
      </c>
      <c r="H7924" s="2" t="s">
        <v>74</v>
      </c>
      <c r="I7924" s="2" t="s">
        <v>19837</v>
      </c>
      <c r="J7924" s="3" t="str">
        <f>HYPERLINK("https://www.boe.es/gazeta/dias/1810/06/05/pdfs/GEI-1810-33.pdf#page=10","Abrir facsímil")</f>
        <v>Abrir facsímil</v>
      </c>
      <c r="K7924" s="3" t="s">
        <v>76</v>
      </c>
    </row>
    <row r="7925" spans="1:11" ht="42" customHeight="1">
      <c r="A7925" s="2" t="s">
        <v>19838</v>
      </c>
      <c r="B7925" s="2" t="s">
        <v>19838</v>
      </c>
      <c r="C7925" s="2" t="s">
        <v>88</v>
      </c>
      <c r="D7925" s="2" t="s">
        <v>27</v>
      </c>
      <c r="E7925" s="4">
        <v>-32806</v>
      </c>
      <c r="F7925" s="3" t="s">
        <v>1839</v>
      </c>
      <c r="G7925" s="3" t="s">
        <v>227</v>
      </c>
      <c r="H7925" s="2" t="s">
        <v>74</v>
      </c>
      <c r="I7925" s="2" t="s">
        <v>19839</v>
      </c>
      <c r="J7925" s="3" t="str">
        <f>HYPERLINK("https://www.boe.es/gazeta/dias/1810/03/06/pdfs/GMD-1810-65.pdf#page=2","Abrir facsímil")</f>
        <v>Abrir facsímil</v>
      </c>
      <c r="K7925" s="3" t="s">
        <v>76</v>
      </c>
    </row>
    <row r="7926" spans="1:11" ht="42" customHeight="1">
      <c r="A7926" s="2" t="s">
        <v>19840</v>
      </c>
      <c r="B7926" s="2" t="s">
        <v>19841</v>
      </c>
      <c r="C7926" s="2" t="s">
        <v>88</v>
      </c>
      <c r="D7926" s="2" t="s">
        <v>27</v>
      </c>
      <c r="E7926" s="4">
        <v>-32550</v>
      </c>
      <c r="F7926" s="3" t="s">
        <v>1472</v>
      </c>
      <c r="G7926" s="3" t="s">
        <v>1473</v>
      </c>
      <c r="H7926" s="2" t="s">
        <v>74</v>
      </c>
      <c r="I7926" s="2" t="s">
        <v>19842</v>
      </c>
      <c r="J7926" s="3" t="str">
        <f>HYPERLINK("https://www.boe.es/gazeta/dias/1810/11/17/pdfs/GEI-1810-96.pdf#page=8","Abrir facsímil")</f>
        <v>Abrir facsímil</v>
      </c>
      <c r="K7926" s="3" t="s">
        <v>76</v>
      </c>
    </row>
    <row r="7927" spans="1:11" ht="42" customHeight="1">
      <c r="A7927" s="2" t="s">
        <v>19843</v>
      </c>
      <c r="B7927" s="2" t="s">
        <v>19843</v>
      </c>
      <c r="C7927" s="2" t="s">
        <v>88</v>
      </c>
      <c r="D7927" s="2" t="s">
        <v>27</v>
      </c>
      <c r="E7927" s="4">
        <v>-32762</v>
      </c>
      <c r="F7927" s="3" t="s">
        <v>231</v>
      </c>
      <c r="G7927" s="3" t="s">
        <v>505</v>
      </c>
      <c r="H7927" s="2" t="s">
        <v>74</v>
      </c>
      <c r="I7927" s="2" t="s">
        <v>19844</v>
      </c>
      <c r="J7927" s="3" t="str">
        <f>HYPERLINK("https://www.boe.es/gazeta/dias/1810/04/19/pdfs/GMD-1810-109.pdf#page=1","Abrir facsímil")</f>
        <v>Abrir facsímil</v>
      </c>
      <c r="K7927" s="3" t="s">
        <v>76</v>
      </c>
    </row>
    <row r="7928" spans="1:11" ht="42" customHeight="1">
      <c r="A7928" s="2" t="s">
        <v>19845</v>
      </c>
      <c r="B7928" s="2" t="s">
        <v>19845</v>
      </c>
      <c r="C7928" s="2" t="s">
        <v>88</v>
      </c>
      <c r="D7928" s="2" t="s">
        <v>117</v>
      </c>
      <c r="E7928" s="4">
        <v>-32815</v>
      </c>
      <c r="F7928" s="3" t="s">
        <v>1201</v>
      </c>
      <c r="G7928" s="3" t="s">
        <v>90</v>
      </c>
      <c r="H7928" s="2" t="s">
        <v>74</v>
      </c>
      <c r="I7928" s="2" t="s">
        <v>19846</v>
      </c>
      <c r="J7928" s="3" t="str">
        <f>HYPERLINK("https://www.boe.es/gazeta/dias/1810/02/25/pdfs/GMD-1810-56.pdf#page=2","Abrir facsímil")</f>
        <v>Abrir facsímil</v>
      </c>
      <c r="K7928" s="3" t="s">
        <v>76</v>
      </c>
    </row>
    <row r="7929" spans="1:11" ht="42" customHeight="1">
      <c r="A7929" s="2" t="s">
        <v>19845</v>
      </c>
      <c r="B7929" s="2" t="s">
        <v>19845</v>
      </c>
      <c r="C7929" s="2" t="s">
        <v>88</v>
      </c>
      <c r="D7929" s="2" t="s">
        <v>117</v>
      </c>
      <c r="E7929" s="4">
        <v>-32787</v>
      </c>
      <c r="F7929" s="3" t="s">
        <v>4797</v>
      </c>
      <c r="G7929" s="3" t="s">
        <v>4798</v>
      </c>
      <c r="H7929" s="2" t="s">
        <v>74</v>
      </c>
      <c r="I7929" s="2" t="s">
        <v>19847</v>
      </c>
      <c r="J7929" s="3" t="str">
        <f>HYPERLINK("https://www.boe.es/gazeta/dias/1810/03/25/pdfs/GMD-1810-84.pdf#page=2","Abrir facsímil")</f>
        <v>Abrir facsímil</v>
      </c>
      <c r="K7929" s="3" t="s">
        <v>76</v>
      </c>
    </row>
    <row r="7930" spans="1:11" ht="42" customHeight="1">
      <c r="A7930" s="2" t="s">
        <v>19848</v>
      </c>
      <c r="B7930" s="2" t="s">
        <v>19848</v>
      </c>
      <c r="C7930" s="2" t="s">
        <v>88</v>
      </c>
      <c r="D7930" s="2" t="s">
        <v>27</v>
      </c>
      <c r="E7930" s="4">
        <v>-32548</v>
      </c>
      <c r="F7930" s="3" t="s">
        <v>19849</v>
      </c>
      <c r="G7930" s="3" t="s">
        <v>18228</v>
      </c>
      <c r="H7930" s="2" t="s">
        <v>74</v>
      </c>
      <c r="I7930" s="2" t="s">
        <v>19850</v>
      </c>
      <c r="J7930" s="3" t="str">
        <f>HYPERLINK("https://www.boe.es/gazeta/dias/1810/11/19/pdfs/GMD-1810-323.pdf#page=3","Abrir facsímil")</f>
        <v>Abrir facsímil</v>
      </c>
      <c r="K7930" s="3" t="s">
        <v>76</v>
      </c>
    </row>
    <row r="7931" spans="1:11" ht="42" customHeight="1">
      <c r="A7931" s="2" t="s">
        <v>19851</v>
      </c>
      <c r="B7931" s="2" t="s">
        <v>19852</v>
      </c>
      <c r="C7931" s="2" t="s">
        <v>26</v>
      </c>
      <c r="D7931" s="2" t="s">
        <v>27</v>
      </c>
      <c r="E7931" s="4">
        <v>-32783</v>
      </c>
      <c r="F7931" s="3" t="s">
        <v>896</v>
      </c>
      <c r="G7931" s="3" t="s">
        <v>20</v>
      </c>
      <c r="H7931" s="2" t="s">
        <v>74</v>
      </c>
      <c r="I7931" s="2" t="s">
        <v>19853</v>
      </c>
      <c r="J7931" s="3" t="str">
        <f>HYPERLINK("https://www.boe.es/gazeta/dias/1810/03/29/pdfs/GMD-1810-88.pdf#page=4","Abrir facsímil")</f>
        <v>Abrir facsímil</v>
      </c>
      <c r="K7931" s="3" t="s">
        <v>76</v>
      </c>
    </row>
    <row r="7932" spans="1:11" ht="42" customHeight="1">
      <c r="A7932" s="2" t="s">
        <v>19854</v>
      </c>
      <c r="B7932" s="2" t="s">
        <v>19854</v>
      </c>
      <c r="C7932" s="2" t="s">
        <v>88</v>
      </c>
      <c r="D7932" s="2" t="s">
        <v>27</v>
      </c>
      <c r="E7932" s="4">
        <v>-32720</v>
      </c>
      <c r="F7932" s="3" t="s">
        <v>3377</v>
      </c>
      <c r="G7932" s="3" t="s">
        <v>3378</v>
      </c>
      <c r="H7932" s="2" t="s">
        <v>74</v>
      </c>
      <c r="I7932" s="2" t="s">
        <v>19855</v>
      </c>
      <c r="J7932" s="3" t="str">
        <f>HYPERLINK("https://www.boe.es/gazeta/dias/1810/05/31/pdfs/GMD-1810-151.pdf#page=4","Abrir facsímil")</f>
        <v>Abrir facsímil</v>
      </c>
      <c r="K7932" s="3" t="s">
        <v>76</v>
      </c>
    </row>
    <row r="7933" spans="1:11" ht="42" customHeight="1">
      <c r="A7933" s="2" t="s">
        <v>19856</v>
      </c>
      <c r="B7933" s="2" t="s">
        <v>19856</v>
      </c>
      <c r="C7933" s="2" t="s">
        <v>88</v>
      </c>
      <c r="D7933" s="2" t="s">
        <v>117</v>
      </c>
      <c r="E7933" s="4">
        <v>-32745</v>
      </c>
      <c r="F7933" s="3" t="s">
        <v>7101</v>
      </c>
      <c r="G7933" s="3" t="s">
        <v>227</v>
      </c>
      <c r="H7933" s="2" t="s">
        <v>74</v>
      </c>
      <c r="I7933" s="2" t="s">
        <v>19857</v>
      </c>
      <c r="J7933" s="3" t="str">
        <f>HYPERLINK("https://www.boe.es/gazeta/dias/1810/05/06/pdfs/GMD-1810-126.pdf#page=1","Abrir facsímil")</f>
        <v>Abrir facsímil</v>
      </c>
      <c r="K7933" s="3" t="s">
        <v>76</v>
      </c>
    </row>
    <row r="7934" spans="1:11" ht="42" customHeight="1">
      <c r="A7934" s="2" t="s">
        <v>19858</v>
      </c>
      <c r="B7934" s="2" t="s">
        <v>19859</v>
      </c>
      <c r="C7934" s="2" t="s">
        <v>26</v>
      </c>
      <c r="D7934" s="2" t="s">
        <v>27</v>
      </c>
      <c r="E7934" s="4">
        <v>-32641</v>
      </c>
      <c r="F7934" s="3" t="s">
        <v>10757</v>
      </c>
      <c r="G7934" s="3" t="s">
        <v>119</v>
      </c>
      <c r="H7934" s="2" t="s">
        <v>74</v>
      </c>
      <c r="I7934" s="2" t="s">
        <v>19860</v>
      </c>
      <c r="J7934" s="3" t="str">
        <f>HYPERLINK("https://www.boe.es/gazeta/dias/1810/08/18/pdfs/GMD-1810-230.pdf#page=4","Abrir facsímil")</f>
        <v>Abrir facsímil</v>
      </c>
      <c r="K7934" s="3" t="s">
        <v>76</v>
      </c>
    </row>
    <row r="7935" spans="1:11" ht="42" customHeight="1">
      <c r="A7935" s="2" t="s">
        <v>19861</v>
      </c>
      <c r="B7935" s="2" t="s">
        <v>19862</v>
      </c>
      <c r="C7935" s="2" t="s">
        <v>111</v>
      </c>
      <c r="D7935" s="2" t="s">
        <v>18</v>
      </c>
      <c r="E7935" s="4">
        <v>-32547</v>
      </c>
      <c r="F7935" s="3" t="s">
        <v>407</v>
      </c>
      <c r="G7935" s="3" t="s">
        <v>408</v>
      </c>
      <c r="H7935" s="2" t="s">
        <v>74</v>
      </c>
      <c r="I7935" s="2" t="s">
        <v>19863</v>
      </c>
      <c r="J7935" s="3" t="str">
        <f>HYPERLINK("https://www.boe.es/gazeta/dias/1810/11/20/pdfs/GEI-1810-97.pdf#page=8","Abrir facsímil")</f>
        <v>Abrir facsímil</v>
      </c>
      <c r="K7935" s="3" t="s">
        <v>76</v>
      </c>
    </row>
    <row r="7936" spans="1:11" ht="42" customHeight="1">
      <c r="A7936" s="2" t="s">
        <v>19864</v>
      </c>
      <c r="B7936" s="2" t="s">
        <v>19864</v>
      </c>
      <c r="C7936" s="2" t="s">
        <v>88</v>
      </c>
      <c r="D7936" s="2" t="s">
        <v>27</v>
      </c>
      <c r="E7936" s="4">
        <v>-32514</v>
      </c>
      <c r="F7936" s="3" t="s">
        <v>3658</v>
      </c>
      <c r="G7936" s="3" t="s">
        <v>735</v>
      </c>
      <c r="H7936" s="2" t="s">
        <v>74</v>
      </c>
      <c r="I7936" s="2" t="s">
        <v>19865</v>
      </c>
      <c r="J7936" s="3" t="str">
        <f>HYPERLINK("https://www.boe.es/gazeta/dias/1810/12/23/pdfs/GMD-1810-357.pdf#page=3","Abrir facsímil")</f>
        <v>Abrir facsímil</v>
      </c>
      <c r="K7936" s="3" t="s">
        <v>76</v>
      </c>
    </row>
    <row r="7937" spans="1:11" ht="42" customHeight="1">
      <c r="A7937" s="2" t="s">
        <v>19866</v>
      </c>
      <c r="B7937" s="2" t="s">
        <v>19867</v>
      </c>
      <c r="C7937" s="2" t="s">
        <v>26</v>
      </c>
      <c r="D7937" s="2" t="s">
        <v>27</v>
      </c>
      <c r="E7937" s="4">
        <v>-32506</v>
      </c>
      <c r="F7937" s="3" t="s">
        <v>7076</v>
      </c>
      <c r="G7937" s="3" t="s">
        <v>2739</v>
      </c>
      <c r="H7937" s="2" t="s">
        <v>74</v>
      </c>
      <c r="I7937" s="2" t="s">
        <v>19868</v>
      </c>
      <c r="J7937" s="3" t="str">
        <f>HYPERLINK("https://www.boe.es/gazeta/dias/1810/12/31/pdfs/GMD-1810-365.pdf#page=4","Abrir facsímil")</f>
        <v>Abrir facsímil</v>
      </c>
      <c r="K7937" s="3" t="s">
        <v>76</v>
      </c>
    </row>
    <row r="7938" spans="1:11" ht="42" customHeight="1">
      <c r="A7938" s="2" t="s">
        <v>19869</v>
      </c>
      <c r="B7938" s="2" t="s">
        <v>19870</v>
      </c>
      <c r="C7938" s="2" t="s">
        <v>26</v>
      </c>
      <c r="D7938" s="2" t="s">
        <v>18</v>
      </c>
      <c r="E7938" s="4">
        <v>-32738</v>
      </c>
      <c r="F7938" s="3" t="s">
        <v>321</v>
      </c>
      <c r="G7938" s="3" t="s">
        <v>140</v>
      </c>
      <c r="H7938" s="2" t="s">
        <v>74</v>
      </c>
      <c r="I7938" s="2" t="s">
        <v>19871</v>
      </c>
      <c r="J7938" s="3" t="str">
        <f>HYPERLINK("https://www.boe.es/gazeta/dias/1810/05/13/pdfs/GMD-1810-133.pdf#page=4","Abrir facsímil")</f>
        <v>Abrir facsímil</v>
      </c>
      <c r="K7938" s="3" t="s">
        <v>76</v>
      </c>
    </row>
    <row r="7939" spans="1:11" ht="42" customHeight="1">
      <c r="A7939" s="2" t="s">
        <v>19872</v>
      </c>
      <c r="B7939" s="2" t="s">
        <v>19873</v>
      </c>
      <c r="C7939" s="2" t="s">
        <v>88</v>
      </c>
      <c r="D7939" s="2" t="s">
        <v>117</v>
      </c>
      <c r="E7939" s="4">
        <v>-32647</v>
      </c>
      <c r="F7939" s="3" t="s">
        <v>118</v>
      </c>
      <c r="G7939" s="3" t="s">
        <v>119</v>
      </c>
      <c r="H7939" s="2" t="s">
        <v>74</v>
      </c>
      <c r="I7939" s="2" t="s">
        <v>19874</v>
      </c>
      <c r="J7939" s="3" t="str">
        <f>HYPERLINK("https://www.boe.es/gazeta/dias/1810/08/12/pdfs/GMD-1810-224.pdf#page=3","Abrir facsímil")</f>
        <v>Abrir facsímil</v>
      </c>
      <c r="K7939" s="3" t="s">
        <v>76</v>
      </c>
    </row>
    <row r="7940" spans="1:11" ht="42" customHeight="1">
      <c r="A7940" s="2" t="s">
        <v>19875</v>
      </c>
      <c r="B7940" s="2" t="s">
        <v>19876</v>
      </c>
      <c r="C7940" s="2" t="s">
        <v>26</v>
      </c>
      <c r="D7940" s="2" t="s">
        <v>39</v>
      </c>
      <c r="E7940" s="4">
        <v>-32702</v>
      </c>
      <c r="F7940" s="3" t="s">
        <v>179</v>
      </c>
      <c r="G7940" s="3" t="s">
        <v>213</v>
      </c>
      <c r="H7940" s="2" t="s">
        <v>74</v>
      </c>
      <c r="I7940" s="2" t="s">
        <v>19877</v>
      </c>
      <c r="J7940" s="3" t="str">
        <f>HYPERLINK("https://www.boe.es/gazeta/dias/1810/06/18/pdfs/GMD-C-1810-169.pdf#page=4","Abrir facsímil")</f>
        <v>Abrir facsímil</v>
      </c>
      <c r="K7940" s="3" t="s">
        <v>76</v>
      </c>
    </row>
    <row r="7941" spans="1:11" ht="42" customHeight="1">
      <c r="A7941" s="2" t="s">
        <v>19878</v>
      </c>
      <c r="B7941" s="2" t="s">
        <v>19879</v>
      </c>
      <c r="C7941" s="2" t="s">
        <v>26</v>
      </c>
      <c r="D7941" s="2" t="s">
        <v>27</v>
      </c>
      <c r="E7941" s="4">
        <v>-32582</v>
      </c>
      <c r="F7941" s="3" t="s">
        <v>3849</v>
      </c>
      <c r="G7941" s="3" t="s">
        <v>5822</v>
      </c>
      <c r="H7941" s="2" t="s">
        <v>74</v>
      </c>
      <c r="I7941" s="2" t="s">
        <v>19880</v>
      </c>
      <c r="J7941" s="3" t="str">
        <f>HYPERLINK("https://www.boe.es/gazeta/dias/1810/10/16/pdfs/GEI-1810-82.pdf#page=8","Abrir facsímil")</f>
        <v>Abrir facsímil</v>
      </c>
      <c r="K7941" s="3" t="s">
        <v>76</v>
      </c>
    </row>
    <row r="7942" spans="1:11" ht="42" customHeight="1">
      <c r="A7942" s="2" t="s">
        <v>19881</v>
      </c>
      <c r="B7942" s="2" t="s">
        <v>19882</v>
      </c>
      <c r="C7942" s="2" t="s">
        <v>88</v>
      </c>
      <c r="D7942" s="2" t="s">
        <v>117</v>
      </c>
      <c r="E7942" s="4">
        <v>-32584</v>
      </c>
      <c r="F7942" s="3" t="s">
        <v>1560</v>
      </c>
      <c r="G7942" s="3" t="s">
        <v>971</v>
      </c>
      <c r="H7942" s="2" t="s">
        <v>74</v>
      </c>
      <c r="I7942" s="2" t="s">
        <v>19883</v>
      </c>
      <c r="J7942" s="3" t="str">
        <f>HYPERLINK("https://www.boe.es/gazeta/dias/1810/10/14/pdfs/GMD-1810-287.pdf#page=3","Abrir facsímil")</f>
        <v>Abrir facsímil</v>
      </c>
      <c r="K7942" s="3" t="s">
        <v>76</v>
      </c>
    </row>
    <row r="7943" spans="1:11" ht="42" customHeight="1">
      <c r="A7943" s="2" t="s">
        <v>19884</v>
      </c>
      <c r="B7943" s="2" t="s">
        <v>19885</v>
      </c>
      <c r="C7943" s="2" t="s">
        <v>26</v>
      </c>
      <c r="D7943" s="2" t="s">
        <v>220</v>
      </c>
      <c r="E7943" s="4">
        <v>-32659</v>
      </c>
      <c r="F7943" s="3" t="s">
        <v>328</v>
      </c>
      <c r="G7943" s="3" t="s">
        <v>119</v>
      </c>
      <c r="H7943" s="2" t="s">
        <v>74</v>
      </c>
      <c r="I7943" s="2" t="s">
        <v>19886</v>
      </c>
      <c r="J7943" s="3" t="str">
        <f>HYPERLINK("https://www.boe.es/gazeta/dias/1810/07/31/pdfs/GEI-1810-49.pdf#page=8","Abrir facsímil")</f>
        <v>Abrir facsímil</v>
      </c>
      <c r="K7943" s="3" t="s">
        <v>76</v>
      </c>
    </row>
    <row r="7944" spans="1:11" ht="42" customHeight="1">
      <c r="A7944" s="2" t="s">
        <v>19887</v>
      </c>
      <c r="B7944" s="2" t="s">
        <v>19887</v>
      </c>
      <c r="C7944" s="2" t="s">
        <v>88</v>
      </c>
      <c r="D7944" s="2" t="s">
        <v>27</v>
      </c>
      <c r="E7944" s="4">
        <v>-32749</v>
      </c>
      <c r="F7944" s="3" t="s">
        <v>2812</v>
      </c>
      <c r="G7944" s="3" t="s">
        <v>140</v>
      </c>
      <c r="H7944" s="2" t="s">
        <v>74</v>
      </c>
      <c r="I7944" s="2" t="s">
        <v>19888</v>
      </c>
      <c r="J7944" s="3" t="str">
        <f>HYPERLINK("https://www.boe.es/gazeta/dias/1810/05/02/pdfs/GMD-1810-122.pdf#page=2","Abrir facsímil")</f>
        <v>Abrir facsímil</v>
      </c>
      <c r="K7944" s="3" t="s">
        <v>76</v>
      </c>
    </row>
    <row r="7945" spans="1:11" ht="42" customHeight="1">
      <c r="A7945" s="2" t="s">
        <v>19889</v>
      </c>
      <c r="B7945" s="2" t="s">
        <v>19890</v>
      </c>
      <c r="C7945" s="2" t="s">
        <v>26</v>
      </c>
      <c r="D7945" s="2" t="s">
        <v>27</v>
      </c>
      <c r="E7945" s="4">
        <v>-32799</v>
      </c>
      <c r="F7945" s="3" t="s">
        <v>2252</v>
      </c>
      <c r="G7945" s="3" t="s">
        <v>2253</v>
      </c>
      <c r="H7945" s="2" t="s">
        <v>74</v>
      </c>
      <c r="I7945" s="2" t="s">
        <v>19891</v>
      </c>
      <c r="J7945" s="3" t="str">
        <f>HYPERLINK("https://www.boe.es/gazeta/dias/1810/03/13/pdfs/GMD-1810-72.pdf#page=4","Abrir facsímil")</f>
        <v>Abrir facsímil</v>
      </c>
      <c r="K7945" s="3" t="s">
        <v>76</v>
      </c>
    </row>
    <row r="7946" spans="1:11" ht="42" customHeight="1">
      <c r="A7946" s="2" t="s">
        <v>19892</v>
      </c>
      <c r="B7946" s="2" t="s">
        <v>19892</v>
      </c>
      <c r="C7946" s="2" t="s">
        <v>26</v>
      </c>
      <c r="D7946" s="2" t="s">
        <v>27</v>
      </c>
      <c r="E7946" s="4">
        <v>-32601</v>
      </c>
      <c r="F7946" s="3" t="s">
        <v>10916</v>
      </c>
      <c r="G7946" s="3" t="s">
        <v>65</v>
      </c>
      <c r="H7946" s="2" t="s">
        <v>74</v>
      </c>
      <c r="I7946" s="2" t="s">
        <v>19893</v>
      </c>
      <c r="J7946" s="3" t="str">
        <f>HYPERLINK("https://www.boe.es/gazeta/dias/1810/09/27/pdfs/GMD-1810-270.pdf#page=1","Abrir facsímil")</f>
        <v>Abrir facsímil</v>
      </c>
      <c r="K7946" s="3" t="s">
        <v>76</v>
      </c>
    </row>
    <row r="7947" spans="1:11" ht="42" customHeight="1">
      <c r="A7947" s="2" t="s">
        <v>19894</v>
      </c>
      <c r="B7947" s="2" t="s">
        <v>19894</v>
      </c>
      <c r="C7947" s="2" t="s">
        <v>26</v>
      </c>
      <c r="D7947" s="2" t="s">
        <v>27</v>
      </c>
      <c r="E7947" s="4">
        <v>-32591</v>
      </c>
      <c r="F7947" s="3" t="s">
        <v>377</v>
      </c>
      <c r="G7947" s="3" t="s">
        <v>886</v>
      </c>
      <c r="H7947" s="2" t="s">
        <v>74</v>
      </c>
      <c r="I7947" s="2" t="s">
        <v>19895</v>
      </c>
      <c r="J7947" s="3" t="str">
        <f>HYPERLINK("https://www.boe.es/gazeta/dias/1810/10/07/pdfs/GMD-1810-280.pdf#page=1","Abrir facsímil")</f>
        <v>Abrir facsímil</v>
      </c>
      <c r="K7947" s="3" t="s">
        <v>76</v>
      </c>
    </row>
    <row r="7948" spans="1:11" ht="42" customHeight="1">
      <c r="A7948" s="2" t="s">
        <v>19896</v>
      </c>
      <c r="B7948" s="2" t="s">
        <v>19897</v>
      </c>
      <c r="C7948" s="2" t="s">
        <v>26</v>
      </c>
      <c r="D7948" s="2" t="s">
        <v>27</v>
      </c>
      <c r="E7948" s="4">
        <v>-32841</v>
      </c>
      <c r="F7948" s="3" t="s">
        <v>4274</v>
      </c>
      <c r="G7948" s="3" t="s">
        <v>6380</v>
      </c>
      <c r="H7948" s="2" t="s">
        <v>74</v>
      </c>
      <c r="I7948" s="2" t="s">
        <v>19898</v>
      </c>
      <c r="J7948" s="3" t="str">
        <f>HYPERLINK("https://www.boe.es/gazeta/dias/1810/01/30/pdfs/GMD-1810-30.pdf#page=1","Abrir facsímil")</f>
        <v>Abrir facsímil</v>
      </c>
      <c r="K7948" s="3" t="s">
        <v>76</v>
      </c>
    </row>
    <row r="7949" spans="1:11" ht="42" customHeight="1">
      <c r="A7949" s="2" t="s">
        <v>19899</v>
      </c>
      <c r="B7949" s="2" t="s">
        <v>19900</v>
      </c>
      <c r="C7949" s="2" t="s">
        <v>26</v>
      </c>
      <c r="D7949" s="2" t="s">
        <v>39</v>
      </c>
      <c r="E7949" s="4">
        <v>-32701</v>
      </c>
      <c r="F7949" s="3" t="s">
        <v>40</v>
      </c>
      <c r="G7949" s="3" t="s">
        <v>333</v>
      </c>
      <c r="H7949" s="2" t="s">
        <v>74</v>
      </c>
      <c r="I7949" s="2" t="s">
        <v>19901</v>
      </c>
      <c r="J7949" s="3" t="str">
        <f>HYPERLINK("https://www.boe.es/gazeta/dias/1810/06/19/pdfs/GMD-C-1810-170.pdf#page=4","Abrir facsímil")</f>
        <v>Abrir facsímil</v>
      </c>
      <c r="K7949" s="3" t="s">
        <v>76</v>
      </c>
    </row>
    <row r="7950" spans="1:11" ht="42" customHeight="1">
      <c r="A7950" s="2" t="s">
        <v>19902</v>
      </c>
      <c r="B7950" s="2" t="s">
        <v>19903</v>
      </c>
      <c r="C7950" s="2" t="s">
        <v>111</v>
      </c>
      <c r="D7950" s="2" t="s">
        <v>220</v>
      </c>
      <c r="E7950" s="4">
        <v>-32727</v>
      </c>
      <c r="F7950" s="3" t="s">
        <v>1611</v>
      </c>
      <c r="G7950" s="3" t="s">
        <v>227</v>
      </c>
      <c r="H7950" s="2" t="s">
        <v>74</v>
      </c>
      <c r="I7950" s="2" t="s">
        <v>19904</v>
      </c>
      <c r="J7950" s="3" t="str">
        <f>HYPERLINK("https://www.boe.es/gazeta/dias/1810/05/24/pdfs/GMD-1810-144.pdf#page=4","Abrir facsímil")</f>
        <v>Abrir facsímil</v>
      </c>
      <c r="K7950" s="3" t="s">
        <v>76</v>
      </c>
    </row>
    <row r="7951" spans="1:11" ht="42" customHeight="1">
      <c r="A7951" s="2" t="s">
        <v>19905</v>
      </c>
      <c r="B7951" s="2" t="s">
        <v>19905</v>
      </c>
      <c r="C7951" s="2" t="s">
        <v>26</v>
      </c>
      <c r="D7951" s="2" t="s">
        <v>27</v>
      </c>
      <c r="E7951" s="4">
        <v>-32769</v>
      </c>
      <c r="F7951" s="3" t="s">
        <v>1543</v>
      </c>
      <c r="G7951" s="3" t="s">
        <v>20</v>
      </c>
      <c r="H7951" s="2" t="s">
        <v>21</v>
      </c>
      <c r="I7951" s="2" t="s">
        <v>19906</v>
      </c>
      <c r="J7951" s="3" t="str">
        <f>HYPERLINK("https://www.boe.es/gazeta/dias/1810/04/12/pdfs/GMD-1810-102.pdf#page=4","Abrir facsímil")</f>
        <v>Abrir facsímil</v>
      </c>
      <c r="K7951" s="3" t="s">
        <v>23</v>
      </c>
    </row>
    <row r="7952" spans="1:11" ht="42" customHeight="1">
      <c r="A7952" s="2" t="s">
        <v>19905</v>
      </c>
      <c r="B7952" s="2" t="s">
        <v>19905</v>
      </c>
      <c r="C7952" s="2" t="s">
        <v>88</v>
      </c>
      <c r="D7952" s="2" t="s">
        <v>27</v>
      </c>
      <c r="E7952" s="4">
        <v>-32664</v>
      </c>
      <c r="F7952" s="3" t="s">
        <v>618</v>
      </c>
      <c r="G7952" s="3" t="s">
        <v>1985</v>
      </c>
      <c r="H7952" s="2" t="s">
        <v>21</v>
      </c>
      <c r="I7952" s="2" t="s">
        <v>19907</v>
      </c>
      <c r="J7952" s="3" t="str">
        <f>HYPERLINK("https://www.boe.es/gazeta/dias/1810/07/26/pdfs/GMD-1810-207.pdf#page=4","Abrir facsímil")</f>
        <v>Abrir facsímil</v>
      </c>
      <c r="K7952" s="3" t="s">
        <v>23</v>
      </c>
    </row>
    <row r="7953" spans="1:11" ht="42" customHeight="1">
      <c r="A7953" s="2" t="s">
        <v>19908</v>
      </c>
      <c r="B7953" s="2" t="s">
        <v>19908</v>
      </c>
      <c r="C7953" s="2" t="s">
        <v>26</v>
      </c>
      <c r="D7953" s="2" t="s">
        <v>27</v>
      </c>
      <c r="E7953" s="4">
        <v>-32591</v>
      </c>
      <c r="F7953" s="3" t="s">
        <v>377</v>
      </c>
      <c r="G7953" s="3" t="s">
        <v>136</v>
      </c>
      <c r="H7953" s="2" t="s">
        <v>74</v>
      </c>
      <c r="I7953" s="2" t="s">
        <v>19909</v>
      </c>
      <c r="J7953" s="3" t="str">
        <f>HYPERLINK("https://www.boe.es/gazeta/dias/1810/10/07/pdfs/GMD-1810-280.pdf#page=3","Abrir facsímil")</f>
        <v>Abrir facsímil</v>
      </c>
      <c r="K7953" s="3" t="s">
        <v>76</v>
      </c>
    </row>
    <row r="7954" spans="1:11" ht="42" customHeight="1">
      <c r="A7954" s="2" t="s">
        <v>19910</v>
      </c>
      <c r="B7954" s="2" t="s">
        <v>19911</v>
      </c>
      <c r="C7954" s="2" t="s">
        <v>26</v>
      </c>
      <c r="D7954" s="2" t="s">
        <v>27</v>
      </c>
      <c r="E7954" s="4">
        <v>-32676</v>
      </c>
      <c r="F7954" s="3" t="s">
        <v>2863</v>
      </c>
      <c r="G7954" s="3" t="s">
        <v>592</v>
      </c>
      <c r="H7954" s="2" t="s">
        <v>74</v>
      </c>
      <c r="I7954" s="2" t="s">
        <v>19912</v>
      </c>
      <c r="J7954" s="3" t="str">
        <f>HYPERLINK("https://www.boe.es/gazeta/dias/1810/07/14/pdfs/GMD-1810-195.pdf#page=4","Abrir facsímil")</f>
        <v>Abrir facsímil</v>
      </c>
      <c r="K7954" s="3" t="s">
        <v>76</v>
      </c>
    </row>
    <row r="7955" spans="1:11" ht="42" customHeight="1">
      <c r="A7955" s="2" t="s">
        <v>19913</v>
      </c>
      <c r="B7955" s="2" t="s">
        <v>19914</v>
      </c>
      <c r="C7955" s="2" t="s">
        <v>195</v>
      </c>
      <c r="D7955" s="2" t="s">
        <v>27</v>
      </c>
      <c r="E7955" s="4">
        <v>-32839</v>
      </c>
      <c r="F7955" s="3" t="s">
        <v>28</v>
      </c>
      <c r="G7955" s="3" t="s">
        <v>29</v>
      </c>
      <c r="H7955" s="2" t="s">
        <v>74</v>
      </c>
      <c r="I7955" s="2" t="s">
        <v>19915</v>
      </c>
      <c r="J7955" s="3" t="str">
        <f>HYPERLINK("https://www.boe.es/gazeta/dias/1810/02/01/pdfs/GMD-1810-32.pdf#page=3","Abrir facsímil")</f>
        <v>Abrir facsímil</v>
      </c>
      <c r="K7955" s="3" t="s">
        <v>76</v>
      </c>
    </row>
    <row r="7956" spans="1:11" ht="42" customHeight="1">
      <c r="A7956" s="2" t="s">
        <v>19916</v>
      </c>
      <c r="B7956" s="2" t="s">
        <v>19917</v>
      </c>
      <c r="C7956" s="2" t="s">
        <v>26</v>
      </c>
      <c r="D7956" s="2" t="s">
        <v>27</v>
      </c>
      <c r="E7956" s="4">
        <v>-32710</v>
      </c>
      <c r="F7956" s="3" t="s">
        <v>126</v>
      </c>
      <c r="G7956" s="3" t="s">
        <v>20</v>
      </c>
      <c r="H7956" s="2" t="s">
        <v>74</v>
      </c>
      <c r="I7956" s="2" t="s">
        <v>19918</v>
      </c>
      <c r="J7956" s="3" t="str">
        <f>HYPERLINK("https://www.boe.es/gazeta/dias/1810/06/10/pdfs/GMD-1810-161.pdf#page=4","Abrir facsímil")</f>
        <v>Abrir facsímil</v>
      </c>
      <c r="K7956" s="3" t="s">
        <v>76</v>
      </c>
    </row>
    <row r="7957" spans="1:11" ht="42" customHeight="1">
      <c r="A7957" s="2" t="s">
        <v>19919</v>
      </c>
      <c r="B7957" s="2" t="s">
        <v>19919</v>
      </c>
      <c r="C7957" s="2" t="s">
        <v>88</v>
      </c>
      <c r="D7957" s="2" t="s">
        <v>117</v>
      </c>
      <c r="E7957" s="4">
        <v>-32692</v>
      </c>
      <c r="F7957" s="3" t="s">
        <v>3698</v>
      </c>
      <c r="G7957" s="3" t="s">
        <v>140</v>
      </c>
      <c r="H7957" s="2" t="s">
        <v>74</v>
      </c>
      <c r="I7957" s="2" t="s">
        <v>19920</v>
      </c>
      <c r="J7957" s="3" t="str">
        <f>HYPERLINK("https://www.boe.es/gazeta/dias/1810/06/28/pdfs/GMD-1810-179.pdf#page=4","Abrir facsímil")</f>
        <v>Abrir facsímil</v>
      </c>
      <c r="K7957" s="3" t="s">
        <v>76</v>
      </c>
    </row>
    <row r="7958" spans="1:11" ht="42" customHeight="1">
      <c r="A7958" s="2" t="s">
        <v>19921</v>
      </c>
      <c r="B7958" s="2" t="s">
        <v>19921</v>
      </c>
      <c r="C7958" s="2" t="s">
        <v>26</v>
      </c>
      <c r="D7958" s="2" t="s">
        <v>27</v>
      </c>
      <c r="E7958" s="4">
        <v>-32591</v>
      </c>
      <c r="F7958" s="3" t="s">
        <v>377</v>
      </c>
      <c r="G7958" s="3" t="s">
        <v>35</v>
      </c>
      <c r="H7958" s="2" t="s">
        <v>74</v>
      </c>
      <c r="I7958" s="2" t="s">
        <v>19922</v>
      </c>
      <c r="J7958" s="3" t="str">
        <f>HYPERLINK("https://www.boe.es/gazeta/dias/1810/10/07/pdfs/GMD-1810-280.pdf#page=2","Abrir facsímil")</f>
        <v>Abrir facsímil</v>
      </c>
      <c r="K7958" s="3" t="s">
        <v>76</v>
      </c>
    </row>
    <row r="7959" spans="1:11" ht="42" customHeight="1">
      <c r="A7959" s="2" t="s">
        <v>19923</v>
      </c>
      <c r="B7959" s="2" t="s">
        <v>19923</v>
      </c>
      <c r="C7959" s="2" t="s">
        <v>26</v>
      </c>
      <c r="D7959" s="2" t="s">
        <v>27</v>
      </c>
      <c r="E7959" s="4">
        <v>-32601</v>
      </c>
      <c r="F7959" s="3" t="s">
        <v>10916</v>
      </c>
      <c r="G7959" s="3" t="s">
        <v>65</v>
      </c>
      <c r="H7959" s="2" t="s">
        <v>74</v>
      </c>
      <c r="I7959" s="2" t="s">
        <v>19924</v>
      </c>
      <c r="J7959" s="3" t="str">
        <f>HYPERLINK("https://www.boe.es/gazeta/dias/1810/09/27/pdfs/GMD-1810-270.pdf#page=1","Abrir facsímil")</f>
        <v>Abrir facsímil</v>
      </c>
      <c r="K7959" s="3" t="s">
        <v>76</v>
      </c>
    </row>
    <row r="7960" spans="1:11" ht="42" customHeight="1">
      <c r="A7960" s="2" t="s">
        <v>19923</v>
      </c>
      <c r="B7960" s="2" t="s">
        <v>19923</v>
      </c>
      <c r="C7960" s="2" t="s">
        <v>111</v>
      </c>
      <c r="D7960" s="2" t="s">
        <v>27</v>
      </c>
      <c r="E7960" s="4">
        <v>-32601</v>
      </c>
      <c r="F7960" s="3" t="s">
        <v>10916</v>
      </c>
      <c r="G7960" s="3" t="s">
        <v>11158</v>
      </c>
      <c r="H7960" s="2" t="s">
        <v>74</v>
      </c>
      <c r="I7960" s="2" t="s">
        <v>19925</v>
      </c>
      <c r="J7960" s="3" t="str">
        <f>HYPERLINK("https://www.boe.es/gazeta/dias/1810/09/27/pdfs/GMD-1810-270.pdf#page=2","Abrir facsímil")</f>
        <v>Abrir facsímil</v>
      </c>
      <c r="K7960" s="3" t="s">
        <v>76</v>
      </c>
    </row>
    <row r="7961" spans="1:11" ht="42" customHeight="1">
      <c r="A7961" s="2" t="s">
        <v>19923</v>
      </c>
      <c r="B7961" s="2" t="s">
        <v>19923</v>
      </c>
      <c r="C7961" s="2" t="s">
        <v>26</v>
      </c>
      <c r="D7961" s="2" t="s">
        <v>27</v>
      </c>
      <c r="E7961" s="4">
        <v>-32597</v>
      </c>
      <c r="F7961" s="3" t="s">
        <v>2506</v>
      </c>
      <c r="G7961" s="3" t="s">
        <v>99</v>
      </c>
      <c r="H7961" s="2" t="s">
        <v>74</v>
      </c>
      <c r="I7961" s="2" t="s">
        <v>19926</v>
      </c>
      <c r="J7961" s="3" t="str">
        <f>HYPERLINK("https://www.boe.es/gazeta/dias/1810/10/01/pdfs/GMD-1810-274.pdf#page=3","Abrir facsímil")</f>
        <v>Abrir facsímil</v>
      </c>
      <c r="K7961" s="3" t="s">
        <v>76</v>
      </c>
    </row>
    <row r="7962" spans="1:11" ht="42" customHeight="1">
      <c r="A7962" s="2" t="s">
        <v>19923</v>
      </c>
      <c r="B7962" s="2" t="s">
        <v>19923</v>
      </c>
      <c r="C7962" s="2" t="s">
        <v>26</v>
      </c>
      <c r="D7962" s="2" t="s">
        <v>27</v>
      </c>
      <c r="E7962" s="4">
        <v>-32591</v>
      </c>
      <c r="F7962" s="3" t="s">
        <v>377</v>
      </c>
      <c r="G7962" s="3" t="s">
        <v>35</v>
      </c>
      <c r="H7962" s="2" t="s">
        <v>74</v>
      </c>
      <c r="I7962" s="2" t="s">
        <v>19927</v>
      </c>
      <c r="J7962" s="3" t="str">
        <f>HYPERLINK("https://www.boe.es/gazeta/dias/1810/10/07/pdfs/GMD-1810-280.pdf#page=2","Abrir facsímil")</f>
        <v>Abrir facsímil</v>
      </c>
      <c r="K7962" s="3" t="s">
        <v>76</v>
      </c>
    </row>
    <row r="7963" spans="1:11" ht="42" customHeight="1">
      <c r="A7963" s="2" t="s">
        <v>19923</v>
      </c>
      <c r="B7963" s="2" t="s">
        <v>19923</v>
      </c>
      <c r="C7963" s="2" t="s">
        <v>26</v>
      </c>
      <c r="D7963" s="2" t="s">
        <v>27</v>
      </c>
      <c r="E7963" s="4">
        <v>-32591</v>
      </c>
      <c r="F7963" s="3" t="s">
        <v>377</v>
      </c>
      <c r="G7963" s="3" t="s">
        <v>136</v>
      </c>
      <c r="H7963" s="2" t="s">
        <v>74</v>
      </c>
      <c r="I7963" s="2" t="s">
        <v>19928</v>
      </c>
      <c r="J7963" s="3" t="str">
        <f>HYPERLINK("https://www.boe.es/gazeta/dias/1810/10/07/pdfs/GMD-1810-280.pdf#page=3","Abrir facsímil")</f>
        <v>Abrir facsímil</v>
      </c>
      <c r="K7963" s="3" t="s">
        <v>76</v>
      </c>
    </row>
    <row r="7964" spans="1:11" ht="42" customHeight="1">
      <c r="A7964" s="2" t="s">
        <v>19929</v>
      </c>
      <c r="B7964" s="2" t="s">
        <v>19930</v>
      </c>
      <c r="C7964" s="2" t="s">
        <v>26</v>
      </c>
      <c r="D7964" s="2" t="s">
        <v>27</v>
      </c>
      <c r="E7964" s="4">
        <v>-32789</v>
      </c>
      <c r="F7964" s="3" t="s">
        <v>1468</v>
      </c>
      <c r="G7964" s="3" t="s">
        <v>2045</v>
      </c>
      <c r="H7964" s="2" t="s">
        <v>74</v>
      </c>
      <c r="I7964" s="2" t="s">
        <v>19931</v>
      </c>
      <c r="J7964" s="3" t="str">
        <f>HYPERLINK("https://www.boe.es/gazeta/dias/1810/03/23/pdfs/GEI-1810-5.pdf#page=4","Abrir facsímil")</f>
        <v>Abrir facsímil</v>
      </c>
      <c r="K7964" s="3" t="s">
        <v>76</v>
      </c>
    </row>
    <row r="7965" spans="1:11" ht="42" customHeight="1">
      <c r="A7965" s="2" t="s">
        <v>19932</v>
      </c>
      <c r="B7965" s="2" t="s">
        <v>19932</v>
      </c>
      <c r="C7965" s="2" t="s">
        <v>26</v>
      </c>
      <c r="D7965" s="2" t="s">
        <v>27</v>
      </c>
      <c r="E7965" s="4">
        <v>-32591</v>
      </c>
      <c r="F7965" s="3" t="s">
        <v>377</v>
      </c>
      <c r="G7965" s="3" t="s">
        <v>886</v>
      </c>
      <c r="H7965" s="2" t="s">
        <v>74</v>
      </c>
      <c r="I7965" s="2" t="s">
        <v>19933</v>
      </c>
      <c r="J7965" s="3" t="str">
        <f>HYPERLINK("https://www.boe.es/gazeta/dias/1810/10/07/pdfs/GMD-1810-280.pdf#page=1","Abrir facsímil")</f>
        <v>Abrir facsímil</v>
      </c>
      <c r="K7965" s="3" t="s">
        <v>76</v>
      </c>
    </row>
    <row r="7966" spans="1:11" ht="42" customHeight="1">
      <c r="A7966" s="2" t="s">
        <v>19934</v>
      </c>
      <c r="B7966" s="2" t="s">
        <v>19935</v>
      </c>
      <c r="C7966" s="2" t="s">
        <v>88</v>
      </c>
      <c r="D7966" s="2" t="s">
        <v>117</v>
      </c>
      <c r="E7966" s="4">
        <v>-32784</v>
      </c>
      <c r="F7966" s="3" t="s">
        <v>429</v>
      </c>
      <c r="G7966" s="3" t="s">
        <v>131</v>
      </c>
      <c r="H7966" s="2" t="s">
        <v>74</v>
      </c>
      <c r="I7966" s="2" t="s">
        <v>19936</v>
      </c>
      <c r="J7966" s="3" t="str">
        <f>HYPERLINK("https://www.boe.es/gazeta/dias/1810/03/28/pdfs/GMD-1810-87.pdf#page=3","Abrir facsímil")</f>
        <v>Abrir facsímil</v>
      </c>
      <c r="K7966" s="3" t="s">
        <v>76</v>
      </c>
    </row>
    <row r="7967" spans="1:11" ht="42" customHeight="1">
      <c r="A7967" s="2" t="s">
        <v>19937</v>
      </c>
      <c r="B7967" s="2" t="s">
        <v>19938</v>
      </c>
      <c r="C7967" s="2" t="s">
        <v>26</v>
      </c>
      <c r="D7967" s="2" t="s">
        <v>27</v>
      </c>
      <c r="E7967" s="4">
        <v>-32557</v>
      </c>
      <c r="F7967" s="3" t="s">
        <v>837</v>
      </c>
      <c r="G7967" s="3" t="s">
        <v>2073</v>
      </c>
      <c r="H7967" s="2" t="s">
        <v>74</v>
      </c>
      <c r="I7967" s="2" t="s">
        <v>19939</v>
      </c>
      <c r="J7967" s="3" t="str">
        <f>HYPERLINK("https://www.boe.es/gazeta/dias/1810/11/10/pdfs/GEI-1810-93.pdf#page=7","Abrir facsímil")</f>
        <v>Abrir facsímil</v>
      </c>
      <c r="K7967" s="3" t="s">
        <v>76</v>
      </c>
    </row>
    <row r="7968" spans="1:11" ht="42" customHeight="1">
      <c r="A7968" s="2" t="s">
        <v>19940</v>
      </c>
      <c r="B7968" s="2" t="s">
        <v>19941</v>
      </c>
      <c r="C7968" s="2" t="s">
        <v>26</v>
      </c>
      <c r="D7968" s="2" t="s">
        <v>27</v>
      </c>
      <c r="E7968" s="4">
        <v>-32712</v>
      </c>
      <c r="F7968" s="3" t="s">
        <v>667</v>
      </c>
      <c r="G7968" s="3" t="s">
        <v>668</v>
      </c>
      <c r="H7968" s="2" t="s">
        <v>74</v>
      </c>
      <c r="I7968" s="2" t="s">
        <v>19942</v>
      </c>
      <c r="J7968" s="3" t="str">
        <f>HYPERLINK("https://www.boe.es/gazeta/dias/1810/06/08/pdfs/GEI-1810-34.pdf#page=3","Abrir facsímil")</f>
        <v>Abrir facsímil</v>
      </c>
      <c r="K7968" s="3" t="s">
        <v>76</v>
      </c>
    </row>
    <row r="7969" spans="1:11" ht="42" customHeight="1">
      <c r="A7969" s="2" t="s">
        <v>19940</v>
      </c>
      <c r="B7969" s="2" t="s">
        <v>19941</v>
      </c>
      <c r="C7969" s="2" t="s">
        <v>225</v>
      </c>
      <c r="D7969" s="2" t="s">
        <v>117</v>
      </c>
      <c r="E7969" s="4">
        <v>-32708</v>
      </c>
      <c r="F7969" s="3" t="s">
        <v>654</v>
      </c>
      <c r="G7969" s="3" t="s">
        <v>90</v>
      </c>
      <c r="H7969" s="2" t="s">
        <v>74</v>
      </c>
      <c r="I7969" s="2" t="s">
        <v>19943</v>
      </c>
      <c r="J7969" s="3" t="str">
        <f>HYPERLINK("https://www.boe.es/gazeta/dias/1810/06/12/pdfs/GEI-1810-35.pdf#page=8","Abrir facsímil")</f>
        <v>Abrir facsímil</v>
      </c>
      <c r="K7969" s="3" t="s">
        <v>76</v>
      </c>
    </row>
    <row r="7970" spans="1:11" ht="42" customHeight="1">
      <c r="A7970" s="2" t="s">
        <v>19944</v>
      </c>
      <c r="B7970" s="2" t="s">
        <v>19944</v>
      </c>
      <c r="C7970" s="2" t="s">
        <v>26</v>
      </c>
      <c r="D7970" s="2" t="s">
        <v>27</v>
      </c>
      <c r="E7970" s="4">
        <v>-32825</v>
      </c>
      <c r="F7970" s="3" t="s">
        <v>10594</v>
      </c>
      <c r="G7970" s="3" t="s">
        <v>20</v>
      </c>
      <c r="H7970" s="2" t="s">
        <v>74</v>
      </c>
      <c r="I7970" s="2" t="s">
        <v>19945</v>
      </c>
      <c r="J7970" s="3" t="str">
        <f>HYPERLINK("https://www.boe.es/gazeta/dias/1810/02/15/pdfs/GMD-1810-46.pdf#page=4","Abrir facsímil")</f>
        <v>Abrir facsímil</v>
      </c>
      <c r="K7970" s="3" t="s">
        <v>76</v>
      </c>
    </row>
    <row r="7971" spans="1:11" ht="42" customHeight="1">
      <c r="A7971" s="2" t="s">
        <v>19946</v>
      </c>
      <c r="B7971" s="2" t="s">
        <v>19947</v>
      </c>
      <c r="C7971" s="2" t="s">
        <v>225</v>
      </c>
      <c r="D7971" s="2" t="s">
        <v>117</v>
      </c>
      <c r="E7971" s="4">
        <v>-32782</v>
      </c>
      <c r="F7971" s="3" t="s">
        <v>79</v>
      </c>
      <c r="G7971" s="3" t="s">
        <v>80</v>
      </c>
      <c r="H7971" s="2" t="s">
        <v>74</v>
      </c>
      <c r="I7971" s="2" t="s">
        <v>19948</v>
      </c>
      <c r="J7971" s="3" t="str">
        <f>HYPERLINK("https://www.boe.es/gazeta/dias/1810/03/30/pdfs/GEI-1810-9.pdf#page=7","Abrir facsímil")</f>
        <v>Abrir facsímil</v>
      </c>
      <c r="K7971" s="3" t="s">
        <v>76</v>
      </c>
    </row>
    <row r="7972" spans="1:11" ht="42" customHeight="1">
      <c r="A7972" s="2" t="s">
        <v>19949</v>
      </c>
      <c r="B7972" s="2" t="s">
        <v>19950</v>
      </c>
      <c r="C7972" s="2" t="s">
        <v>26</v>
      </c>
      <c r="D7972" s="2" t="s">
        <v>27</v>
      </c>
      <c r="E7972" s="4">
        <v>-32761</v>
      </c>
      <c r="F7972" s="3" t="s">
        <v>2093</v>
      </c>
      <c r="G7972" s="3" t="s">
        <v>2094</v>
      </c>
      <c r="H7972" s="2" t="s">
        <v>74</v>
      </c>
      <c r="I7972" s="2" t="s">
        <v>19951</v>
      </c>
      <c r="J7972" s="3" t="str">
        <f>HYPERLINK("https://www.boe.es/gazeta/dias/1810/04/20/pdfs/GMD-1810-110.pdf#page=2","Abrir facsímil")</f>
        <v>Abrir facsímil</v>
      </c>
      <c r="K7972" s="3" t="s">
        <v>76</v>
      </c>
    </row>
    <row r="7973" spans="1:11" ht="42" customHeight="1">
      <c r="A7973" s="2" t="s">
        <v>19952</v>
      </c>
      <c r="B7973" s="2" t="s">
        <v>19953</v>
      </c>
      <c r="C7973" s="2" t="s">
        <v>88</v>
      </c>
      <c r="D7973" s="2" t="s">
        <v>27</v>
      </c>
      <c r="E7973" s="4">
        <v>-32520</v>
      </c>
      <c r="F7973" s="3" t="s">
        <v>2109</v>
      </c>
      <c r="G7973" s="3" t="s">
        <v>2110</v>
      </c>
      <c r="H7973" s="2" t="s">
        <v>74</v>
      </c>
      <c r="I7973" s="2" t="s">
        <v>19954</v>
      </c>
      <c r="J7973" s="3" t="str">
        <f>HYPERLINK("https://www.boe.es/gazeta/dias/1810/12/17/pdfs/GMD-1810-351.pdf#page=2","Abrir facsímil")</f>
        <v>Abrir facsímil</v>
      </c>
      <c r="K7973" s="3" t="s">
        <v>76</v>
      </c>
    </row>
    <row r="7974" spans="1:11" ht="42" customHeight="1">
      <c r="A7974" s="2" t="s">
        <v>19955</v>
      </c>
      <c r="B7974" s="2" t="s">
        <v>19956</v>
      </c>
      <c r="C7974" s="2" t="s">
        <v>26</v>
      </c>
      <c r="D7974" s="2" t="s">
        <v>27</v>
      </c>
      <c r="E7974" s="4">
        <v>-32730</v>
      </c>
      <c r="F7974" s="3" t="s">
        <v>50</v>
      </c>
      <c r="G7974" s="3" t="s">
        <v>20</v>
      </c>
      <c r="H7974" s="2" t="s">
        <v>74</v>
      </c>
      <c r="I7974" s="2" t="s">
        <v>19957</v>
      </c>
      <c r="J7974" s="3" t="str">
        <f>HYPERLINK("https://www.boe.es/gazeta/dias/1810/05/21/pdfs/GMD-1810-141.pdf#page=4","Abrir facsímil")</f>
        <v>Abrir facsímil</v>
      </c>
      <c r="K7974" s="3" t="s">
        <v>76</v>
      </c>
    </row>
    <row r="7975" spans="1:11" ht="42" customHeight="1">
      <c r="A7975" s="2" t="s">
        <v>19955</v>
      </c>
      <c r="B7975" s="2" t="s">
        <v>19956</v>
      </c>
      <c r="C7975" s="2" t="s">
        <v>26</v>
      </c>
      <c r="D7975" s="2" t="s">
        <v>27</v>
      </c>
      <c r="E7975" s="4">
        <v>-32729</v>
      </c>
      <c r="F7975" s="3" t="s">
        <v>1025</v>
      </c>
      <c r="G7975" s="3" t="s">
        <v>90</v>
      </c>
      <c r="H7975" s="2" t="s">
        <v>74</v>
      </c>
      <c r="I7975" s="2" t="s">
        <v>19958</v>
      </c>
      <c r="J7975" s="3" t="str">
        <f>HYPERLINK("https://www.boe.es/gazeta/dias/1810/05/22/pdfs/GMD-1810-142.pdf#page=2","Abrir facsímil")</f>
        <v>Abrir facsímil</v>
      </c>
      <c r="K7975" s="3" t="s">
        <v>76</v>
      </c>
    </row>
    <row r="7976" spans="1:11" ht="42" customHeight="1">
      <c r="A7976" s="2" t="s">
        <v>19955</v>
      </c>
      <c r="B7976" s="2" t="s">
        <v>19956</v>
      </c>
      <c r="C7976" s="2" t="s">
        <v>26</v>
      </c>
      <c r="D7976" s="2" t="s">
        <v>27</v>
      </c>
      <c r="E7976" s="4">
        <v>-32729</v>
      </c>
      <c r="F7976" s="3" t="s">
        <v>1025</v>
      </c>
      <c r="G7976" s="3" t="s">
        <v>104</v>
      </c>
      <c r="H7976" s="2" t="s">
        <v>74</v>
      </c>
      <c r="I7976" s="2" t="s">
        <v>19959</v>
      </c>
      <c r="J7976" s="3" t="str">
        <f>HYPERLINK("https://www.boe.es/gazeta/dias/1810/05/22/pdfs/GMD-1810-142.pdf#page=3","Abrir facsímil")</f>
        <v>Abrir facsímil</v>
      </c>
      <c r="K7976" s="3" t="s">
        <v>76</v>
      </c>
    </row>
    <row r="7977" spans="1:11" ht="42" customHeight="1">
      <c r="A7977" s="2" t="s">
        <v>19960</v>
      </c>
      <c r="B7977" s="2" t="s">
        <v>19961</v>
      </c>
      <c r="C7977" s="2" t="s">
        <v>26</v>
      </c>
      <c r="D7977" s="2" t="s">
        <v>18</v>
      </c>
      <c r="E7977" s="4">
        <v>-32738</v>
      </c>
      <c r="F7977" s="3" t="s">
        <v>321</v>
      </c>
      <c r="G7977" s="3" t="s">
        <v>140</v>
      </c>
      <c r="H7977" s="2" t="s">
        <v>74</v>
      </c>
      <c r="I7977" s="2" t="s">
        <v>19962</v>
      </c>
      <c r="J7977" s="3" t="str">
        <f>HYPERLINK("https://www.boe.es/gazeta/dias/1810/05/13/pdfs/GMD-1810-133.pdf#page=4","Abrir facsímil")</f>
        <v>Abrir facsímil</v>
      </c>
      <c r="K7977" s="3" t="s">
        <v>76</v>
      </c>
    </row>
    <row r="7978" spans="1:11" ht="42" customHeight="1">
      <c r="A7978" s="2" t="s">
        <v>19963</v>
      </c>
      <c r="B7978" s="2" t="s">
        <v>19964</v>
      </c>
      <c r="C7978" s="2" t="s">
        <v>317</v>
      </c>
      <c r="D7978" s="2" t="s">
        <v>220</v>
      </c>
      <c r="E7978" s="4">
        <v>-32678</v>
      </c>
      <c r="F7978" s="3" t="s">
        <v>3679</v>
      </c>
      <c r="G7978" s="3" t="s">
        <v>29</v>
      </c>
      <c r="H7978" s="2" t="s">
        <v>74</v>
      </c>
      <c r="I7978" s="2" t="s">
        <v>19965</v>
      </c>
      <c r="J7978" s="3" t="str">
        <f>HYPERLINK("https://www.boe.es/gazeta/dias/1810/07/12/pdfs/GMD-1810-193.pdf#page=2","Abrir facsímil")</f>
        <v>Abrir facsímil</v>
      </c>
      <c r="K7978" s="3" t="s">
        <v>76</v>
      </c>
    </row>
    <row r="7979" spans="1:11" ht="42" customHeight="1">
      <c r="A7979" s="2" t="s">
        <v>19966</v>
      </c>
      <c r="B7979" s="2" t="s">
        <v>19967</v>
      </c>
      <c r="C7979" s="2" t="s">
        <v>26</v>
      </c>
      <c r="D7979" s="2" t="s">
        <v>39</v>
      </c>
      <c r="E7979" s="4">
        <v>-32701</v>
      </c>
      <c r="F7979" s="3" t="s">
        <v>40</v>
      </c>
      <c r="G7979" s="3" t="s">
        <v>315</v>
      </c>
      <c r="H7979" s="2" t="s">
        <v>74</v>
      </c>
      <c r="I7979" s="2" t="s">
        <v>19968</v>
      </c>
      <c r="J7979" s="3" t="str">
        <f>HYPERLINK("https://www.boe.es/gazeta/dias/1810/06/19/pdfs/GMD-C-1810-170.pdf#page=2","Abrir facsímil")</f>
        <v>Abrir facsímil</v>
      </c>
      <c r="K7979" s="3" t="s">
        <v>76</v>
      </c>
    </row>
    <row r="7980" spans="1:11" ht="42" customHeight="1">
      <c r="A7980" s="2" t="s">
        <v>19969</v>
      </c>
      <c r="B7980" s="2" t="s">
        <v>19969</v>
      </c>
      <c r="C7980" s="2" t="s">
        <v>33</v>
      </c>
      <c r="D7980" s="2" t="s">
        <v>27</v>
      </c>
      <c r="E7980" s="4">
        <v>-32577</v>
      </c>
      <c r="F7980" s="3" t="s">
        <v>2576</v>
      </c>
      <c r="G7980" s="3" t="s">
        <v>20</v>
      </c>
      <c r="H7980" s="2" t="s">
        <v>74</v>
      </c>
      <c r="I7980" s="2" t="s">
        <v>19970</v>
      </c>
      <c r="J7980" s="3" t="str">
        <f>HYPERLINK("https://www.boe.es/gazeta/dias/1810/10/21/pdfs/GMD-1810-294.pdf#page=4","Abrir facsímil")</f>
        <v>Abrir facsímil</v>
      </c>
      <c r="K7980" s="3" t="s">
        <v>76</v>
      </c>
    </row>
    <row r="7981" spans="1:11" ht="42" customHeight="1">
      <c r="A7981" s="2" t="s">
        <v>19971</v>
      </c>
      <c r="B7981" s="2" t="s">
        <v>19972</v>
      </c>
      <c r="C7981" s="2" t="s">
        <v>26</v>
      </c>
      <c r="D7981" s="2" t="s">
        <v>220</v>
      </c>
      <c r="E7981" s="4">
        <v>-32735</v>
      </c>
      <c r="F7981" s="3" t="s">
        <v>612</v>
      </c>
      <c r="G7981" s="3" t="s">
        <v>613</v>
      </c>
      <c r="H7981" s="2" t="s">
        <v>74</v>
      </c>
      <c r="I7981" s="2" t="s">
        <v>19973</v>
      </c>
      <c r="J7981" s="3" t="str">
        <f>HYPERLINK("https://www.boe.es/gazeta/dias/1810/05/16/pdfs/GMD-1810-136.pdf#page=1","Abrir facsímil")</f>
        <v>Abrir facsímil</v>
      </c>
      <c r="K7981" s="3" t="s">
        <v>76</v>
      </c>
    </row>
    <row r="7982" spans="1:11" ht="42" customHeight="1">
      <c r="A7982" s="2" t="s">
        <v>19974</v>
      </c>
      <c r="B7982" s="2" t="s">
        <v>19974</v>
      </c>
      <c r="C7982" s="2" t="s">
        <v>33</v>
      </c>
      <c r="D7982" s="2" t="s">
        <v>27</v>
      </c>
      <c r="E7982" s="4">
        <v>-32680</v>
      </c>
      <c r="F7982" s="3" t="s">
        <v>509</v>
      </c>
      <c r="G7982" s="3" t="s">
        <v>119</v>
      </c>
      <c r="H7982" s="2" t="s">
        <v>74</v>
      </c>
      <c r="I7982" s="2" t="s">
        <v>19975</v>
      </c>
      <c r="J7982" s="3" t="str">
        <f>HYPERLINK("https://www.boe.es/gazeta/dias/1810/07/10/pdfs/GMD-1810-191.pdf#page=3","Abrir facsímil")</f>
        <v>Abrir facsímil</v>
      </c>
      <c r="K7982" s="3" t="s">
        <v>76</v>
      </c>
    </row>
    <row r="7983" spans="1:11" ht="42" customHeight="1">
      <c r="A7983" s="2" t="s">
        <v>19976</v>
      </c>
      <c r="B7983" s="2" t="s">
        <v>19977</v>
      </c>
      <c r="C7983" s="2" t="s">
        <v>26</v>
      </c>
      <c r="D7983" s="2" t="s">
        <v>18</v>
      </c>
      <c r="E7983" s="4">
        <v>-32601</v>
      </c>
      <c r="F7983" s="3" t="s">
        <v>392</v>
      </c>
      <c r="G7983" s="3" t="s">
        <v>35</v>
      </c>
      <c r="H7983" s="2" t="s">
        <v>74</v>
      </c>
      <c r="I7983" s="2" t="s">
        <v>19978</v>
      </c>
      <c r="J7983" s="3" t="str">
        <f>HYPERLINK("https://www.boe.es/gazeta/dias/1810/09/27/pdfs/GEI-1810-74E.pdf#page=2","Abrir facsímil")</f>
        <v>Abrir facsímil</v>
      </c>
      <c r="K7983" s="3" t="s">
        <v>76</v>
      </c>
    </row>
    <row r="7984" spans="1:11" ht="42" customHeight="1">
      <c r="A7984" s="2" t="s">
        <v>19979</v>
      </c>
      <c r="B7984" s="2" t="s">
        <v>19980</v>
      </c>
      <c r="C7984" s="2" t="s">
        <v>26</v>
      </c>
      <c r="D7984" s="2" t="s">
        <v>39</v>
      </c>
      <c r="E7984" s="4">
        <v>-32701</v>
      </c>
      <c r="F7984" s="3" t="s">
        <v>40</v>
      </c>
      <c r="G7984" s="3" t="s">
        <v>315</v>
      </c>
      <c r="H7984" s="2" t="s">
        <v>74</v>
      </c>
      <c r="I7984" s="2" t="s">
        <v>19981</v>
      </c>
      <c r="J7984" s="3" t="str">
        <f>HYPERLINK("https://www.boe.es/gazeta/dias/1810/06/19/pdfs/GMD-C-1810-170.pdf#page=2","Abrir facsímil")</f>
        <v>Abrir facsímil</v>
      </c>
      <c r="K7984" s="3" t="s">
        <v>76</v>
      </c>
    </row>
    <row r="7985" spans="1:11" ht="42" customHeight="1">
      <c r="A7985" s="2" t="s">
        <v>19982</v>
      </c>
      <c r="B7985" s="2" t="s">
        <v>19982</v>
      </c>
      <c r="C7985" s="2" t="s">
        <v>26</v>
      </c>
      <c r="D7985" s="2" t="s">
        <v>27</v>
      </c>
      <c r="E7985" s="4">
        <v>-32661</v>
      </c>
      <c r="F7985" s="3" t="s">
        <v>7882</v>
      </c>
      <c r="G7985" s="3" t="s">
        <v>99</v>
      </c>
      <c r="H7985" s="2" t="s">
        <v>74</v>
      </c>
      <c r="I7985" s="2" t="s">
        <v>19983</v>
      </c>
      <c r="J7985" s="3" t="str">
        <f>HYPERLINK("https://www.boe.es/gazeta/dias/1810/07/29/pdfs/GMD-1810-210.pdf#page=3","Abrir facsímil")</f>
        <v>Abrir facsímil</v>
      </c>
      <c r="K7985" s="3" t="s">
        <v>76</v>
      </c>
    </row>
    <row r="7986" spans="1:11" ht="42" customHeight="1">
      <c r="A7986" s="2" t="s">
        <v>19984</v>
      </c>
      <c r="B7986" s="2" t="s">
        <v>19984</v>
      </c>
      <c r="C7986" s="2" t="s">
        <v>26</v>
      </c>
      <c r="D7986" s="2" t="s">
        <v>18</v>
      </c>
      <c r="E7986" s="4">
        <v>-32797</v>
      </c>
      <c r="F7986" s="3" t="s">
        <v>3666</v>
      </c>
      <c r="G7986" s="3" t="s">
        <v>3667</v>
      </c>
      <c r="H7986" s="2" t="s">
        <v>74</v>
      </c>
      <c r="I7986" s="2" t="s">
        <v>19985</v>
      </c>
      <c r="J7986" s="3" t="str">
        <f>HYPERLINK("https://www.boe.es/gazeta/dias/1810/03/15/pdfs/GMD-1810-74.pdf#page=1","Abrir facsímil")</f>
        <v>Abrir facsímil</v>
      </c>
      <c r="K7986" s="3" t="s">
        <v>76</v>
      </c>
    </row>
    <row r="7987" spans="1:11" ht="42" customHeight="1">
      <c r="A7987" s="2" t="s">
        <v>19984</v>
      </c>
      <c r="B7987" s="2" t="s">
        <v>19984</v>
      </c>
      <c r="C7987" s="2" t="s">
        <v>225</v>
      </c>
      <c r="D7987" s="2" t="s">
        <v>220</v>
      </c>
      <c r="E7987" s="4">
        <v>-32779</v>
      </c>
      <c r="F7987" s="3" t="s">
        <v>5274</v>
      </c>
      <c r="G7987" s="3" t="s">
        <v>151</v>
      </c>
      <c r="H7987" s="2" t="s">
        <v>74</v>
      </c>
      <c r="I7987" s="2" t="s">
        <v>19986</v>
      </c>
      <c r="J7987" s="3" t="str">
        <f>HYPERLINK("https://www.boe.es/gazeta/dias/1810/04/02/pdfs/GMD-1810-92.pdf#page=3","Abrir facsímil")</f>
        <v>Abrir facsímil</v>
      </c>
      <c r="K7987" s="3" t="s">
        <v>76</v>
      </c>
    </row>
    <row r="7988" spans="1:11" ht="42" customHeight="1">
      <c r="A7988" s="2" t="s">
        <v>19984</v>
      </c>
      <c r="B7988" s="2" t="s">
        <v>19984</v>
      </c>
      <c r="C7988" s="2" t="s">
        <v>33</v>
      </c>
      <c r="D7988" s="2" t="s">
        <v>220</v>
      </c>
      <c r="E7988" s="4">
        <v>-32706</v>
      </c>
      <c r="F7988" s="3" t="s">
        <v>1210</v>
      </c>
      <c r="G7988" s="3" t="s">
        <v>2639</v>
      </c>
      <c r="H7988" s="2" t="s">
        <v>74</v>
      </c>
      <c r="I7988" s="2" t="s">
        <v>19987</v>
      </c>
      <c r="J7988" s="3" t="str">
        <f>HYPERLINK("https://www.boe.es/gazeta/dias/1810/06/14/pdfs/GMD-1810-165.pdf#page=2","Abrir facsímil")</f>
        <v>Abrir facsímil</v>
      </c>
      <c r="K7988" s="3" t="s">
        <v>76</v>
      </c>
    </row>
    <row r="7989" spans="1:11" ht="42" customHeight="1">
      <c r="A7989" s="2" t="s">
        <v>19984</v>
      </c>
      <c r="B7989" s="2" t="s">
        <v>19984</v>
      </c>
      <c r="C7989" s="2" t="s">
        <v>26</v>
      </c>
      <c r="D7989" s="2" t="s">
        <v>39</v>
      </c>
      <c r="E7989" s="4">
        <v>-32670</v>
      </c>
      <c r="F7989" s="3" t="s">
        <v>2457</v>
      </c>
      <c r="G7989" s="3" t="s">
        <v>473</v>
      </c>
      <c r="H7989" s="2" t="s">
        <v>74</v>
      </c>
      <c r="I7989" s="2" t="s">
        <v>19988</v>
      </c>
      <c r="J7989" s="3" t="str">
        <f>HYPERLINK("https://www.boe.es/gazeta/dias/1810/07/20/pdfs/GMD-C-1810-201.pdf#page=4","Abrir facsímil")</f>
        <v>Abrir facsímil</v>
      </c>
      <c r="K7989" s="3" t="s">
        <v>76</v>
      </c>
    </row>
    <row r="7990" spans="1:11" ht="42" customHeight="1">
      <c r="A7990" s="2" t="s">
        <v>19984</v>
      </c>
      <c r="B7990" s="2" t="s">
        <v>19984</v>
      </c>
      <c r="C7990" s="2" t="s">
        <v>26</v>
      </c>
      <c r="D7990" s="2" t="s">
        <v>39</v>
      </c>
      <c r="E7990" s="4">
        <v>-32669</v>
      </c>
      <c r="F7990" s="3" t="s">
        <v>1110</v>
      </c>
      <c r="G7990" s="3" t="s">
        <v>213</v>
      </c>
      <c r="H7990" s="2" t="s">
        <v>74</v>
      </c>
      <c r="I7990" s="2" t="s">
        <v>19989</v>
      </c>
      <c r="J7990" s="3" t="str">
        <f>HYPERLINK("https://www.boe.es/gazeta/dias/1810/07/21/pdfs/GMD-C-1810-202.pdf#page=1","Abrir facsímil")</f>
        <v>Abrir facsímil</v>
      </c>
      <c r="K7990" s="3" t="s">
        <v>76</v>
      </c>
    </row>
    <row r="7991" spans="1:11" ht="42" customHeight="1">
      <c r="A7991" s="2" t="s">
        <v>19984</v>
      </c>
      <c r="B7991" s="2" t="s">
        <v>19984</v>
      </c>
      <c r="C7991" s="2" t="s">
        <v>26</v>
      </c>
      <c r="D7991" s="2" t="s">
        <v>27</v>
      </c>
      <c r="E7991" s="4">
        <v>-32635</v>
      </c>
      <c r="F7991" s="3" t="s">
        <v>8979</v>
      </c>
      <c r="G7991" s="3" t="s">
        <v>119</v>
      </c>
      <c r="H7991" s="2" t="s">
        <v>74</v>
      </c>
      <c r="I7991" s="2" t="s">
        <v>19990</v>
      </c>
      <c r="J7991" s="3" t="str">
        <f>HYPERLINK("https://www.boe.es/gazeta/dias/1810/08/24/pdfs/GMD-1810-236.pdf#page=3","Abrir facsímil")</f>
        <v>Abrir facsímil</v>
      </c>
      <c r="K7991" s="3" t="s">
        <v>76</v>
      </c>
    </row>
    <row r="7992" spans="1:11" ht="42" customHeight="1">
      <c r="A7992" s="2" t="s">
        <v>19984</v>
      </c>
      <c r="B7992" s="2" t="s">
        <v>19984</v>
      </c>
      <c r="C7992" s="2" t="s">
        <v>26</v>
      </c>
      <c r="D7992" s="2" t="s">
        <v>27</v>
      </c>
      <c r="E7992" s="4">
        <v>-32553</v>
      </c>
      <c r="F7992" s="3" t="s">
        <v>2276</v>
      </c>
      <c r="G7992" s="3" t="s">
        <v>140</v>
      </c>
      <c r="H7992" s="2" t="s">
        <v>74</v>
      </c>
      <c r="I7992" s="2" t="s">
        <v>19991</v>
      </c>
      <c r="J7992" s="3" t="str">
        <f>HYPERLINK("https://www.boe.es/gazeta/dias/1810/11/14/pdfs/GMD-1810-318.pdf#page=2","Abrir facsímil")</f>
        <v>Abrir facsímil</v>
      </c>
      <c r="K7992" s="3" t="s">
        <v>76</v>
      </c>
    </row>
    <row r="7993" spans="1:11" ht="42" customHeight="1">
      <c r="A7993" s="2" t="s">
        <v>19992</v>
      </c>
      <c r="B7993" s="2" t="s">
        <v>19993</v>
      </c>
      <c r="C7993" s="2" t="s">
        <v>26</v>
      </c>
      <c r="D7993" s="2" t="s">
        <v>39</v>
      </c>
      <c r="E7993" s="4">
        <v>-32702</v>
      </c>
      <c r="F7993" s="3" t="s">
        <v>179</v>
      </c>
      <c r="G7993" s="3" t="s">
        <v>119</v>
      </c>
      <c r="H7993" s="2" t="s">
        <v>74</v>
      </c>
      <c r="I7993" s="2" t="s">
        <v>19994</v>
      </c>
      <c r="J7993" s="3" t="str">
        <f>HYPERLINK("https://www.boe.es/gazeta/dias/1810/06/18/pdfs/GMD-C-1810-169.pdf#page=1","Abrir facsímil")</f>
        <v>Abrir facsímil</v>
      </c>
      <c r="K7993" s="3" t="s">
        <v>76</v>
      </c>
    </row>
    <row r="7994" spans="1:11" ht="42" customHeight="1">
      <c r="A7994" s="2" t="s">
        <v>19995</v>
      </c>
      <c r="B7994" s="2" t="s">
        <v>19996</v>
      </c>
      <c r="C7994" s="2" t="s">
        <v>26</v>
      </c>
      <c r="D7994" s="2" t="s">
        <v>27</v>
      </c>
      <c r="E7994" s="4">
        <v>-32729</v>
      </c>
      <c r="F7994" s="3" t="s">
        <v>1025</v>
      </c>
      <c r="G7994" s="3" t="s">
        <v>735</v>
      </c>
      <c r="H7994" s="2" t="s">
        <v>74</v>
      </c>
      <c r="I7994" s="2" t="s">
        <v>19997</v>
      </c>
      <c r="J7994" s="3" t="str">
        <f>HYPERLINK("https://www.boe.es/gazeta/dias/1810/05/22/pdfs/GMD-1810-142.pdf#page=1","Abrir facsímil")</f>
        <v>Abrir facsímil</v>
      </c>
      <c r="K7994" s="3" t="s">
        <v>76</v>
      </c>
    </row>
    <row r="7995" spans="1:11" ht="42" customHeight="1">
      <c r="A7995" s="2" t="s">
        <v>19995</v>
      </c>
      <c r="B7995" s="2" t="s">
        <v>19996</v>
      </c>
      <c r="C7995" s="2" t="s">
        <v>26</v>
      </c>
      <c r="D7995" s="2" t="s">
        <v>27</v>
      </c>
      <c r="E7995" s="4">
        <v>-32628</v>
      </c>
      <c r="F7995" s="3" t="s">
        <v>3118</v>
      </c>
      <c r="G7995" s="3" t="s">
        <v>2277</v>
      </c>
      <c r="H7995" s="2" t="s">
        <v>74</v>
      </c>
      <c r="I7995" s="2" t="s">
        <v>19998</v>
      </c>
      <c r="J7995" s="3" t="str">
        <f>HYPERLINK("https://www.boe.es/gazeta/dias/1810/08/31/pdfs/GEI-1810-62.pdf#page=2","Abrir facsímil")</f>
        <v>Abrir facsímil</v>
      </c>
      <c r="K7995" s="3" t="s">
        <v>76</v>
      </c>
    </row>
    <row r="7996" spans="1:11" ht="42" customHeight="1">
      <c r="A7996" s="2" t="s">
        <v>19995</v>
      </c>
      <c r="B7996" s="2" t="s">
        <v>19996</v>
      </c>
      <c r="C7996" s="2" t="s">
        <v>225</v>
      </c>
      <c r="D7996" s="2" t="s">
        <v>220</v>
      </c>
      <c r="E7996" s="4">
        <v>-32593</v>
      </c>
      <c r="F7996" s="3" t="s">
        <v>12153</v>
      </c>
      <c r="G7996" s="3" t="s">
        <v>12188</v>
      </c>
      <c r="H7996" s="2" t="s">
        <v>74</v>
      </c>
      <c r="I7996" s="2" t="s">
        <v>19999</v>
      </c>
      <c r="J7996" s="3" t="str">
        <f>HYPERLINK("https://www.boe.es/gazeta/dias/1810/10/05/pdfs/GMD-1810-278.pdf#page=2","Abrir facsímil")</f>
        <v>Abrir facsímil</v>
      </c>
      <c r="K7996" s="3" t="s">
        <v>76</v>
      </c>
    </row>
    <row r="7997" spans="1:11" ht="42" customHeight="1">
      <c r="A7997" s="2" t="s">
        <v>20000</v>
      </c>
      <c r="B7997" s="2" t="s">
        <v>20001</v>
      </c>
      <c r="C7997" s="2" t="s">
        <v>88</v>
      </c>
      <c r="D7997" s="2" t="s">
        <v>27</v>
      </c>
      <c r="E7997" s="4">
        <v>-32543</v>
      </c>
      <c r="F7997" s="3" t="s">
        <v>69</v>
      </c>
      <c r="G7997" s="3" t="s">
        <v>70</v>
      </c>
      <c r="H7997" s="2" t="s">
        <v>74</v>
      </c>
      <c r="I7997" s="2" t="s">
        <v>20002</v>
      </c>
      <c r="J7997" s="3" t="str">
        <f>HYPERLINK("https://www.boe.es/gazeta/dias/1810/11/24/pdfs/GEI-1810-99.pdf#page=8","Abrir facsímil")</f>
        <v>Abrir facsímil</v>
      </c>
      <c r="K7997" s="3" t="s">
        <v>76</v>
      </c>
    </row>
    <row r="7998" spans="1:11" ht="42" customHeight="1">
      <c r="A7998" s="2" t="s">
        <v>20003</v>
      </c>
      <c r="B7998" s="2" t="s">
        <v>20004</v>
      </c>
      <c r="C7998" s="2" t="s">
        <v>26</v>
      </c>
      <c r="D7998" s="2" t="s">
        <v>27</v>
      </c>
      <c r="E7998" s="4">
        <v>-32769</v>
      </c>
      <c r="F7998" s="3" t="s">
        <v>1543</v>
      </c>
      <c r="G7998" s="3" t="s">
        <v>20</v>
      </c>
      <c r="H7998" s="2" t="s">
        <v>74</v>
      </c>
      <c r="I7998" s="2" t="s">
        <v>20005</v>
      </c>
      <c r="J7998" s="3" t="str">
        <f>HYPERLINK("https://www.boe.es/gazeta/dias/1810/04/12/pdfs/GMD-1810-102.pdf#page=4","Abrir facsímil")</f>
        <v>Abrir facsímil</v>
      </c>
      <c r="K7998" s="3" t="s">
        <v>76</v>
      </c>
    </row>
    <row r="7999" spans="1:11" ht="42" customHeight="1">
      <c r="A7999" s="2" t="s">
        <v>20006</v>
      </c>
      <c r="B7999" s="2" t="s">
        <v>20007</v>
      </c>
      <c r="C7999" s="2" t="s">
        <v>111</v>
      </c>
      <c r="D7999" s="2" t="s">
        <v>27</v>
      </c>
      <c r="E7999" s="4">
        <v>-32744</v>
      </c>
      <c r="F7999" s="3" t="s">
        <v>1570</v>
      </c>
      <c r="G7999" s="3" t="s">
        <v>136</v>
      </c>
      <c r="H7999" s="2" t="s">
        <v>74</v>
      </c>
      <c r="I7999" s="2" t="s">
        <v>20008</v>
      </c>
      <c r="J7999" s="3" t="str">
        <f>HYPERLINK("https://www.boe.es/gazeta/dias/1810/05/07/pdfs/GMD-1810-127.pdf#page=4","Abrir facsímil")</f>
        <v>Abrir facsímil</v>
      </c>
      <c r="K7999" s="3" t="s">
        <v>76</v>
      </c>
    </row>
    <row r="8000" spans="1:11" ht="42" customHeight="1">
      <c r="A8000" s="2" t="s">
        <v>20009</v>
      </c>
      <c r="B8000" s="2" t="s">
        <v>20010</v>
      </c>
      <c r="C8000" s="2" t="s">
        <v>26</v>
      </c>
      <c r="D8000" s="2" t="s">
        <v>27</v>
      </c>
      <c r="E8000" s="4">
        <v>-32782</v>
      </c>
      <c r="F8000" s="3" t="s">
        <v>79</v>
      </c>
      <c r="G8000" s="3" t="s">
        <v>80</v>
      </c>
      <c r="H8000" s="2" t="s">
        <v>74</v>
      </c>
      <c r="I8000" s="2" t="s">
        <v>20011</v>
      </c>
      <c r="J8000" s="3" t="str">
        <f>HYPERLINK("https://www.boe.es/gazeta/dias/1810/03/30/pdfs/GEI-1810-9.pdf#page=7","Abrir facsímil")</f>
        <v>Abrir facsímil</v>
      </c>
      <c r="K8000" s="3" t="s">
        <v>76</v>
      </c>
    </row>
    <row r="8001" spans="1:11" ht="42" customHeight="1">
      <c r="A8001" s="2" t="s">
        <v>20012</v>
      </c>
      <c r="B8001" s="2" t="s">
        <v>20013</v>
      </c>
      <c r="C8001" s="2" t="s">
        <v>26</v>
      </c>
      <c r="D8001" s="2" t="s">
        <v>27</v>
      </c>
      <c r="E8001" s="4">
        <v>-32533</v>
      </c>
      <c r="F8001" s="3" t="s">
        <v>1357</v>
      </c>
      <c r="G8001" s="3" t="s">
        <v>701</v>
      </c>
      <c r="H8001" s="2" t="s">
        <v>74</v>
      </c>
      <c r="I8001" s="2" t="s">
        <v>20014</v>
      </c>
      <c r="J8001" s="3" t="str">
        <f>HYPERLINK("https://www.boe.es/gazeta/dias/1810/12/04/pdfs/GEI-1810-103.pdf#page=8","Abrir facsímil")</f>
        <v>Abrir facsímil</v>
      </c>
      <c r="K8001" s="3" t="s">
        <v>76</v>
      </c>
    </row>
    <row r="8002" spans="1:11" ht="42" customHeight="1">
      <c r="A8002" s="2" t="s">
        <v>20015</v>
      </c>
      <c r="B8002" s="2" t="s">
        <v>20016</v>
      </c>
      <c r="C8002" s="2" t="s">
        <v>88</v>
      </c>
      <c r="D8002" s="2" t="s">
        <v>27</v>
      </c>
      <c r="E8002" s="4">
        <v>-32729</v>
      </c>
      <c r="F8002" s="3" t="s">
        <v>174</v>
      </c>
      <c r="G8002" s="3" t="s">
        <v>90</v>
      </c>
      <c r="H8002" s="2" t="s">
        <v>74</v>
      </c>
      <c r="I8002" s="2" t="s">
        <v>20017</v>
      </c>
      <c r="J8002" s="3" t="str">
        <f>HYPERLINK("https://www.boe.es/gazeta/dias/1810/05/22/pdfs/GEI-1810-28.pdf#page=5","Abrir facsímil")</f>
        <v>Abrir facsímil</v>
      </c>
      <c r="K8002" s="3" t="s">
        <v>76</v>
      </c>
    </row>
    <row r="8003" spans="1:11" ht="42" customHeight="1">
      <c r="A8003" s="2" t="s">
        <v>20018</v>
      </c>
      <c r="B8003" s="2" t="s">
        <v>20019</v>
      </c>
      <c r="C8003" s="2" t="s">
        <v>111</v>
      </c>
      <c r="D8003" s="2" t="s">
        <v>58</v>
      </c>
      <c r="E8003" s="4">
        <v>-32651</v>
      </c>
      <c r="F8003" s="3" t="s">
        <v>59</v>
      </c>
      <c r="G8003" s="3" t="s">
        <v>9477</v>
      </c>
      <c r="H8003" s="2" t="s">
        <v>74</v>
      </c>
      <c r="I8003" s="2" t="s">
        <v>20020</v>
      </c>
      <c r="J8003" s="3" t="str">
        <f>HYPERLINK("https://www.boe.es/gazeta/dias/1810/08/08/pdfs/GEI-1810-53E.pdf#page=4","Abrir facsímil")</f>
        <v>Abrir facsímil</v>
      </c>
      <c r="K8003" s="3" t="s">
        <v>76</v>
      </c>
    </row>
    <row r="8004" spans="1:11" ht="42" customHeight="1">
      <c r="A8004" s="2" t="s">
        <v>20021</v>
      </c>
      <c r="B8004" s="2" t="s">
        <v>20021</v>
      </c>
      <c r="C8004" s="2" t="s">
        <v>88</v>
      </c>
      <c r="D8004" s="2" t="s">
        <v>58</v>
      </c>
      <c r="E8004" s="4">
        <v>-32749</v>
      </c>
      <c r="F8004" s="3" t="s">
        <v>2451</v>
      </c>
      <c r="G8004" s="3" t="s">
        <v>20022</v>
      </c>
      <c r="H8004" s="2" t="s">
        <v>74</v>
      </c>
      <c r="I8004" s="2" t="s">
        <v>20023</v>
      </c>
      <c r="J8004" s="3" t="str">
        <f>HYPERLINK("https://www.boe.es/gazeta/dias/1810/05/02/pdfs/GEI-1810-20E.pdf#page=7","Abrir facsímil")</f>
        <v>Abrir facsímil</v>
      </c>
      <c r="K8004" s="3" t="s">
        <v>76</v>
      </c>
    </row>
    <row r="8005" spans="1:11" ht="42" customHeight="1">
      <c r="A8005" s="2" t="s">
        <v>20024</v>
      </c>
      <c r="B8005" s="2" t="s">
        <v>20024</v>
      </c>
      <c r="C8005" s="2" t="s">
        <v>317</v>
      </c>
      <c r="D8005" s="2" t="s">
        <v>220</v>
      </c>
      <c r="E8005" s="4">
        <v>-32721</v>
      </c>
      <c r="F8005" s="3" t="s">
        <v>3437</v>
      </c>
      <c r="G8005" s="3" t="s">
        <v>15919</v>
      </c>
      <c r="H8005" s="2" t="s">
        <v>74</v>
      </c>
      <c r="I8005" s="2" t="s">
        <v>20025</v>
      </c>
      <c r="J8005" s="3" t="str">
        <f>HYPERLINK("https://www.boe.es/gazeta/dias/1810/05/30/pdfs/GMD-1810-150.pdf#page=1","Abrir facsímil")</f>
        <v>Abrir facsímil</v>
      </c>
      <c r="K8005" s="3" t="s">
        <v>76</v>
      </c>
    </row>
    <row r="8006" spans="1:11" ht="42" customHeight="1">
      <c r="A8006" s="2" t="s">
        <v>20026</v>
      </c>
      <c r="B8006" s="2" t="s">
        <v>20026</v>
      </c>
      <c r="C8006" s="2" t="s">
        <v>88</v>
      </c>
      <c r="D8006" s="2" t="s">
        <v>58</v>
      </c>
      <c r="E8006" s="4">
        <v>-32749</v>
      </c>
      <c r="F8006" s="3" t="s">
        <v>2451</v>
      </c>
      <c r="G8006" s="3" t="s">
        <v>29</v>
      </c>
      <c r="H8006" s="2" t="s">
        <v>74</v>
      </c>
      <c r="I8006" s="2" t="s">
        <v>20027</v>
      </c>
      <c r="J8006" s="3" t="str">
        <f>HYPERLINK("https://www.boe.es/gazeta/dias/1810/05/02/pdfs/GEI-1810-20E.pdf#page=2","Abrir facsímil")</f>
        <v>Abrir facsímil</v>
      </c>
      <c r="K8006" s="3" t="s">
        <v>76</v>
      </c>
    </row>
    <row r="8007" spans="1:11" ht="42" customHeight="1">
      <c r="A8007" s="2" t="s">
        <v>20028</v>
      </c>
      <c r="B8007" s="2" t="s">
        <v>20028</v>
      </c>
      <c r="C8007" s="2" t="s">
        <v>225</v>
      </c>
      <c r="D8007" s="2" t="s">
        <v>39</v>
      </c>
      <c r="E8007" s="4">
        <v>-32764</v>
      </c>
      <c r="F8007" s="3" t="s">
        <v>1546</v>
      </c>
      <c r="G8007" s="3" t="s">
        <v>131</v>
      </c>
      <c r="H8007" s="2" t="s">
        <v>74</v>
      </c>
      <c r="I8007" s="2" t="s">
        <v>20029</v>
      </c>
      <c r="J8007" s="3" t="str">
        <f>HYPERLINK("https://www.boe.es/gazeta/dias/1810/04/17/pdfs/GEI-D-1810-15.pdf#page=3","Abrir facsímil")</f>
        <v>Abrir facsímil</v>
      </c>
      <c r="K8007" s="3" t="s">
        <v>76</v>
      </c>
    </row>
    <row r="8008" spans="1:11" ht="42" customHeight="1">
      <c r="A8008" s="2" t="s">
        <v>20028</v>
      </c>
      <c r="B8008" s="2" t="s">
        <v>20028</v>
      </c>
      <c r="C8008" s="2" t="s">
        <v>88</v>
      </c>
      <c r="D8008" s="2" t="s">
        <v>27</v>
      </c>
      <c r="E8008" s="4">
        <v>-32631</v>
      </c>
      <c r="F8008" s="3" t="s">
        <v>130</v>
      </c>
      <c r="G8008" s="3" t="s">
        <v>131</v>
      </c>
      <c r="H8008" s="2" t="s">
        <v>74</v>
      </c>
      <c r="I8008" s="2" t="s">
        <v>20030</v>
      </c>
      <c r="J8008" s="3" t="str">
        <f>HYPERLINK("https://www.boe.es/gazeta/dias/1810/08/28/pdfs/GEI-1810-60.pdf#page=6","Abrir facsímil")</f>
        <v>Abrir facsímil</v>
      </c>
      <c r="K8008" s="3" t="s">
        <v>76</v>
      </c>
    </row>
    <row r="8009" spans="1:11" ht="42" customHeight="1">
      <c r="A8009" s="2" t="s">
        <v>20028</v>
      </c>
      <c r="B8009" s="2" t="s">
        <v>20028</v>
      </c>
      <c r="C8009" s="2" t="s">
        <v>88</v>
      </c>
      <c r="D8009" s="2" t="s">
        <v>39</v>
      </c>
      <c r="E8009" s="4">
        <v>-32631</v>
      </c>
      <c r="F8009" s="3" t="s">
        <v>2830</v>
      </c>
      <c r="G8009" s="3" t="s">
        <v>252</v>
      </c>
      <c r="H8009" s="2" t="s">
        <v>74</v>
      </c>
      <c r="I8009" s="2" t="s">
        <v>20031</v>
      </c>
      <c r="J8009" s="3" t="str">
        <f>HYPERLINK("https://www.boe.es/gazeta/dias/1810/08/28/pdfs/GEI-D-1810-60.pdf#page=4","Abrir facsímil")</f>
        <v>Abrir facsímil</v>
      </c>
      <c r="K8009" s="3" t="s">
        <v>76</v>
      </c>
    </row>
    <row r="8010" spans="1:11" ht="42" customHeight="1">
      <c r="A8010" s="2" t="s">
        <v>20028</v>
      </c>
      <c r="B8010" s="2" t="s">
        <v>20028</v>
      </c>
      <c r="C8010" s="2" t="s">
        <v>88</v>
      </c>
      <c r="D8010" s="2" t="s">
        <v>27</v>
      </c>
      <c r="E8010" s="4">
        <v>-32580</v>
      </c>
      <c r="F8010" s="3" t="s">
        <v>2508</v>
      </c>
      <c r="G8010" s="3" t="s">
        <v>20</v>
      </c>
      <c r="H8010" s="2" t="s">
        <v>74</v>
      </c>
      <c r="I8010" s="2" t="s">
        <v>20032</v>
      </c>
      <c r="J8010" s="3" t="str">
        <f>HYPERLINK("https://www.boe.es/gazeta/dias/1810/10/18/pdfs/GEI-1810-83.pdf#page=4","Abrir facsímil")</f>
        <v>Abrir facsímil</v>
      </c>
      <c r="K8010" s="3" t="s">
        <v>76</v>
      </c>
    </row>
    <row r="8011" spans="1:11" ht="42" customHeight="1">
      <c r="A8011" s="2" t="s">
        <v>20033</v>
      </c>
      <c r="B8011" s="2" t="s">
        <v>20034</v>
      </c>
      <c r="C8011" s="2" t="s">
        <v>111</v>
      </c>
      <c r="D8011" s="2" t="s">
        <v>27</v>
      </c>
      <c r="E8011" s="4">
        <v>-32684</v>
      </c>
      <c r="F8011" s="3" t="s">
        <v>1373</v>
      </c>
      <c r="G8011" s="3" t="s">
        <v>1374</v>
      </c>
      <c r="H8011" s="2" t="s">
        <v>74</v>
      </c>
      <c r="I8011" s="2" t="s">
        <v>20035</v>
      </c>
      <c r="J8011" s="3" t="str">
        <f>HYPERLINK("https://www.boe.es/gazeta/dias/1810/07/06/pdfs/GEI-1810-42.pdf#page=8","Abrir facsímil")</f>
        <v>Abrir facsímil</v>
      </c>
      <c r="K8011" s="3" t="s">
        <v>76</v>
      </c>
    </row>
    <row r="8012" spans="1:11" ht="42" customHeight="1">
      <c r="A8012" s="2" t="s">
        <v>20036</v>
      </c>
      <c r="B8012" s="2" t="s">
        <v>20036</v>
      </c>
      <c r="C8012" s="2" t="s">
        <v>26</v>
      </c>
      <c r="D8012" s="2" t="s">
        <v>27</v>
      </c>
      <c r="E8012" s="4">
        <v>-32557</v>
      </c>
      <c r="F8012" s="3" t="s">
        <v>8182</v>
      </c>
      <c r="G8012" s="3" t="s">
        <v>180</v>
      </c>
      <c r="H8012" s="2" t="s">
        <v>74</v>
      </c>
      <c r="I8012" s="2" t="s">
        <v>20037</v>
      </c>
      <c r="J8012" s="3" t="str">
        <f>HYPERLINK("https://www.boe.es/gazeta/dias/1810/11/10/pdfs/GMD-1810-314.pdf#page=3","Abrir facsímil")</f>
        <v>Abrir facsímil</v>
      </c>
      <c r="K8012" s="3" t="s">
        <v>76</v>
      </c>
    </row>
    <row r="8013" spans="1:11" ht="42" customHeight="1">
      <c r="A8013" s="2" t="s">
        <v>20038</v>
      </c>
      <c r="B8013" s="2" t="s">
        <v>20038</v>
      </c>
      <c r="C8013" s="2" t="s">
        <v>88</v>
      </c>
      <c r="D8013" s="2" t="s">
        <v>27</v>
      </c>
      <c r="E8013" s="4">
        <v>-32719</v>
      </c>
      <c r="F8013" s="3" t="s">
        <v>965</v>
      </c>
      <c r="G8013" s="3" t="s">
        <v>7142</v>
      </c>
      <c r="H8013" s="2" t="s">
        <v>74</v>
      </c>
      <c r="I8013" s="2" t="s">
        <v>20039</v>
      </c>
      <c r="J8013" s="3" t="str">
        <f>HYPERLINK("https://www.boe.es/gazeta/dias/1810/06/01/pdfs/GMD-1810-152.pdf#page=1","Abrir facsímil")</f>
        <v>Abrir facsímil</v>
      </c>
      <c r="K8013" s="3" t="s">
        <v>76</v>
      </c>
    </row>
    <row r="8014" spans="1:11" ht="42" customHeight="1">
      <c r="A8014" s="2" t="s">
        <v>20040</v>
      </c>
      <c r="B8014" s="2" t="s">
        <v>20040</v>
      </c>
      <c r="C8014" s="2" t="s">
        <v>88</v>
      </c>
      <c r="D8014" s="2" t="s">
        <v>117</v>
      </c>
      <c r="E8014" s="4">
        <v>-32761</v>
      </c>
      <c r="F8014" s="3" t="s">
        <v>2093</v>
      </c>
      <c r="G8014" s="3" t="s">
        <v>20</v>
      </c>
      <c r="H8014" s="2" t="s">
        <v>74</v>
      </c>
      <c r="I8014" s="2" t="s">
        <v>20041</v>
      </c>
      <c r="J8014" s="3" t="str">
        <f>HYPERLINK("https://www.boe.es/gazeta/dias/1810/04/20/pdfs/GMD-1810-110.pdf#page=4","Abrir facsímil")</f>
        <v>Abrir facsímil</v>
      </c>
      <c r="K8014" s="3" t="s">
        <v>76</v>
      </c>
    </row>
    <row r="8015" spans="1:11" ht="42" customHeight="1">
      <c r="A8015" s="2" t="s">
        <v>20042</v>
      </c>
      <c r="B8015" s="2" t="s">
        <v>20043</v>
      </c>
      <c r="C8015" s="2" t="s">
        <v>26</v>
      </c>
      <c r="D8015" s="2" t="s">
        <v>39</v>
      </c>
      <c r="E8015" s="4">
        <v>-32701</v>
      </c>
      <c r="F8015" s="3" t="s">
        <v>40</v>
      </c>
      <c r="G8015" s="3" t="s">
        <v>170</v>
      </c>
      <c r="H8015" s="2" t="s">
        <v>74</v>
      </c>
      <c r="I8015" s="2" t="s">
        <v>20044</v>
      </c>
      <c r="J8015" s="3" t="str">
        <f>HYPERLINK("https://www.boe.es/gazeta/dias/1810/06/19/pdfs/GMD-C-1810-170.pdf#page=1","Abrir facsímil")</f>
        <v>Abrir facsímil</v>
      </c>
      <c r="K8015" s="3" t="s">
        <v>76</v>
      </c>
    </row>
    <row r="8016" spans="1:11" ht="42" customHeight="1">
      <c r="A8016" s="2" t="s">
        <v>20045</v>
      </c>
      <c r="B8016" s="2" t="s">
        <v>20046</v>
      </c>
      <c r="C8016" s="2" t="s">
        <v>26</v>
      </c>
      <c r="D8016" s="2" t="s">
        <v>39</v>
      </c>
      <c r="E8016" s="4">
        <v>-32702</v>
      </c>
      <c r="F8016" s="3" t="s">
        <v>179</v>
      </c>
      <c r="G8016" s="3" t="s">
        <v>180</v>
      </c>
      <c r="H8016" s="2" t="s">
        <v>74</v>
      </c>
      <c r="I8016" s="2" t="s">
        <v>20047</v>
      </c>
      <c r="J8016" s="3" t="str">
        <f>HYPERLINK("https://www.boe.es/gazeta/dias/1810/06/18/pdfs/GMD-C-1810-169.pdf#page=2","Abrir facsímil")</f>
        <v>Abrir facsímil</v>
      </c>
      <c r="K8016" s="3" t="s">
        <v>76</v>
      </c>
    </row>
    <row r="8017" spans="1:11" ht="42" customHeight="1">
      <c r="A8017" s="2" t="s">
        <v>20048</v>
      </c>
      <c r="B8017" s="2" t="s">
        <v>20049</v>
      </c>
      <c r="C8017" s="2" t="s">
        <v>26</v>
      </c>
      <c r="D8017" s="2" t="s">
        <v>27</v>
      </c>
      <c r="E8017" s="4">
        <v>-32509</v>
      </c>
      <c r="F8017" s="3" t="s">
        <v>212</v>
      </c>
      <c r="G8017" s="3" t="s">
        <v>213</v>
      </c>
      <c r="H8017" s="2" t="s">
        <v>74</v>
      </c>
      <c r="I8017" s="2" t="s">
        <v>20050</v>
      </c>
      <c r="J8017" s="3" t="str">
        <f>HYPERLINK("https://www.boe.es/gazeta/dias/1810/12/28/pdfs/GMD-1810-362.pdf#page=4","Abrir facsímil")</f>
        <v>Abrir facsímil</v>
      </c>
      <c r="K8017" s="3" t="s">
        <v>76</v>
      </c>
    </row>
    <row r="8018" spans="1:11" ht="42" customHeight="1">
      <c r="A8018" s="2" t="s">
        <v>20051</v>
      </c>
      <c r="B8018" s="2" t="s">
        <v>20052</v>
      </c>
      <c r="C8018" s="2" t="s">
        <v>88</v>
      </c>
      <c r="D8018" s="2" t="s">
        <v>27</v>
      </c>
      <c r="E8018" s="4">
        <v>-32531</v>
      </c>
      <c r="F8018" s="3" t="s">
        <v>2023</v>
      </c>
      <c r="G8018" s="3" t="s">
        <v>29</v>
      </c>
      <c r="H8018" s="2" t="s">
        <v>74</v>
      </c>
      <c r="I8018" s="2" t="s">
        <v>20053</v>
      </c>
      <c r="J8018" s="3" t="str">
        <f>HYPERLINK("https://www.boe.es/gazeta/dias/1810/12/06/pdfs/GMD-1810-340.pdf#page=4","Abrir facsímil")</f>
        <v>Abrir facsímil</v>
      </c>
      <c r="K8018" s="3" t="s">
        <v>76</v>
      </c>
    </row>
    <row r="8019" spans="1:11" ht="42" customHeight="1">
      <c r="A8019" s="2" t="s">
        <v>20054</v>
      </c>
      <c r="B8019" s="2" t="s">
        <v>20055</v>
      </c>
      <c r="C8019" s="2" t="s">
        <v>26</v>
      </c>
      <c r="D8019" s="2" t="s">
        <v>27</v>
      </c>
      <c r="E8019" s="4">
        <v>-32568</v>
      </c>
      <c r="F8019" s="3" t="s">
        <v>1233</v>
      </c>
      <c r="G8019" s="3" t="s">
        <v>140</v>
      </c>
      <c r="H8019" s="2" t="s">
        <v>74</v>
      </c>
      <c r="I8019" s="2" t="s">
        <v>20056</v>
      </c>
      <c r="J8019" s="3" t="str">
        <f>HYPERLINK("https://www.boe.es/gazeta/dias/1810/10/30/pdfs/GMD-1810-303.pdf#page=4","Abrir facsímil")</f>
        <v>Abrir facsímil</v>
      </c>
      <c r="K8019" s="3" t="s">
        <v>76</v>
      </c>
    </row>
    <row r="8020" spans="1:11" ht="42" customHeight="1">
      <c r="A8020" s="2" t="s">
        <v>20057</v>
      </c>
      <c r="B8020" s="2" t="s">
        <v>20058</v>
      </c>
      <c r="C8020" s="2" t="s">
        <v>26</v>
      </c>
      <c r="D8020" s="2" t="s">
        <v>27</v>
      </c>
      <c r="E8020" s="4">
        <v>-32545</v>
      </c>
      <c r="F8020" s="3" t="s">
        <v>165</v>
      </c>
      <c r="G8020" s="3" t="s">
        <v>65</v>
      </c>
      <c r="H8020" s="2" t="s">
        <v>74</v>
      </c>
      <c r="I8020" s="2" t="s">
        <v>20059</v>
      </c>
      <c r="J8020" s="3" t="str">
        <f>HYPERLINK("https://www.boe.es/gazeta/dias/1810/11/22/pdfs/GEI-1810-98.pdf#page=5","Abrir facsímil")</f>
        <v>Abrir facsímil</v>
      </c>
      <c r="K8020" s="3" t="s">
        <v>76</v>
      </c>
    </row>
    <row r="8021" spans="1:11" ht="42" customHeight="1">
      <c r="A8021" s="2" t="s">
        <v>20060</v>
      </c>
      <c r="B8021" s="2" t="s">
        <v>20061</v>
      </c>
      <c r="C8021" s="2" t="s">
        <v>88</v>
      </c>
      <c r="D8021" s="2" t="s">
        <v>27</v>
      </c>
      <c r="E8021" s="4">
        <v>-32533</v>
      </c>
      <c r="F8021" s="3" t="s">
        <v>1357</v>
      </c>
      <c r="G8021" s="3" t="s">
        <v>701</v>
      </c>
      <c r="H8021" s="2" t="s">
        <v>74</v>
      </c>
      <c r="I8021" s="2" t="s">
        <v>20062</v>
      </c>
      <c r="J8021" s="3" t="str">
        <f>HYPERLINK("https://www.boe.es/gazeta/dias/1810/12/04/pdfs/GEI-1810-103.pdf#page=8","Abrir facsímil")</f>
        <v>Abrir facsímil</v>
      </c>
      <c r="K8021" s="3" t="s">
        <v>76</v>
      </c>
    </row>
    <row r="8022" spans="1:11" ht="42" customHeight="1">
      <c r="A8022" s="2" t="s">
        <v>20063</v>
      </c>
      <c r="B8022" s="2" t="s">
        <v>20063</v>
      </c>
      <c r="C8022" s="2" t="s">
        <v>88</v>
      </c>
      <c r="D8022" s="2" t="s">
        <v>27</v>
      </c>
      <c r="E8022" s="4">
        <v>-32638</v>
      </c>
      <c r="F8022" s="3" t="s">
        <v>2498</v>
      </c>
      <c r="G8022" s="3" t="s">
        <v>20064</v>
      </c>
      <c r="H8022" s="2" t="s">
        <v>74</v>
      </c>
      <c r="I8022" s="2" t="s">
        <v>20065</v>
      </c>
      <c r="J8022" s="3" t="str">
        <f>HYPERLINK("https://www.boe.es/gazeta/dias/1810/08/21/pdfs/GEI-1810-58.pdf#page=5","Abrir facsímil")</f>
        <v>Abrir facsímil</v>
      </c>
      <c r="K8022" s="3" t="s">
        <v>76</v>
      </c>
    </row>
    <row r="8023" spans="1:11" ht="42" customHeight="1">
      <c r="A8023" s="2" t="s">
        <v>20066</v>
      </c>
      <c r="B8023" s="2" t="s">
        <v>20067</v>
      </c>
      <c r="C8023" s="2" t="s">
        <v>88</v>
      </c>
      <c r="D8023" s="2" t="s">
        <v>117</v>
      </c>
      <c r="E8023" s="4">
        <v>-32725</v>
      </c>
      <c r="F8023" s="3" t="s">
        <v>417</v>
      </c>
      <c r="G8023" s="3" t="s">
        <v>140</v>
      </c>
      <c r="H8023" s="2" t="s">
        <v>74</v>
      </c>
      <c r="I8023" s="2" t="s">
        <v>20068</v>
      </c>
      <c r="J8023" s="3" t="str">
        <f>HYPERLINK("https://www.boe.es/gazeta/dias/1810/05/26/pdfs/GMD-1810-146.pdf#page=4","Abrir facsímil")</f>
        <v>Abrir facsímil</v>
      </c>
      <c r="K8023" s="3" t="s">
        <v>76</v>
      </c>
    </row>
    <row r="8024" spans="1:11" ht="42" customHeight="1">
      <c r="A8024" s="2" t="s">
        <v>20069</v>
      </c>
      <c r="B8024" s="2" t="s">
        <v>20070</v>
      </c>
      <c r="C8024" s="2" t="s">
        <v>26</v>
      </c>
      <c r="D8024" s="2" t="s">
        <v>27</v>
      </c>
      <c r="E8024" s="4">
        <v>-32603</v>
      </c>
      <c r="F8024" s="3" t="s">
        <v>2163</v>
      </c>
      <c r="G8024" s="3" t="s">
        <v>4601</v>
      </c>
      <c r="H8024" s="2" t="s">
        <v>74</v>
      </c>
      <c r="I8024" s="2" t="s">
        <v>20071</v>
      </c>
      <c r="J8024" s="3" t="str">
        <f>HYPERLINK("https://www.boe.es/gazeta/dias/1810/09/25/pdfs/GEI-1810-72.pdf#page=7","Abrir facsímil")</f>
        <v>Abrir facsímil</v>
      </c>
      <c r="K8024" s="3" t="s">
        <v>76</v>
      </c>
    </row>
    <row r="8025" spans="1:11" ht="42" customHeight="1">
      <c r="A8025" s="2" t="s">
        <v>20072</v>
      </c>
      <c r="B8025" s="2" t="s">
        <v>20072</v>
      </c>
      <c r="C8025" s="2" t="s">
        <v>26</v>
      </c>
      <c r="D8025" s="2" t="s">
        <v>27</v>
      </c>
      <c r="E8025" s="4">
        <v>-32542</v>
      </c>
      <c r="F8025" s="3" t="s">
        <v>6175</v>
      </c>
      <c r="G8025" s="3" t="s">
        <v>5985</v>
      </c>
      <c r="H8025" s="2" t="s">
        <v>74</v>
      </c>
      <c r="I8025" s="2" t="s">
        <v>20073</v>
      </c>
      <c r="J8025" s="3" t="str">
        <f>HYPERLINK("https://www.boe.es/gazeta/dias/1810/11/25/pdfs/GMD-1810-329.pdf#page=2","Abrir facsímil")</f>
        <v>Abrir facsímil</v>
      </c>
      <c r="K8025" s="3" t="s">
        <v>76</v>
      </c>
    </row>
    <row r="8026" spans="1:11" ht="42" customHeight="1">
      <c r="A8026" s="2" t="s">
        <v>20074</v>
      </c>
      <c r="B8026" s="2" t="s">
        <v>20075</v>
      </c>
      <c r="C8026" s="2" t="s">
        <v>26</v>
      </c>
      <c r="D8026" s="2" t="s">
        <v>39</v>
      </c>
      <c r="E8026" s="4">
        <v>-32701</v>
      </c>
      <c r="F8026" s="3" t="s">
        <v>40</v>
      </c>
      <c r="G8026" s="3" t="s">
        <v>41</v>
      </c>
      <c r="H8026" s="2" t="s">
        <v>74</v>
      </c>
      <c r="I8026" s="2" t="s">
        <v>20076</v>
      </c>
      <c r="J8026" s="3" t="str">
        <f>HYPERLINK("https://www.boe.es/gazeta/dias/1810/06/19/pdfs/GMD-C-1810-170.pdf#page=3","Abrir facsímil")</f>
        <v>Abrir facsímil</v>
      </c>
      <c r="K8026" s="3" t="s">
        <v>76</v>
      </c>
    </row>
    <row r="8027" spans="1:11" ht="42" customHeight="1">
      <c r="A8027" s="2" t="s">
        <v>20077</v>
      </c>
      <c r="B8027" s="2" t="s">
        <v>20077</v>
      </c>
      <c r="C8027" s="2" t="s">
        <v>33</v>
      </c>
      <c r="D8027" s="2" t="s">
        <v>27</v>
      </c>
      <c r="E8027" s="4">
        <v>-32761</v>
      </c>
      <c r="F8027" s="3" t="s">
        <v>811</v>
      </c>
      <c r="G8027" s="3" t="s">
        <v>16564</v>
      </c>
      <c r="H8027" s="2" t="s">
        <v>74</v>
      </c>
      <c r="I8027" s="2" t="s">
        <v>20078</v>
      </c>
      <c r="J8027" s="3" t="str">
        <f>HYPERLINK("https://www.boe.es/gazeta/dias/1810/04/20/pdfs/GEI-1810-16.pdf#page=2","Abrir facsímil")</f>
        <v>Abrir facsímil</v>
      </c>
      <c r="K8027" s="3" t="s">
        <v>76</v>
      </c>
    </row>
    <row r="8028" spans="1:11" ht="42" customHeight="1">
      <c r="A8028" s="2" t="s">
        <v>20079</v>
      </c>
      <c r="B8028" s="2" t="s">
        <v>20080</v>
      </c>
      <c r="C8028" s="2" t="s">
        <v>26</v>
      </c>
      <c r="D8028" s="2" t="s">
        <v>27</v>
      </c>
      <c r="E8028" s="4">
        <v>-32647</v>
      </c>
      <c r="F8028" s="3" t="s">
        <v>118</v>
      </c>
      <c r="G8028" s="3" t="s">
        <v>20</v>
      </c>
      <c r="H8028" s="2" t="s">
        <v>74</v>
      </c>
      <c r="I8028" s="2" t="s">
        <v>20081</v>
      </c>
      <c r="J8028" s="3" t="str">
        <f>HYPERLINK("https://www.boe.es/gazeta/dias/1810/08/12/pdfs/GMD-1810-224.pdf#page=4","Abrir facsímil")</f>
        <v>Abrir facsímil</v>
      </c>
      <c r="K8028" s="3" t="s">
        <v>76</v>
      </c>
    </row>
    <row r="8029" spans="1:11" ht="42" customHeight="1">
      <c r="A8029" s="2" t="s">
        <v>20082</v>
      </c>
      <c r="B8029" s="2" t="s">
        <v>20083</v>
      </c>
      <c r="C8029" s="2" t="s">
        <v>88</v>
      </c>
      <c r="D8029" s="2" t="s">
        <v>27</v>
      </c>
      <c r="E8029" s="4">
        <v>-32710</v>
      </c>
      <c r="F8029" s="3" t="s">
        <v>126</v>
      </c>
      <c r="G8029" s="3" t="s">
        <v>20</v>
      </c>
      <c r="H8029" s="2" t="s">
        <v>74</v>
      </c>
      <c r="I8029" s="2" t="s">
        <v>20084</v>
      </c>
      <c r="J8029" s="3" t="str">
        <f>HYPERLINK("https://www.boe.es/gazeta/dias/1810/06/10/pdfs/GMD-1810-161.pdf#page=4","Abrir facsímil")</f>
        <v>Abrir facsímil</v>
      </c>
      <c r="K8029" s="3" t="s">
        <v>76</v>
      </c>
    </row>
    <row r="8030" spans="1:11" ht="42" customHeight="1">
      <c r="A8030" s="2" t="s">
        <v>20085</v>
      </c>
      <c r="B8030" s="2" t="s">
        <v>20086</v>
      </c>
      <c r="C8030" s="2" t="s">
        <v>88</v>
      </c>
      <c r="D8030" s="2" t="s">
        <v>117</v>
      </c>
      <c r="E8030" s="4">
        <v>-32658</v>
      </c>
      <c r="F8030" s="3" t="s">
        <v>1224</v>
      </c>
      <c r="G8030" s="3" t="s">
        <v>140</v>
      </c>
      <c r="H8030" s="2" t="s">
        <v>74</v>
      </c>
      <c r="I8030" s="2" t="s">
        <v>20087</v>
      </c>
      <c r="J8030" s="3" t="str">
        <f>HYPERLINK("https://www.boe.es/gazeta/dias/1810/08/01/pdfs/GMD-1810-213.pdf#page=4","Abrir facsímil")</f>
        <v>Abrir facsímil</v>
      </c>
      <c r="K8030" s="3" t="s">
        <v>76</v>
      </c>
    </row>
    <row r="8031" spans="1:11" ht="42" customHeight="1">
      <c r="A8031" s="2" t="s">
        <v>20088</v>
      </c>
      <c r="B8031" s="2" t="s">
        <v>20089</v>
      </c>
      <c r="C8031" s="2" t="s">
        <v>26</v>
      </c>
      <c r="D8031" s="2" t="s">
        <v>27</v>
      </c>
      <c r="E8031" s="4">
        <v>-32508</v>
      </c>
      <c r="F8031" s="3" t="s">
        <v>864</v>
      </c>
      <c r="G8031" s="3" t="s">
        <v>691</v>
      </c>
      <c r="H8031" s="2" t="s">
        <v>74</v>
      </c>
      <c r="I8031" s="2" t="s">
        <v>20090</v>
      </c>
      <c r="J8031" s="3" t="str">
        <f>HYPERLINK("https://www.boe.es/gazeta/dias/1810/12/29/pdfs/GEI-1810-114.pdf#page=8","Abrir facsímil")</f>
        <v>Abrir facsímil</v>
      </c>
      <c r="K8031" s="3" t="s">
        <v>76</v>
      </c>
    </row>
    <row r="8032" spans="1:11" ht="42" customHeight="1">
      <c r="A8032" s="2" t="s">
        <v>20091</v>
      </c>
      <c r="B8032" s="2" t="s">
        <v>20091</v>
      </c>
      <c r="C8032" s="2" t="s">
        <v>26</v>
      </c>
      <c r="D8032" s="2" t="s">
        <v>27</v>
      </c>
      <c r="E8032" s="4">
        <v>-32693</v>
      </c>
      <c r="F8032" s="3" t="s">
        <v>54</v>
      </c>
      <c r="G8032" s="3" t="s">
        <v>20</v>
      </c>
      <c r="H8032" s="2" t="s">
        <v>74</v>
      </c>
      <c r="I8032" s="2" t="s">
        <v>20092</v>
      </c>
      <c r="J8032" s="3" t="str">
        <f>HYPERLINK("https://www.boe.es/gazeta/dias/1810/06/27/pdfs/GMD-1810-178.pdf#page=4","Abrir facsímil")</f>
        <v>Abrir facsímil</v>
      </c>
      <c r="K8032" s="3" t="s">
        <v>76</v>
      </c>
    </row>
    <row r="8033" spans="1:11" ht="42" customHeight="1">
      <c r="A8033" s="2" t="s">
        <v>20093</v>
      </c>
      <c r="B8033" s="2" t="s">
        <v>20094</v>
      </c>
      <c r="C8033" s="2" t="s">
        <v>88</v>
      </c>
      <c r="D8033" s="2" t="s">
        <v>18</v>
      </c>
      <c r="E8033" s="4">
        <v>-32738</v>
      </c>
      <c r="F8033" s="3" t="s">
        <v>321</v>
      </c>
      <c r="G8033" s="3" t="s">
        <v>140</v>
      </c>
      <c r="H8033" s="2" t="s">
        <v>74</v>
      </c>
      <c r="I8033" s="2" t="s">
        <v>20095</v>
      </c>
      <c r="J8033" s="3" t="str">
        <f>HYPERLINK("https://www.boe.es/gazeta/dias/1810/05/13/pdfs/GMD-1810-133.pdf#page=4","Abrir facsímil")</f>
        <v>Abrir facsímil</v>
      </c>
      <c r="K8033" s="3" t="s">
        <v>76</v>
      </c>
    </row>
    <row r="8034" spans="1:11" ht="42" customHeight="1">
      <c r="A8034" s="2" t="s">
        <v>20096</v>
      </c>
      <c r="B8034" s="2" t="s">
        <v>20096</v>
      </c>
      <c r="C8034" s="2" t="s">
        <v>88</v>
      </c>
      <c r="D8034" s="2" t="s">
        <v>117</v>
      </c>
      <c r="E8034" s="4">
        <v>-32861</v>
      </c>
      <c r="F8034" s="3" t="s">
        <v>796</v>
      </c>
      <c r="G8034" s="3" t="s">
        <v>29</v>
      </c>
      <c r="H8034" s="2" t="s">
        <v>74</v>
      </c>
      <c r="I8034" s="2" t="s">
        <v>20097</v>
      </c>
      <c r="J8034" s="3" t="str">
        <f>HYPERLINK("https://www.boe.es/gazeta/dias/1810/01/10/pdfs/GMD-1810-10.pdf#page=2","Abrir facsímil")</f>
        <v>Abrir facsímil</v>
      </c>
      <c r="K8034" s="3" t="s">
        <v>76</v>
      </c>
    </row>
    <row r="8035" spans="1:11" ht="42" customHeight="1">
      <c r="A8035" s="2" t="s">
        <v>20096</v>
      </c>
      <c r="B8035" s="2" t="s">
        <v>20096</v>
      </c>
      <c r="C8035" s="2" t="s">
        <v>88</v>
      </c>
      <c r="D8035" s="2" t="s">
        <v>27</v>
      </c>
      <c r="E8035" s="4">
        <v>-32766</v>
      </c>
      <c r="F8035" s="3" t="s">
        <v>492</v>
      </c>
      <c r="G8035" s="3" t="s">
        <v>493</v>
      </c>
      <c r="H8035" s="2" t="s">
        <v>74</v>
      </c>
      <c r="I8035" s="2" t="s">
        <v>20098</v>
      </c>
      <c r="J8035" s="3" t="str">
        <f>HYPERLINK("https://www.boe.es/gazeta/dias/1810/04/15/pdfs/GMD-1810-105.pdf#page=4","Abrir facsímil")</f>
        <v>Abrir facsímil</v>
      </c>
      <c r="K8035" s="3" t="s">
        <v>76</v>
      </c>
    </row>
    <row r="8036" spans="1:11" ht="42" customHeight="1">
      <c r="A8036" s="2" t="s">
        <v>20096</v>
      </c>
      <c r="B8036" s="2" t="s">
        <v>20096</v>
      </c>
      <c r="C8036" s="2" t="s">
        <v>88</v>
      </c>
      <c r="D8036" s="2" t="s">
        <v>27</v>
      </c>
      <c r="E8036" s="4">
        <v>-32762</v>
      </c>
      <c r="F8036" s="3" t="s">
        <v>231</v>
      </c>
      <c r="G8036" s="3" t="s">
        <v>29</v>
      </c>
      <c r="H8036" s="2" t="s">
        <v>74</v>
      </c>
      <c r="I8036" s="2" t="s">
        <v>20099</v>
      </c>
      <c r="J8036" s="3" t="str">
        <f>HYPERLINK("https://www.boe.es/gazeta/dias/1810/04/19/pdfs/GMD-1810-109.pdf#page=2","Abrir facsímil")</f>
        <v>Abrir facsímil</v>
      </c>
      <c r="K8036" s="3" t="s">
        <v>76</v>
      </c>
    </row>
    <row r="8037" spans="1:11" ht="42" customHeight="1">
      <c r="A8037" s="2" t="s">
        <v>20096</v>
      </c>
      <c r="B8037" s="2" t="s">
        <v>20096</v>
      </c>
      <c r="C8037" s="2" t="s">
        <v>17</v>
      </c>
      <c r="D8037" s="2" t="s">
        <v>27</v>
      </c>
      <c r="E8037" s="4">
        <v>-32736</v>
      </c>
      <c r="F8037" s="3" t="s">
        <v>400</v>
      </c>
      <c r="G8037" s="3" t="s">
        <v>401</v>
      </c>
      <c r="H8037" s="2" t="s">
        <v>74</v>
      </c>
      <c r="I8037" s="2" t="s">
        <v>20100</v>
      </c>
      <c r="J8037" s="3" t="str">
        <f>HYPERLINK("https://www.boe.es/gazeta/dias/1810/05/15/pdfs/GMD-1810-135.pdf#page=4","Abrir facsímil")</f>
        <v>Abrir facsímil</v>
      </c>
      <c r="K8037" s="3" t="s">
        <v>76</v>
      </c>
    </row>
    <row r="8038" spans="1:11" ht="42" customHeight="1">
      <c r="A8038" s="2" t="s">
        <v>20096</v>
      </c>
      <c r="B8038" s="2" t="s">
        <v>20096</v>
      </c>
      <c r="C8038" s="2" t="s">
        <v>88</v>
      </c>
      <c r="D8038" s="2" t="s">
        <v>117</v>
      </c>
      <c r="E8038" s="4">
        <v>-32703</v>
      </c>
      <c r="F8038" s="3" t="s">
        <v>1213</v>
      </c>
      <c r="G8038" s="3" t="s">
        <v>1214</v>
      </c>
      <c r="H8038" s="2" t="s">
        <v>74</v>
      </c>
      <c r="I8038" s="2" t="s">
        <v>20101</v>
      </c>
      <c r="J8038" s="3" t="str">
        <f>HYPERLINK("https://www.boe.es/gazeta/dias/1810/06/17/pdfs/GMD-1810-168.pdf#page=4","Abrir facsímil")</f>
        <v>Abrir facsímil</v>
      </c>
      <c r="K8038" s="3" t="s">
        <v>76</v>
      </c>
    </row>
    <row r="8039" spans="1:11" ht="42" customHeight="1">
      <c r="A8039" s="2" t="s">
        <v>20096</v>
      </c>
      <c r="B8039" s="2" t="s">
        <v>20096</v>
      </c>
      <c r="C8039" s="2" t="s">
        <v>88</v>
      </c>
      <c r="D8039" s="2" t="s">
        <v>27</v>
      </c>
      <c r="E8039" s="4">
        <v>-32699</v>
      </c>
      <c r="F8039" s="3" t="s">
        <v>1216</v>
      </c>
      <c r="G8039" s="3" t="s">
        <v>1219</v>
      </c>
      <c r="H8039" s="2" t="s">
        <v>74</v>
      </c>
      <c r="I8039" s="2" t="s">
        <v>20102</v>
      </c>
      <c r="J8039" s="3" t="str">
        <f>HYPERLINK("https://www.boe.es/gazeta/dias/1810/06/21/pdfs/GMD-1810-172.pdf#page=4","Abrir facsímil")</f>
        <v>Abrir facsímil</v>
      </c>
      <c r="K8039" s="3" t="s">
        <v>76</v>
      </c>
    </row>
    <row r="8040" spans="1:11" ht="42" customHeight="1">
      <c r="A8040" s="2" t="s">
        <v>20096</v>
      </c>
      <c r="B8040" s="2" t="s">
        <v>20096</v>
      </c>
      <c r="C8040" s="2" t="s">
        <v>88</v>
      </c>
      <c r="D8040" s="2" t="s">
        <v>27</v>
      </c>
      <c r="E8040" s="4">
        <v>-32573</v>
      </c>
      <c r="F8040" s="3" t="s">
        <v>3120</v>
      </c>
      <c r="G8040" s="3" t="s">
        <v>1347</v>
      </c>
      <c r="H8040" s="2" t="s">
        <v>74</v>
      </c>
      <c r="I8040" s="2" t="s">
        <v>20103</v>
      </c>
      <c r="J8040" s="3" t="str">
        <f>HYPERLINK("https://www.boe.es/gazeta/dias/1810/10/25/pdfs/GEI-1810-86.pdf#page=7","Abrir facsímil")</f>
        <v>Abrir facsímil</v>
      </c>
      <c r="K8040" s="3" t="s">
        <v>76</v>
      </c>
    </row>
    <row r="8041" spans="1:11" ht="42" customHeight="1">
      <c r="A8041" s="2" t="s">
        <v>20096</v>
      </c>
      <c r="B8041" s="2" t="s">
        <v>20096</v>
      </c>
      <c r="C8041" s="2" t="s">
        <v>26</v>
      </c>
      <c r="D8041" s="2" t="s">
        <v>27</v>
      </c>
      <c r="E8041" s="4">
        <v>-32540</v>
      </c>
      <c r="F8041" s="3" t="s">
        <v>3590</v>
      </c>
      <c r="G8041" s="3" t="s">
        <v>136</v>
      </c>
      <c r="H8041" s="2" t="s">
        <v>74</v>
      </c>
      <c r="I8041" s="2" t="s">
        <v>20104</v>
      </c>
      <c r="J8041" s="3" t="str">
        <f>HYPERLINK("https://www.boe.es/gazeta/dias/1810/11/27/pdfs/GEI-1810-100.pdf#page=8","Abrir facsímil")</f>
        <v>Abrir facsímil</v>
      </c>
      <c r="K8041" s="3" t="s">
        <v>76</v>
      </c>
    </row>
    <row r="8042" spans="1:11" ht="42" customHeight="1">
      <c r="A8042" s="2" t="s">
        <v>20096</v>
      </c>
      <c r="B8042" s="2" t="s">
        <v>20096</v>
      </c>
      <c r="C8042" s="2" t="s">
        <v>225</v>
      </c>
      <c r="D8042" s="2" t="s">
        <v>27</v>
      </c>
      <c r="E8042" s="4">
        <v>-32509</v>
      </c>
      <c r="F8042" s="3" t="s">
        <v>212</v>
      </c>
      <c r="G8042" s="3" t="s">
        <v>213</v>
      </c>
      <c r="H8042" s="2" t="s">
        <v>74</v>
      </c>
      <c r="I8042" s="2" t="s">
        <v>20105</v>
      </c>
      <c r="J8042" s="3" t="str">
        <f>HYPERLINK("https://www.boe.es/gazeta/dias/1810/12/28/pdfs/GMD-1810-362.pdf#page=4","Abrir facsímil")</f>
        <v>Abrir facsímil</v>
      </c>
      <c r="K8042" s="3" t="s">
        <v>76</v>
      </c>
    </row>
    <row r="8043" spans="1:11" ht="42" customHeight="1">
      <c r="A8043" s="2" t="s">
        <v>20106</v>
      </c>
      <c r="B8043" s="2" t="s">
        <v>20107</v>
      </c>
      <c r="C8043" s="2" t="s">
        <v>88</v>
      </c>
      <c r="D8043" s="2" t="s">
        <v>27</v>
      </c>
      <c r="E8043" s="4">
        <v>-32728</v>
      </c>
      <c r="F8043" s="3" t="s">
        <v>269</v>
      </c>
      <c r="G8043" s="3" t="s">
        <v>119</v>
      </c>
      <c r="H8043" s="2" t="s">
        <v>74</v>
      </c>
      <c r="I8043" s="2" t="s">
        <v>20108</v>
      </c>
      <c r="J8043" s="3" t="str">
        <f>HYPERLINK("https://www.boe.es/gazeta/dias/1810/05/23/pdfs/GMD-1810-143.pdf#page=3","Abrir facsímil")</f>
        <v>Abrir facsímil</v>
      </c>
      <c r="K8043" s="3" t="s">
        <v>76</v>
      </c>
    </row>
    <row r="8044" spans="1:11" ht="42" customHeight="1">
      <c r="A8044" s="2" t="s">
        <v>20109</v>
      </c>
      <c r="B8044" s="2" t="s">
        <v>20110</v>
      </c>
      <c r="C8044" s="2" t="s">
        <v>88</v>
      </c>
      <c r="D8044" s="2" t="s">
        <v>117</v>
      </c>
      <c r="E8044" s="4">
        <v>-32666</v>
      </c>
      <c r="F8044" s="3" t="s">
        <v>1913</v>
      </c>
      <c r="G8044" s="3" t="s">
        <v>1914</v>
      </c>
      <c r="H8044" s="2" t="s">
        <v>74</v>
      </c>
      <c r="I8044" s="2" t="s">
        <v>20111</v>
      </c>
      <c r="J8044" s="3" t="str">
        <f>HYPERLINK("https://www.boe.es/gazeta/dias/1810/07/24/pdfs/GMD-1810-205.pdf#page=4","Abrir facsímil")</f>
        <v>Abrir facsímil</v>
      </c>
      <c r="K8044" s="3" t="s">
        <v>76</v>
      </c>
    </row>
    <row r="8045" spans="1:11" ht="42" customHeight="1">
      <c r="A8045" s="2" t="s">
        <v>20112</v>
      </c>
      <c r="B8045" s="2" t="s">
        <v>20113</v>
      </c>
      <c r="C8045" s="2" t="s">
        <v>317</v>
      </c>
      <c r="D8045" s="2" t="s">
        <v>39</v>
      </c>
      <c r="E8045" s="4">
        <v>-32670</v>
      </c>
      <c r="F8045" s="3" t="s">
        <v>2457</v>
      </c>
      <c r="G8045" s="3" t="s">
        <v>1464</v>
      </c>
      <c r="H8045" s="2" t="s">
        <v>74</v>
      </c>
      <c r="I8045" s="2" t="s">
        <v>20114</v>
      </c>
      <c r="J8045" s="3" t="str">
        <f>HYPERLINK("https://www.boe.es/gazeta/dias/1810/07/20/pdfs/GMD-C-1810-201.pdf#page=3","Abrir facsímil")</f>
        <v>Abrir facsímil</v>
      </c>
      <c r="K8045" s="3" t="s">
        <v>76</v>
      </c>
    </row>
    <row r="8046" spans="1:11" ht="42" customHeight="1">
      <c r="A8046" s="2" t="s">
        <v>20115</v>
      </c>
      <c r="B8046" s="2" t="s">
        <v>20116</v>
      </c>
      <c r="C8046" s="2" t="s">
        <v>88</v>
      </c>
      <c r="D8046" s="2" t="s">
        <v>27</v>
      </c>
      <c r="E8046" s="4">
        <v>-32603</v>
      </c>
      <c r="F8046" s="3" t="s">
        <v>2163</v>
      </c>
      <c r="G8046" s="3" t="s">
        <v>29</v>
      </c>
      <c r="H8046" s="2" t="s">
        <v>74</v>
      </c>
      <c r="I8046" s="2" t="s">
        <v>20117</v>
      </c>
      <c r="J8046" s="3" t="str">
        <f>HYPERLINK("https://www.boe.es/gazeta/dias/1810/09/25/pdfs/GEI-1810-72.pdf#page=8","Abrir facsímil")</f>
        <v>Abrir facsímil</v>
      </c>
      <c r="K8046" s="3" t="s">
        <v>76</v>
      </c>
    </row>
    <row r="8047" spans="1:11" ht="42" customHeight="1">
      <c r="A8047" s="2" t="s">
        <v>20118</v>
      </c>
      <c r="B8047" s="2" t="s">
        <v>20119</v>
      </c>
      <c r="C8047" s="2" t="s">
        <v>88</v>
      </c>
      <c r="D8047" s="2" t="s">
        <v>117</v>
      </c>
      <c r="E8047" s="4">
        <v>-32789</v>
      </c>
      <c r="F8047" s="3" t="s">
        <v>1468</v>
      </c>
      <c r="G8047" s="3" t="s">
        <v>1691</v>
      </c>
      <c r="H8047" s="2" t="s">
        <v>74</v>
      </c>
      <c r="I8047" s="2" t="s">
        <v>20120</v>
      </c>
      <c r="J8047" s="3" t="str">
        <f>HYPERLINK("https://www.boe.es/gazeta/dias/1810/03/23/pdfs/GEI-1810-5.pdf#page=7","Abrir facsímil")</f>
        <v>Abrir facsímil</v>
      </c>
      <c r="K8047" s="3" t="s">
        <v>76</v>
      </c>
    </row>
    <row r="8048" spans="1:11" ht="42" customHeight="1">
      <c r="A8048" s="2" t="s">
        <v>20121</v>
      </c>
      <c r="B8048" s="2" t="s">
        <v>20122</v>
      </c>
      <c r="C8048" s="2" t="s">
        <v>26</v>
      </c>
      <c r="D8048" s="2" t="s">
        <v>39</v>
      </c>
      <c r="E8048" s="4">
        <v>-32650</v>
      </c>
      <c r="F8048" s="3" t="s">
        <v>765</v>
      </c>
      <c r="G8048" s="3" t="s">
        <v>766</v>
      </c>
      <c r="H8048" s="2" t="s">
        <v>74</v>
      </c>
      <c r="I8048" s="2" t="s">
        <v>20123</v>
      </c>
      <c r="J8048" s="3" t="str">
        <f>HYPERLINK("https://www.boe.es/gazeta/dias/1810/08/09/pdfs/GMD-C-1810-221.pdf#page=3","Abrir facsímil")</f>
        <v>Abrir facsímil</v>
      </c>
      <c r="K8048" s="3" t="s">
        <v>76</v>
      </c>
    </row>
    <row r="8049" spans="1:11" ht="42" customHeight="1">
      <c r="A8049" s="2" t="s">
        <v>20124</v>
      </c>
      <c r="B8049" s="2" t="s">
        <v>20125</v>
      </c>
      <c r="C8049" s="2" t="s">
        <v>17</v>
      </c>
      <c r="D8049" s="2" t="s">
        <v>18</v>
      </c>
      <c r="E8049" s="4">
        <v>-32710</v>
      </c>
      <c r="F8049" s="3" t="s">
        <v>126</v>
      </c>
      <c r="G8049" s="3" t="s">
        <v>180</v>
      </c>
      <c r="H8049" s="2" t="s">
        <v>74</v>
      </c>
      <c r="I8049" s="2" t="s">
        <v>20126</v>
      </c>
      <c r="J8049" s="3" t="str">
        <f>HYPERLINK("https://www.boe.es/gazeta/dias/1810/06/10/pdfs/GMD-1810-161.pdf#page=1","Abrir facsímil")</f>
        <v>Abrir facsímil</v>
      </c>
      <c r="K8049" s="3" t="s">
        <v>76</v>
      </c>
    </row>
    <row r="8050" spans="1:11" ht="42" customHeight="1">
      <c r="A8050" s="2" t="s">
        <v>20127</v>
      </c>
      <c r="B8050" s="2" t="s">
        <v>20127</v>
      </c>
      <c r="C8050" s="2" t="s">
        <v>88</v>
      </c>
      <c r="D8050" s="2" t="s">
        <v>27</v>
      </c>
      <c r="E8050" s="4">
        <v>-32508</v>
      </c>
      <c r="F8050" s="3" t="s">
        <v>2609</v>
      </c>
      <c r="G8050" s="3" t="s">
        <v>18976</v>
      </c>
      <c r="H8050" s="2" t="s">
        <v>74</v>
      </c>
      <c r="I8050" s="2" t="s">
        <v>20128</v>
      </c>
      <c r="J8050" s="3" t="str">
        <f>HYPERLINK("https://www.boe.es/gazeta/dias/1810/12/29/pdfs/GMD-1810-363.pdf#page=1","Abrir facsímil")</f>
        <v>Abrir facsímil</v>
      </c>
      <c r="K8050" s="3" t="s">
        <v>76</v>
      </c>
    </row>
    <row r="8051" spans="1:11" ht="42" customHeight="1">
      <c r="A8051" s="2" t="s">
        <v>20129</v>
      </c>
      <c r="B8051" s="2" t="s">
        <v>20130</v>
      </c>
      <c r="C8051" s="2" t="s">
        <v>88</v>
      </c>
      <c r="D8051" s="2" t="s">
        <v>27</v>
      </c>
      <c r="E8051" s="4">
        <v>-32710</v>
      </c>
      <c r="F8051" s="3" t="s">
        <v>126</v>
      </c>
      <c r="G8051" s="3" t="s">
        <v>20</v>
      </c>
      <c r="H8051" s="2" t="s">
        <v>74</v>
      </c>
      <c r="I8051" s="2" t="s">
        <v>20131</v>
      </c>
      <c r="J8051" s="3" t="str">
        <f>HYPERLINK("https://www.boe.es/gazeta/dias/1810/06/10/pdfs/GMD-1810-161.pdf#page=4","Abrir facsímil")</f>
        <v>Abrir facsímil</v>
      </c>
      <c r="K8051" s="3" t="s">
        <v>76</v>
      </c>
    </row>
    <row r="8052" spans="1:11" ht="42" customHeight="1">
      <c r="A8052" s="2" t="s">
        <v>20132</v>
      </c>
      <c r="B8052" s="2" t="s">
        <v>20133</v>
      </c>
      <c r="C8052" s="2" t="s">
        <v>26</v>
      </c>
      <c r="D8052" s="2" t="s">
        <v>220</v>
      </c>
      <c r="E8052" s="4">
        <v>-32862</v>
      </c>
      <c r="F8052" s="3" t="s">
        <v>694</v>
      </c>
      <c r="G8052" s="3" t="s">
        <v>4798</v>
      </c>
      <c r="H8052" s="2" t="s">
        <v>74</v>
      </c>
      <c r="I8052" s="2" t="s">
        <v>20134</v>
      </c>
      <c r="J8052" s="3" t="str">
        <f>HYPERLINK("https://www.boe.es/gazeta/dias/1810/01/09/pdfs/GGB-1810-4.pdf#page=7","Abrir facsímil")</f>
        <v>Abrir facsímil</v>
      </c>
      <c r="K8052" s="3" t="s">
        <v>76</v>
      </c>
    </row>
    <row r="8053" spans="1:11" ht="42" customHeight="1">
      <c r="A8053" s="2" t="s">
        <v>20132</v>
      </c>
      <c r="B8053" s="2" t="s">
        <v>20133</v>
      </c>
      <c r="C8053" s="2" t="s">
        <v>26</v>
      </c>
      <c r="D8053" s="2" t="s">
        <v>27</v>
      </c>
      <c r="E8053" s="4">
        <v>-32860</v>
      </c>
      <c r="F8053" s="3" t="s">
        <v>504</v>
      </c>
      <c r="G8053" s="3" t="s">
        <v>5818</v>
      </c>
      <c r="H8053" s="2" t="s">
        <v>74</v>
      </c>
      <c r="I8053" s="2" t="s">
        <v>20135</v>
      </c>
      <c r="J8053" s="3" t="str">
        <f>HYPERLINK("https://www.boe.es/gazeta/dias/1810/01/11/pdfs/GGB-1810-5.pdf#page=6","Abrir facsímil")</f>
        <v>Abrir facsímil</v>
      </c>
      <c r="K8053" s="3" t="s">
        <v>76</v>
      </c>
    </row>
    <row r="8054" spans="1:11" ht="42" customHeight="1">
      <c r="A8054" s="2" t="s">
        <v>20136</v>
      </c>
      <c r="B8054" s="2" t="s">
        <v>20137</v>
      </c>
      <c r="C8054" s="2" t="s">
        <v>26</v>
      </c>
      <c r="D8054" s="2" t="s">
        <v>27</v>
      </c>
      <c r="E8054" s="4">
        <v>-32647</v>
      </c>
      <c r="F8054" s="3" t="s">
        <v>118</v>
      </c>
      <c r="G8054" s="3" t="s">
        <v>119</v>
      </c>
      <c r="H8054" s="2" t="s">
        <v>74</v>
      </c>
      <c r="I8054" s="2" t="s">
        <v>20138</v>
      </c>
      <c r="J8054" s="3" t="str">
        <f>HYPERLINK("https://www.boe.es/gazeta/dias/1810/08/12/pdfs/GMD-1810-224.pdf#page=3","Abrir facsímil")</f>
        <v>Abrir facsímil</v>
      </c>
      <c r="K8054" s="3" t="s">
        <v>76</v>
      </c>
    </row>
    <row r="8055" spans="1:11" ht="42" customHeight="1">
      <c r="A8055" s="2" t="s">
        <v>20139</v>
      </c>
      <c r="B8055" s="2" t="s">
        <v>20140</v>
      </c>
      <c r="C8055" s="2" t="s">
        <v>26</v>
      </c>
      <c r="D8055" s="2" t="s">
        <v>27</v>
      </c>
      <c r="E8055" s="4">
        <v>-32654</v>
      </c>
      <c r="F8055" s="3" t="s">
        <v>1226</v>
      </c>
      <c r="G8055" s="3" t="s">
        <v>732</v>
      </c>
      <c r="H8055" s="2" t="s">
        <v>74</v>
      </c>
      <c r="I8055" s="2" t="s">
        <v>20141</v>
      </c>
      <c r="J8055" s="3" t="str">
        <f>HYPERLINK("https://www.boe.es/gazeta/dias/1810/08/05/pdfs/GMD-1810-217.pdf#page=3","Abrir facsímil")</f>
        <v>Abrir facsímil</v>
      </c>
      <c r="K8055" s="3" t="s">
        <v>76</v>
      </c>
    </row>
    <row r="8056" spans="1:11" ht="42" customHeight="1">
      <c r="A8056" s="2" t="s">
        <v>20142</v>
      </c>
      <c r="B8056" s="2" t="s">
        <v>20143</v>
      </c>
      <c r="C8056" s="2" t="s">
        <v>33</v>
      </c>
      <c r="D8056" s="2" t="s">
        <v>27</v>
      </c>
      <c r="E8056" s="4">
        <v>-32839</v>
      </c>
      <c r="F8056" s="3" t="s">
        <v>28</v>
      </c>
      <c r="G8056" s="3" t="s">
        <v>29</v>
      </c>
      <c r="H8056" s="2" t="s">
        <v>74</v>
      </c>
      <c r="I8056" s="2" t="s">
        <v>20144</v>
      </c>
      <c r="J8056" s="3" t="str">
        <f>HYPERLINK("https://www.boe.es/gazeta/dias/1810/02/01/pdfs/GMD-1810-32.pdf#page=2","Abrir facsímil")</f>
        <v>Abrir facsímil</v>
      </c>
      <c r="K8056" s="3" t="s">
        <v>76</v>
      </c>
    </row>
    <row r="8057" spans="1:11" ht="42" customHeight="1">
      <c r="A8057" s="2" t="s">
        <v>20145</v>
      </c>
      <c r="B8057" s="2" t="s">
        <v>20146</v>
      </c>
      <c r="C8057" s="2" t="s">
        <v>26</v>
      </c>
      <c r="D8057" s="2" t="s">
        <v>39</v>
      </c>
      <c r="E8057" s="4">
        <v>-32701</v>
      </c>
      <c r="F8057" s="3" t="s">
        <v>40</v>
      </c>
      <c r="G8057" s="3" t="s">
        <v>333</v>
      </c>
      <c r="H8057" s="2" t="s">
        <v>74</v>
      </c>
      <c r="I8057" s="2" t="s">
        <v>20147</v>
      </c>
      <c r="J8057" s="3" t="str">
        <f>HYPERLINK("https://www.boe.es/gazeta/dias/1810/06/19/pdfs/GMD-C-1810-170.pdf#page=4","Abrir facsímil")</f>
        <v>Abrir facsímil</v>
      </c>
      <c r="K8057" s="3" t="s">
        <v>76</v>
      </c>
    </row>
    <row r="8058" spans="1:11" ht="42" customHeight="1">
      <c r="A8058" s="2" t="s">
        <v>20145</v>
      </c>
      <c r="B8058" s="2" t="s">
        <v>20146</v>
      </c>
      <c r="C8058" s="2" t="s">
        <v>26</v>
      </c>
      <c r="D8058" s="2" t="s">
        <v>39</v>
      </c>
      <c r="E8058" s="4">
        <v>-32661</v>
      </c>
      <c r="F8058" s="3" t="s">
        <v>157</v>
      </c>
      <c r="G8058" s="3" t="s">
        <v>158</v>
      </c>
      <c r="H8058" s="2" t="s">
        <v>74</v>
      </c>
      <c r="I8058" s="2" t="s">
        <v>20148</v>
      </c>
      <c r="J8058" s="3" t="str">
        <f>HYPERLINK("https://www.boe.es/gazeta/dias/1810/07/29/pdfs/GMD-C-1810-210.pdf#page=1","Abrir facsímil")</f>
        <v>Abrir facsímil</v>
      </c>
      <c r="K8058" s="3" t="s">
        <v>76</v>
      </c>
    </row>
    <row r="8059" spans="1:11" ht="42" customHeight="1">
      <c r="A8059" s="2" t="s">
        <v>20149</v>
      </c>
      <c r="B8059" s="2" t="s">
        <v>20150</v>
      </c>
      <c r="C8059" s="2" t="s">
        <v>26</v>
      </c>
      <c r="D8059" s="2" t="s">
        <v>39</v>
      </c>
      <c r="E8059" s="4">
        <v>-32702</v>
      </c>
      <c r="F8059" s="3" t="s">
        <v>179</v>
      </c>
      <c r="G8059" s="3" t="s">
        <v>119</v>
      </c>
      <c r="H8059" s="2" t="s">
        <v>74</v>
      </c>
      <c r="I8059" s="2" t="s">
        <v>20151</v>
      </c>
      <c r="J8059" s="3" t="str">
        <f>HYPERLINK("https://www.boe.es/gazeta/dias/1810/06/18/pdfs/GMD-C-1810-169.pdf#page=1","Abrir facsímil")</f>
        <v>Abrir facsímil</v>
      </c>
      <c r="K8059" s="3" t="s">
        <v>76</v>
      </c>
    </row>
    <row r="8060" spans="1:11" ht="42" customHeight="1">
      <c r="A8060" s="2" t="s">
        <v>20152</v>
      </c>
      <c r="B8060" s="2" t="s">
        <v>20153</v>
      </c>
      <c r="C8060" s="2" t="s">
        <v>26</v>
      </c>
      <c r="D8060" s="2" t="s">
        <v>39</v>
      </c>
      <c r="E8060" s="4">
        <v>-32669</v>
      </c>
      <c r="F8060" s="3" t="s">
        <v>1110</v>
      </c>
      <c r="G8060" s="3" t="s">
        <v>473</v>
      </c>
      <c r="H8060" s="2" t="s">
        <v>74</v>
      </c>
      <c r="I8060" s="2" t="s">
        <v>20154</v>
      </c>
      <c r="J8060" s="3" t="str">
        <f>HYPERLINK("https://www.boe.es/gazeta/dias/1810/07/21/pdfs/GMD-C-1810-202.pdf#page=3","Abrir facsímil")</f>
        <v>Abrir facsímil</v>
      </c>
      <c r="K8060" s="3" t="s">
        <v>76</v>
      </c>
    </row>
    <row r="8061" spans="1:11" ht="42" customHeight="1">
      <c r="A8061" s="2" t="s">
        <v>20155</v>
      </c>
      <c r="B8061" s="2" t="s">
        <v>20156</v>
      </c>
      <c r="C8061" s="2" t="s">
        <v>225</v>
      </c>
      <c r="D8061" s="2" t="s">
        <v>117</v>
      </c>
      <c r="E8061" s="4">
        <v>-32778</v>
      </c>
      <c r="F8061" s="3" t="s">
        <v>5869</v>
      </c>
      <c r="G8061" s="3" t="s">
        <v>701</v>
      </c>
      <c r="H8061" s="2" t="s">
        <v>74</v>
      </c>
      <c r="I8061" s="2" t="s">
        <v>20157</v>
      </c>
      <c r="J8061" s="3" t="str">
        <f>HYPERLINK("https://www.boe.es/gazeta/dias/1810/04/03/pdfs/GEI-1810-11.pdf#page=8","Abrir facsímil")</f>
        <v>Abrir facsímil</v>
      </c>
      <c r="K8061" s="3" t="s">
        <v>76</v>
      </c>
    </row>
    <row r="8062" spans="1:11" ht="42" customHeight="1">
      <c r="A8062" s="2" t="s">
        <v>20158</v>
      </c>
      <c r="B8062" s="2" t="s">
        <v>20159</v>
      </c>
      <c r="C8062" s="2" t="s">
        <v>26</v>
      </c>
      <c r="D8062" s="2" t="s">
        <v>39</v>
      </c>
      <c r="E8062" s="4">
        <v>-32661</v>
      </c>
      <c r="F8062" s="3" t="s">
        <v>157</v>
      </c>
      <c r="G8062" s="3" t="s">
        <v>592</v>
      </c>
      <c r="H8062" s="2" t="s">
        <v>74</v>
      </c>
      <c r="I8062" s="2" t="s">
        <v>20160</v>
      </c>
      <c r="J8062" s="3" t="str">
        <f>HYPERLINK("https://www.boe.es/gazeta/dias/1810/07/29/pdfs/GMD-C-1810-210.pdf#page=2","Abrir facsímil")</f>
        <v>Abrir facsímil</v>
      </c>
      <c r="K8062" s="3" t="s">
        <v>76</v>
      </c>
    </row>
    <row r="8063" spans="1:11" ht="42" customHeight="1">
      <c r="A8063" s="2" t="s">
        <v>20161</v>
      </c>
      <c r="B8063" s="2" t="s">
        <v>20162</v>
      </c>
      <c r="C8063" s="2" t="s">
        <v>33</v>
      </c>
      <c r="D8063" s="2" t="s">
        <v>27</v>
      </c>
      <c r="E8063" s="4">
        <v>-32728</v>
      </c>
      <c r="F8063" s="3" t="s">
        <v>269</v>
      </c>
      <c r="G8063" s="3" t="s">
        <v>70</v>
      </c>
      <c r="H8063" s="2" t="s">
        <v>74</v>
      </c>
      <c r="I8063" s="2" t="s">
        <v>20163</v>
      </c>
      <c r="J8063" s="3" t="str">
        <f>HYPERLINK("https://www.boe.es/gazeta/dias/1810/05/23/pdfs/GMD-1810-143.pdf#page=4","Abrir facsímil")</f>
        <v>Abrir facsímil</v>
      </c>
      <c r="K8063" s="3" t="s">
        <v>76</v>
      </c>
    </row>
    <row r="8064" spans="1:11" ht="42" customHeight="1">
      <c r="A8064" s="2" t="s">
        <v>20164</v>
      </c>
      <c r="B8064" s="2" t="s">
        <v>20165</v>
      </c>
      <c r="C8064" s="2" t="s">
        <v>88</v>
      </c>
      <c r="D8064" s="2" t="s">
        <v>117</v>
      </c>
      <c r="E8064" s="4">
        <v>-32624</v>
      </c>
      <c r="F8064" s="3" t="s">
        <v>2176</v>
      </c>
      <c r="G8064" s="3" t="s">
        <v>227</v>
      </c>
      <c r="H8064" s="2" t="s">
        <v>74</v>
      </c>
      <c r="I8064" s="2" t="s">
        <v>20166</v>
      </c>
      <c r="J8064" s="3" t="str">
        <f>HYPERLINK("https://www.boe.es/gazeta/dias/1810/09/04/pdfs/GEI-1810-64.pdf#page=5","Abrir facsímil")</f>
        <v>Abrir facsímil</v>
      </c>
      <c r="K8064" s="3" t="s">
        <v>76</v>
      </c>
    </row>
    <row r="8065" spans="1:11" ht="42" customHeight="1">
      <c r="A8065" s="2" t="s">
        <v>20167</v>
      </c>
      <c r="B8065" s="2" t="s">
        <v>20167</v>
      </c>
      <c r="C8065" s="2" t="s">
        <v>88</v>
      </c>
      <c r="D8065" s="2" t="s">
        <v>220</v>
      </c>
      <c r="E8065" s="4">
        <v>-32673</v>
      </c>
      <c r="F8065" s="3" t="s">
        <v>472</v>
      </c>
      <c r="G8065" s="3" t="s">
        <v>473</v>
      </c>
      <c r="H8065" s="2" t="s">
        <v>74</v>
      </c>
      <c r="I8065" s="2" t="s">
        <v>20168</v>
      </c>
      <c r="J8065" s="3" t="str">
        <f>HYPERLINK("https://www.boe.es/gazeta/dias/1810/07/17/pdfs/GMD-1810-198.pdf#page=1","Abrir facsímil")</f>
        <v>Abrir facsímil</v>
      </c>
      <c r="K8065" s="3" t="s">
        <v>76</v>
      </c>
    </row>
    <row r="8066" spans="1:11" ht="42" customHeight="1">
      <c r="A8066" s="2" t="s">
        <v>20169</v>
      </c>
      <c r="B8066" s="2" t="s">
        <v>20170</v>
      </c>
      <c r="C8066" s="2" t="s">
        <v>88</v>
      </c>
      <c r="D8066" s="2" t="s">
        <v>117</v>
      </c>
      <c r="E8066" s="4">
        <v>-32680</v>
      </c>
      <c r="F8066" s="3" t="s">
        <v>519</v>
      </c>
      <c r="G8066" s="3" t="s">
        <v>104</v>
      </c>
      <c r="H8066" s="2" t="s">
        <v>74</v>
      </c>
      <c r="I8066" s="2" t="s">
        <v>20171</v>
      </c>
      <c r="J8066" s="3" t="str">
        <f>HYPERLINK("https://www.boe.es/gazeta/dias/1810/07/10/pdfs/GEI-1810-43.pdf#page=8","Abrir facsímil")</f>
        <v>Abrir facsímil</v>
      </c>
      <c r="K8066" s="3" t="s">
        <v>76</v>
      </c>
    </row>
    <row r="8067" spans="1:11" ht="42" customHeight="1">
      <c r="A8067" s="2" t="s">
        <v>20169</v>
      </c>
      <c r="B8067" s="2" t="s">
        <v>20170</v>
      </c>
      <c r="C8067" s="2" t="s">
        <v>225</v>
      </c>
      <c r="D8067" s="2" t="s">
        <v>58</v>
      </c>
      <c r="E8067" s="4">
        <v>-32629</v>
      </c>
      <c r="F8067" s="3" t="s">
        <v>4320</v>
      </c>
      <c r="G8067" s="3" t="s">
        <v>12670</v>
      </c>
      <c r="H8067" s="2" t="s">
        <v>74</v>
      </c>
      <c r="I8067" s="2" t="s">
        <v>20172</v>
      </c>
      <c r="J8067" s="3" t="str">
        <f>HYPERLINK("https://www.boe.es/gazeta/dias/1810/08/30/pdfs/GEI-1810-61E.pdf#page=2","Abrir facsímil")</f>
        <v>Abrir facsímil</v>
      </c>
      <c r="K8067" s="3" t="s">
        <v>76</v>
      </c>
    </row>
    <row r="8068" spans="1:11" ht="42" customHeight="1">
      <c r="A8068" s="2" t="s">
        <v>20169</v>
      </c>
      <c r="B8068" s="2" t="s">
        <v>20170</v>
      </c>
      <c r="C8068" s="2" t="s">
        <v>88</v>
      </c>
      <c r="D8068" s="2" t="s">
        <v>18</v>
      </c>
      <c r="E8068" s="4">
        <v>-32515</v>
      </c>
      <c r="F8068" s="3" t="s">
        <v>351</v>
      </c>
      <c r="G8068" s="3" t="s">
        <v>4526</v>
      </c>
      <c r="H8068" s="2" t="s">
        <v>74</v>
      </c>
      <c r="I8068" s="2" t="s">
        <v>20173</v>
      </c>
      <c r="J8068" s="3" t="str">
        <f>HYPERLINK("https://www.boe.es/gazeta/dias/1810/12/22/pdfs/GEI-1810-111.pdf#page=7","Abrir facsímil")</f>
        <v>Abrir facsímil</v>
      </c>
      <c r="K8068" s="3" t="s">
        <v>76</v>
      </c>
    </row>
    <row r="8069" spans="1:11" ht="42" customHeight="1">
      <c r="A8069" s="2" t="s">
        <v>20174</v>
      </c>
      <c r="B8069" s="2" t="s">
        <v>20174</v>
      </c>
      <c r="C8069" s="2" t="s">
        <v>225</v>
      </c>
      <c r="D8069" s="2" t="s">
        <v>220</v>
      </c>
      <c r="E8069" s="4">
        <v>-32673</v>
      </c>
      <c r="F8069" s="3" t="s">
        <v>472</v>
      </c>
      <c r="G8069" s="3" t="s">
        <v>473</v>
      </c>
      <c r="H8069" s="2" t="s">
        <v>74</v>
      </c>
      <c r="I8069" s="2" t="s">
        <v>20175</v>
      </c>
      <c r="J8069" s="3" t="str">
        <f>HYPERLINK("https://www.boe.es/gazeta/dias/1810/07/17/pdfs/GMD-1810-198.pdf#page=1","Abrir facsímil")</f>
        <v>Abrir facsímil</v>
      </c>
      <c r="K8069" s="3" t="s">
        <v>76</v>
      </c>
    </row>
    <row r="8070" spans="1:11" ht="42" customHeight="1">
      <c r="A8070" s="2" t="s">
        <v>20176</v>
      </c>
      <c r="B8070" s="2" t="s">
        <v>20177</v>
      </c>
      <c r="C8070" s="2" t="s">
        <v>111</v>
      </c>
      <c r="D8070" s="2" t="s">
        <v>27</v>
      </c>
      <c r="E8070" s="4">
        <v>-32631</v>
      </c>
      <c r="F8070" s="3" t="s">
        <v>497</v>
      </c>
      <c r="G8070" s="3" t="s">
        <v>498</v>
      </c>
      <c r="H8070" s="2" t="s">
        <v>74</v>
      </c>
      <c r="I8070" s="2" t="s">
        <v>20178</v>
      </c>
      <c r="J8070" s="3" t="str">
        <f>HYPERLINK("https://www.boe.es/gazeta/dias/1810/08/28/pdfs/GMD-1810-240.pdf#page=2","Abrir facsímil")</f>
        <v>Abrir facsímil</v>
      </c>
      <c r="K8070" s="3" t="s">
        <v>76</v>
      </c>
    </row>
    <row r="8071" spans="1:11" ht="42" customHeight="1">
      <c r="A8071" s="2" t="s">
        <v>20179</v>
      </c>
      <c r="B8071" s="2" t="s">
        <v>20180</v>
      </c>
      <c r="C8071" s="2" t="s">
        <v>26</v>
      </c>
      <c r="D8071" s="2" t="s">
        <v>27</v>
      </c>
      <c r="E8071" s="4">
        <v>-32710</v>
      </c>
      <c r="F8071" s="3" t="s">
        <v>126</v>
      </c>
      <c r="G8071" s="3" t="s">
        <v>184</v>
      </c>
      <c r="H8071" s="2" t="s">
        <v>74</v>
      </c>
      <c r="I8071" s="2" t="s">
        <v>20181</v>
      </c>
      <c r="J8071" s="3" t="str">
        <f>HYPERLINK("https://www.boe.es/gazeta/dias/1810/06/10/pdfs/GMD-1810-161.pdf#page=3","Abrir facsímil")</f>
        <v>Abrir facsímil</v>
      </c>
      <c r="K8071" s="3" t="s">
        <v>76</v>
      </c>
    </row>
    <row r="8072" spans="1:11" ht="42" customHeight="1">
      <c r="A8072" s="2" t="s">
        <v>20182</v>
      </c>
      <c r="B8072" s="2" t="s">
        <v>20183</v>
      </c>
      <c r="C8072" s="2" t="s">
        <v>26</v>
      </c>
      <c r="D8072" s="2" t="s">
        <v>39</v>
      </c>
      <c r="E8072" s="4">
        <v>-32701</v>
      </c>
      <c r="F8072" s="3" t="s">
        <v>40</v>
      </c>
      <c r="G8072" s="3" t="s">
        <v>333</v>
      </c>
      <c r="H8072" s="2" t="s">
        <v>74</v>
      </c>
      <c r="I8072" s="2" t="s">
        <v>20184</v>
      </c>
      <c r="J8072" s="3" t="str">
        <f>HYPERLINK("https://www.boe.es/gazeta/dias/1810/06/19/pdfs/GMD-C-1810-170.pdf#page=4","Abrir facsímil")</f>
        <v>Abrir facsímil</v>
      </c>
      <c r="K8072" s="3" t="s">
        <v>76</v>
      </c>
    </row>
    <row r="8073" spans="1:11" ht="42" customHeight="1">
      <c r="A8073" s="2" t="s">
        <v>20185</v>
      </c>
      <c r="B8073" s="2" t="s">
        <v>20186</v>
      </c>
      <c r="C8073" s="2" t="s">
        <v>88</v>
      </c>
      <c r="D8073" s="2" t="s">
        <v>117</v>
      </c>
      <c r="E8073" s="4">
        <v>-32837</v>
      </c>
      <c r="F8073" s="3" t="s">
        <v>196</v>
      </c>
      <c r="G8073" s="3" t="s">
        <v>99</v>
      </c>
      <c r="H8073" s="2" t="s">
        <v>74</v>
      </c>
      <c r="I8073" s="2" t="s">
        <v>20187</v>
      </c>
      <c r="J8073" s="3" t="str">
        <f>HYPERLINK("https://www.boe.es/gazeta/dias/1810/02/03/pdfs/GMD-1810-34.pdf#page=3","Abrir facsímil")</f>
        <v>Abrir facsímil</v>
      </c>
      <c r="K8073" s="3" t="s">
        <v>76</v>
      </c>
    </row>
    <row r="8074" spans="1:11" ht="42" customHeight="1">
      <c r="A8074" s="2" t="s">
        <v>20188</v>
      </c>
      <c r="B8074" s="2" t="s">
        <v>20188</v>
      </c>
      <c r="C8074" s="2" t="s">
        <v>88</v>
      </c>
      <c r="D8074" s="2" t="s">
        <v>27</v>
      </c>
      <c r="E8074" s="4">
        <v>-32842</v>
      </c>
      <c r="F8074" s="3" t="s">
        <v>1291</v>
      </c>
      <c r="G8074" s="3" t="s">
        <v>1292</v>
      </c>
      <c r="H8074" s="2" t="s">
        <v>74</v>
      </c>
      <c r="I8074" s="2" t="s">
        <v>20189</v>
      </c>
      <c r="J8074" s="3" t="str">
        <f>HYPERLINK("https://www.boe.es/gazeta/dias/1810/01/29/pdfs/GMD-1810-29.pdf#page=3","Abrir facsímil")</f>
        <v>Abrir facsímil</v>
      </c>
      <c r="K8074" s="3" t="s">
        <v>76</v>
      </c>
    </row>
    <row r="8075" spans="1:11" ht="42" customHeight="1">
      <c r="A8075" s="2" t="s">
        <v>20190</v>
      </c>
      <c r="B8075" s="2" t="s">
        <v>20190</v>
      </c>
      <c r="C8075" s="2" t="s">
        <v>26</v>
      </c>
      <c r="D8075" s="2" t="s">
        <v>18</v>
      </c>
      <c r="E8075" s="4">
        <v>-32842</v>
      </c>
      <c r="F8075" s="3" t="s">
        <v>1291</v>
      </c>
      <c r="G8075" s="3" t="s">
        <v>1292</v>
      </c>
      <c r="H8075" s="2" t="s">
        <v>74</v>
      </c>
      <c r="I8075" s="2" t="s">
        <v>20191</v>
      </c>
      <c r="J8075" s="3" t="str">
        <f>HYPERLINK("https://www.boe.es/gazeta/dias/1810/01/29/pdfs/GMD-1810-29.pdf#page=3","Abrir facsímil")</f>
        <v>Abrir facsímil</v>
      </c>
      <c r="K8075" s="3" t="s">
        <v>76</v>
      </c>
    </row>
    <row r="8076" spans="1:11" ht="42" customHeight="1">
      <c r="A8076" s="2" t="s">
        <v>20192</v>
      </c>
      <c r="B8076" s="2" t="s">
        <v>20193</v>
      </c>
      <c r="C8076" s="2" t="s">
        <v>26</v>
      </c>
      <c r="D8076" s="2" t="s">
        <v>27</v>
      </c>
      <c r="E8076" s="4">
        <v>-32803</v>
      </c>
      <c r="F8076" s="3" t="s">
        <v>4052</v>
      </c>
      <c r="G8076" s="3" t="s">
        <v>695</v>
      </c>
      <c r="H8076" s="2" t="s">
        <v>74</v>
      </c>
      <c r="I8076" s="2" t="s">
        <v>20194</v>
      </c>
      <c r="J8076" s="3" t="str">
        <f>HYPERLINK("https://www.boe.es/gazeta/dias/1810/03/09/pdfs/GMD-1810-68.pdf#page=4","Abrir facsímil")</f>
        <v>Abrir facsímil</v>
      </c>
      <c r="K8076" s="3" t="s">
        <v>76</v>
      </c>
    </row>
    <row r="8077" spans="1:11" ht="42" customHeight="1">
      <c r="A8077" s="2" t="s">
        <v>20195</v>
      </c>
      <c r="B8077" s="2" t="s">
        <v>20196</v>
      </c>
      <c r="C8077" s="2" t="s">
        <v>88</v>
      </c>
      <c r="D8077" s="2" t="s">
        <v>27</v>
      </c>
      <c r="E8077" s="4">
        <v>-32700</v>
      </c>
      <c r="F8077" s="3" t="s">
        <v>89</v>
      </c>
      <c r="G8077" s="3" t="s">
        <v>29</v>
      </c>
      <c r="H8077" s="2" t="s">
        <v>74</v>
      </c>
      <c r="I8077" s="2" t="s">
        <v>20197</v>
      </c>
      <c r="J8077" s="3" t="str">
        <f>HYPERLINK("https://www.boe.es/gazeta/dias/1810/06/20/pdfs/GMD-1810-171.pdf#page=3","Abrir facsímil")</f>
        <v>Abrir facsímil</v>
      </c>
      <c r="K8077" s="3" t="s">
        <v>76</v>
      </c>
    </row>
    <row r="8078" spans="1:11" ht="42" customHeight="1">
      <c r="A8078" s="2" t="s">
        <v>20198</v>
      </c>
      <c r="B8078" s="2" t="s">
        <v>20198</v>
      </c>
      <c r="C8078" s="2" t="s">
        <v>88</v>
      </c>
      <c r="D8078" s="2" t="s">
        <v>27</v>
      </c>
      <c r="E8078" s="4">
        <v>-32664</v>
      </c>
      <c r="F8078" s="3" t="s">
        <v>618</v>
      </c>
      <c r="G8078" s="3" t="s">
        <v>1985</v>
      </c>
      <c r="H8078" s="2" t="s">
        <v>74</v>
      </c>
      <c r="I8078" s="2" t="s">
        <v>20199</v>
      </c>
      <c r="J8078" s="3" t="str">
        <f>HYPERLINK("https://www.boe.es/gazeta/dias/1810/07/26/pdfs/GMD-1810-207.pdf#page=4","Abrir facsímil")</f>
        <v>Abrir facsímil</v>
      </c>
      <c r="K8078" s="3" t="s">
        <v>76</v>
      </c>
    </row>
    <row r="8079" spans="1:11" ht="42" customHeight="1">
      <c r="A8079" s="2" t="s">
        <v>20200</v>
      </c>
      <c r="B8079" s="2" t="s">
        <v>20200</v>
      </c>
      <c r="C8079" s="2" t="s">
        <v>225</v>
      </c>
      <c r="D8079" s="2" t="s">
        <v>117</v>
      </c>
      <c r="E8079" s="4">
        <v>-32860</v>
      </c>
      <c r="F8079" s="3" t="s">
        <v>504</v>
      </c>
      <c r="G8079" s="3" t="s">
        <v>613</v>
      </c>
      <c r="H8079" s="2" t="s">
        <v>74</v>
      </c>
      <c r="I8079" s="2" t="s">
        <v>20201</v>
      </c>
      <c r="J8079" s="3" t="str">
        <f>HYPERLINK("https://www.boe.es/gazeta/dias/1810/01/11/pdfs/GGB-1810-5.pdf#page=1","Abrir facsímil")</f>
        <v>Abrir facsímil</v>
      </c>
      <c r="K8079" s="3" t="s">
        <v>76</v>
      </c>
    </row>
    <row r="8080" spans="1:11" ht="42" customHeight="1">
      <c r="A8080" s="2" t="s">
        <v>20202</v>
      </c>
      <c r="B8080" s="2" t="s">
        <v>20203</v>
      </c>
      <c r="C8080" s="2" t="s">
        <v>26</v>
      </c>
      <c r="D8080" s="2" t="s">
        <v>39</v>
      </c>
      <c r="E8080" s="4">
        <v>-32702</v>
      </c>
      <c r="F8080" s="3" t="s">
        <v>179</v>
      </c>
      <c r="G8080" s="3" t="s">
        <v>180</v>
      </c>
      <c r="H8080" s="2" t="s">
        <v>74</v>
      </c>
      <c r="I8080" s="2" t="s">
        <v>20204</v>
      </c>
      <c r="J8080" s="3" t="str">
        <f>HYPERLINK("https://www.boe.es/gazeta/dias/1810/06/18/pdfs/GMD-C-1810-169.pdf#page=2","Abrir facsímil")</f>
        <v>Abrir facsímil</v>
      </c>
      <c r="K8080" s="3" t="s">
        <v>76</v>
      </c>
    </row>
    <row r="8081" spans="1:11" ht="42" customHeight="1">
      <c r="A8081" s="2" t="s">
        <v>20205</v>
      </c>
      <c r="B8081" s="2" t="s">
        <v>20206</v>
      </c>
      <c r="C8081" s="2" t="s">
        <v>33</v>
      </c>
      <c r="D8081" s="2" t="s">
        <v>58</v>
      </c>
      <c r="E8081" s="4">
        <v>-32651</v>
      </c>
      <c r="F8081" s="3" t="s">
        <v>59</v>
      </c>
      <c r="G8081" s="3" t="s">
        <v>60</v>
      </c>
      <c r="H8081" s="2" t="s">
        <v>74</v>
      </c>
      <c r="I8081" s="2" t="s">
        <v>20207</v>
      </c>
      <c r="J8081" s="3" t="str">
        <f>HYPERLINK("https://www.boe.es/gazeta/dias/1810/08/08/pdfs/GEI-1810-53E.pdf#page=3","Abrir facsímil")</f>
        <v>Abrir facsímil</v>
      </c>
      <c r="K8081" s="3" t="s">
        <v>76</v>
      </c>
    </row>
    <row r="8082" spans="1:11" ht="42" customHeight="1">
      <c r="A8082" s="2" t="s">
        <v>20208</v>
      </c>
      <c r="B8082" s="2" t="s">
        <v>20208</v>
      </c>
      <c r="C8082" s="2" t="s">
        <v>26</v>
      </c>
      <c r="D8082" s="2" t="s">
        <v>220</v>
      </c>
      <c r="E8082" s="4">
        <v>-32679</v>
      </c>
      <c r="F8082" s="3" t="s">
        <v>616</v>
      </c>
      <c r="G8082" s="3" t="s">
        <v>2560</v>
      </c>
      <c r="H8082" s="2" t="s">
        <v>74</v>
      </c>
      <c r="I8082" s="2" t="s">
        <v>20209</v>
      </c>
      <c r="J8082" s="3" t="str">
        <f>HYPERLINK("https://www.boe.es/gazeta/dias/1810/07/11/pdfs/GMD-1810-192.pdf#page=1","Abrir facsímil")</f>
        <v>Abrir facsímil</v>
      </c>
      <c r="K8082" s="3" t="s">
        <v>76</v>
      </c>
    </row>
    <row r="8083" spans="1:11" ht="42" customHeight="1">
      <c r="A8083" s="2" t="s">
        <v>20210</v>
      </c>
      <c r="B8083" s="2" t="s">
        <v>20210</v>
      </c>
      <c r="C8083" s="2" t="s">
        <v>88</v>
      </c>
      <c r="D8083" s="2" t="s">
        <v>27</v>
      </c>
      <c r="E8083" s="4">
        <v>-32578</v>
      </c>
      <c r="F8083" s="3" t="s">
        <v>2333</v>
      </c>
      <c r="G8083" s="3" t="s">
        <v>29</v>
      </c>
      <c r="H8083" s="2" t="s">
        <v>74</v>
      </c>
      <c r="I8083" s="2" t="s">
        <v>20211</v>
      </c>
      <c r="J8083" s="3" t="str">
        <f>HYPERLINK("https://www.boe.es/gazeta/dias/1810/10/20/pdfs/GEI-1810-84.pdf#page=5","Abrir facsímil")</f>
        <v>Abrir facsímil</v>
      </c>
      <c r="K8083" s="3" t="s">
        <v>76</v>
      </c>
    </row>
    <row r="8084" spans="1:11" ht="42" customHeight="1">
      <c r="A8084" s="2" t="s">
        <v>20212</v>
      </c>
      <c r="B8084" s="2" t="s">
        <v>20212</v>
      </c>
      <c r="C8084" s="2" t="s">
        <v>88</v>
      </c>
      <c r="D8084" s="2" t="s">
        <v>117</v>
      </c>
      <c r="E8084" s="4">
        <v>-32685</v>
      </c>
      <c r="F8084" s="3" t="s">
        <v>1106</v>
      </c>
      <c r="G8084" s="3" t="s">
        <v>70</v>
      </c>
      <c r="H8084" s="2" t="s">
        <v>74</v>
      </c>
      <c r="I8084" s="2" t="s">
        <v>20213</v>
      </c>
      <c r="J8084" s="3" t="str">
        <f>HYPERLINK("https://www.boe.es/gazeta/dias/1810/07/05/pdfs/GMD-1810-186.pdf#page=3","Abrir facsímil")</f>
        <v>Abrir facsímil</v>
      </c>
      <c r="K8084" s="3" t="s">
        <v>76</v>
      </c>
    </row>
    <row r="8085" spans="1:11" ht="42" customHeight="1">
      <c r="A8085" s="2" t="s">
        <v>20214</v>
      </c>
      <c r="B8085" s="2" t="s">
        <v>20214</v>
      </c>
      <c r="C8085" s="2" t="s">
        <v>88</v>
      </c>
      <c r="D8085" s="2" t="s">
        <v>27</v>
      </c>
      <c r="E8085" s="4">
        <v>-32578</v>
      </c>
      <c r="F8085" s="3" t="s">
        <v>2333</v>
      </c>
      <c r="G8085" s="3" t="s">
        <v>9356</v>
      </c>
      <c r="H8085" s="2" t="s">
        <v>74</v>
      </c>
      <c r="I8085" s="2" t="s">
        <v>20215</v>
      </c>
      <c r="J8085" s="3" t="str">
        <f>HYPERLINK("https://www.boe.es/gazeta/dias/1810/10/20/pdfs/GEI-1810-84.pdf#page=1","Abrir facsímil")</f>
        <v>Abrir facsímil</v>
      </c>
      <c r="K8085" s="3" t="s">
        <v>76</v>
      </c>
    </row>
    <row r="8086" spans="1:11" ht="42" customHeight="1">
      <c r="A8086" s="2" t="s">
        <v>20214</v>
      </c>
      <c r="B8086" s="2" t="s">
        <v>20214</v>
      </c>
      <c r="C8086" s="2" t="s">
        <v>88</v>
      </c>
      <c r="D8086" s="2" t="s">
        <v>27</v>
      </c>
      <c r="E8086" s="4">
        <v>-32578</v>
      </c>
      <c r="F8086" s="3" t="s">
        <v>2333</v>
      </c>
      <c r="G8086" s="3" t="s">
        <v>29</v>
      </c>
      <c r="H8086" s="2" t="s">
        <v>74</v>
      </c>
      <c r="I8086" s="2" t="s">
        <v>20216</v>
      </c>
      <c r="J8086" s="3" t="str">
        <f>HYPERLINK("https://www.boe.es/gazeta/dias/1810/10/20/pdfs/GEI-1810-84.pdf#page=5","Abrir facsímil")</f>
        <v>Abrir facsímil</v>
      </c>
      <c r="K8086" s="3" t="s">
        <v>76</v>
      </c>
    </row>
    <row r="8087" spans="1:11" ht="42" customHeight="1">
      <c r="A8087" s="2" t="s">
        <v>20214</v>
      </c>
      <c r="B8087" s="2" t="s">
        <v>20214</v>
      </c>
      <c r="C8087" s="2" t="s">
        <v>88</v>
      </c>
      <c r="D8087" s="2" t="s">
        <v>27</v>
      </c>
      <c r="E8087" s="4">
        <v>-32578</v>
      </c>
      <c r="F8087" s="3" t="s">
        <v>2333</v>
      </c>
      <c r="G8087" s="3" t="s">
        <v>20217</v>
      </c>
      <c r="H8087" s="2" t="s">
        <v>74</v>
      </c>
      <c r="I8087" s="2" t="s">
        <v>20218</v>
      </c>
      <c r="J8087" s="3" t="str">
        <f>HYPERLINK("https://www.boe.es/gazeta/dias/1810/10/20/pdfs/GEI-1810-84.pdf#page=8","Abrir facsímil")</f>
        <v>Abrir facsímil</v>
      </c>
      <c r="K8087" s="3" t="s">
        <v>76</v>
      </c>
    </row>
    <row r="8088" spans="1:11" ht="42" customHeight="1">
      <c r="A8088" s="2" t="s">
        <v>20214</v>
      </c>
      <c r="B8088" s="2" t="s">
        <v>20214</v>
      </c>
      <c r="C8088" s="2" t="s">
        <v>88</v>
      </c>
      <c r="D8088" s="2" t="s">
        <v>27</v>
      </c>
      <c r="E8088" s="4">
        <v>-32575</v>
      </c>
      <c r="F8088" s="3" t="s">
        <v>135</v>
      </c>
      <c r="G8088" s="3" t="s">
        <v>2560</v>
      </c>
      <c r="H8088" s="2" t="s">
        <v>74</v>
      </c>
      <c r="I8088" s="2" t="s">
        <v>20219</v>
      </c>
      <c r="J8088" s="3" t="str">
        <f>HYPERLINK("https://www.boe.es/gazeta/dias/1810/10/23/pdfs/GEI-1810-85.pdf#page=5","Abrir facsímil")</f>
        <v>Abrir facsímil</v>
      </c>
      <c r="K8088" s="3" t="s">
        <v>76</v>
      </c>
    </row>
    <row r="8089" spans="1:11" ht="42" customHeight="1">
      <c r="A8089" s="2" t="s">
        <v>20214</v>
      </c>
      <c r="B8089" s="2" t="s">
        <v>20214</v>
      </c>
      <c r="C8089" s="2" t="s">
        <v>88</v>
      </c>
      <c r="D8089" s="2" t="s">
        <v>27</v>
      </c>
      <c r="E8089" s="4">
        <v>-32573</v>
      </c>
      <c r="F8089" s="3" t="s">
        <v>3120</v>
      </c>
      <c r="G8089" s="3" t="s">
        <v>136</v>
      </c>
      <c r="H8089" s="2" t="s">
        <v>74</v>
      </c>
      <c r="I8089" s="2" t="s">
        <v>20220</v>
      </c>
      <c r="J8089" s="3" t="str">
        <f>HYPERLINK("https://www.boe.es/gazeta/dias/1810/10/25/pdfs/GEI-1810-86.pdf#page=1","Abrir facsímil")</f>
        <v>Abrir facsímil</v>
      </c>
      <c r="K8089" s="3" t="s">
        <v>76</v>
      </c>
    </row>
    <row r="8090" spans="1:11" ht="42" customHeight="1">
      <c r="A8090" s="2" t="s">
        <v>20214</v>
      </c>
      <c r="B8090" s="2" t="s">
        <v>20214</v>
      </c>
      <c r="C8090" s="2" t="s">
        <v>88</v>
      </c>
      <c r="D8090" s="2" t="s">
        <v>27</v>
      </c>
      <c r="E8090" s="4">
        <v>-32571</v>
      </c>
      <c r="F8090" s="3" t="s">
        <v>737</v>
      </c>
      <c r="G8090" s="3" t="s">
        <v>1985</v>
      </c>
      <c r="H8090" s="2" t="s">
        <v>74</v>
      </c>
      <c r="I8090" s="2" t="s">
        <v>20221</v>
      </c>
      <c r="J8090" s="3" t="str">
        <f>HYPERLINK("https://www.boe.es/gazeta/dias/1810/10/27/pdfs/GEI-1810-87.pdf#page=2","Abrir facsímil")</f>
        <v>Abrir facsímil</v>
      </c>
      <c r="K8090" s="3" t="s">
        <v>76</v>
      </c>
    </row>
    <row r="8091" spans="1:11" ht="42" customHeight="1">
      <c r="A8091" s="2" t="s">
        <v>20214</v>
      </c>
      <c r="B8091" s="2" t="s">
        <v>20214</v>
      </c>
      <c r="C8091" s="2" t="s">
        <v>88</v>
      </c>
      <c r="D8091" s="2" t="s">
        <v>117</v>
      </c>
      <c r="E8091" s="4">
        <v>-32566</v>
      </c>
      <c r="F8091" s="3" t="s">
        <v>649</v>
      </c>
      <c r="G8091" s="3" t="s">
        <v>1814</v>
      </c>
      <c r="H8091" s="2" t="s">
        <v>74</v>
      </c>
      <c r="I8091" s="2" t="s">
        <v>20222</v>
      </c>
      <c r="J8091" s="3" t="str">
        <f>HYPERLINK("https://www.boe.es/gazeta/dias/1810/11/01/pdfs/GEI-1810-89.pdf#page=2","Abrir facsímil")</f>
        <v>Abrir facsímil</v>
      </c>
      <c r="K8091" s="3" t="s">
        <v>76</v>
      </c>
    </row>
    <row r="8092" spans="1:11" ht="42" customHeight="1">
      <c r="A8092" s="2" t="s">
        <v>20214</v>
      </c>
      <c r="B8092" s="2" t="s">
        <v>20214</v>
      </c>
      <c r="C8092" s="2" t="s">
        <v>88</v>
      </c>
      <c r="D8092" s="2" t="s">
        <v>117</v>
      </c>
      <c r="E8092" s="4">
        <v>-32566</v>
      </c>
      <c r="F8092" s="3" t="s">
        <v>649</v>
      </c>
      <c r="G8092" s="3" t="s">
        <v>180</v>
      </c>
      <c r="H8092" s="2" t="s">
        <v>74</v>
      </c>
      <c r="I8092" s="2" t="s">
        <v>20223</v>
      </c>
      <c r="J8092" s="3" t="str">
        <f>HYPERLINK("https://www.boe.es/gazeta/dias/1810/11/01/pdfs/GEI-1810-89.pdf#page=3","Abrir facsímil")</f>
        <v>Abrir facsímil</v>
      </c>
      <c r="K8092" s="3" t="s">
        <v>76</v>
      </c>
    </row>
    <row r="8093" spans="1:11" ht="42" customHeight="1">
      <c r="A8093" s="2" t="s">
        <v>20214</v>
      </c>
      <c r="B8093" s="2" t="s">
        <v>20214</v>
      </c>
      <c r="C8093" s="2" t="s">
        <v>88</v>
      </c>
      <c r="D8093" s="2" t="s">
        <v>27</v>
      </c>
      <c r="E8093" s="4">
        <v>-32561</v>
      </c>
      <c r="F8093" s="3" t="s">
        <v>273</v>
      </c>
      <c r="G8093" s="3" t="s">
        <v>1985</v>
      </c>
      <c r="H8093" s="2" t="s">
        <v>74</v>
      </c>
      <c r="I8093" s="2" t="s">
        <v>20224</v>
      </c>
      <c r="J8093" s="3" t="str">
        <f>HYPERLINK("https://www.boe.es/gazeta/dias/1810/11/06/pdfs/GEI-1810-91.pdf#page=2","Abrir facsímil")</f>
        <v>Abrir facsímil</v>
      </c>
      <c r="K8093" s="3" t="s">
        <v>76</v>
      </c>
    </row>
    <row r="8094" spans="1:11" ht="42" customHeight="1">
      <c r="A8094" s="2" t="s">
        <v>20214</v>
      </c>
      <c r="B8094" s="2" t="s">
        <v>20214</v>
      </c>
      <c r="C8094" s="2" t="s">
        <v>88</v>
      </c>
      <c r="D8094" s="2" t="s">
        <v>27</v>
      </c>
      <c r="E8094" s="4">
        <v>-32558</v>
      </c>
      <c r="F8094" s="3" t="s">
        <v>241</v>
      </c>
      <c r="G8094" s="3" t="s">
        <v>29</v>
      </c>
      <c r="H8094" s="2" t="s">
        <v>74</v>
      </c>
      <c r="I8094" s="2" t="s">
        <v>20225</v>
      </c>
      <c r="J8094" s="3" t="str">
        <f>HYPERLINK("https://www.boe.es/gazeta/dias/1810/11/09/pdfs/GMD-1810-313.pdf#page=2","Abrir facsímil")</f>
        <v>Abrir facsímil</v>
      </c>
      <c r="K8094" s="3" t="s">
        <v>76</v>
      </c>
    </row>
    <row r="8095" spans="1:11" ht="42" customHeight="1">
      <c r="A8095" s="2" t="s">
        <v>20214</v>
      </c>
      <c r="B8095" s="2" t="s">
        <v>20214</v>
      </c>
      <c r="C8095" s="2" t="s">
        <v>88</v>
      </c>
      <c r="D8095" s="2" t="s">
        <v>117</v>
      </c>
      <c r="E8095" s="4">
        <v>-32529</v>
      </c>
      <c r="F8095" s="3" t="s">
        <v>3700</v>
      </c>
      <c r="G8095" s="3" t="s">
        <v>213</v>
      </c>
      <c r="H8095" s="2" t="s">
        <v>74</v>
      </c>
      <c r="I8095" s="2" t="s">
        <v>20226</v>
      </c>
      <c r="J8095" s="3" t="str">
        <f>HYPERLINK("https://www.boe.es/gazeta/dias/1810/12/08/pdfs/GMD-1810-342.pdf#page=4","Abrir facsímil")</f>
        <v>Abrir facsímil</v>
      </c>
      <c r="K8095" s="3" t="s">
        <v>76</v>
      </c>
    </row>
    <row r="8096" spans="1:11" ht="42" customHeight="1">
      <c r="A8096" s="2" t="s">
        <v>20227</v>
      </c>
      <c r="B8096" s="2" t="s">
        <v>20228</v>
      </c>
      <c r="C8096" s="2" t="s">
        <v>111</v>
      </c>
      <c r="D8096" s="2" t="s">
        <v>27</v>
      </c>
      <c r="E8096" s="4">
        <v>-32647</v>
      </c>
      <c r="F8096" s="3" t="s">
        <v>118</v>
      </c>
      <c r="G8096" s="3" t="s">
        <v>119</v>
      </c>
      <c r="H8096" s="2" t="s">
        <v>74</v>
      </c>
      <c r="I8096" s="2" t="s">
        <v>20229</v>
      </c>
      <c r="J8096" s="3" t="str">
        <f>HYPERLINK("https://www.boe.es/gazeta/dias/1810/08/12/pdfs/GMD-1810-224.pdf#page=3","Abrir facsímil")</f>
        <v>Abrir facsímil</v>
      </c>
      <c r="K8096" s="3" t="s">
        <v>76</v>
      </c>
    </row>
    <row r="8097" spans="1:11" ht="42" customHeight="1">
      <c r="A8097" s="2" t="s">
        <v>20230</v>
      </c>
      <c r="B8097" s="2" t="s">
        <v>20231</v>
      </c>
      <c r="C8097" s="2" t="s">
        <v>26</v>
      </c>
      <c r="D8097" s="2" t="s">
        <v>39</v>
      </c>
      <c r="E8097" s="4">
        <v>-32661</v>
      </c>
      <c r="F8097" s="3" t="s">
        <v>157</v>
      </c>
      <c r="G8097" s="3" t="s">
        <v>592</v>
      </c>
      <c r="H8097" s="2" t="s">
        <v>74</v>
      </c>
      <c r="I8097" s="2" t="s">
        <v>20232</v>
      </c>
      <c r="J8097" s="3" t="str">
        <f>HYPERLINK("https://www.boe.es/gazeta/dias/1810/07/29/pdfs/GMD-C-1810-210.pdf#page=2","Abrir facsímil")</f>
        <v>Abrir facsímil</v>
      </c>
      <c r="K8097" s="3" t="s">
        <v>76</v>
      </c>
    </row>
    <row r="8098" spans="1:11" ht="42" customHeight="1">
      <c r="A8098" s="2" t="s">
        <v>20233</v>
      </c>
      <c r="B8098" s="2" t="s">
        <v>20233</v>
      </c>
      <c r="C8098" s="2" t="s">
        <v>88</v>
      </c>
      <c r="D8098" s="2" t="s">
        <v>27</v>
      </c>
      <c r="E8098" s="4">
        <v>-32621</v>
      </c>
      <c r="F8098" s="3" t="s">
        <v>1897</v>
      </c>
      <c r="G8098" s="3" t="s">
        <v>90</v>
      </c>
      <c r="H8098" s="2" t="s">
        <v>74</v>
      </c>
      <c r="I8098" s="2" t="s">
        <v>20234</v>
      </c>
      <c r="J8098" s="3" t="str">
        <f>HYPERLINK("https://www.boe.es/gazeta/dias/1810/09/07/pdfs/GMD-1810-250.pdf#page=2","Abrir facsímil")</f>
        <v>Abrir facsímil</v>
      </c>
      <c r="K8098" s="3" t="s">
        <v>76</v>
      </c>
    </row>
    <row r="8099" spans="1:11" ht="42" customHeight="1">
      <c r="A8099" s="2" t="s">
        <v>20233</v>
      </c>
      <c r="B8099" s="2" t="s">
        <v>20233</v>
      </c>
      <c r="C8099" s="2" t="s">
        <v>88</v>
      </c>
      <c r="D8099" s="2" t="s">
        <v>117</v>
      </c>
      <c r="E8099" s="4">
        <v>-32621</v>
      </c>
      <c r="F8099" s="3" t="s">
        <v>1897</v>
      </c>
      <c r="G8099" s="3" t="s">
        <v>4676</v>
      </c>
      <c r="H8099" s="2" t="s">
        <v>74</v>
      </c>
      <c r="I8099" s="2" t="s">
        <v>20235</v>
      </c>
      <c r="J8099" s="3" t="str">
        <f>HYPERLINK("https://www.boe.es/gazeta/dias/1810/09/07/pdfs/GMD-1810-250.pdf#page=3","Abrir facsímil")</f>
        <v>Abrir facsímil</v>
      </c>
      <c r="K8099" s="3" t="s">
        <v>76</v>
      </c>
    </row>
    <row r="8100" spans="1:11" ht="42" customHeight="1">
      <c r="A8100" s="2" t="s">
        <v>20236</v>
      </c>
      <c r="B8100" s="2" t="s">
        <v>20236</v>
      </c>
      <c r="C8100" s="2" t="s">
        <v>88</v>
      </c>
      <c r="D8100" s="2" t="s">
        <v>117</v>
      </c>
      <c r="E8100" s="4">
        <v>-32578</v>
      </c>
      <c r="F8100" s="3" t="s">
        <v>2333</v>
      </c>
      <c r="G8100" s="3" t="s">
        <v>4095</v>
      </c>
      <c r="H8100" s="2" t="s">
        <v>74</v>
      </c>
      <c r="I8100" s="2" t="s">
        <v>20237</v>
      </c>
      <c r="J8100" s="3" t="str">
        <f>HYPERLINK("https://www.boe.es/gazeta/dias/1810/10/20/pdfs/GEI-1810-84.pdf#page=3","Abrir facsímil")</f>
        <v>Abrir facsímil</v>
      </c>
      <c r="K8100" s="3" t="s">
        <v>76</v>
      </c>
    </row>
    <row r="8101" spans="1:11" ht="42" customHeight="1">
      <c r="A8101" s="2" t="s">
        <v>20238</v>
      </c>
      <c r="B8101" s="2" t="s">
        <v>20239</v>
      </c>
      <c r="C8101" s="2" t="s">
        <v>26</v>
      </c>
      <c r="D8101" s="2" t="s">
        <v>27</v>
      </c>
      <c r="E8101" s="4">
        <v>-32563</v>
      </c>
      <c r="F8101" s="3" t="s">
        <v>535</v>
      </c>
      <c r="G8101" s="3" t="s">
        <v>210</v>
      </c>
      <c r="H8101" s="2" t="s">
        <v>74</v>
      </c>
      <c r="I8101" s="2" t="s">
        <v>20240</v>
      </c>
      <c r="J8101" s="3" t="str">
        <f>HYPERLINK("https://www.boe.es/gazeta/dias/1810/11/04/pdfs/GMD-1810-308.pdf#page=18","Abrir facsímil")</f>
        <v>Abrir facsímil</v>
      </c>
      <c r="K8101" s="3" t="s">
        <v>76</v>
      </c>
    </row>
    <row r="8102" spans="1:11" ht="42" customHeight="1">
      <c r="A8102" s="2" t="s">
        <v>20241</v>
      </c>
      <c r="B8102" s="2" t="s">
        <v>20242</v>
      </c>
      <c r="C8102" s="2" t="s">
        <v>26</v>
      </c>
      <c r="D8102" s="2" t="s">
        <v>27</v>
      </c>
      <c r="E8102" s="4">
        <v>-32563</v>
      </c>
      <c r="F8102" s="3" t="s">
        <v>535</v>
      </c>
      <c r="G8102" s="3" t="s">
        <v>210</v>
      </c>
      <c r="H8102" s="2" t="s">
        <v>74</v>
      </c>
      <c r="I8102" s="2" t="s">
        <v>20243</v>
      </c>
      <c r="J8102" s="3" t="str">
        <f>HYPERLINK("https://www.boe.es/gazeta/dias/1810/11/04/pdfs/GMD-1810-308.pdf#page=18","Abrir facsímil")</f>
        <v>Abrir facsímil</v>
      </c>
      <c r="K8102" s="3" t="s">
        <v>76</v>
      </c>
    </row>
    <row r="8103" spans="1:11" ht="42" customHeight="1">
      <c r="A8103" s="2" t="s">
        <v>20244</v>
      </c>
      <c r="B8103" s="2" t="s">
        <v>20245</v>
      </c>
      <c r="C8103" s="2" t="s">
        <v>225</v>
      </c>
      <c r="D8103" s="2" t="s">
        <v>27</v>
      </c>
      <c r="E8103" s="4">
        <v>-32557</v>
      </c>
      <c r="F8103" s="3" t="s">
        <v>837</v>
      </c>
      <c r="G8103" s="3" t="s">
        <v>2073</v>
      </c>
      <c r="H8103" s="2" t="s">
        <v>74</v>
      </c>
      <c r="I8103" s="2" t="s">
        <v>20246</v>
      </c>
      <c r="J8103" s="3" t="str">
        <f>HYPERLINK("https://www.boe.es/gazeta/dias/1810/11/10/pdfs/GEI-1810-93.pdf#page=7","Abrir facsímil")</f>
        <v>Abrir facsímil</v>
      </c>
      <c r="K8103" s="3" t="s">
        <v>76</v>
      </c>
    </row>
    <row r="8104" spans="1:11" ht="42" customHeight="1">
      <c r="A8104" s="2" t="s">
        <v>20247</v>
      </c>
      <c r="B8104" s="2" t="s">
        <v>20248</v>
      </c>
      <c r="C8104" s="2" t="s">
        <v>88</v>
      </c>
      <c r="D8104" s="2" t="s">
        <v>27</v>
      </c>
      <c r="E8104" s="4">
        <v>-32710</v>
      </c>
      <c r="F8104" s="3" t="s">
        <v>126</v>
      </c>
      <c r="G8104" s="3" t="s">
        <v>35</v>
      </c>
      <c r="H8104" s="2" t="s">
        <v>74</v>
      </c>
      <c r="I8104" s="2" t="s">
        <v>20249</v>
      </c>
      <c r="J8104" s="3" t="str">
        <f>HYPERLINK("https://www.boe.es/gazeta/dias/1810/06/10/pdfs/GMD-1810-161.pdf#page=2","Abrir facsímil")</f>
        <v>Abrir facsímil</v>
      </c>
      <c r="K8104" s="3" t="s">
        <v>76</v>
      </c>
    </row>
    <row r="8105" spans="1:11" ht="42" customHeight="1">
      <c r="A8105" s="2" t="s">
        <v>20250</v>
      </c>
      <c r="B8105" s="2" t="s">
        <v>20251</v>
      </c>
      <c r="C8105" s="2" t="s">
        <v>26</v>
      </c>
      <c r="D8105" s="2" t="s">
        <v>18</v>
      </c>
      <c r="E8105" s="4">
        <v>-32619</v>
      </c>
      <c r="F8105" s="3" t="s">
        <v>1270</v>
      </c>
      <c r="G8105" s="3" t="s">
        <v>1271</v>
      </c>
      <c r="H8105" s="2" t="s">
        <v>74</v>
      </c>
      <c r="I8105" s="2" t="s">
        <v>20252</v>
      </c>
      <c r="J8105" s="3" t="str">
        <f>HYPERLINK("https://www.boe.es/gazeta/dias/1810/09/09/pdfs/GMD-1810-252.pdf#page=4","Abrir facsímil")</f>
        <v>Abrir facsímil</v>
      </c>
      <c r="K8105" s="3" t="s">
        <v>76</v>
      </c>
    </row>
    <row r="8106" spans="1:11" ht="42" customHeight="1">
      <c r="A8106" s="2" t="s">
        <v>20253</v>
      </c>
      <c r="B8106" s="2" t="s">
        <v>20254</v>
      </c>
      <c r="C8106" s="2" t="s">
        <v>26</v>
      </c>
      <c r="D8106" s="2" t="s">
        <v>27</v>
      </c>
      <c r="E8106" s="4">
        <v>-32557</v>
      </c>
      <c r="F8106" s="3" t="s">
        <v>837</v>
      </c>
      <c r="G8106" s="3" t="s">
        <v>2073</v>
      </c>
      <c r="H8106" s="2" t="s">
        <v>74</v>
      </c>
      <c r="I8106" s="2" t="s">
        <v>20255</v>
      </c>
      <c r="J8106" s="3" t="str">
        <f>HYPERLINK("https://www.boe.es/gazeta/dias/1810/11/10/pdfs/GEI-1810-93.pdf#page=7","Abrir facsímil")</f>
        <v>Abrir facsímil</v>
      </c>
      <c r="K8106" s="3" t="s">
        <v>76</v>
      </c>
    </row>
    <row r="8107" spans="1:11" ht="42" customHeight="1">
      <c r="A8107" s="2" t="s">
        <v>20256</v>
      </c>
      <c r="B8107" s="2" t="s">
        <v>20257</v>
      </c>
      <c r="C8107" s="2" t="s">
        <v>26</v>
      </c>
      <c r="D8107" s="2" t="s">
        <v>27</v>
      </c>
      <c r="E8107" s="4">
        <v>-32775</v>
      </c>
      <c r="F8107" s="3" t="s">
        <v>308</v>
      </c>
      <c r="G8107" s="3" t="s">
        <v>140</v>
      </c>
      <c r="H8107" s="2" t="s">
        <v>74</v>
      </c>
      <c r="I8107" s="2" t="s">
        <v>20258</v>
      </c>
      <c r="J8107" s="3" t="str">
        <f>HYPERLINK("https://www.boe.es/gazeta/dias/1810/04/06/pdfs/GMD-1810-96.pdf#page=3","Abrir facsímil")</f>
        <v>Abrir facsímil</v>
      </c>
      <c r="K8107" s="3" t="s">
        <v>76</v>
      </c>
    </row>
    <row r="8108" spans="1:11" ht="42" customHeight="1">
      <c r="A8108" s="2" t="s">
        <v>20259</v>
      </c>
      <c r="B8108" s="2" t="s">
        <v>20260</v>
      </c>
      <c r="C8108" s="2" t="s">
        <v>26</v>
      </c>
      <c r="D8108" s="2" t="s">
        <v>39</v>
      </c>
      <c r="E8108" s="4">
        <v>-32702</v>
      </c>
      <c r="F8108" s="3" t="s">
        <v>179</v>
      </c>
      <c r="G8108" s="3" t="s">
        <v>180</v>
      </c>
      <c r="H8108" s="2" t="s">
        <v>74</v>
      </c>
      <c r="I8108" s="2" t="s">
        <v>20261</v>
      </c>
      <c r="J8108" s="3" t="str">
        <f>HYPERLINK("https://www.boe.es/gazeta/dias/1810/06/18/pdfs/GMD-C-1810-169.pdf#page=2","Abrir facsímil")</f>
        <v>Abrir facsímil</v>
      </c>
      <c r="K8108" s="3" t="s">
        <v>76</v>
      </c>
    </row>
    <row r="8109" spans="1:11" ht="42" customHeight="1">
      <c r="A8109" s="2" t="s">
        <v>20262</v>
      </c>
      <c r="B8109" s="2" t="s">
        <v>20263</v>
      </c>
      <c r="C8109" s="2" t="s">
        <v>26</v>
      </c>
      <c r="D8109" s="2" t="s">
        <v>27</v>
      </c>
      <c r="E8109" s="4">
        <v>-32544</v>
      </c>
      <c r="F8109" s="3" t="s">
        <v>1239</v>
      </c>
      <c r="G8109" s="3" t="s">
        <v>99</v>
      </c>
      <c r="H8109" s="2" t="s">
        <v>74</v>
      </c>
      <c r="I8109" s="2" t="s">
        <v>20264</v>
      </c>
      <c r="J8109" s="3" t="str">
        <f>HYPERLINK("https://www.boe.es/gazeta/dias/1810/11/23/pdfs/GMD-1810-327.pdf#page=3","Abrir facsímil")</f>
        <v>Abrir facsímil</v>
      </c>
      <c r="K8109" s="3" t="s">
        <v>76</v>
      </c>
    </row>
    <row r="8110" spans="1:11" ht="42" customHeight="1">
      <c r="A8110" s="2" t="s">
        <v>20265</v>
      </c>
      <c r="B8110" s="2" t="s">
        <v>20266</v>
      </c>
      <c r="C8110" s="2" t="s">
        <v>26</v>
      </c>
      <c r="D8110" s="2" t="s">
        <v>27</v>
      </c>
      <c r="E8110" s="4">
        <v>-32839</v>
      </c>
      <c r="F8110" s="3" t="s">
        <v>28</v>
      </c>
      <c r="G8110" s="3" t="s">
        <v>29</v>
      </c>
      <c r="H8110" s="2" t="s">
        <v>74</v>
      </c>
      <c r="I8110" s="2" t="s">
        <v>20267</v>
      </c>
      <c r="J8110" s="3" t="str">
        <f>HYPERLINK("https://www.boe.es/gazeta/dias/1810/02/01/pdfs/GMD-1810-32.pdf#page=3","Abrir facsímil")</f>
        <v>Abrir facsímil</v>
      </c>
      <c r="K8110" s="3" t="s">
        <v>76</v>
      </c>
    </row>
    <row r="8111" spans="1:11" ht="42" customHeight="1">
      <c r="A8111" s="2" t="s">
        <v>20268</v>
      </c>
      <c r="B8111" s="2" t="s">
        <v>20269</v>
      </c>
      <c r="C8111" s="2" t="s">
        <v>26</v>
      </c>
      <c r="D8111" s="2" t="s">
        <v>27</v>
      </c>
      <c r="E8111" s="4">
        <v>-32545</v>
      </c>
      <c r="F8111" s="3" t="s">
        <v>165</v>
      </c>
      <c r="G8111" s="3" t="s">
        <v>166</v>
      </c>
      <c r="H8111" s="2" t="s">
        <v>74</v>
      </c>
      <c r="I8111" s="2" t="s">
        <v>20270</v>
      </c>
      <c r="J8111" s="3" t="str">
        <f>HYPERLINK("https://www.boe.es/gazeta/dias/1810/11/22/pdfs/GEI-1810-98.pdf#page=8","Abrir facsímil")</f>
        <v>Abrir facsímil</v>
      </c>
      <c r="K8111" s="3" t="s">
        <v>76</v>
      </c>
    </row>
    <row r="8112" spans="1:11" ht="42" customHeight="1">
      <c r="A8112" s="2" t="s">
        <v>20271</v>
      </c>
      <c r="B8112" s="2" t="s">
        <v>20271</v>
      </c>
      <c r="C8112" s="2" t="s">
        <v>88</v>
      </c>
      <c r="D8112" s="2" t="s">
        <v>27</v>
      </c>
      <c r="E8112" s="4">
        <v>-32592</v>
      </c>
      <c r="F8112" s="3" t="s">
        <v>2782</v>
      </c>
      <c r="G8112" s="3" t="s">
        <v>2783</v>
      </c>
      <c r="H8112" s="2" t="s">
        <v>74</v>
      </c>
      <c r="I8112" s="2" t="s">
        <v>20272</v>
      </c>
      <c r="J8112" s="3" t="str">
        <f>HYPERLINK("https://www.boe.es/gazeta/dias/1810/10/06/pdfs/GMD-1810-279.pdf#page=3","Abrir facsímil")</f>
        <v>Abrir facsímil</v>
      </c>
      <c r="K8112" s="3" t="s">
        <v>76</v>
      </c>
    </row>
    <row r="8113" spans="1:11" ht="42" customHeight="1">
      <c r="A8113" s="2" t="s">
        <v>20273</v>
      </c>
      <c r="B8113" s="2" t="s">
        <v>20274</v>
      </c>
      <c r="C8113" s="2" t="s">
        <v>88</v>
      </c>
      <c r="D8113" s="2" t="s">
        <v>58</v>
      </c>
      <c r="E8113" s="4">
        <v>-32651</v>
      </c>
      <c r="F8113" s="3" t="s">
        <v>59</v>
      </c>
      <c r="G8113" s="3" t="s">
        <v>5204</v>
      </c>
      <c r="H8113" s="2" t="s">
        <v>74</v>
      </c>
      <c r="I8113" s="2" t="s">
        <v>20275</v>
      </c>
      <c r="J8113" s="3" t="str">
        <f>HYPERLINK("https://www.boe.es/gazeta/dias/1810/08/08/pdfs/GEI-1810-53E.pdf#page=10","Abrir facsímil")</f>
        <v>Abrir facsímil</v>
      </c>
      <c r="K8113" s="3" t="s">
        <v>76</v>
      </c>
    </row>
    <row r="8114" spans="1:11" ht="42" customHeight="1">
      <c r="A8114" s="2" t="s">
        <v>20276</v>
      </c>
      <c r="B8114" s="2" t="s">
        <v>20277</v>
      </c>
      <c r="C8114" s="2" t="s">
        <v>26</v>
      </c>
      <c r="D8114" s="2" t="s">
        <v>27</v>
      </c>
      <c r="E8114" s="4">
        <v>-32526</v>
      </c>
      <c r="F8114" s="3" t="s">
        <v>530</v>
      </c>
      <c r="G8114" s="3" t="s">
        <v>531</v>
      </c>
      <c r="H8114" s="2" t="s">
        <v>74</v>
      </c>
      <c r="I8114" s="2" t="s">
        <v>20278</v>
      </c>
      <c r="J8114" s="3" t="str">
        <f>HYPERLINK("https://www.boe.es/gazeta/dias/1810/12/11/pdfs/GEI-1810-106.pdf#page=2","Abrir facsímil")</f>
        <v>Abrir facsímil</v>
      </c>
      <c r="K8114" s="3" t="s">
        <v>76</v>
      </c>
    </row>
    <row r="8115" spans="1:11" ht="42" customHeight="1">
      <c r="A8115" s="2" t="s">
        <v>20279</v>
      </c>
      <c r="B8115" s="2" t="s">
        <v>20280</v>
      </c>
      <c r="C8115" s="2" t="s">
        <v>26</v>
      </c>
      <c r="D8115" s="2" t="s">
        <v>27</v>
      </c>
      <c r="E8115" s="4">
        <v>-32526</v>
      </c>
      <c r="F8115" s="3" t="s">
        <v>530</v>
      </c>
      <c r="G8115" s="3" t="s">
        <v>531</v>
      </c>
      <c r="H8115" s="2" t="s">
        <v>74</v>
      </c>
      <c r="I8115" s="2" t="s">
        <v>20281</v>
      </c>
      <c r="J8115" s="3" t="str">
        <f>HYPERLINK("https://www.boe.es/gazeta/dias/1810/12/11/pdfs/GEI-1810-106.pdf#page=2","Abrir facsímil")</f>
        <v>Abrir facsímil</v>
      </c>
      <c r="K8115" s="3" t="s">
        <v>76</v>
      </c>
    </row>
    <row r="8116" spans="1:11" ht="42" customHeight="1">
      <c r="A8116" s="2" t="s">
        <v>20282</v>
      </c>
      <c r="B8116" s="2" t="s">
        <v>20283</v>
      </c>
      <c r="C8116" s="2" t="s">
        <v>26</v>
      </c>
      <c r="D8116" s="2" t="s">
        <v>27</v>
      </c>
      <c r="E8116" s="4">
        <v>-32545</v>
      </c>
      <c r="F8116" s="3" t="s">
        <v>165</v>
      </c>
      <c r="G8116" s="3" t="s">
        <v>166</v>
      </c>
      <c r="H8116" s="2" t="s">
        <v>74</v>
      </c>
      <c r="I8116" s="2" t="s">
        <v>20284</v>
      </c>
      <c r="J8116" s="3" t="str">
        <f>HYPERLINK("https://www.boe.es/gazeta/dias/1810/11/22/pdfs/GEI-1810-98.pdf#page=8","Abrir facsímil")</f>
        <v>Abrir facsímil</v>
      </c>
      <c r="K8116" s="3" t="s">
        <v>76</v>
      </c>
    </row>
    <row r="8117" spans="1:11" ht="42" customHeight="1">
      <c r="A8117" s="2" t="s">
        <v>20285</v>
      </c>
      <c r="B8117" s="2" t="s">
        <v>20286</v>
      </c>
      <c r="C8117" s="2" t="s">
        <v>26</v>
      </c>
      <c r="D8117" s="2" t="s">
        <v>39</v>
      </c>
      <c r="E8117" s="4">
        <v>-32701</v>
      </c>
      <c r="F8117" s="3" t="s">
        <v>40</v>
      </c>
      <c r="G8117" s="3" t="s">
        <v>41</v>
      </c>
      <c r="H8117" s="2" t="s">
        <v>74</v>
      </c>
      <c r="I8117" s="2" t="s">
        <v>20287</v>
      </c>
      <c r="J8117" s="3" t="str">
        <f>HYPERLINK("https://www.boe.es/gazeta/dias/1810/06/19/pdfs/GMD-C-1810-170.pdf#page=3","Abrir facsímil")</f>
        <v>Abrir facsímil</v>
      </c>
      <c r="K8117" s="3" t="s">
        <v>76</v>
      </c>
    </row>
    <row r="8118" spans="1:11" ht="42" customHeight="1">
      <c r="A8118" s="2" t="s">
        <v>20288</v>
      </c>
      <c r="B8118" s="2" t="s">
        <v>20288</v>
      </c>
      <c r="C8118" s="2" t="s">
        <v>88</v>
      </c>
      <c r="D8118" s="2" t="s">
        <v>117</v>
      </c>
      <c r="E8118" s="4">
        <v>-32606</v>
      </c>
      <c r="F8118" s="3" t="s">
        <v>1676</v>
      </c>
      <c r="G8118" s="3" t="s">
        <v>227</v>
      </c>
      <c r="H8118" s="2" t="s">
        <v>74</v>
      </c>
      <c r="I8118" s="2" t="s">
        <v>20289</v>
      </c>
      <c r="J8118" s="3" t="str">
        <f>HYPERLINK("https://www.boe.es/gazeta/dias/1810/09/22/pdfs/GMD-1810-265.pdf#page=2","Abrir facsímil")</f>
        <v>Abrir facsímil</v>
      </c>
      <c r="K8118" s="3" t="s">
        <v>76</v>
      </c>
    </row>
    <row r="8119" spans="1:11" ht="42" customHeight="1">
      <c r="A8119" s="2" t="s">
        <v>20290</v>
      </c>
      <c r="B8119" s="2" t="s">
        <v>20291</v>
      </c>
      <c r="C8119" s="2" t="s">
        <v>26</v>
      </c>
      <c r="D8119" s="2" t="s">
        <v>27</v>
      </c>
      <c r="E8119" s="4">
        <v>-32757</v>
      </c>
      <c r="F8119" s="3" t="s">
        <v>1136</v>
      </c>
      <c r="G8119" s="3" t="s">
        <v>1901</v>
      </c>
      <c r="H8119" s="2" t="s">
        <v>74</v>
      </c>
      <c r="I8119" s="2" t="s">
        <v>20292</v>
      </c>
      <c r="J8119" s="3" t="str">
        <f>HYPERLINK("https://www.boe.es/gazeta/dias/1810/04/24/pdfs/GEI-1810-17.pdf#page=8","Abrir facsímil")</f>
        <v>Abrir facsímil</v>
      </c>
      <c r="K8119" s="3" t="s">
        <v>76</v>
      </c>
    </row>
    <row r="8120" spans="1:11" ht="42" customHeight="1">
      <c r="A8120" s="2" t="s">
        <v>20293</v>
      </c>
      <c r="B8120" s="2" t="s">
        <v>20294</v>
      </c>
      <c r="C8120" s="2" t="s">
        <v>317</v>
      </c>
      <c r="D8120" s="2" t="s">
        <v>27</v>
      </c>
      <c r="E8120" s="4">
        <v>-32732</v>
      </c>
      <c r="F8120" s="3" t="s">
        <v>545</v>
      </c>
      <c r="G8120" s="3" t="s">
        <v>90</v>
      </c>
      <c r="H8120" s="2" t="s">
        <v>74</v>
      </c>
      <c r="I8120" s="2" t="s">
        <v>20295</v>
      </c>
      <c r="J8120" s="3" t="str">
        <f>HYPERLINK("https://www.boe.es/gazeta/dias/1810/05/19/pdfs/GMD-1810-139.pdf#page=4","Abrir facsímil")</f>
        <v>Abrir facsímil</v>
      </c>
      <c r="K8120" s="3" t="s">
        <v>76</v>
      </c>
    </row>
    <row r="8121" spans="1:11" ht="42" customHeight="1">
      <c r="A8121" s="2" t="s">
        <v>20296</v>
      </c>
      <c r="B8121" s="2" t="s">
        <v>20297</v>
      </c>
      <c r="C8121" s="2" t="s">
        <v>26</v>
      </c>
      <c r="D8121" s="2" t="s">
        <v>27</v>
      </c>
      <c r="E8121" s="4">
        <v>-32563</v>
      </c>
      <c r="F8121" s="3" t="s">
        <v>535</v>
      </c>
      <c r="G8121" s="3" t="s">
        <v>8537</v>
      </c>
      <c r="H8121" s="2" t="s">
        <v>74</v>
      </c>
      <c r="I8121" s="2" t="s">
        <v>20298</v>
      </c>
      <c r="J8121" s="3" t="str">
        <f>HYPERLINK("https://www.boe.es/gazeta/dias/1810/11/04/pdfs/GMD-1810-308.pdf#page=24","Abrir facsímil")</f>
        <v>Abrir facsímil</v>
      </c>
      <c r="K8121" s="3" t="s">
        <v>76</v>
      </c>
    </row>
    <row r="8122" spans="1:11" ht="42" customHeight="1">
      <c r="A8122" s="2" t="s">
        <v>20299</v>
      </c>
      <c r="B8122" s="2" t="s">
        <v>20299</v>
      </c>
      <c r="C8122" s="2" t="s">
        <v>17</v>
      </c>
      <c r="D8122" s="2" t="s">
        <v>27</v>
      </c>
      <c r="E8122" s="4">
        <v>-32724</v>
      </c>
      <c r="F8122" s="3" t="s">
        <v>1027</v>
      </c>
      <c r="G8122" s="3" t="s">
        <v>213</v>
      </c>
      <c r="H8122" s="2" t="s">
        <v>74</v>
      </c>
      <c r="I8122" s="2" t="s">
        <v>20300</v>
      </c>
      <c r="J8122" s="3" t="str">
        <f>HYPERLINK("https://www.boe.es/gazeta/dias/1810/05/27/pdfs/GMD-1810-147.pdf#page=4","Abrir facsímil")</f>
        <v>Abrir facsímil</v>
      </c>
      <c r="K8122" s="3" t="s">
        <v>76</v>
      </c>
    </row>
    <row r="8123" spans="1:11" ht="42" customHeight="1">
      <c r="A8123" s="2" t="s">
        <v>20301</v>
      </c>
      <c r="B8123" s="2" t="s">
        <v>20301</v>
      </c>
      <c r="C8123" s="2" t="s">
        <v>88</v>
      </c>
      <c r="D8123" s="2" t="s">
        <v>117</v>
      </c>
      <c r="E8123" s="4">
        <v>-32606</v>
      </c>
      <c r="F8123" s="3" t="s">
        <v>1676</v>
      </c>
      <c r="G8123" s="3" t="s">
        <v>227</v>
      </c>
      <c r="H8123" s="2" t="s">
        <v>74</v>
      </c>
      <c r="I8123" s="2" t="s">
        <v>20302</v>
      </c>
      <c r="J8123" s="3" t="str">
        <f>HYPERLINK("https://www.boe.es/gazeta/dias/1810/09/22/pdfs/GMD-1810-265.pdf#page=2","Abrir facsímil")</f>
        <v>Abrir facsímil</v>
      </c>
      <c r="K8123" s="3" t="s">
        <v>76</v>
      </c>
    </row>
    <row r="8124" spans="1:11" ht="42" customHeight="1">
      <c r="A8124" s="2" t="s">
        <v>20303</v>
      </c>
      <c r="B8124" s="2" t="s">
        <v>20303</v>
      </c>
      <c r="C8124" s="2" t="s">
        <v>88</v>
      </c>
      <c r="D8124" s="2" t="s">
        <v>27</v>
      </c>
      <c r="E8124" s="4">
        <v>-32606</v>
      </c>
      <c r="F8124" s="3" t="s">
        <v>1676</v>
      </c>
      <c r="G8124" s="3" t="s">
        <v>180</v>
      </c>
      <c r="H8124" s="2" t="s">
        <v>74</v>
      </c>
      <c r="I8124" s="2" t="s">
        <v>20304</v>
      </c>
      <c r="J8124" s="3" t="str">
        <f>HYPERLINK("https://www.boe.es/gazeta/dias/1810/09/22/pdfs/GMD-1810-265.pdf#page=1","Abrir facsímil")</f>
        <v>Abrir facsímil</v>
      </c>
      <c r="K8124" s="3" t="s">
        <v>76</v>
      </c>
    </row>
    <row r="8125" spans="1:11" ht="42" customHeight="1">
      <c r="A8125" s="2" t="s">
        <v>20305</v>
      </c>
      <c r="B8125" s="2" t="s">
        <v>20305</v>
      </c>
      <c r="C8125" s="2" t="s">
        <v>88</v>
      </c>
      <c r="D8125" s="2" t="s">
        <v>27</v>
      </c>
      <c r="E8125" s="4">
        <v>-32705</v>
      </c>
      <c r="F8125" s="3" t="s">
        <v>678</v>
      </c>
      <c r="G8125" s="3" t="s">
        <v>592</v>
      </c>
      <c r="H8125" s="2" t="s">
        <v>74</v>
      </c>
      <c r="I8125" s="2" t="s">
        <v>20306</v>
      </c>
      <c r="J8125" s="3" t="str">
        <f>HYPERLINK("https://www.boe.es/gazeta/dias/1810/06/15/pdfs/GEI-1810-36.pdf#page=5","Abrir facsímil")</f>
        <v>Abrir facsímil</v>
      </c>
      <c r="K8125" s="3" t="s">
        <v>76</v>
      </c>
    </row>
    <row r="8126" spans="1:11" ht="42" customHeight="1">
      <c r="A8126" s="2" t="s">
        <v>20307</v>
      </c>
      <c r="B8126" s="2" t="s">
        <v>20307</v>
      </c>
      <c r="C8126" s="2" t="s">
        <v>88</v>
      </c>
      <c r="D8126" s="2" t="s">
        <v>27</v>
      </c>
      <c r="E8126" s="4">
        <v>-32715</v>
      </c>
      <c r="F8126" s="3" t="s">
        <v>1029</v>
      </c>
      <c r="G8126" s="3" t="s">
        <v>180</v>
      </c>
      <c r="H8126" s="2" t="s">
        <v>74</v>
      </c>
      <c r="I8126" s="2" t="s">
        <v>20308</v>
      </c>
      <c r="J8126" s="3" t="str">
        <f>HYPERLINK("https://www.boe.es/gazeta/dias/1810/06/05/pdfs/GEI-1810-33.pdf#page=5","Abrir facsímil")</f>
        <v>Abrir facsímil</v>
      </c>
      <c r="K8126" s="3" t="s">
        <v>76</v>
      </c>
    </row>
    <row r="8127" spans="1:11" ht="42" customHeight="1">
      <c r="A8127" s="2" t="s">
        <v>20309</v>
      </c>
      <c r="B8127" s="2" t="s">
        <v>20310</v>
      </c>
      <c r="C8127" s="2" t="s">
        <v>26</v>
      </c>
      <c r="D8127" s="2" t="s">
        <v>220</v>
      </c>
      <c r="E8127" s="4">
        <v>-32591</v>
      </c>
      <c r="F8127" s="3" t="s">
        <v>377</v>
      </c>
      <c r="G8127" s="3" t="s">
        <v>136</v>
      </c>
      <c r="H8127" s="2" t="s">
        <v>74</v>
      </c>
      <c r="I8127" s="2" t="s">
        <v>20311</v>
      </c>
      <c r="J8127" s="3" t="str">
        <f>HYPERLINK("https://www.boe.es/gazeta/dias/1810/10/07/pdfs/GMD-1810-280.pdf#page=3","Abrir facsímil")</f>
        <v>Abrir facsímil</v>
      </c>
      <c r="K8127" s="3" t="s">
        <v>76</v>
      </c>
    </row>
    <row r="8128" spans="1:11" ht="42" customHeight="1">
      <c r="A8128" s="2" t="s">
        <v>20312</v>
      </c>
      <c r="B8128" s="2" t="s">
        <v>20313</v>
      </c>
      <c r="C8128" s="2" t="s">
        <v>26</v>
      </c>
      <c r="D8128" s="2" t="s">
        <v>27</v>
      </c>
      <c r="E8128" s="4">
        <v>-32684</v>
      </c>
      <c r="F8128" s="3" t="s">
        <v>1373</v>
      </c>
      <c r="G8128" s="3" t="s">
        <v>1374</v>
      </c>
      <c r="H8128" s="2" t="s">
        <v>74</v>
      </c>
      <c r="I8128" s="2" t="s">
        <v>20314</v>
      </c>
      <c r="J8128" s="3" t="str">
        <f>HYPERLINK("https://www.boe.es/gazeta/dias/1810/07/06/pdfs/GEI-1810-42.pdf#page=8","Abrir facsímil")</f>
        <v>Abrir facsímil</v>
      </c>
      <c r="K8128" s="3" t="s">
        <v>76</v>
      </c>
    </row>
    <row r="8129" spans="1:11" ht="42" customHeight="1">
      <c r="A8129" s="2" t="s">
        <v>20315</v>
      </c>
      <c r="B8129" s="2" t="s">
        <v>20316</v>
      </c>
      <c r="C8129" s="2" t="s">
        <v>26</v>
      </c>
      <c r="D8129" s="2" t="s">
        <v>27</v>
      </c>
      <c r="E8129" s="4">
        <v>-32659</v>
      </c>
      <c r="F8129" s="3" t="s">
        <v>328</v>
      </c>
      <c r="G8129" s="3" t="s">
        <v>119</v>
      </c>
      <c r="H8129" s="2" t="s">
        <v>74</v>
      </c>
      <c r="I8129" s="2" t="s">
        <v>20317</v>
      </c>
      <c r="J8129" s="3" t="str">
        <f>HYPERLINK("https://www.boe.es/gazeta/dias/1810/07/31/pdfs/GEI-1810-49.pdf#page=8","Abrir facsímil")</f>
        <v>Abrir facsímil</v>
      </c>
      <c r="K8129" s="3" t="s">
        <v>76</v>
      </c>
    </row>
    <row r="8130" spans="1:11" ht="42" customHeight="1">
      <c r="A8130" s="2" t="s">
        <v>20318</v>
      </c>
      <c r="B8130" s="2" t="s">
        <v>20319</v>
      </c>
      <c r="C8130" s="2" t="s">
        <v>26</v>
      </c>
      <c r="D8130" s="2" t="s">
        <v>39</v>
      </c>
      <c r="E8130" s="4">
        <v>-32701</v>
      </c>
      <c r="F8130" s="3" t="s">
        <v>40</v>
      </c>
      <c r="G8130" s="3" t="s">
        <v>170</v>
      </c>
      <c r="H8130" s="2" t="s">
        <v>74</v>
      </c>
      <c r="I8130" s="2" t="s">
        <v>20320</v>
      </c>
      <c r="J8130" s="3" t="str">
        <f>HYPERLINK("https://www.boe.es/gazeta/dias/1810/06/19/pdfs/GMD-C-1810-170.pdf#page=1","Abrir facsímil")</f>
        <v>Abrir facsímil</v>
      </c>
      <c r="K8130" s="3" t="s">
        <v>76</v>
      </c>
    </row>
    <row r="8131" spans="1:11" ht="42" customHeight="1">
      <c r="A8131" s="2" t="s">
        <v>20321</v>
      </c>
      <c r="B8131" s="2" t="s">
        <v>20322</v>
      </c>
      <c r="C8131" s="2" t="s">
        <v>26</v>
      </c>
      <c r="D8131" s="2" t="s">
        <v>27</v>
      </c>
      <c r="E8131" s="4">
        <v>-32684</v>
      </c>
      <c r="F8131" s="3" t="s">
        <v>1373</v>
      </c>
      <c r="G8131" s="3" t="s">
        <v>1374</v>
      </c>
      <c r="H8131" s="2" t="s">
        <v>74</v>
      </c>
      <c r="I8131" s="2" t="s">
        <v>20323</v>
      </c>
      <c r="J8131" s="3" t="str">
        <f>HYPERLINK("https://www.boe.es/gazeta/dias/1810/07/06/pdfs/GEI-1810-42.pdf#page=8","Abrir facsímil")</f>
        <v>Abrir facsímil</v>
      </c>
      <c r="K8131" s="3" t="s">
        <v>76</v>
      </c>
    </row>
    <row r="8132" spans="1:11" ht="42" customHeight="1">
      <c r="A8132" s="2" t="s">
        <v>20324</v>
      </c>
      <c r="B8132" s="2" t="s">
        <v>20325</v>
      </c>
      <c r="C8132" s="2" t="s">
        <v>26</v>
      </c>
      <c r="D8132" s="2" t="s">
        <v>39</v>
      </c>
      <c r="E8132" s="4">
        <v>-32685</v>
      </c>
      <c r="F8132" s="3" t="s">
        <v>10378</v>
      </c>
      <c r="G8132" s="3" t="s">
        <v>8160</v>
      </c>
      <c r="H8132" s="2" t="s">
        <v>74</v>
      </c>
      <c r="I8132" s="2" t="s">
        <v>20326</v>
      </c>
      <c r="J8132" s="3" t="str">
        <f>HYPERLINK("https://www.boe.es/gazeta/dias/1810/07/05/pdfs/GMD-C-1810-186.pdf#page=1","Abrir facsímil")</f>
        <v>Abrir facsímil</v>
      </c>
      <c r="K8132" s="3" t="s">
        <v>76</v>
      </c>
    </row>
    <row r="8133" spans="1:11" ht="42" customHeight="1">
      <c r="A8133" s="2" t="s">
        <v>20327</v>
      </c>
      <c r="B8133" s="2" t="s">
        <v>20327</v>
      </c>
      <c r="C8133" s="2" t="s">
        <v>26</v>
      </c>
      <c r="D8133" s="2" t="s">
        <v>27</v>
      </c>
      <c r="E8133" s="4">
        <v>-32762</v>
      </c>
      <c r="F8133" s="3" t="s">
        <v>231</v>
      </c>
      <c r="G8133" s="3" t="s">
        <v>29</v>
      </c>
      <c r="H8133" s="2" t="s">
        <v>74</v>
      </c>
      <c r="I8133" s="2" t="s">
        <v>20328</v>
      </c>
      <c r="J8133" s="3" t="str">
        <f>HYPERLINK("https://www.boe.es/gazeta/dias/1810/04/19/pdfs/GMD-1810-109.pdf#page=2","Abrir facsímil")</f>
        <v>Abrir facsímil</v>
      </c>
      <c r="K8133" s="3" t="s">
        <v>76</v>
      </c>
    </row>
    <row r="8134" spans="1:11" ht="42" customHeight="1">
      <c r="A8134" s="2" t="s">
        <v>20329</v>
      </c>
      <c r="B8134" s="2" t="s">
        <v>20329</v>
      </c>
      <c r="C8134" s="2" t="s">
        <v>88</v>
      </c>
      <c r="D8134" s="2" t="s">
        <v>27</v>
      </c>
      <c r="E8134" s="4">
        <v>-32721</v>
      </c>
      <c r="F8134" s="3" t="s">
        <v>3437</v>
      </c>
      <c r="G8134" s="3" t="s">
        <v>213</v>
      </c>
      <c r="H8134" s="2" t="s">
        <v>74</v>
      </c>
      <c r="I8134" s="2" t="s">
        <v>20330</v>
      </c>
      <c r="J8134" s="3" t="str">
        <f>HYPERLINK("https://www.boe.es/gazeta/dias/1810/05/30/pdfs/GMD-1810-150.pdf#page=3","Abrir facsímil")</f>
        <v>Abrir facsímil</v>
      </c>
      <c r="K8134" s="3" t="s">
        <v>76</v>
      </c>
    </row>
    <row r="8135" spans="1:11" ht="42" customHeight="1">
      <c r="A8135" s="2" t="s">
        <v>20331</v>
      </c>
      <c r="B8135" s="2" t="s">
        <v>20332</v>
      </c>
      <c r="C8135" s="2" t="s">
        <v>33</v>
      </c>
      <c r="D8135" s="2" t="s">
        <v>27</v>
      </c>
      <c r="E8135" s="4">
        <v>-32759</v>
      </c>
      <c r="F8135" s="3" t="s">
        <v>4747</v>
      </c>
      <c r="G8135" s="3" t="s">
        <v>5277</v>
      </c>
      <c r="H8135" s="2" t="s">
        <v>21</v>
      </c>
      <c r="I8135" s="2" t="s">
        <v>20333</v>
      </c>
      <c r="J8135" s="3" t="str">
        <f>HYPERLINK("https://www.boe.es/gazeta/dias/1810/04/22/pdfs/GMD-1810-112.pdf#page=2","Abrir facsímil")</f>
        <v>Abrir facsímil</v>
      </c>
      <c r="K8135" s="3" t="s">
        <v>23</v>
      </c>
    </row>
    <row r="8136" spans="1:11" ht="42" customHeight="1">
      <c r="A8136" s="2" t="s">
        <v>20334</v>
      </c>
      <c r="B8136" s="2" t="s">
        <v>20335</v>
      </c>
      <c r="C8136" s="2" t="s">
        <v>225</v>
      </c>
      <c r="D8136" s="2" t="s">
        <v>27</v>
      </c>
      <c r="E8136" s="4">
        <v>-32646</v>
      </c>
      <c r="F8136" s="3" t="s">
        <v>6939</v>
      </c>
      <c r="G8136" s="3" t="s">
        <v>29</v>
      </c>
      <c r="H8136" s="2" t="s">
        <v>74</v>
      </c>
      <c r="I8136" s="2" t="s">
        <v>20336</v>
      </c>
      <c r="J8136" s="3" t="str">
        <f>HYPERLINK("https://www.boe.es/gazeta/dias/1810/08/13/pdfs/GMD-1810-225.pdf#page=4","Abrir facsímil")</f>
        <v>Abrir facsímil</v>
      </c>
      <c r="K8136" s="3" t="s">
        <v>76</v>
      </c>
    </row>
    <row r="8137" spans="1:11" ht="42" customHeight="1">
      <c r="A8137" s="2" t="s">
        <v>20337</v>
      </c>
      <c r="B8137" s="2" t="s">
        <v>20338</v>
      </c>
      <c r="C8137" s="2" t="s">
        <v>26</v>
      </c>
      <c r="D8137" s="2" t="s">
        <v>27</v>
      </c>
      <c r="E8137" s="4">
        <v>-32557</v>
      </c>
      <c r="F8137" s="3" t="s">
        <v>837</v>
      </c>
      <c r="G8137" s="3" t="s">
        <v>2073</v>
      </c>
      <c r="H8137" s="2" t="s">
        <v>74</v>
      </c>
      <c r="I8137" s="2" t="s">
        <v>20339</v>
      </c>
      <c r="J8137" s="3" t="str">
        <f>HYPERLINK("https://www.boe.es/gazeta/dias/1810/11/10/pdfs/GEI-1810-93.pdf#page=7","Abrir facsímil")</f>
        <v>Abrir facsímil</v>
      </c>
      <c r="K8137" s="3" t="s">
        <v>76</v>
      </c>
    </row>
    <row r="8138" spans="1:11" ht="42" customHeight="1">
      <c r="A8138" s="2" t="s">
        <v>20340</v>
      </c>
      <c r="B8138" s="2" t="s">
        <v>20341</v>
      </c>
      <c r="C8138" s="2" t="s">
        <v>26</v>
      </c>
      <c r="D8138" s="2" t="s">
        <v>27</v>
      </c>
      <c r="E8138" s="4">
        <v>-32585</v>
      </c>
      <c r="F8138" s="3" t="s">
        <v>260</v>
      </c>
      <c r="G8138" s="3" t="s">
        <v>180</v>
      </c>
      <c r="H8138" s="2" t="s">
        <v>74</v>
      </c>
      <c r="I8138" s="2" t="s">
        <v>20342</v>
      </c>
      <c r="J8138" s="3" t="str">
        <f>HYPERLINK("https://www.boe.es/gazeta/dias/1810/10/13/pdfs/GEI-1810-81.pdf#page=7","Abrir facsímil")</f>
        <v>Abrir facsímil</v>
      </c>
      <c r="K8138" s="3" t="s">
        <v>76</v>
      </c>
    </row>
    <row r="8139" spans="1:11" ht="42" customHeight="1">
      <c r="A8139" s="2" t="s">
        <v>20343</v>
      </c>
      <c r="B8139" s="2" t="s">
        <v>20344</v>
      </c>
      <c r="C8139" s="2" t="s">
        <v>26</v>
      </c>
      <c r="D8139" s="2" t="s">
        <v>27</v>
      </c>
      <c r="E8139" s="4">
        <v>-32798</v>
      </c>
      <c r="F8139" s="3" t="s">
        <v>2002</v>
      </c>
      <c r="G8139" s="3" t="s">
        <v>90</v>
      </c>
      <c r="H8139" s="2" t="s">
        <v>74</v>
      </c>
      <c r="I8139" s="2" t="s">
        <v>20345</v>
      </c>
      <c r="J8139" s="3" t="str">
        <f>HYPERLINK("https://www.boe.es/gazeta/dias/1810/03/14/pdfs/GMD-1810-73.pdf#page=4","Abrir facsímil")</f>
        <v>Abrir facsímil</v>
      </c>
      <c r="K8139" s="3" t="s">
        <v>76</v>
      </c>
    </row>
    <row r="8140" spans="1:11" ht="42" customHeight="1">
      <c r="A8140" s="2" t="s">
        <v>20346</v>
      </c>
      <c r="B8140" s="2" t="s">
        <v>20346</v>
      </c>
      <c r="C8140" s="2" t="s">
        <v>33</v>
      </c>
      <c r="D8140" s="2" t="s">
        <v>27</v>
      </c>
      <c r="E8140" s="4">
        <v>-32631</v>
      </c>
      <c r="F8140" s="3" t="s">
        <v>497</v>
      </c>
      <c r="G8140" s="3" t="s">
        <v>16035</v>
      </c>
      <c r="H8140" s="2" t="s">
        <v>74</v>
      </c>
      <c r="I8140" s="2" t="s">
        <v>20347</v>
      </c>
      <c r="J8140" s="3" t="str">
        <f>HYPERLINK("https://www.boe.es/gazeta/dias/1810/08/28/pdfs/GMD-1810-240.pdf#page=1","Abrir facsímil")</f>
        <v>Abrir facsímil</v>
      </c>
      <c r="K8140" s="3" t="s">
        <v>76</v>
      </c>
    </row>
    <row r="8141" spans="1:11" ht="42" customHeight="1">
      <c r="A8141" s="2" t="s">
        <v>20348</v>
      </c>
      <c r="B8141" s="2" t="s">
        <v>20349</v>
      </c>
      <c r="C8141" s="2" t="s">
        <v>33</v>
      </c>
      <c r="D8141" s="2" t="s">
        <v>27</v>
      </c>
      <c r="E8141" s="4">
        <v>-32710</v>
      </c>
      <c r="F8141" s="3" t="s">
        <v>126</v>
      </c>
      <c r="G8141" s="3" t="s">
        <v>184</v>
      </c>
      <c r="H8141" s="2" t="s">
        <v>74</v>
      </c>
      <c r="I8141" s="2" t="s">
        <v>20350</v>
      </c>
      <c r="J8141" s="3" t="str">
        <f>HYPERLINK("https://www.boe.es/gazeta/dias/1810/06/10/pdfs/GMD-1810-161.pdf#page=3","Abrir facsímil")</f>
        <v>Abrir facsímil</v>
      </c>
      <c r="K8141" s="3" t="s">
        <v>76</v>
      </c>
    </row>
    <row r="8142" spans="1:11" ht="42" customHeight="1">
      <c r="A8142" s="2" t="s">
        <v>20351</v>
      </c>
      <c r="B8142" s="2" t="s">
        <v>20352</v>
      </c>
      <c r="C8142" s="2" t="s">
        <v>17</v>
      </c>
      <c r="D8142" s="2" t="s">
        <v>27</v>
      </c>
      <c r="E8142" s="4">
        <v>-32638</v>
      </c>
      <c r="F8142" s="3" t="s">
        <v>489</v>
      </c>
      <c r="G8142" s="3" t="s">
        <v>8802</v>
      </c>
      <c r="H8142" s="2" t="s">
        <v>74</v>
      </c>
      <c r="I8142" s="2" t="s">
        <v>20353</v>
      </c>
      <c r="J8142" s="3" t="str">
        <f>HYPERLINK("https://www.boe.es/gazeta/dias/1810/08/21/pdfs/GMD-1810-233.pdf#page=3","Abrir facsímil")</f>
        <v>Abrir facsímil</v>
      </c>
      <c r="K8142" s="3" t="s">
        <v>76</v>
      </c>
    </row>
    <row r="8143" spans="1:11" ht="42" customHeight="1">
      <c r="A8143" s="2" t="s">
        <v>20354</v>
      </c>
      <c r="B8143" s="2" t="s">
        <v>20355</v>
      </c>
      <c r="C8143" s="2" t="s">
        <v>26</v>
      </c>
      <c r="D8143" s="2" t="s">
        <v>27</v>
      </c>
      <c r="E8143" s="4">
        <v>-32862</v>
      </c>
      <c r="F8143" s="3" t="s">
        <v>878</v>
      </c>
      <c r="G8143" s="3" t="s">
        <v>99</v>
      </c>
      <c r="H8143" s="2" t="s">
        <v>74</v>
      </c>
      <c r="I8143" s="2" t="s">
        <v>20356</v>
      </c>
      <c r="J8143" s="3" t="str">
        <f>HYPERLINK("https://www.boe.es/gazeta/dias/1810/01/09/pdfs/GMD-1810-9.pdf#page=3","Abrir facsímil")</f>
        <v>Abrir facsímil</v>
      </c>
      <c r="K8143" s="3" t="s">
        <v>76</v>
      </c>
    </row>
    <row r="8144" spans="1:11" ht="42" customHeight="1">
      <c r="A8144" s="2" t="s">
        <v>20357</v>
      </c>
      <c r="B8144" s="2" t="s">
        <v>20357</v>
      </c>
      <c r="C8144" s="2" t="s">
        <v>26</v>
      </c>
      <c r="D8144" s="2" t="s">
        <v>27</v>
      </c>
      <c r="E8144" s="4">
        <v>-32646</v>
      </c>
      <c r="F8144" s="3" t="s">
        <v>6939</v>
      </c>
      <c r="G8144" s="3" t="s">
        <v>180</v>
      </c>
      <c r="H8144" s="2" t="s">
        <v>74</v>
      </c>
      <c r="I8144" s="2" t="s">
        <v>20358</v>
      </c>
      <c r="J8144" s="3" t="str">
        <f>HYPERLINK("https://www.boe.es/gazeta/dias/1810/08/13/pdfs/GMD-1810-225.pdf#page=1","Abrir facsímil")</f>
        <v>Abrir facsímil</v>
      </c>
      <c r="K8144" s="3" t="s">
        <v>76</v>
      </c>
    </row>
    <row r="8145" spans="1:11" ht="42" customHeight="1">
      <c r="A8145" s="2" t="s">
        <v>20359</v>
      </c>
      <c r="B8145" s="2" t="s">
        <v>20360</v>
      </c>
      <c r="C8145" s="2" t="s">
        <v>26</v>
      </c>
      <c r="D8145" s="2" t="s">
        <v>27</v>
      </c>
      <c r="E8145" s="4">
        <v>-32508</v>
      </c>
      <c r="F8145" s="3" t="s">
        <v>864</v>
      </c>
      <c r="G8145" s="3" t="s">
        <v>691</v>
      </c>
      <c r="H8145" s="2" t="s">
        <v>74</v>
      </c>
      <c r="I8145" s="2" t="s">
        <v>20361</v>
      </c>
      <c r="J8145" s="3" t="str">
        <f>HYPERLINK("https://www.boe.es/gazeta/dias/1810/12/29/pdfs/GEI-1810-114.pdf#page=8","Abrir facsímil")</f>
        <v>Abrir facsímil</v>
      </c>
      <c r="K8145" s="3" t="s">
        <v>76</v>
      </c>
    </row>
    <row r="8146" spans="1:11" ht="42" customHeight="1">
      <c r="A8146" s="2" t="s">
        <v>20362</v>
      </c>
      <c r="B8146" s="2" t="s">
        <v>20363</v>
      </c>
      <c r="C8146" s="2" t="s">
        <v>17</v>
      </c>
      <c r="D8146" s="2" t="s">
        <v>27</v>
      </c>
      <c r="E8146" s="4">
        <v>-32741</v>
      </c>
      <c r="F8146" s="3" t="s">
        <v>98</v>
      </c>
      <c r="G8146" s="3" t="s">
        <v>99</v>
      </c>
      <c r="H8146" s="2" t="s">
        <v>74</v>
      </c>
      <c r="I8146" s="2" t="s">
        <v>20364</v>
      </c>
      <c r="J8146" s="3" t="str">
        <f>HYPERLINK("https://www.boe.es/gazeta/dias/1810/05/10/pdfs/GMD-1810-130.pdf#page=3","Abrir facsímil")</f>
        <v>Abrir facsímil</v>
      </c>
      <c r="K8146" s="3" t="s">
        <v>76</v>
      </c>
    </row>
    <row r="8147" spans="1:11" ht="42" customHeight="1">
      <c r="A8147" s="2" t="s">
        <v>20365</v>
      </c>
      <c r="B8147" s="2" t="s">
        <v>20366</v>
      </c>
      <c r="C8147" s="2" t="s">
        <v>88</v>
      </c>
      <c r="D8147" s="2" t="s">
        <v>27</v>
      </c>
      <c r="E8147" s="4">
        <v>-32820</v>
      </c>
      <c r="F8147" s="3" t="s">
        <v>226</v>
      </c>
      <c r="G8147" s="3" t="s">
        <v>227</v>
      </c>
      <c r="H8147" s="2" t="s">
        <v>74</v>
      </c>
      <c r="I8147" s="2" t="s">
        <v>20367</v>
      </c>
      <c r="J8147" s="3" t="str">
        <f>HYPERLINK("https://www.boe.es/gazeta/dias/1810/02/20/pdfs/GMD-1810-51.pdf#page=4","Abrir facsímil")</f>
        <v>Abrir facsímil</v>
      </c>
      <c r="K8147" s="3" t="s">
        <v>76</v>
      </c>
    </row>
    <row r="8148" spans="1:11" ht="42" customHeight="1">
      <c r="A8148" s="2" t="s">
        <v>20368</v>
      </c>
      <c r="B8148" s="2" t="s">
        <v>20369</v>
      </c>
      <c r="C8148" s="2" t="s">
        <v>26</v>
      </c>
      <c r="D8148" s="2" t="s">
        <v>27</v>
      </c>
      <c r="E8148" s="4">
        <v>-32512</v>
      </c>
      <c r="F8148" s="3" t="s">
        <v>1920</v>
      </c>
      <c r="G8148" s="3" t="s">
        <v>1659</v>
      </c>
      <c r="H8148" s="2" t="s">
        <v>21</v>
      </c>
      <c r="I8148" s="2" t="s">
        <v>20370</v>
      </c>
      <c r="J8148" s="3" t="str">
        <f>HYPERLINK("https://www.boe.es/gazeta/dias/1810/12/25/pdfs/GEI-1810-112.pdf#page=5","Abrir facsímil")</f>
        <v>Abrir facsímil</v>
      </c>
      <c r="K8148" s="3" t="s">
        <v>23</v>
      </c>
    </row>
    <row r="8149" spans="1:11" ht="42" customHeight="1">
      <c r="A8149" s="2" t="s">
        <v>20371</v>
      </c>
      <c r="B8149" s="2" t="s">
        <v>20372</v>
      </c>
      <c r="C8149" s="2" t="s">
        <v>88</v>
      </c>
      <c r="D8149" s="2" t="s">
        <v>27</v>
      </c>
      <c r="E8149" s="4">
        <v>-32754</v>
      </c>
      <c r="F8149" s="3" t="s">
        <v>1057</v>
      </c>
      <c r="G8149" s="3" t="s">
        <v>1058</v>
      </c>
      <c r="H8149" s="2" t="s">
        <v>74</v>
      </c>
      <c r="I8149" s="2" t="s">
        <v>20373</v>
      </c>
      <c r="J8149" s="3" t="str">
        <f>HYPERLINK("https://www.boe.es/gazeta/dias/1810/04/27/pdfs/GEI-1810-18.pdf#page=12","Abrir facsímil")</f>
        <v>Abrir facsímil</v>
      </c>
      <c r="K8149" s="3" t="s">
        <v>76</v>
      </c>
    </row>
    <row r="8150" spans="1:11" ht="42" customHeight="1">
      <c r="A8150" s="2" t="s">
        <v>20374</v>
      </c>
      <c r="B8150" s="2" t="s">
        <v>20374</v>
      </c>
      <c r="C8150" s="2" t="s">
        <v>88</v>
      </c>
      <c r="D8150" s="2" t="s">
        <v>27</v>
      </c>
      <c r="E8150" s="4">
        <v>-32624</v>
      </c>
      <c r="F8150" s="3" t="s">
        <v>2838</v>
      </c>
      <c r="G8150" s="3" t="s">
        <v>1667</v>
      </c>
      <c r="H8150" s="2" t="s">
        <v>74</v>
      </c>
      <c r="I8150" s="2" t="s">
        <v>20375</v>
      </c>
      <c r="J8150" s="3" t="str">
        <f>HYPERLINK("https://www.boe.es/gazeta/dias/1810/09/04/pdfs/GMD-1810-247.pdf#page=2","Abrir facsímil")</f>
        <v>Abrir facsímil</v>
      </c>
      <c r="K8150" s="3" t="s">
        <v>76</v>
      </c>
    </row>
    <row r="8151" spans="1:11" ht="42" customHeight="1">
      <c r="A8151" s="2" t="s">
        <v>20374</v>
      </c>
      <c r="B8151" s="2" t="s">
        <v>20374</v>
      </c>
      <c r="C8151" s="2" t="s">
        <v>26</v>
      </c>
      <c r="D8151" s="2" t="s">
        <v>27</v>
      </c>
      <c r="E8151" s="4">
        <v>-32557</v>
      </c>
      <c r="F8151" s="3" t="s">
        <v>8182</v>
      </c>
      <c r="G8151" s="3" t="s">
        <v>1616</v>
      </c>
      <c r="H8151" s="2" t="s">
        <v>74</v>
      </c>
      <c r="I8151" s="2" t="s">
        <v>20376</v>
      </c>
      <c r="J8151" s="3" t="str">
        <f>HYPERLINK("https://www.boe.es/gazeta/dias/1810/11/10/pdfs/GMD-1810-314.pdf#page=2","Abrir facsímil")</f>
        <v>Abrir facsímil</v>
      </c>
      <c r="K8151" s="3" t="s">
        <v>76</v>
      </c>
    </row>
    <row r="8152" spans="1:11" ht="42" customHeight="1">
      <c r="A8152" s="2" t="s">
        <v>20377</v>
      </c>
      <c r="B8152" s="2" t="s">
        <v>20378</v>
      </c>
      <c r="C8152" s="2" t="s">
        <v>26</v>
      </c>
      <c r="D8152" s="2" t="s">
        <v>220</v>
      </c>
      <c r="E8152" s="4">
        <v>-32839</v>
      </c>
      <c r="F8152" s="3" t="s">
        <v>28</v>
      </c>
      <c r="G8152" s="3" t="s">
        <v>29</v>
      </c>
      <c r="H8152" s="2" t="s">
        <v>74</v>
      </c>
      <c r="I8152" s="2" t="s">
        <v>20379</v>
      </c>
      <c r="J8152" s="3" t="str">
        <f>HYPERLINK("https://www.boe.es/gazeta/dias/1810/02/01/pdfs/GMD-1810-32.pdf#page=3","Abrir facsímil")</f>
        <v>Abrir facsímil</v>
      </c>
      <c r="K8152" s="3" t="s">
        <v>76</v>
      </c>
    </row>
    <row r="8153" spans="1:11" ht="42" customHeight="1">
      <c r="A8153" s="2" t="s">
        <v>20377</v>
      </c>
      <c r="B8153" s="2" t="s">
        <v>20378</v>
      </c>
      <c r="C8153" s="2" t="s">
        <v>111</v>
      </c>
      <c r="D8153" s="2" t="s">
        <v>39</v>
      </c>
      <c r="E8153" s="4">
        <v>-32599</v>
      </c>
      <c r="F8153" s="3" t="s">
        <v>662</v>
      </c>
      <c r="G8153" s="3" t="s">
        <v>3097</v>
      </c>
      <c r="H8153" s="2" t="s">
        <v>74</v>
      </c>
      <c r="I8153" s="2" t="s">
        <v>20380</v>
      </c>
      <c r="J8153" s="3" t="str">
        <f>HYPERLINK("https://www.boe.es/gazeta/dias/1810/09/29/pdfs/GMD-C-1810-272.pdf#page=8","Abrir facsímil")</f>
        <v>Abrir facsímil</v>
      </c>
      <c r="K8153" s="3" t="s">
        <v>76</v>
      </c>
    </row>
    <row r="8154" spans="1:11" ht="42" customHeight="1">
      <c r="A8154" s="2" t="s">
        <v>20381</v>
      </c>
      <c r="B8154" s="2" t="s">
        <v>20382</v>
      </c>
      <c r="C8154" s="2" t="s">
        <v>26</v>
      </c>
      <c r="D8154" s="2" t="s">
        <v>27</v>
      </c>
      <c r="E8154" s="4">
        <v>-32563</v>
      </c>
      <c r="F8154" s="3" t="s">
        <v>535</v>
      </c>
      <c r="G8154" s="3" t="s">
        <v>140</v>
      </c>
      <c r="H8154" s="2" t="s">
        <v>74</v>
      </c>
      <c r="I8154" s="2" t="s">
        <v>20383</v>
      </c>
      <c r="J8154" s="3" t="str">
        <f>HYPERLINK("https://www.boe.es/gazeta/dias/1810/11/04/pdfs/GMD-1810-308.pdf#page=8","Abrir facsímil")</f>
        <v>Abrir facsímil</v>
      </c>
      <c r="K8154" s="3" t="s">
        <v>76</v>
      </c>
    </row>
    <row r="8155" spans="1:11" ht="42" customHeight="1">
      <c r="A8155" s="2" t="s">
        <v>20384</v>
      </c>
      <c r="B8155" s="2" t="s">
        <v>20385</v>
      </c>
      <c r="C8155" s="2" t="s">
        <v>26</v>
      </c>
      <c r="D8155" s="2" t="s">
        <v>27</v>
      </c>
      <c r="E8155" s="4">
        <v>-32867</v>
      </c>
      <c r="F8155" s="3" t="s">
        <v>712</v>
      </c>
      <c r="G8155" s="3" t="s">
        <v>291</v>
      </c>
      <c r="H8155" s="2" t="s">
        <v>74</v>
      </c>
      <c r="I8155" s="2" t="s">
        <v>20386</v>
      </c>
      <c r="J8155" s="3" t="str">
        <f>HYPERLINK("https://www.boe.es/gazeta/dias/1810/01/04/pdfs/GGB-1810-2.pdf#page=8","Abrir facsímil")</f>
        <v>Abrir facsímil</v>
      </c>
      <c r="K8155" s="3" t="s">
        <v>76</v>
      </c>
    </row>
    <row r="8156" spans="1:11" ht="42" customHeight="1">
      <c r="A8156" s="2" t="s">
        <v>20387</v>
      </c>
      <c r="B8156" s="2" t="s">
        <v>20388</v>
      </c>
      <c r="C8156" s="2" t="s">
        <v>88</v>
      </c>
      <c r="D8156" s="2" t="s">
        <v>27</v>
      </c>
      <c r="E8156" s="4">
        <v>-32550</v>
      </c>
      <c r="F8156" s="3" t="s">
        <v>1472</v>
      </c>
      <c r="G8156" s="3" t="s">
        <v>1473</v>
      </c>
      <c r="H8156" s="2" t="s">
        <v>74</v>
      </c>
      <c r="I8156" s="2" t="s">
        <v>20389</v>
      </c>
      <c r="J8156" s="3" t="str">
        <f>HYPERLINK("https://www.boe.es/gazeta/dias/1810/11/17/pdfs/GEI-1810-96.pdf#page=8","Abrir facsímil")</f>
        <v>Abrir facsímil</v>
      </c>
      <c r="K8156" s="3" t="s">
        <v>76</v>
      </c>
    </row>
    <row r="8157" spans="1:11" ht="42" customHeight="1">
      <c r="A8157" s="2" t="s">
        <v>20390</v>
      </c>
      <c r="B8157" s="2" t="s">
        <v>20390</v>
      </c>
      <c r="C8157" s="2" t="s">
        <v>26</v>
      </c>
      <c r="D8157" s="2" t="s">
        <v>27</v>
      </c>
      <c r="E8157" s="4">
        <v>-32672</v>
      </c>
      <c r="F8157" s="3" t="s">
        <v>1663</v>
      </c>
      <c r="G8157" s="3" t="s">
        <v>119</v>
      </c>
      <c r="H8157" s="2" t="s">
        <v>74</v>
      </c>
      <c r="I8157" s="2" t="s">
        <v>20391</v>
      </c>
      <c r="J8157" s="3" t="str">
        <f>HYPERLINK("https://www.boe.es/gazeta/dias/1810/07/18/pdfs/GMD-1810-199.pdf#page=3","Abrir facsímil")</f>
        <v>Abrir facsímil</v>
      </c>
      <c r="K8157" s="3" t="s">
        <v>76</v>
      </c>
    </row>
    <row r="8158" spans="1:11" ht="42" customHeight="1">
      <c r="A8158" s="2" t="s">
        <v>20392</v>
      </c>
      <c r="B8158" s="2" t="s">
        <v>20393</v>
      </c>
      <c r="C8158" s="2" t="s">
        <v>26</v>
      </c>
      <c r="D8158" s="2" t="s">
        <v>27</v>
      </c>
      <c r="E8158" s="4">
        <v>-32563</v>
      </c>
      <c r="F8158" s="3" t="s">
        <v>535</v>
      </c>
      <c r="G8158" s="3" t="s">
        <v>210</v>
      </c>
      <c r="H8158" s="2" t="s">
        <v>74</v>
      </c>
      <c r="I8158" s="2" t="s">
        <v>20394</v>
      </c>
      <c r="J8158" s="3" t="str">
        <f>HYPERLINK("https://www.boe.es/gazeta/dias/1810/11/04/pdfs/GMD-1810-308.pdf#page=18","Abrir facsímil")</f>
        <v>Abrir facsímil</v>
      </c>
      <c r="K8158" s="3" t="s">
        <v>76</v>
      </c>
    </row>
    <row r="8159" spans="1:11" ht="42" customHeight="1">
      <c r="A8159" s="2" t="s">
        <v>20395</v>
      </c>
      <c r="B8159" s="2" t="s">
        <v>20396</v>
      </c>
      <c r="C8159" s="2" t="s">
        <v>26</v>
      </c>
      <c r="D8159" s="2" t="s">
        <v>27</v>
      </c>
      <c r="E8159" s="4">
        <v>-32543</v>
      </c>
      <c r="F8159" s="3" t="s">
        <v>69</v>
      </c>
      <c r="G8159" s="3" t="s">
        <v>70</v>
      </c>
      <c r="H8159" s="2" t="s">
        <v>74</v>
      </c>
      <c r="I8159" s="2" t="s">
        <v>20397</v>
      </c>
      <c r="J8159" s="3" t="str">
        <f>HYPERLINK("https://www.boe.es/gazeta/dias/1810/11/24/pdfs/GEI-1810-99.pdf#page=8","Abrir facsímil")</f>
        <v>Abrir facsímil</v>
      </c>
      <c r="K8159" s="3" t="s">
        <v>76</v>
      </c>
    </row>
    <row r="8160" spans="1:11" ht="42" customHeight="1">
      <c r="A8160" s="2" t="s">
        <v>20398</v>
      </c>
      <c r="B8160" s="2" t="s">
        <v>20398</v>
      </c>
      <c r="C8160" s="2" t="s">
        <v>26</v>
      </c>
      <c r="D8160" s="2" t="s">
        <v>27</v>
      </c>
      <c r="E8160" s="4">
        <v>-32770</v>
      </c>
      <c r="F8160" s="3" t="s">
        <v>7130</v>
      </c>
      <c r="G8160" s="3" t="s">
        <v>5279</v>
      </c>
      <c r="H8160" s="2" t="s">
        <v>74</v>
      </c>
      <c r="I8160" s="2" t="s">
        <v>20399</v>
      </c>
      <c r="J8160" s="3" t="str">
        <f>HYPERLINK("https://www.boe.es/gazeta/dias/1810/04/11/pdfs/GMD-1810-101.pdf#page=1","Abrir facsímil")</f>
        <v>Abrir facsímil</v>
      </c>
      <c r="K8160" s="3" t="s">
        <v>76</v>
      </c>
    </row>
    <row r="8161" spans="1:11" ht="42" customHeight="1">
      <c r="A8161" s="2" t="s">
        <v>20400</v>
      </c>
      <c r="B8161" s="2" t="s">
        <v>20401</v>
      </c>
      <c r="C8161" s="2" t="s">
        <v>26</v>
      </c>
      <c r="D8161" s="2" t="s">
        <v>27</v>
      </c>
      <c r="E8161" s="4">
        <v>-32761</v>
      </c>
      <c r="F8161" s="3" t="s">
        <v>811</v>
      </c>
      <c r="G8161" s="3" t="s">
        <v>140</v>
      </c>
      <c r="H8161" s="2" t="s">
        <v>74</v>
      </c>
      <c r="I8161" s="2" t="s">
        <v>20402</v>
      </c>
      <c r="J8161" s="3" t="str">
        <f>HYPERLINK("https://www.boe.es/gazeta/dias/1810/04/20/pdfs/GEI-1810-16.pdf#page=8","Abrir facsímil")</f>
        <v>Abrir facsímil</v>
      </c>
      <c r="K8161" s="3" t="s">
        <v>76</v>
      </c>
    </row>
    <row r="8162" spans="1:11" ht="42" customHeight="1">
      <c r="A8162" s="2" t="s">
        <v>20403</v>
      </c>
      <c r="B8162" s="2" t="s">
        <v>20404</v>
      </c>
      <c r="C8162" s="2" t="s">
        <v>26</v>
      </c>
      <c r="D8162" s="2" t="s">
        <v>27</v>
      </c>
      <c r="E8162" s="4">
        <v>-32526</v>
      </c>
      <c r="F8162" s="3" t="s">
        <v>530</v>
      </c>
      <c r="G8162" s="3" t="s">
        <v>531</v>
      </c>
      <c r="H8162" s="2" t="s">
        <v>74</v>
      </c>
      <c r="I8162" s="2" t="s">
        <v>20405</v>
      </c>
      <c r="J8162" s="3" t="str">
        <f>HYPERLINK("https://www.boe.es/gazeta/dias/1810/12/11/pdfs/GEI-1810-106.pdf#page=2","Abrir facsímil")</f>
        <v>Abrir facsímil</v>
      </c>
      <c r="K8162" s="3" t="s">
        <v>76</v>
      </c>
    </row>
    <row r="8163" spans="1:11" ht="42" customHeight="1">
      <c r="A8163" s="2" t="s">
        <v>20406</v>
      </c>
      <c r="B8163" s="2" t="s">
        <v>20407</v>
      </c>
      <c r="C8163" s="2" t="s">
        <v>88</v>
      </c>
      <c r="D8163" s="2" t="s">
        <v>27</v>
      </c>
      <c r="E8163" s="4">
        <v>-32517</v>
      </c>
      <c r="F8163" s="3" t="s">
        <v>566</v>
      </c>
      <c r="G8163" s="3" t="s">
        <v>762</v>
      </c>
      <c r="H8163" s="2" t="s">
        <v>74</v>
      </c>
      <c r="I8163" s="2" t="s">
        <v>20408</v>
      </c>
      <c r="J8163" s="3" t="str">
        <f>HYPERLINK("https://www.boe.es/gazeta/dias/1810/12/20/pdfs/GEI-1810-110.pdf#page=8","Abrir facsímil")</f>
        <v>Abrir facsímil</v>
      </c>
      <c r="K8163" s="3" t="s">
        <v>76</v>
      </c>
    </row>
    <row r="8164" spans="1:11" ht="42" customHeight="1">
      <c r="A8164" s="2" t="s">
        <v>20409</v>
      </c>
      <c r="B8164" s="2" t="s">
        <v>20409</v>
      </c>
      <c r="C8164" s="2" t="s">
        <v>88</v>
      </c>
      <c r="D8164" s="2" t="s">
        <v>27</v>
      </c>
      <c r="E8164" s="4">
        <v>-32587</v>
      </c>
      <c r="F8164" s="3" t="s">
        <v>103</v>
      </c>
      <c r="G8164" s="3" t="s">
        <v>140</v>
      </c>
      <c r="H8164" s="2" t="s">
        <v>74</v>
      </c>
      <c r="I8164" s="2" t="s">
        <v>20410</v>
      </c>
      <c r="J8164" s="3" t="str">
        <f>HYPERLINK("https://www.boe.es/gazeta/dias/1810/10/11/pdfs/GEI-1810-80.pdf#page=6","Abrir facsímil")</f>
        <v>Abrir facsímil</v>
      </c>
      <c r="K8164" s="3" t="s">
        <v>76</v>
      </c>
    </row>
    <row r="8165" spans="1:11" ht="42" customHeight="1">
      <c r="A8165" s="2" t="s">
        <v>20411</v>
      </c>
      <c r="B8165" s="2" t="s">
        <v>20412</v>
      </c>
      <c r="C8165" s="2" t="s">
        <v>88</v>
      </c>
      <c r="D8165" s="2" t="s">
        <v>27</v>
      </c>
      <c r="E8165" s="4">
        <v>-32666</v>
      </c>
      <c r="F8165" s="3" t="s">
        <v>346</v>
      </c>
      <c r="G8165" s="3" t="s">
        <v>971</v>
      </c>
      <c r="H8165" s="2" t="s">
        <v>74</v>
      </c>
      <c r="I8165" s="2" t="s">
        <v>20413</v>
      </c>
      <c r="J8165" s="3" t="str">
        <f>HYPERLINK("https://www.boe.es/gazeta/dias/1810/07/24/pdfs/GEI-1810-47.pdf#page=7","Abrir facsímil")</f>
        <v>Abrir facsímil</v>
      </c>
      <c r="K8165" s="3" t="s">
        <v>76</v>
      </c>
    </row>
    <row r="8166" spans="1:11" ht="42" customHeight="1">
      <c r="A8166" s="2" t="s">
        <v>20414</v>
      </c>
      <c r="B8166" s="2" t="s">
        <v>20415</v>
      </c>
      <c r="C8166" s="2" t="s">
        <v>26</v>
      </c>
      <c r="D8166" s="2" t="s">
        <v>27</v>
      </c>
      <c r="E8166" s="4">
        <v>-32587</v>
      </c>
      <c r="F8166" s="3" t="s">
        <v>103</v>
      </c>
      <c r="G8166" s="3" t="s">
        <v>104</v>
      </c>
      <c r="H8166" s="2" t="s">
        <v>74</v>
      </c>
      <c r="I8166" s="2" t="s">
        <v>20416</v>
      </c>
      <c r="J8166" s="3" t="str">
        <f>HYPERLINK("https://www.boe.es/gazeta/dias/1810/10/11/pdfs/GEI-1810-80.pdf#page=3","Abrir facsímil")</f>
        <v>Abrir facsímil</v>
      </c>
      <c r="K8166" s="3" t="s">
        <v>76</v>
      </c>
    </row>
    <row r="8167" spans="1:11" ht="42" customHeight="1">
      <c r="A8167" s="2" t="s">
        <v>20417</v>
      </c>
      <c r="B8167" s="2" t="s">
        <v>20418</v>
      </c>
      <c r="C8167" s="2" t="s">
        <v>88</v>
      </c>
      <c r="D8167" s="2" t="s">
        <v>27</v>
      </c>
      <c r="E8167" s="4">
        <v>-32547</v>
      </c>
      <c r="F8167" s="3" t="s">
        <v>407</v>
      </c>
      <c r="G8167" s="3" t="s">
        <v>408</v>
      </c>
      <c r="H8167" s="2" t="s">
        <v>74</v>
      </c>
      <c r="I8167" s="2" t="s">
        <v>20419</v>
      </c>
      <c r="J8167" s="3" t="str">
        <f>HYPERLINK("https://www.boe.es/gazeta/dias/1810/11/20/pdfs/GEI-1810-97.pdf#page=8","Abrir facsímil")</f>
        <v>Abrir facsímil</v>
      </c>
      <c r="K8167" s="3" t="s">
        <v>76</v>
      </c>
    </row>
    <row r="8168" spans="1:11" ht="42" customHeight="1">
      <c r="A8168" s="2" t="s">
        <v>20420</v>
      </c>
      <c r="B8168" s="2" t="s">
        <v>20421</v>
      </c>
      <c r="C8168" s="2" t="s">
        <v>88</v>
      </c>
      <c r="D8168" s="2" t="s">
        <v>27</v>
      </c>
      <c r="E8168" s="4">
        <v>-32635</v>
      </c>
      <c r="F8168" s="3" t="s">
        <v>3132</v>
      </c>
      <c r="G8168" s="3" t="s">
        <v>13638</v>
      </c>
      <c r="H8168" s="2" t="s">
        <v>74</v>
      </c>
      <c r="I8168" s="2" t="s">
        <v>20422</v>
      </c>
      <c r="J8168" s="3" t="str">
        <f>HYPERLINK("https://www.boe.es/gazeta/dias/1810/08/24/pdfs/GEI-1810-59.pdf#page=7","Abrir facsímil")</f>
        <v>Abrir facsímil</v>
      </c>
      <c r="K8168" s="3" t="s">
        <v>76</v>
      </c>
    </row>
    <row r="8169" spans="1:11" ht="42" customHeight="1">
      <c r="A8169" s="2" t="s">
        <v>20423</v>
      </c>
      <c r="B8169" s="2" t="s">
        <v>20424</v>
      </c>
      <c r="C8169" s="2" t="s">
        <v>111</v>
      </c>
      <c r="D8169" s="2" t="s">
        <v>39</v>
      </c>
      <c r="E8169" s="4">
        <v>-32702</v>
      </c>
      <c r="F8169" s="3" t="s">
        <v>179</v>
      </c>
      <c r="G8169" s="3" t="s">
        <v>213</v>
      </c>
      <c r="H8169" s="2" t="s">
        <v>74</v>
      </c>
      <c r="I8169" s="2" t="s">
        <v>20425</v>
      </c>
      <c r="J8169" s="3" t="str">
        <f>HYPERLINK("https://www.boe.es/gazeta/dias/1810/06/18/pdfs/GMD-C-1810-169.pdf#page=4","Abrir facsímil")</f>
        <v>Abrir facsímil</v>
      </c>
      <c r="K8169" s="3" t="s">
        <v>76</v>
      </c>
    </row>
    <row r="8170" spans="1:11" ht="42" customHeight="1">
      <c r="A8170" s="2" t="s">
        <v>20426</v>
      </c>
      <c r="B8170" s="2" t="s">
        <v>20427</v>
      </c>
      <c r="C8170" s="2" t="s">
        <v>26</v>
      </c>
      <c r="D8170" s="2" t="s">
        <v>27</v>
      </c>
      <c r="E8170" s="4">
        <v>-32517</v>
      </c>
      <c r="F8170" s="3" t="s">
        <v>566</v>
      </c>
      <c r="G8170" s="3" t="s">
        <v>762</v>
      </c>
      <c r="H8170" s="2" t="s">
        <v>74</v>
      </c>
      <c r="I8170" s="2" t="s">
        <v>20428</v>
      </c>
      <c r="J8170" s="3" t="str">
        <f>HYPERLINK("https://www.boe.es/gazeta/dias/1810/12/20/pdfs/GEI-1810-110.pdf#page=8","Abrir facsímil")</f>
        <v>Abrir facsímil</v>
      </c>
      <c r="K8170" s="3" t="s">
        <v>76</v>
      </c>
    </row>
    <row r="8171" spans="1:11" ht="42" customHeight="1">
      <c r="A8171" s="2" t="s">
        <v>20429</v>
      </c>
      <c r="B8171" s="2" t="s">
        <v>20430</v>
      </c>
      <c r="C8171" s="2" t="s">
        <v>26</v>
      </c>
      <c r="D8171" s="2" t="s">
        <v>27</v>
      </c>
      <c r="E8171" s="4">
        <v>-32545</v>
      </c>
      <c r="F8171" s="3" t="s">
        <v>165</v>
      </c>
      <c r="G8171" s="3" t="s">
        <v>166</v>
      </c>
      <c r="H8171" s="2" t="s">
        <v>21</v>
      </c>
      <c r="I8171" s="2" t="s">
        <v>20431</v>
      </c>
      <c r="J8171" s="3" t="str">
        <f>HYPERLINK("https://www.boe.es/gazeta/dias/1810/11/22/pdfs/GEI-1810-98.pdf#page=8","Abrir facsímil")</f>
        <v>Abrir facsímil</v>
      </c>
      <c r="K8171" s="3" t="s">
        <v>23</v>
      </c>
    </row>
    <row r="8172" spans="1:11" ht="42" customHeight="1">
      <c r="A8172" s="2" t="s">
        <v>20432</v>
      </c>
      <c r="B8172" s="2" t="s">
        <v>20433</v>
      </c>
      <c r="C8172" s="2" t="s">
        <v>26</v>
      </c>
      <c r="D8172" s="2" t="s">
        <v>27</v>
      </c>
      <c r="E8172" s="4">
        <v>-32740</v>
      </c>
      <c r="F8172" s="3" t="s">
        <v>721</v>
      </c>
      <c r="G8172" s="3" t="s">
        <v>20434</v>
      </c>
      <c r="H8172" s="2" t="s">
        <v>21</v>
      </c>
      <c r="I8172" s="2" t="s">
        <v>20435</v>
      </c>
      <c r="J8172" s="3" t="str">
        <f>HYPERLINK("https://www.boe.es/gazeta/dias/1810/05/11/pdfs/GEI-1810-24.pdf#page=11","Abrir facsímil")</f>
        <v>Abrir facsímil</v>
      </c>
      <c r="K8172" s="3" t="s">
        <v>23</v>
      </c>
    </row>
    <row r="8173" spans="1:11" ht="42" customHeight="1">
      <c r="A8173" s="2" t="s">
        <v>20436</v>
      </c>
      <c r="B8173" s="2" t="s">
        <v>20437</v>
      </c>
      <c r="C8173" s="2" t="s">
        <v>17</v>
      </c>
      <c r="D8173" s="2" t="s">
        <v>18</v>
      </c>
      <c r="E8173" s="4">
        <v>-32710</v>
      </c>
      <c r="F8173" s="3" t="s">
        <v>126</v>
      </c>
      <c r="G8173" s="3" t="s">
        <v>180</v>
      </c>
      <c r="H8173" s="2" t="s">
        <v>74</v>
      </c>
      <c r="I8173" s="2" t="s">
        <v>20438</v>
      </c>
      <c r="J8173" s="3" t="str">
        <f>HYPERLINK("https://www.boe.es/gazeta/dias/1810/06/10/pdfs/GMD-1810-161.pdf#page=1","Abrir facsímil")</f>
        <v>Abrir facsímil</v>
      </c>
      <c r="K8173" s="3" t="s">
        <v>76</v>
      </c>
    </row>
    <row r="8174" spans="1:11" ht="42" customHeight="1">
      <c r="A8174" s="2" t="s">
        <v>20439</v>
      </c>
      <c r="B8174" s="2" t="s">
        <v>20440</v>
      </c>
      <c r="C8174" s="2" t="s">
        <v>33</v>
      </c>
      <c r="D8174" s="2" t="s">
        <v>18</v>
      </c>
      <c r="E8174" s="4">
        <v>-32599</v>
      </c>
      <c r="F8174" s="3" t="s">
        <v>6642</v>
      </c>
      <c r="G8174" s="3" t="s">
        <v>90</v>
      </c>
      <c r="H8174" s="2" t="s">
        <v>74</v>
      </c>
      <c r="I8174" s="2" t="s">
        <v>20441</v>
      </c>
      <c r="J8174" s="3" t="str">
        <f>HYPERLINK("https://www.boe.es/gazeta/dias/1810/09/29/pdfs/GEI-1810-75.pdf#page=6","Abrir facsímil")</f>
        <v>Abrir facsímil</v>
      </c>
      <c r="K8174" s="3" t="s">
        <v>76</v>
      </c>
    </row>
    <row r="8175" spans="1:11" ht="42" customHeight="1">
      <c r="A8175" s="2" t="s">
        <v>20442</v>
      </c>
      <c r="B8175" s="2" t="s">
        <v>20443</v>
      </c>
      <c r="C8175" s="2" t="s">
        <v>26</v>
      </c>
      <c r="D8175" s="2" t="s">
        <v>39</v>
      </c>
      <c r="E8175" s="4">
        <v>-32701</v>
      </c>
      <c r="F8175" s="3" t="s">
        <v>40</v>
      </c>
      <c r="G8175" s="3" t="s">
        <v>315</v>
      </c>
      <c r="H8175" s="2" t="s">
        <v>74</v>
      </c>
      <c r="I8175" s="2" t="s">
        <v>20444</v>
      </c>
      <c r="J8175" s="3" t="str">
        <f>HYPERLINK("https://www.boe.es/gazeta/dias/1810/06/19/pdfs/GMD-C-1810-170.pdf#page=2","Abrir facsímil")</f>
        <v>Abrir facsímil</v>
      </c>
      <c r="K8175" s="3" t="s">
        <v>76</v>
      </c>
    </row>
    <row r="8176" spans="1:11" ht="42" customHeight="1">
      <c r="A8176" s="2" t="s">
        <v>20445</v>
      </c>
      <c r="B8176" s="2" t="s">
        <v>20445</v>
      </c>
      <c r="C8176" s="2" t="s">
        <v>88</v>
      </c>
      <c r="D8176" s="2" t="s">
        <v>27</v>
      </c>
      <c r="E8176" s="4">
        <v>-32606</v>
      </c>
      <c r="F8176" s="3" t="s">
        <v>1676</v>
      </c>
      <c r="G8176" s="3" t="s">
        <v>227</v>
      </c>
      <c r="H8176" s="2" t="s">
        <v>74</v>
      </c>
      <c r="I8176" s="2" t="s">
        <v>20446</v>
      </c>
      <c r="J8176" s="3" t="str">
        <f>HYPERLINK("https://www.boe.es/gazeta/dias/1810/09/22/pdfs/GMD-1810-265.pdf#page=3","Abrir facsímil")</f>
        <v>Abrir facsímil</v>
      </c>
      <c r="K8176" s="3" t="s">
        <v>76</v>
      </c>
    </row>
    <row r="8177" spans="1:11" ht="42" customHeight="1">
      <c r="A8177" s="2" t="s">
        <v>20447</v>
      </c>
      <c r="B8177" s="2" t="s">
        <v>20448</v>
      </c>
      <c r="C8177" s="2" t="s">
        <v>88</v>
      </c>
      <c r="D8177" s="2" t="s">
        <v>117</v>
      </c>
      <c r="E8177" s="4">
        <v>-32618</v>
      </c>
      <c r="F8177" s="3" t="s">
        <v>1501</v>
      </c>
      <c r="G8177" s="3" t="s">
        <v>20</v>
      </c>
      <c r="H8177" s="2" t="s">
        <v>74</v>
      </c>
      <c r="I8177" s="2" t="s">
        <v>20449</v>
      </c>
      <c r="J8177" s="3" t="str">
        <f>HYPERLINK("https://www.boe.es/gazeta/dias/1810/09/10/pdfs/GMD-1810-253.pdf#page=4","Abrir facsímil")</f>
        <v>Abrir facsímil</v>
      </c>
      <c r="K8177" s="3" t="s">
        <v>76</v>
      </c>
    </row>
    <row r="8178" spans="1:11" ht="42" customHeight="1">
      <c r="A8178" s="2" t="s">
        <v>20450</v>
      </c>
      <c r="B8178" s="2" t="s">
        <v>20451</v>
      </c>
      <c r="C8178" s="2" t="s">
        <v>26</v>
      </c>
      <c r="D8178" s="2" t="s">
        <v>220</v>
      </c>
      <c r="E8178" s="4">
        <v>-32714</v>
      </c>
      <c r="F8178" s="3" t="s">
        <v>977</v>
      </c>
      <c r="G8178" s="3" t="s">
        <v>180</v>
      </c>
      <c r="H8178" s="2" t="s">
        <v>21</v>
      </c>
      <c r="I8178" s="2" t="s">
        <v>20452</v>
      </c>
      <c r="J8178" s="3" t="str">
        <f>HYPERLINK("https://www.boe.es/gazeta/dias/1810/06/06/pdfs/GMD-1810-157.pdf#page=1","Abrir facsímil")</f>
        <v>Abrir facsímil</v>
      </c>
      <c r="K8178" s="3" t="s">
        <v>23</v>
      </c>
    </row>
    <row r="8179" spans="1:11" ht="42" customHeight="1">
      <c r="A8179" s="2" t="s">
        <v>20453</v>
      </c>
      <c r="B8179" s="2" t="s">
        <v>20454</v>
      </c>
      <c r="C8179" s="2" t="s">
        <v>195</v>
      </c>
      <c r="D8179" s="2" t="s">
        <v>27</v>
      </c>
      <c r="E8179" s="4">
        <v>-32839</v>
      </c>
      <c r="F8179" s="3" t="s">
        <v>28</v>
      </c>
      <c r="G8179" s="3" t="s">
        <v>29</v>
      </c>
      <c r="H8179" s="2" t="s">
        <v>21</v>
      </c>
      <c r="I8179" s="2" t="s">
        <v>20455</v>
      </c>
      <c r="J8179" s="3" t="str">
        <f>HYPERLINK("https://www.boe.es/gazeta/dias/1810/02/01/pdfs/GMD-1810-32.pdf#page=3","Abrir facsímil")</f>
        <v>Abrir facsímil</v>
      </c>
      <c r="K8179" s="3" t="s">
        <v>23</v>
      </c>
    </row>
    <row r="8180" spans="1:11" ht="42" customHeight="1">
      <c r="A8180" s="2" t="s">
        <v>20456</v>
      </c>
      <c r="B8180" s="2" t="s">
        <v>20457</v>
      </c>
      <c r="C8180" s="2" t="s">
        <v>225</v>
      </c>
      <c r="D8180" s="2" t="s">
        <v>27</v>
      </c>
      <c r="E8180" s="4">
        <v>-32722</v>
      </c>
      <c r="F8180" s="3" t="s">
        <v>856</v>
      </c>
      <c r="G8180" s="3" t="s">
        <v>857</v>
      </c>
      <c r="H8180" s="2" t="s">
        <v>74</v>
      </c>
      <c r="I8180" s="2" t="s">
        <v>20458</v>
      </c>
      <c r="J8180" s="3" t="str">
        <f>HYPERLINK("https://www.boe.es/gazeta/dias/1810/05/29/pdfs/GEI-1810-31.pdf#page=11","Abrir facsímil")</f>
        <v>Abrir facsímil</v>
      </c>
      <c r="K8180" s="3" t="s">
        <v>76</v>
      </c>
    </row>
    <row r="8181" spans="1:11" ht="42" customHeight="1">
      <c r="A8181" s="2" t="s">
        <v>20459</v>
      </c>
      <c r="B8181" s="2" t="s">
        <v>20460</v>
      </c>
      <c r="C8181" s="2" t="s">
        <v>26</v>
      </c>
      <c r="D8181" s="2" t="s">
        <v>220</v>
      </c>
      <c r="E8181" s="4">
        <v>-32727</v>
      </c>
      <c r="F8181" s="3" t="s">
        <v>1611</v>
      </c>
      <c r="G8181" s="3" t="s">
        <v>227</v>
      </c>
      <c r="H8181" s="2" t="s">
        <v>74</v>
      </c>
      <c r="I8181" s="2" t="s">
        <v>20461</v>
      </c>
      <c r="J8181" s="3" t="str">
        <f>HYPERLINK("https://www.boe.es/gazeta/dias/1810/05/24/pdfs/GMD-1810-144.pdf#page=4","Abrir facsímil")</f>
        <v>Abrir facsímil</v>
      </c>
      <c r="K8181" s="3" t="s">
        <v>76</v>
      </c>
    </row>
    <row r="8182" spans="1:11" ht="42" customHeight="1">
      <c r="A8182" s="2" t="s">
        <v>20462</v>
      </c>
      <c r="B8182" s="2" t="s">
        <v>20463</v>
      </c>
      <c r="C8182" s="2" t="s">
        <v>26</v>
      </c>
      <c r="D8182" s="2" t="s">
        <v>27</v>
      </c>
      <c r="E8182" s="4">
        <v>-32520</v>
      </c>
      <c r="F8182" s="3" t="s">
        <v>2109</v>
      </c>
      <c r="G8182" s="3" t="s">
        <v>2110</v>
      </c>
      <c r="H8182" s="2" t="s">
        <v>74</v>
      </c>
      <c r="I8182" s="2" t="s">
        <v>20464</v>
      </c>
      <c r="J8182" s="3" t="str">
        <f>HYPERLINK("https://www.boe.es/gazeta/dias/1810/12/17/pdfs/GMD-1810-351.pdf#page=2","Abrir facsímil")</f>
        <v>Abrir facsímil</v>
      </c>
      <c r="K8182" s="3" t="s">
        <v>76</v>
      </c>
    </row>
    <row r="8183" spans="1:11" ht="42" customHeight="1">
      <c r="A8183" s="2" t="s">
        <v>20465</v>
      </c>
      <c r="B8183" s="2" t="s">
        <v>20466</v>
      </c>
      <c r="C8183" s="2" t="s">
        <v>26</v>
      </c>
      <c r="D8183" s="2" t="s">
        <v>27</v>
      </c>
      <c r="E8183" s="4">
        <v>-32756</v>
      </c>
      <c r="F8183" s="3" t="s">
        <v>203</v>
      </c>
      <c r="G8183" s="3" t="s">
        <v>180</v>
      </c>
      <c r="H8183" s="2" t="s">
        <v>74</v>
      </c>
      <c r="I8183" s="2" t="s">
        <v>20467</v>
      </c>
      <c r="J8183" s="3" t="str">
        <f>HYPERLINK("https://www.boe.es/gazeta/dias/1810/04/25/pdfs/GMD-1810-115.pdf#page=4","Abrir facsímil")</f>
        <v>Abrir facsímil</v>
      </c>
      <c r="K8183" s="3" t="s">
        <v>76</v>
      </c>
    </row>
    <row r="8184" spans="1:11" ht="42" customHeight="1">
      <c r="A8184" s="2" t="s">
        <v>20468</v>
      </c>
      <c r="B8184" s="2" t="s">
        <v>20469</v>
      </c>
      <c r="C8184" s="2" t="s">
        <v>26</v>
      </c>
      <c r="D8184" s="2" t="s">
        <v>27</v>
      </c>
      <c r="E8184" s="4">
        <v>-32545</v>
      </c>
      <c r="F8184" s="3" t="s">
        <v>165</v>
      </c>
      <c r="G8184" s="3" t="s">
        <v>166</v>
      </c>
      <c r="H8184" s="2" t="s">
        <v>74</v>
      </c>
      <c r="I8184" s="2" t="s">
        <v>20470</v>
      </c>
      <c r="J8184" s="3" t="str">
        <f>HYPERLINK("https://www.boe.es/gazeta/dias/1810/11/22/pdfs/GEI-1810-98.pdf#page=8","Abrir facsímil")</f>
        <v>Abrir facsímil</v>
      </c>
      <c r="K8184" s="3" t="s">
        <v>76</v>
      </c>
    </row>
    <row r="8185" spans="1:11" ht="42" customHeight="1">
      <c r="A8185" s="2" t="s">
        <v>20471</v>
      </c>
      <c r="B8185" s="2" t="s">
        <v>20472</v>
      </c>
      <c r="C8185" s="2" t="s">
        <v>26</v>
      </c>
      <c r="D8185" s="2" t="s">
        <v>39</v>
      </c>
      <c r="E8185" s="4">
        <v>-32702</v>
      </c>
      <c r="F8185" s="3" t="s">
        <v>179</v>
      </c>
      <c r="G8185" s="3" t="s">
        <v>517</v>
      </c>
      <c r="H8185" s="2" t="s">
        <v>74</v>
      </c>
      <c r="I8185" s="2" t="s">
        <v>20473</v>
      </c>
      <c r="J8185" s="3" t="str">
        <f>HYPERLINK("https://www.boe.es/gazeta/dias/1810/06/18/pdfs/GMD-C-1810-169.pdf#page=3","Abrir facsímil")</f>
        <v>Abrir facsímil</v>
      </c>
      <c r="K8185" s="3" t="s">
        <v>76</v>
      </c>
    </row>
    <row r="8186" spans="1:11" ht="42" customHeight="1">
      <c r="A8186" s="2" t="s">
        <v>20474</v>
      </c>
      <c r="B8186" s="2" t="s">
        <v>20475</v>
      </c>
      <c r="C8186" s="2" t="s">
        <v>26</v>
      </c>
      <c r="D8186" s="2" t="s">
        <v>18</v>
      </c>
      <c r="E8186" s="4">
        <v>-32729</v>
      </c>
      <c r="F8186" s="3" t="s">
        <v>174</v>
      </c>
      <c r="G8186" s="3" t="s">
        <v>274</v>
      </c>
      <c r="H8186" s="2" t="s">
        <v>74</v>
      </c>
      <c r="I8186" s="2" t="s">
        <v>20476</v>
      </c>
      <c r="J8186" s="3" t="str">
        <f>HYPERLINK("https://www.boe.es/gazeta/dias/1810/05/22/pdfs/GEI-1810-28.pdf#page=8","Abrir facsímil")</f>
        <v>Abrir facsímil</v>
      </c>
      <c r="K8186" s="3" t="s">
        <v>76</v>
      </c>
    </row>
    <row r="8187" spans="1:11" ht="42" customHeight="1">
      <c r="A8187" s="2" t="s">
        <v>20477</v>
      </c>
      <c r="B8187" s="2" t="s">
        <v>20478</v>
      </c>
      <c r="C8187" s="2" t="s">
        <v>17</v>
      </c>
      <c r="D8187" s="2" t="s">
        <v>18</v>
      </c>
      <c r="E8187" s="4">
        <v>-32741</v>
      </c>
      <c r="F8187" s="3" t="s">
        <v>98</v>
      </c>
      <c r="G8187" s="3" t="s">
        <v>99</v>
      </c>
      <c r="H8187" s="2" t="s">
        <v>74</v>
      </c>
      <c r="I8187" s="2" t="s">
        <v>20479</v>
      </c>
      <c r="J8187" s="3" t="str">
        <f>HYPERLINK("https://www.boe.es/gazeta/dias/1810/05/10/pdfs/GMD-1810-130.pdf#page=3","Abrir facsímil")</f>
        <v>Abrir facsímil</v>
      </c>
      <c r="K8187" s="3" t="s">
        <v>76</v>
      </c>
    </row>
    <row r="8188" spans="1:11" ht="42" customHeight="1">
      <c r="A8188" s="2" t="s">
        <v>20480</v>
      </c>
      <c r="B8188" s="2" t="s">
        <v>20481</v>
      </c>
      <c r="C8188" s="2" t="s">
        <v>33</v>
      </c>
      <c r="D8188" s="2" t="s">
        <v>39</v>
      </c>
      <c r="E8188" s="4">
        <v>-32645</v>
      </c>
      <c r="F8188" s="3" t="s">
        <v>2492</v>
      </c>
      <c r="G8188" s="3" t="s">
        <v>20</v>
      </c>
      <c r="H8188" s="2" t="s">
        <v>74</v>
      </c>
      <c r="I8188" s="2" t="s">
        <v>20482</v>
      </c>
      <c r="J8188" s="3" t="str">
        <f>HYPERLINK("https://www.boe.es/gazeta/dias/1810/08/14/pdfs/GEI-D-1810-56.pdf#page=4","Abrir facsímil")</f>
        <v>Abrir facsímil</v>
      </c>
      <c r="K8188" s="3" t="s">
        <v>76</v>
      </c>
    </row>
    <row r="8189" spans="1:11" ht="42" customHeight="1">
      <c r="A8189" s="2" t="s">
        <v>20483</v>
      </c>
      <c r="B8189" s="2" t="s">
        <v>20484</v>
      </c>
      <c r="C8189" s="2" t="s">
        <v>88</v>
      </c>
      <c r="D8189" s="2" t="s">
        <v>117</v>
      </c>
      <c r="E8189" s="4">
        <v>-32701</v>
      </c>
      <c r="F8189" s="3" t="s">
        <v>671</v>
      </c>
      <c r="G8189" s="3" t="s">
        <v>2008</v>
      </c>
      <c r="H8189" s="2" t="s">
        <v>74</v>
      </c>
      <c r="I8189" s="2" t="s">
        <v>20485</v>
      </c>
      <c r="J8189" s="3" t="str">
        <f>HYPERLINK("https://www.boe.es/gazeta/dias/1810/06/19/pdfs/GEI-1810-37.pdf#page=6","Abrir facsímil")</f>
        <v>Abrir facsímil</v>
      </c>
      <c r="K8189" s="3" t="s">
        <v>76</v>
      </c>
    </row>
    <row r="8190" spans="1:11" ht="42" customHeight="1">
      <c r="A8190" s="2" t="s">
        <v>20486</v>
      </c>
      <c r="B8190" s="2" t="s">
        <v>20487</v>
      </c>
      <c r="C8190" s="2" t="s">
        <v>26</v>
      </c>
      <c r="D8190" s="2" t="s">
        <v>27</v>
      </c>
      <c r="E8190" s="4">
        <v>-32729</v>
      </c>
      <c r="F8190" s="3" t="s">
        <v>174</v>
      </c>
      <c r="G8190" s="3" t="s">
        <v>886</v>
      </c>
      <c r="H8190" s="2" t="s">
        <v>74</v>
      </c>
      <c r="I8190" s="2" t="s">
        <v>20488</v>
      </c>
      <c r="J8190" s="3" t="str">
        <f>HYPERLINK("https://www.boe.es/gazeta/dias/1810/05/22/pdfs/GEI-1810-28.pdf#page=11","Abrir facsímil")</f>
        <v>Abrir facsímil</v>
      </c>
      <c r="K8190" s="3" t="s">
        <v>76</v>
      </c>
    </row>
    <row r="8191" spans="1:11" ht="42" customHeight="1">
      <c r="A8191" s="2" t="s">
        <v>20489</v>
      </c>
      <c r="B8191" s="2" t="s">
        <v>20490</v>
      </c>
      <c r="C8191" s="2" t="s">
        <v>26</v>
      </c>
      <c r="D8191" s="2" t="s">
        <v>27</v>
      </c>
      <c r="E8191" s="4">
        <v>-32647</v>
      </c>
      <c r="F8191" s="3" t="s">
        <v>118</v>
      </c>
      <c r="G8191" s="3" t="s">
        <v>119</v>
      </c>
      <c r="H8191" s="2" t="s">
        <v>74</v>
      </c>
      <c r="I8191" s="2" t="s">
        <v>20491</v>
      </c>
      <c r="J8191" s="3" t="str">
        <f>HYPERLINK("https://www.boe.es/gazeta/dias/1810/08/12/pdfs/GMD-1810-224.pdf#page=3","Abrir facsímil")</f>
        <v>Abrir facsímil</v>
      </c>
      <c r="K8191" s="3" t="s">
        <v>76</v>
      </c>
    </row>
    <row r="8192" spans="1:11" ht="42" customHeight="1">
      <c r="A8192" s="2" t="s">
        <v>20492</v>
      </c>
      <c r="B8192" s="2" t="s">
        <v>20493</v>
      </c>
      <c r="C8192" s="2" t="s">
        <v>26</v>
      </c>
      <c r="D8192" s="2" t="s">
        <v>27</v>
      </c>
      <c r="E8192" s="4">
        <v>-32571</v>
      </c>
      <c r="F8192" s="3" t="s">
        <v>737</v>
      </c>
      <c r="G8192" s="3" t="s">
        <v>2879</v>
      </c>
      <c r="H8192" s="2" t="s">
        <v>74</v>
      </c>
      <c r="I8192" s="2" t="s">
        <v>20494</v>
      </c>
      <c r="J8192" s="3" t="str">
        <f>HYPERLINK("https://www.boe.es/gazeta/dias/1810/10/27/pdfs/GEI-1810-87.pdf#page=6","Abrir facsímil")</f>
        <v>Abrir facsímil</v>
      </c>
      <c r="K8192" s="3" t="s">
        <v>76</v>
      </c>
    </row>
    <row r="8193" spans="1:11" ht="42" customHeight="1">
      <c r="A8193" s="2" t="s">
        <v>20495</v>
      </c>
      <c r="B8193" s="2" t="s">
        <v>20496</v>
      </c>
      <c r="C8193" s="2" t="s">
        <v>26</v>
      </c>
      <c r="D8193" s="2" t="s">
        <v>27</v>
      </c>
      <c r="E8193" s="4">
        <v>-32545</v>
      </c>
      <c r="F8193" s="3" t="s">
        <v>165</v>
      </c>
      <c r="G8193" s="3" t="s">
        <v>166</v>
      </c>
      <c r="H8193" s="2" t="s">
        <v>74</v>
      </c>
      <c r="I8193" s="2" t="s">
        <v>20497</v>
      </c>
      <c r="J8193" s="3" t="str">
        <f>HYPERLINK("https://www.boe.es/gazeta/dias/1810/11/22/pdfs/GEI-1810-98.pdf#page=8","Abrir facsímil")</f>
        <v>Abrir facsímil</v>
      </c>
      <c r="K8193" s="3" t="s">
        <v>76</v>
      </c>
    </row>
    <row r="8194" spans="1:11" ht="42" customHeight="1">
      <c r="A8194" s="2" t="s">
        <v>20498</v>
      </c>
      <c r="B8194" s="2" t="s">
        <v>20498</v>
      </c>
      <c r="C8194" s="2" t="s">
        <v>88</v>
      </c>
      <c r="D8194" s="2" t="s">
        <v>117</v>
      </c>
      <c r="E8194" s="4">
        <v>-32639</v>
      </c>
      <c r="F8194" s="3" t="s">
        <v>3411</v>
      </c>
      <c r="G8194" s="3" t="s">
        <v>3412</v>
      </c>
      <c r="H8194" s="2" t="s">
        <v>74</v>
      </c>
      <c r="I8194" s="2" t="s">
        <v>20499</v>
      </c>
      <c r="J8194" s="3" t="str">
        <f>HYPERLINK("https://www.boe.es/gazeta/dias/1810/08/20/pdfs/GMD-1810-232.pdf#page=4","Abrir facsímil")</f>
        <v>Abrir facsímil</v>
      </c>
      <c r="K8194" s="3" t="s">
        <v>76</v>
      </c>
    </row>
    <row r="8195" spans="1:11" ht="42" customHeight="1">
      <c r="A8195" s="2" t="s">
        <v>20500</v>
      </c>
      <c r="B8195" s="2" t="s">
        <v>20501</v>
      </c>
      <c r="C8195" s="2" t="s">
        <v>26</v>
      </c>
      <c r="D8195" s="2" t="s">
        <v>27</v>
      </c>
      <c r="E8195" s="4">
        <v>-32761</v>
      </c>
      <c r="F8195" s="3" t="s">
        <v>811</v>
      </c>
      <c r="G8195" s="3" t="s">
        <v>140</v>
      </c>
      <c r="H8195" s="2" t="s">
        <v>74</v>
      </c>
      <c r="I8195" s="2" t="s">
        <v>20502</v>
      </c>
      <c r="J8195" s="3" t="str">
        <f>HYPERLINK("https://www.boe.es/gazeta/dias/1810/04/20/pdfs/GEI-1810-16.pdf#page=8","Abrir facsímil")</f>
        <v>Abrir facsímil</v>
      </c>
      <c r="K8195" s="3" t="s">
        <v>76</v>
      </c>
    </row>
    <row r="8196" spans="1:11" ht="42" customHeight="1">
      <c r="A8196" s="2" t="s">
        <v>20503</v>
      </c>
      <c r="B8196" s="2" t="s">
        <v>20504</v>
      </c>
      <c r="C8196" s="2" t="s">
        <v>26</v>
      </c>
      <c r="D8196" s="2" t="s">
        <v>27</v>
      </c>
      <c r="E8196" s="4">
        <v>-32632</v>
      </c>
      <c r="F8196" s="3" t="s">
        <v>358</v>
      </c>
      <c r="G8196" s="3" t="s">
        <v>359</v>
      </c>
      <c r="H8196" s="2" t="s">
        <v>74</v>
      </c>
      <c r="I8196" s="2" t="s">
        <v>20505</v>
      </c>
      <c r="J8196" s="3" t="str">
        <f>HYPERLINK("https://www.boe.es/gazeta/dias/1810/08/27/pdfs/GMD-1810-239.pdf#page=3","Abrir facsímil")</f>
        <v>Abrir facsímil</v>
      </c>
      <c r="K8196" s="3" t="s">
        <v>76</v>
      </c>
    </row>
    <row r="8197" spans="1:11" ht="42" customHeight="1">
      <c r="A8197" s="2" t="s">
        <v>20506</v>
      </c>
      <c r="B8197" s="2" t="s">
        <v>20507</v>
      </c>
      <c r="C8197" s="2" t="s">
        <v>111</v>
      </c>
      <c r="D8197" s="2" t="s">
        <v>18</v>
      </c>
      <c r="E8197" s="4">
        <v>-32826</v>
      </c>
      <c r="F8197" s="3" t="s">
        <v>1252</v>
      </c>
      <c r="G8197" s="3" t="s">
        <v>227</v>
      </c>
      <c r="H8197" s="2" t="s">
        <v>74</v>
      </c>
      <c r="I8197" s="2" t="s">
        <v>20508</v>
      </c>
      <c r="J8197" s="3" t="str">
        <f>HYPERLINK("https://www.boe.es/gazeta/dias/1810/02/14/pdfs/GMD-1810-45.pdf#page=4","Abrir facsímil")</f>
        <v>Abrir facsímil</v>
      </c>
      <c r="K8197" s="3" t="s">
        <v>76</v>
      </c>
    </row>
    <row r="8198" spans="1:11" ht="42" customHeight="1">
      <c r="A8198" s="2" t="s">
        <v>20509</v>
      </c>
      <c r="B8198" s="2" t="s">
        <v>20510</v>
      </c>
      <c r="C8198" s="2" t="s">
        <v>26</v>
      </c>
      <c r="D8198" s="2" t="s">
        <v>18</v>
      </c>
      <c r="E8198" s="4">
        <v>-32601</v>
      </c>
      <c r="F8198" s="3" t="s">
        <v>392</v>
      </c>
      <c r="G8198" s="3" t="s">
        <v>1430</v>
      </c>
      <c r="H8198" s="2" t="s">
        <v>74</v>
      </c>
      <c r="I8198" s="2" t="s">
        <v>20511</v>
      </c>
      <c r="J8198" s="3" t="str">
        <f>HYPERLINK("https://www.boe.es/gazeta/dias/1810/09/27/pdfs/GEI-1810-74E.pdf#page=3","Abrir facsímil")</f>
        <v>Abrir facsímil</v>
      </c>
      <c r="K8198" s="3" t="s">
        <v>76</v>
      </c>
    </row>
    <row r="8199" spans="1:11" ht="42" customHeight="1">
      <c r="A8199" s="2" t="s">
        <v>20512</v>
      </c>
      <c r="B8199" s="2" t="s">
        <v>20513</v>
      </c>
      <c r="C8199" s="2" t="s">
        <v>26</v>
      </c>
      <c r="D8199" s="2" t="s">
        <v>58</v>
      </c>
      <c r="E8199" s="4">
        <v>-32601</v>
      </c>
      <c r="F8199" s="3" t="s">
        <v>392</v>
      </c>
      <c r="G8199" s="3" t="s">
        <v>35</v>
      </c>
      <c r="H8199" s="2" t="s">
        <v>74</v>
      </c>
      <c r="I8199" s="2" t="s">
        <v>20514</v>
      </c>
      <c r="J8199" s="3" t="str">
        <f>HYPERLINK("https://www.boe.es/gazeta/dias/1810/09/27/pdfs/GEI-1810-74E.pdf#page=2","Abrir facsímil")</f>
        <v>Abrir facsímil</v>
      </c>
      <c r="K8199" s="3" t="s">
        <v>76</v>
      </c>
    </row>
    <row r="8200" spans="1:11" ht="42" customHeight="1">
      <c r="A8200" s="2" t="s">
        <v>20515</v>
      </c>
      <c r="B8200" s="2" t="s">
        <v>20516</v>
      </c>
      <c r="C8200" s="2" t="s">
        <v>88</v>
      </c>
      <c r="D8200" s="2" t="s">
        <v>27</v>
      </c>
      <c r="E8200" s="4">
        <v>-32603</v>
      </c>
      <c r="F8200" s="3" t="s">
        <v>2163</v>
      </c>
      <c r="G8200" s="3" t="s">
        <v>451</v>
      </c>
      <c r="H8200" s="2" t="s">
        <v>74</v>
      </c>
      <c r="I8200" s="2" t="s">
        <v>20517</v>
      </c>
      <c r="J8200" s="3" t="str">
        <f>HYPERLINK("https://www.boe.es/gazeta/dias/1810/09/25/pdfs/GEI-1810-72.pdf#page=5","Abrir facsímil")</f>
        <v>Abrir facsímil</v>
      </c>
      <c r="K8200" s="3" t="s">
        <v>76</v>
      </c>
    </row>
    <row r="8201" spans="1:11" ht="42" customHeight="1">
      <c r="A8201" s="2" t="s">
        <v>20518</v>
      </c>
      <c r="B8201" s="2" t="s">
        <v>20518</v>
      </c>
      <c r="C8201" s="2" t="s">
        <v>88</v>
      </c>
      <c r="D8201" s="2" t="s">
        <v>18</v>
      </c>
      <c r="E8201" s="4">
        <v>-32649</v>
      </c>
      <c r="F8201" s="3" t="s">
        <v>190</v>
      </c>
      <c r="G8201" s="3" t="s">
        <v>8507</v>
      </c>
      <c r="H8201" s="2" t="s">
        <v>74</v>
      </c>
      <c r="I8201" s="2" t="s">
        <v>20519</v>
      </c>
      <c r="J8201" s="3" t="str">
        <f>HYPERLINK("https://www.boe.es/gazeta/dias/1810/08/10/pdfs/GEI-1810-54.pdf#page=3","Abrir facsímil")</f>
        <v>Abrir facsímil</v>
      </c>
      <c r="K8201" s="3" t="s">
        <v>76</v>
      </c>
    </row>
    <row r="8202" spans="1:11" ht="42" customHeight="1">
      <c r="A8202" s="2" t="s">
        <v>20520</v>
      </c>
      <c r="B8202" s="2" t="s">
        <v>20520</v>
      </c>
      <c r="C8202" s="2" t="s">
        <v>88</v>
      </c>
      <c r="D8202" s="2" t="s">
        <v>117</v>
      </c>
      <c r="E8202" s="4">
        <v>-32649</v>
      </c>
      <c r="F8202" s="3" t="s">
        <v>190</v>
      </c>
      <c r="G8202" s="3" t="s">
        <v>140</v>
      </c>
      <c r="H8202" s="2" t="s">
        <v>74</v>
      </c>
      <c r="I8202" s="2" t="s">
        <v>20521</v>
      </c>
      <c r="J8202" s="3" t="str">
        <f>HYPERLINK("https://www.boe.es/gazeta/dias/1810/08/10/pdfs/GEI-1810-54.pdf#page=6","Abrir facsímil")</f>
        <v>Abrir facsímil</v>
      </c>
      <c r="K8202" s="3" t="s">
        <v>76</v>
      </c>
    </row>
    <row r="8203" spans="1:11" ht="42" customHeight="1">
      <c r="A8203" s="2" t="s">
        <v>20522</v>
      </c>
      <c r="B8203" s="2" t="s">
        <v>20523</v>
      </c>
      <c r="C8203" s="2" t="s">
        <v>88</v>
      </c>
      <c r="D8203" s="2" t="s">
        <v>27</v>
      </c>
      <c r="E8203" s="4">
        <v>-32533</v>
      </c>
      <c r="F8203" s="3" t="s">
        <v>1357</v>
      </c>
      <c r="G8203" s="3" t="s">
        <v>701</v>
      </c>
      <c r="H8203" s="2" t="s">
        <v>74</v>
      </c>
      <c r="I8203" s="2" t="s">
        <v>20524</v>
      </c>
      <c r="J8203" s="3" t="str">
        <f>HYPERLINK("https://www.boe.es/gazeta/dias/1810/12/04/pdfs/GEI-1810-103.pdf#page=8","Abrir facsímil")</f>
        <v>Abrir facsímil</v>
      </c>
      <c r="K8203" s="3" t="s">
        <v>76</v>
      </c>
    </row>
    <row r="8204" spans="1:11" ht="42" customHeight="1">
      <c r="A8204" s="2" t="s">
        <v>20525</v>
      </c>
      <c r="B8204" s="2" t="s">
        <v>20526</v>
      </c>
      <c r="C8204" s="2" t="s">
        <v>26</v>
      </c>
      <c r="D8204" s="2" t="s">
        <v>27</v>
      </c>
      <c r="E8204" s="4">
        <v>-32649</v>
      </c>
      <c r="F8204" s="3" t="s">
        <v>1988</v>
      </c>
      <c r="G8204" s="3" t="s">
        <v>227</v>
      </c>
      <c r="H8204" s="2" t="s">
        <v>74</v>
      </c>
      <c r="I8204" s="2" t="s">
        <v>20527</v>
      </c>
      <c r="J8204" s="3" t="str">
        <f>HYPERLINK("https://www.boe.es/gazeta/dias/1810/08/10/pdfs/GMD-1810-222.pdf#page=4","Abrir facsímil")</f>
        <v>Abrir facsímil</v>
      </c>
      <c r="K8204" s="3" t="s">
        <v>76</v>
      </c>
    </row>
    <row r="8205" spans="1:11" ht="42" customHeight="1">
      <c r="A8205" s="2" t="s">
        <v>20528</v>
      </c>
      <c r="B8205" s="2" t="s">
        <v>20529</v>
      </c>
      <c r="C8205" s="2" t="s">
        <v>26</v>
      </c>
      <c r="D8205" s="2" t="s">
        <v>27</v>
      </c>
      <c r="E8205" s="4">
        <v>-32761</v>
      </c>
      <c r="F8205" s="3" t="s">
        <v>811</v>
      </c>
      <c r="G8205" s="3" t="s">
        <v>140</v>
      </c>
      <c r="H8205" s="2" t="s">
        <v>74</v>
      </c>
      <c r="I8205" s="2" t="s">
        <v>20530</v>
      </c>
      <c r="J8205" s="3" t="str">
        <f>HYPERLINK("https://www.boe.es/gazeta/dias/1810/04/20/pdfs/GEI-1810-16.pdf#page=8","Abrir facsímil")</f>
        <v>Abrir facsímil</v>
      </c>
      <c r="K8205" s="3" t="s">
        <v>76</v>
      </c>
    </row>
    <row r="8206" spans="1:11" ht="42" customHeight="1">
      <c r="A8206" s="2" t="s">
        <v>20531</v>
      </c>
      <c r="B8206" s="2" t="s">
        <v>20532</v>
      </c>
      <c r="C8206" s="2" t="s">
        <v>33</v>
      </c>
      <c r="D8206" s="2" t="s">
        <v>27</v>
      </c>
      <c r="E8206" s="4">
        <v>-32543</v>
      </c>
      <c r="F8206" s="3" t="s">
        <v>69</v>
      </c>
      <c r="G8206" s="3" t="s">
        <v>70</v>
      </c>
      <c r="H8206" s="2" t="s">
        <v>74</v>
      </c>
      <c r="I8206" s="2" t="s">
        <v>20533</v>
      </c>
      <c r="J8206" s="3" t="str">
        <f>HYPERLINK("https://www.boe.es/gazeta/dias/1810/11/24/pdfs/GEI-1810-99.pdf#page=8","Abrir facsímil")</f>
        <v>Abrir facsímil</v>
      </c>
      <c r="K8206" s="3" t="s">
        <v>76</v>
      </c>
    </row>
    <row r="8207" spans="1:11" ht="42" customHeight="1">
      <c r="A8207" s="2" t="s">
        <v>20534</v>
      </c>
      <c r="B8207" s="2" t="s">
        <v>20534</v>
      </c>
      <c r="C8207" s="2" t="s">
        <v>88</v>
      </c>
      <c r="D8207" s="2" t="s">
        <v>27</v>
      </c>
      <c r="E8207" s="4">
        <v>-32608</v>
      </c>
      <c r="F8207" s="3" t="s">
        <v>150</v>
      </c>
      <c r="G8207" s="3" t="s">
        <v>151</v>
      </c>
      <c r="H8207" s="2" t="s">
        <v>74</v>
      </c>
      <c r="I8207" s="2" t="s">
        <v>20535</v>
      </c>
      <c r="J8207" s="3" t="str">
        <f>HYPERLINK("https://www.boe.es/gazeta/dias/1810/09/20/pdfs/GMD-1810-263.pdf#page=3","Abrir facsímil")</f>
        <v>Abrir facsímil</v>
      </c>
      <c r="K8207" s="3" t="s">
        <v>76</v>
      </c>
    </row>
    <row r="8208" spans="1:11" ht="42" customHeight="1">
      <c r="A8208" s="2" t="s">
        <v>20536</v>
      </c>
      <c r="B8208" s="2" t="s">
        <v>20536</v>
      </c>
      <c r="C8208" s="2" t="s">
        <v>88</v>
      </c>
      <c r="D8208" s="2" t="s">
        <v>117</v>
      </c>
      <c r="E8208" s="4">
        <v>-32659</v>
      </c>
      <c r="F8208" s="3" t="s">
        <v>1684</v>
      </c>
      <c r="G8208" s="3" t="s">
        <v>8241</v>
      </c>
      <c r="H8208" s="2" t="s">
        <v>74</v>
      </c>
      <c r="I8208" s="2" t="s">
        <v>20537</v>
      </c>
      <c r="J8208" s="3" t="str">
        <f>HYPERLINK("https://www.boe.es/gazeta/dias/1810/07/31/pdfs/GMD-1810-212.pdf#page=3","Abrir facsímil")</f>
        <v>Abrir facsímil</v>
      </c>
      <c r="K8208" s="3" t="s">
        <v>76</v>
      </c>
    </row>
    <row r="8209" spans="1:11" ht="42" customHeight="1">
      <c r="A8209" s="2" t="s">
        <v>20538</v>
      </c>
      <c r="B8209" s="2" t="s">
        <v>20539</v>
      </c>
      <c r="C8209" s="2" t="s">
        <v>26</v>
      </c>
      <c r="D8209" s="2" t="s">
        <v>27</v>
      </c>
      <c r="E8209" s="4">
        <v>-32710</v>
      </c>
      <c r="F8209" s="3" t="s">
        <v>126</v>
      </c>
      <c r="G8209" s="3" t="s">
        <v>20</v>
      </c>
      <c r="H8209" s="2" t="s">
        <v>74</v>
      </c>
      <c r="I8209" s="2" t="s">
        <v>20540</v>
      </c>
      <c r="J8209" s="3" t="str">
        <f>HYPERLINK("https://www.boe.es/gazeta/dias/1810/06/10/pdfs/GMD-1810-161.pdf#page=4","Abrir facsímil")</f>
        <v>Abrir facsímil</v>
      </c>
      <c r="K8209" s="3" t="s">
        <v>76</v>
      </c>
    </row>
    <row r="8210" spans="1:11" ht="42" customHeight="1">
      <c r="A8210" s="2" t="s">
        <v>20541</v>
      </c>
      <c r="B8210" s="2" t="s">
        <v>20541</v>
      </c>
      <c r="C8210" s="2" t="s">
        <v>88</v>
      </c>
      <c r="D8210" s="2" t="s">
        <v>27</v>
      </c>
      <c r="E8210" s="4">
        <v>-32696</v>
      </c>
      <c r="F8210" s="3" t="s">
        <v>1863</v>
      </c>
      <c r="G8210" s="3" t="s">
        <v>70</v>
      </c>
      <c r="H8210" s="2" t="s">
        <v>74</v>
      </c>
      <c r="I8210" s="2" t="s">
        <v>20542</v>
      </c>
      <c r="J8210" s="3" t="str">
        <f>HYPERLINK("https://www.boe.es/gazeta/dias/1810/06/24/pdfs/GMD-1810-175.pdf#page=3","Abrir facsímil")</f>
        <v>Abrir facsímil</v>
      </c>
      <c r="K8210" s="3" t="s">
        <v>76</v>
      </c>
    </row>
    <row r="8211" spans="1:11" ht="42" customHeight="1">
      <c r="A8211" s="2" t="s">
        <v>20543</v>
      </c>
      <c r="B8211" s="2" t="s">
        <v>20544</v>
      </c>
      <c r="C8211" s="2" t="s">
        <v>33</v>
      </c>
      <c r="D8211" s="2" t="s">
        <v>27</v>
      </c>
      <c r="E8211" s="4">
        <v>-32764</v>
      </c>
      <c r="F8211" s="3" t="s">
        <v>718</v>
      </c>
      <c r="G8211" s="3" t="s">
        <v>99</v>
      </c>
      <c r="H8211" s="2" t="s">
        <v>74</v>
      </c>
      <c r="I8211" s="2" t="s">
        <v>20545</v>
      </c>
      <c r="J8211" s="3" t="str">
        <f>HYPERLINK("https://www.boe.es/gazeta/dias/1810/04/17/pdfs/GMD-1810-107.pdf#page=3","Abrir facsímil")</f>
        <v>Abrir facsímil</v>
      </c>
      <c r="K8211" s="3" t="s">
        <v>76</v>
      </c>
    </row>
    <row r="8212" spans="1:11" ht="42" customHeight="1">
      <c r="A8212" s="2" t="s">
        <v>20546</v>
      </c>
      <c r="B8212" s="2" t="s">
        <v>20547</v>
      </c>
      <c r="C8212" s="2" t="s">
        <v>26</v>
      </c>
      <c r="D8212" s="2" t="s">
        <v>27</v>
      </c>
      <c r="E8212" s="4">
        <v>-32647</v>
      </c>
      <c r="F8212" s="3" t="s">
        <v>118</v>
      </c>
      <c r="G8212" s="3" t="s">
        <v>140</v>
      </c>
      <c r="H8212" s="2" t="s">
        <v>74</v>
      </c>
      <c r="I8212" s="2" t="s">
        <v>20548</v>
      </c>
      <c r="J8212" s="3" t="str">
        <f>HYPERLINK("https://www.boe.es/gazeta/dias/1810/08/12/pdfs/GMD-1810-224.pdf#page=2","Abrir facsímil")</f>
        <v>Abrir facsímil</v>
      </c>
      <c r="K8212" s="3" t="s">
        <v>76</v>
      </c>
    </row>
    <row r="8213" spans="1:11" ht="42" customHeight="1">
      <c r="A8213" s="2" t="s">
        <v>20549</v>
      </c>
      <c r="B8213" s="2" t="s">
        <v>20550</v>
      </c>
      <c r="C8213" s="2" t="s">
        <v>26</v>
      </c>
      <c r="D8213" s="2" t="s">
        <v>27</v>
      </c>
      <c r="E8213" s="4">
        <v>-32515</v>
      </c>
      <c r="F8213" s="3" t="s">
        <v>351</v>
      </c>
      <c r="G8213" s="3" t="s">
        <v>352</v>
      </c>
      <c r="H8213" s="2" t="s">
        <v>74</v>
      </c>
      <c r="I8213" s="2" t="s">
        <v>20551</v>
      </c>
      <c r="J8213" s="3" t="str">
        <f>HYPERLINK("https://www.boe.es/gazeta/dias/1810/12/22/pdfs/GEI-1810-111.pdf#page=8","Abrir facsímil")</f>
        <v>Abrir facsímil</v>
      </c>
      <c r="K8213" s="3" t="s">
        <v>76</v>
      </c>
    </row>
    <row r="8214" spans="1:11" ht="42" customHeight="1">
      <c r="A8214" s="2" t="s">
        <v>20552</v>
      </c>
      <c r="B8214" s="2" t="s">
        <v>20553</v>
      </c>
      <c r="C8214" s="2" t="s">
        <v>26</v>
      </c>
      <c r="D8214" s="2" t="s">
        <v>27</v>
      </c>
      <c r="E8214" s="4">
        <v>-32669</v>
      </c>
      <c r="F8214" s="3" t="s">
        <v>217</v>
      </c>
      <c r="G8214" s="3" t="s">
        <v>20</v>
      </c>
      <c r="H8214" s="2" t="s">
        <v>74</v>
      </c>
      <c r="I8214" s="2" t="s">
        <v>20554</v>
      </c>
      <c r="J8214" s="3" t="str">
        <f>HYPERLINK("https://www.boe.es/gazeta/dias/1810/07/21/pdfs/GMD-1810-202.pdf#page=4","Abrir facsímil")</f>
        <v>Abrir facsímil</v>
      </c>
      <c r="K8214" s="3" t="s">
        <v>76</v>
      </c>
    </row>
    <row r="8215" spans="1:11" ht="42" customHeight="1">
      <c r="A8215" s="2" t="s">
        <v>20555</v>
      </c>
      <c r="B8215" s="2" t="s">
        <v>20555</v>
      </c>
      <c r="C8215" s="2" t="s">
        <v>88</v>
      </c>
      <c r="D8215" s="2" t="s">
        <v>27</v>
      </c>
      <c r="E8215" s="4">
        <v>-32559</v>
      </c>
      <c r="F8215" s="3" t="s">
        <v>3062</v>
      </c>
      <c r="G8215" s="3" t="s">
        <v>20</v>
      </c>
      <c r="H8215" s="2" t="s">
        <v>74</v>
      </c>
      <c r="I8215" s="2" t="s">
        <v>20556</v>
      </c>
      <c r="J8215" s="3" t="str">
        <f>HYPERLINK("https://www.boe.es/gazeta/dias/1810/11/08/pdfs/GEI-1810-92.pdf#page=4","Abrir facsímil")</f>
        <v>Abrir facsímil</v>
      </c>
      <c r="K8215" s="3" t="s">
        <v>76</v>
      </c>
    </row>
    <row r="8216" spans="1:11" ht="42" customHeight="1">
      <c r="A8216" s="2" t="s">
        <v>20555</v>
      </c>
      <c r="B8216" s="2" t="s">
        <v>20555</v>
      </c>
      <c r="C8216" s="2" t="s">
        <v>26</v>
      </c>
      <c r="D8216" s="2" t="s">
        <v>27</v>
      </c>
      <c r="E8216" s="4">
        <v>-32526</v>
      </c>
      <c r="F8216" s="3" t="s">
        <v>530</v>
      </c>
      <c r="G8216" s="3" t="s">
        <v>531</v>
      </c>
      <c r="H8216" s="2" t="s">
        <v>74</v>
      </c>
      <c r="I8216" s="2" t="s">
        <v>20557</v>
      </c>
      <c r="J8216" s="3" t="str">
        <f>HYPERLINK("https://www.boe.es/gazeta/dias/1810/12/11/pdfs/GEI-1810-106.pdf#page=2","Abrir facsímil")</f>
        <v>Abrir facsímil</v>
      </c>
      <c r="K8216" s="3" t="s">
        <v>76</v>
      </c>
    </row>
    <row r="8217" spans="1:11" ht="42" customHeight="1">
      <c r="A8217" s="2" t="s">
        <v>20558</v>
      </c>
      <c r="B8217" s="2" t="s">
        <v>20559</v>
      </c>
      <c r="C8217" s="2" t="s">
        <v>88</v>
      </c>
      <c r="D8217" s="2" t="s">
        <v>27</v>
      </c>
      <c r="E8217" s="4">
        <v>-32710</v>
      </c>
      <c r="F8217" s="3" t="s">
        <v>126</v>
      </c>
      <c r="G8217" s="3" t="s">
        <v>184</v>
      </c>
      <c r="H8217" s="2" t="s">
        <v>74</v>
      </c>
      <c r="I8217" s="2" t="s">
        <v>20560</v>
      </c>
      <c r="J8217" s="3" t="str">
        <f>HYPERLINK("https://www.boe.es/gazeta/dias/1810/06/10/pdfs/GMD-1810-161.pdf#page=3","Abrir facsímil")</f>
        <v>Abrir facsímil</v>
      </c>
      <c r="K8217" s="3" t="s">
        <v>76</v>
      </c>
    </row>
    <row r="8218" spans="1:11" ht="42" customHeight="1">
      <c r="A8218" s="2" t="s">
        <v>20561</v>
      </c>
      <c r="B8218" s="2" t="s">
        <v>20562</v>
      </c>
      <c r="C8218" s="2" t="s">
        <v>33</v>
      </c>
      <c r="D8218" s="2" t="s">
        <v>27</v>
      </c>
      <c r="E8218" s="4">
        <v>-32515</v>
      </c>
      <c r="F8218" s="3" t="s">
        <v>351</v>
      </c>
      <c r="G8218" s="3" t="s">
        <v>352</v>
      </c>
      <c r="H8218" s="2" t="s">
        <v>74</v>
      </c>
      <c r="I8218" s="2" t="s">
        <v>20563</v>
      </c>
      <c r="J8218" s="3" t="str">
        <f>HYPERLINK("https://www.boe.es/gazeta/dias/1810/12/22/pdfs/GEI-1810-111.pdf#page=8","Abrir facsímil")</f>
        <v>Abrir facsímil</v>
      </c>
      <c r="K8218" s="3" t="s">
        <v>76</v>
      </c>
    </row>
    <row r="8219" spans="1:11" ht="42" customHeight="1">
      <c r="A8219" s="2" t="s">
        <v>20564</v>
      </c>
      <c r="B8219" s="2" t="s">
        <v>20565</v>
      </c>
      <c r="C8219" s="2" t="s">
        <v>26</v>
      </c>
      <c r="D8219" s="2" t="s">
        <v>27</v>
      </c>
      <c r="E8219" s="4">
        <v>-32710</v>
      </c>
      <c r="F8219" s="3" t="s">
        <v>126</v>
      </c>
      <c r="G8219" s="3" t="s">
        <v>184</v>
      </c>
      <c r="H8219" s="2" t="s">
        <v>74</v>
      </c>
      <c r="I8219" s="2" t="s">
        <v>20566</v>
      </c>
      <c r="J8219" s="3" t="str">
        <f>HYPERLINK("https://www.boe.es/gazeta/dias/1810/06/10/pdfs/GMD-1810-161.pdf#page=3","Abrir facsímil")</f>
        <v>Abrir facsímil</v>
      </c>
      <c r="K8219" s="3" t="s">
        <v>76</v>
      </c>
    </row>
    <row r="8220" spans="1:11" ht="42" customHeight="1">
      <c r="A8220" s="2" t="s">
        <v>20567</v>
      </c>
      <c r="B8220" s="2" t="s">
        <v>20568</v>
      </c>
      <c r="C8220" s="2" t="s">
        <v>111</v>
      </c>
      <c r="D8220" s="2" t="s">
        <v>27</v>
      </c>
      <c r="E8220" s="4">
        <v>-32632</v>
      </c>
      <c r="F8220" s="3" t="s">
        <v>358</v>
      </c>
      <c r="G8220" s="3" t="s">
        <v>359</v>
      </c>
      <c r="H8220" s="2" t="s">
        <v>74</v>
      </c>
      <c r="I8220" s="2" t="s">
        <v>20569</v>
      </c>
      <c r="J8220" s="3" t="str">
        <f>HYPERLINK("https://www.boe.es/gazeta/dias/1810/08/27/pdfs/GMD-1810-239.pdf#page=3","Abrir facsímil")</f>
        <v>Abrir facsímil</v>
      </c>
      <c r="K8220" s="3" t="s">
        <v>76</v>
      </c>
    </row>
    <row r="8221" spans="1:11" ht="42" customHeight="1">
      <c r="A8221" s="2" t="s">
        <v>20570</v>
      </c>
      <c r="B8221" s="2" t="s">
        <v>20571</v>
      </c>
      <c r="C8221" s="2" t="s">
        <v>88</v>
      </c>
      <c r="D8221" s="2" t="s">
        <v>27</v>
      </c>
      <c r="E8221" s="4">
        <v>-32550</v>
      </c>
      <c r="F8221" s="3" t="s">
        <v>1472</v>
      </c>
      <c r="G8221" s="3" t="s">
        <v>1473</v>
      </c>
      <c r="H8221" s="2" t="s">
        <v>74</v>
      </c>
      <c r="I8221" s="2" t="s">
        <v>20572</v>
      </c>
      <c r="J8221" s="3" t="str">
        <f>HYPERLINK("https://www.boe.es/gazeta/dias/1810/11/17/pdfs/GEI-1810-96.pdf#page=8","Abrir facsímil")</f>
        <v>Abrir facsímil</v>
      </c>
      <c r="K8221" s="3" t="s">
        <v>76</v>
      </c>
    </row>
    <row r="8222" spans="1:11" ht="42" customHeight="1">
      <c r="A8222" s="2" t="s">
        <v>20573</v>
      </c>
      <c r="B8222" s="2" t="s">
        <v>20574</v>
      </c>
      <c r="C8222" s="2" t="s">
        <v>26</v>
      </c>
      <c r="D8222" s="2" t="s">
        <v>27</v>
      </c>
      <c r="E8222" s="4">
        <v>-32517</v>
      </c>
      <c r="F8222" s="3" t="s">
        <v>566</v>
      </c>
      <c r="G8222" s="3" t="s">
        <v>762</v>
      </c>
      <c r="H8222" s="2" t="s">
        <v>74</v>
      </c>
      <c r="I8222" s="2" t="s">
        <v>20575</v>
      </c>
      <c r="J8222" s="3" t="str">
        <f>HYPERLINK("https://www.boe.es/gazeta/dias/1810/12/20/pdfs/GEI-1810-110.pdf#page=8","Abrir facsímil")</f>
        <v>Abrir facsímil</v>
      </c>
      <c r="K8222" s="3" t="s">
        <v>76</v>
      </c>
    </row>
    <row r="8223" spans="1:11" ht="42" customHeight="1">
      <c r="A8223" s="2" t="s">
        <v>20576</v>
      </c>
      <c r="B8223" s="2" t="s">
        <v>20577</v>
      </c>
      <c r="C8223" s="2" t="s">
        <v>26</v>
      </c>
      <c r="D8223" s="2" t="s">
        <v>27</v>
      </c>
      <c r="E8223" s="4">
        <v>-32515</v>
      </c>
      <c r="F8223" s="3" t="s">
        <v>351</v>
      </c>
      <c r="G8223" s="3" t="s">
        <v>352</v>
      </c>
      <c r="H8223" s="2" t="s">
        <v>74</v>
      </c>
      <c r="I8223" s="2" t="s">
        <v>20578</v>
      </c>
      <c r="J8223" s="3" t="str">
        <f>HYPERLINK("https://www.boe.es/gazeta/dias/1810/12/22/pdfs/GEI-1810-111.pdf#page=8","Abrir facsímil")</f>
        <v>Abrir facsímil</v>
      </c>
      <c r="K8223" s="3" t="s">
        <v>76</v>
      </c>
    </row>
    <row r="8224" spans="1:11" ht="42" customHeight="1">
      <c r="A8224" s="2" t="s">
        <v>20579</v>
      </c>
      <c r="B8224" s="2" t="s">
        <v>20580</v>
      </c>
      <c r="C8224" s="2" t="s">
        <v>88</v>
      </c>
      <c r="D8224" s="2" t="s">
        <v>39</v>
      </c>
      <c r="E8224" s="4">
        <v>-32645</v>
      </c>
      <c r="F8224" s="3" t="s">
        <v>2492</v>
      </c>
      <c r="G8224" s="3" t="s">
        <v>2493</v>
      </c>
      <c r="H8224" s="2" t="s">
        <v>74</v>
      </c>
      <c r="I8224" s="2" t="s">
        <v>20581</v>
      </c>
      <c r="J8224" s="3" t="str">
        <f>HYPERLINK("https://www.boe.es/gazeta/dias/1810/08/14/pdfs/GEI-D-1810-56.pdf#page=2","Abrir facsímil")</f>
        <v>Abrir facsímil</v>
      </c>
      <c r="K8224" s="3" t="s">
        <v>76</v>
      </c>
    </row>
    <row r="8225" spans="1:11" ht="42" customHeight="1">
      <c r="A8225" s="2" t="s">
        <v>20582</v>
      </c>
      <c r="B8225" s="2" t="s">
        <v>20583</v>
      </c>
      <c r="C8225" s="2" t="s">
        <v>88</v>
      </c>
      <c r="D8225" s="2" t="s">
        <v>117</v>
      </c>
      <c r="E8225" s="4">
        <v>-32837</v>
      </c>
      <c r="F8225" s="3" t="s">
        <v>196</v>
      </c>
      <c r="G8225" s="3" t="s">
        <v>213</v>
      </c>
      <c r="H8225" s="2" t="s">
        <v>74</v>
      </c>
      <c r="I8225" s="2" t="s">
        <v>20584</v>
      </c>
      <c r="J8225" s="3" t="str">
        <f>HYPERLINK("https://www.boe.es/gazeta/dias/1810/02/03/pdfs/GMD-1810-34.pdf#page=2","Abrir facsímil")</f>
        <v>Abrir facsímil</v>
      </c>
      <c r="K8225" s="3" t="s">
        <v>76</v>
      </c>
    </row>
    <row r="8226" spans="1:11" ht="42" customHeight="1">
      <c r="A8226" s="2" t="s">
        <v>20585</v>
      </c>
      <c r="B8226" s="2" t="s">
        <v>20586</v>
      </c>
      <c r="C8226" s="2" t="s">
        <v>26</v>
      </c>
      <c r="D8226" s="2" t="s">
        <v>27</v>
      </c>
      <c r="E8226" s="4">
        <v>-32563</v>
      </c>
      <c r="F8226" s="3" t="s">
        <v>535</v>
      </c>
      <c r="G8226" s="3" t="s">
        <v>3597</v>
      </c>
      <c r="H8226" s="2" t="s">
        <v>74</v>
      </c>
      <c r="I8226" s="2" t="s">
        <v>20587</v>
      </c>
      <c r="J8226" s="3" t="str">
        <f>HYPERLINK("https://www.boe.es/gazeta/dias/1810/11/04/pdfs/GMD-1810-308.pdf#page=16","Abrir facsímil")</f>
        <v>Abrir facsímil</v>
      </c>
      <c r="K8226" s="3" t="s">
        <v>76</v>
      </c>
    </row>
    <row r="8227" spans="1:11" ht="42" customHeight="1">
      <c r="A8227" s="2" t="s">
        <v>20588</v>
      </c>
      <c r="B8227" s="2" t="s">
        <v>20589</v>
      </c>
      <c r="C8227" s="2" t="s">
        <v>195</v>
      </c>
      <c r="D8227" s="2" t="s">
        <v>27</v>
      </c>
      <c r="E8227" s="4">
        <v>-32729</v>
      </c>
      <c r="F8227" s="3" t="s">
        <v>174</v>
      </c>
      <c r="G8227" s="3" t="s">
        <v>151</v>
      </c>
      <c r="H8227" s="2" t="s">
        <v>74</v>
      </c>
      <c r="I8227" s="2" t="s">
        <v>20590</v>
      </c>
      <c r="J8227" s="3" t="str">
        <f>HYPERLINK("https://www.boe.es/gazeta/dias/1810/05/22/pdfs/GEI-1810-28.pdf#page=12","Abrir facsímil")</f>
        <v>Abrir facsímil</v>
      </c>
      <c r="K8227" s="3" t="s">
        <v>76</v>
      </c>
    </row>
    <row r="8228" spans="1:11" ht="42" customHeight="1">
      <c r="A8228" s="2" t="s">
        <v>20591</v>
      </c>
      <c r="B8228" s="2" t="s">
        <v>20592</v>
      </c>
      <c r="C8228" s="2" t="s">
        <v>88</v>
      </c>
      <c r="D8228" s="2" t="s">
        <v>117</v>
      </c>
      <c r="E8228" s="4">
        <v>-32705</v>
      </c>
      <c r="F8228" s="3" t="s">
        <v>678</v>
      </c>
      <c r="G8228" s="3" t="s">
        <v>90</v>
      </c>
      <c r="H8228" s="2" t="s">
        <v>74</v>
      </c>
      <c r="I8228" s="2" t="s">
        <v>20593</v>
      </c>
      <c r="J8228" s="3" t="str">
        <f>HYPERLINK("https://www.boe.es/gazeta/dias/1810/06/15/pdfs/GEI-1810-36.pdf#page=2","Abrir facsímil")</f>
        <v>Abrir facsímil</v>
      </c>
      <c r="K8228" s="3" t="s">
        <v>76</v>
      </c>
    </row>
    <row r="8229" spans="1:11" ht="42" customHeight="1">
      <c r="A8229" s="2" t="s">
        <v>20594</v>
      </c>
      <c r="B8229" s="2" t="s">
        <v>20595</v>
      </c>
      <c r="C8229" s="2" t="s">
        <v>26</v>
      </c>
      <c r="D8229" s="2" t="s">
        <v>27</v>
      </c>
      <c r="E8229" s="4">
        <v>-32645</v>
      </c>
      <c r="F8229" s="3" t="s">
        <v>122</v>
      </c>
      <c r="G8229" s="3" t="s">
        <v>147</v>
      </c>
      <c r="H8229" s="2" t="s">
        <v>74</v>
      </c>
      <c r="I8229" s="2" t="s">
        <v>20596</v>
      </c>
      <c r="J8229" s="3" t="str">
        <f>HYPERLINK("https://www.boe.es/gazeta/dias/1810/08/14/pdfs/GEI-1810-56.pdf#page=16","Abrir facsímil")</f>
        <v>Abrir facsímil</v>
      </c>
      <c r="K8229" s="3" t="s">
        <v>76</v>
      </c>
    </row>
    <row r="8230" spans="1:11" ht="42" customHeight="1">
      <c r="A8230" s="2" t="s">
        <v>20597</v>
      </c>
      <c r="B8230" s="2" t="s">
        <v>20598</v>
      </c>
      <c r="C8230" s="2" t="s">
        <v>111</v>
      </c>
      <c r="D8230" s="2" t="s">
        <v>27</v>
      </c>
      <c r="E8230" s="4">
        <v>-32729</v>
      </c>
      <c r="F8230" s="3" t="s">
        <v>174</v>
      </c>
      <c r="G8230" s="3" t="s">
        <v>151</v>
      </c>
      <c r="H8230" s="2" t="s">
        <v>74</v>
      </c>
      <c r="I8230" s="2" t="s">
        <v>20599</v>
      </c>
      <c r="J8230" s="3" t="str">
        <f>HYPERLINK("https://www.boe.es/gazeta/dias/1810/05/22/pdfs/GEI-1810-28.pdf#page=12","Abrir facsímil")</f>
        <v>Abrir facsímil</v>
      </c>
      <c r="K8230" s="3" t="s">
        <v>76</v>
      </c>
    </row>
    <row r="8231" spans="1:11" ht="42" customHeight="1">
      <c r="A8231" s="2" t="s">
        <v>20600</v>
      </c>
      <c r="B8231" s="2" t="s">
        <v>20601</v>
      </c>
      <c r="C8231" s="2" t="s">
        <v>26</v>
      </c>
      <c r="D8231" s="2" t="s">
        <v>58</v>
      </c>
      <c r="E8231" s="4">
        <v>-32601</v>
      </c>
      <c r="F8231" s="3" t="s">
        <v>392</v>
      </c>
      <c r="G8231" s="3" t="s">
        <v>35</v>
      </c>
      <c r="H8231" s="2" t="s">
        <v>74</v>
      </c>
      <c r="I8231" s="2" t="s">
        <v>20602</v>
      </c>
      <c r="J8231" s="3" t="str">
        <f>HYPERLINK("https://www.boe.es/gazeta/dias/1810/09/27/pdfs/GEI-1810-74E.pdf#page=2","Abrir facsímil")</f>
        <v>Abrir facsímil</v>
      </c>
      <c r="K8231" s="3" t="s">
        <v>76</v>
      </c>
    </row>
    <row r="8232" spans="1:11" ht="42" customHeight="1">
      <c r="A8232" s="2" t="s">
        <v>20603</v>
      </c>
      <c r="B8232" s="2" t="s">
        <v>20604</v>
      </c>
      <c r="C8232" s="2" t="s">
        <v>26</v>
      </c>
      <c r="D8232" s="2" t="s">
        <v>27</v>
      </c>
      <c r="E8232" s="4">
        <v>-32590</v>
      </c>
      <c r="F8232" s="3" t="s">
        <v>4283</v>
      </c>
      <c r="G8232" s="3" t="s">
        <v>35</v>
      </c>
      <c r="H8232" s="2" t="s">
        <v>74</v>
      </c>
      <c r="I8232" s="2" t="s">
        <v>20605</v>
      </c>
      <c r="J8232" s="3" t="str">
        <f>HYPERLINK("https://www.boe.es/gazeta/dias/1810/10/08/pdfs/GMD-1810-281.pdf#page=2","Abrir facsímil")</f>
        <v>Abrir facsímil</v>
      </c>
      <c r="K8232" s="3" t="s">
        <v>76</v>
      </c>
    </row>
    <row r="8233" spans="1:11" ht="42" customHeight="1">
      <c r="A8233" s="2" t="s">
        <v>20606</v>
      </c>
      <c r="B8233" s="2" t="s">
        <v>20607</v>
      </c>
      <c r="C8233" s="2" t="s">
        <v>111</v>
      </c>
      <c r="D8233" s="2" t="s">
        <v>27</v>
      </c>
      <c r="E8233" s="4">
        <v>-32638</v>
      </c>
      <c r="F8233" s="3" t="s">
        <v>489</v>
      </c>
      <c r="G8233" s="3" t="s">
        <v>2864</v>
      </c>
      <c r="H8233" s="2" t="s">
        <v>74</v>
      </c>
      <c r="I8233" s="2" t="s">
        <v>20608</v>
      </c>
      <c r="J8233" s="3" t="str">
        <f>HYPERLINK("https://www.boe.es/gazeta/dias/1810/08/21/pdfs/GMD-1810-233.pdf#page=4","Abrir facsímil")</f>
        <v>Abrir facsímil</v>
      </c>
      <c r="K8233" s="3" t="s">
        <v>76</v>
      </c>
    </row>
    <row r="8234" spans="1:11" ht="42" customHeight="1">
      <c r="A8234" s="2" t="s">
        <v>20609</v>
      </c>
      <c r="B8234" s="2" t="s">
        <v>20610</v>
      </c>
      <c r="C8234" s="2" t="s">
        <v>26</v>
      </c>
      <c r="D8234" s="2" t="s">
        <v>27</v>
      </c>
      <c r="E8234" s="4">
        <v>-32707</v>
      </c>
      <c r="F8234" s="3" t="s">
        <v>1753</v>
      </c>
      <c r="G8234" s="3" t="s">
        <v>227</v>
      </c>
      <c r="H8234" s="2" t="s">
        <v>74</v>
      </c>
      <c r="I8234" s="2" t="s">
        <v>20611</v>
      </c>
      <c r="J8234" s="3" t="str">
        <f>HYPERLINK("https://www.boe.es/gazeta/dias/1810/06/13/pdfs/GMD-1810-164.pdf#page=4","Abrir facsímil")</f>
        <v>Abrir facsímil</v>
      </c>
      <c r="K8234" s="3" t="s">
        <v>76</v>
      </c>
    </row>
    <row r="8235" spans="1:11" ht="42" customHeight="1">
      <c r="A8235" s="2" t="s">
        <v>20612</v>
      </c>
      <c r="B8235" s="2" t="s">
        <v>20613</v>
      </c>
      <c r="C8235" s="2" t="s">
        <v>26</v>
      </c>
      <c r="D8235" s="2" t="s">
        <v>39</v>
      </c>
      <c r="E8235" s="4">
        <v>-32599</v>
      </c>
      <c r="F8235" s="3" t="s">
        <v>662</v>
      </c>
      <c r="G8235" s="3" t="s">
        <v>663</v>
      </c>
      <c r="H8235" s="2" t="s">
        <v>74</v>
      </c>
      <c r="I8235" s="2" t="s">
        <v>20614</v>
      </c>
      <c r="J8235" s="3" t="str">
        <f>HYPERLINK("https://www.boe.es/gazeta/dias/1810/09/29/pdfs/GMD-C-1810-272.pdf#page=9","Abrir facsímil")</f>
        <v>Abrir facsímil</v>
      </c>
      <c r="K8235" s="3" t="s">
        <v>76</v>
      </c>
    </row>
    <row r="8236" spans="1:11" ht="42" customHeight="1">
      <c r="A8236" s="2" t="s">
        <v>20615</v>
      </c>
      <c r="B8236" s="2" t="s">
        <v>20616</v>
      </c>
      <c r="C8236" s="2" t="s">
        <v>26</v>
      </c>
      <c r="D8236" s="2" t="s">
        <v>27</v>
      </c>
      <c r="E8236" s="4">
        <v>-32697</v>
      </c>
      <c r="F8236" s="3" t="s">
        <v>1859</v>
      </c>
      <c r="G8236" s="3" t="s">
        <v>70</v>
      </c>
      <c r="H8236" s="2" t="s">
        <v>74</v>
      </c>
      <c r="I8236" s="2" t="s">
        <v>20617</v>
      </c>
      <c r="J8236" s="3" t="str">
        <f>HYPERLINK("https://www.boe.es/gazeta/dias/1810/06/23/pdfs/GMD-1810-174.pdf#page=4","Abrir facsímil")</f>
        <v>Abrir facsímil</v>
      </c>
      <c r="K8236" s="3" t="s">
        <v>76</v>
      </c>
    </row>
    <row r="8237" spans="1:11" ht="42" customHeight="1">
      <c r="A8237" s="2" t="s">
        <v>20618</v>
      </c>
      <c r="B8237" s="2" t="s">
        <v>20619</v>
      </c>
      <c r="C8237" s="2" t="s">
        <v>17</v>
      </c>
      <c r="D8237" s="2" t="s">
        <v>27</v>
      </c>
      <c r="E8237" s="4">
        <v>-32691</v>
      </c>
      <c r="F8237" s="3" t="s">
        <v>727</v>
      </c>
      <c r="G8237" s="3" t="s">
        <v>807</v>
      </c>
      <c r="H8237" s="2" t="s">
        <v>74</v>
      </c>
      <c r="I8237" s="2" t="s">
        <v>20620</v>
      </c>
      <c r="J8237" s="3" t="str">
        <f>HYPERLINK("https://www.boe.es/gazeta/dias/1810/06/29/pdfs/GMD-1810-180.pdf#page=3","Abrir facsímil")</f>
        <v>Abrir facsímil</v>
      </c>
      <c r="K8237" s="3" t="s">
        <v>76</v>
      </c>
    </row>
    <row r="8238" spans="1:11" ht="42" customHeight="1">
      <c r="A8238" s="2" t="s">
        <v>20621</v>
      </c>
      <c r="B8238" s="2" t="s">
        <v>20621</v>
      </c>
      <c r="C8238" s="2" t="s">
        <v>88</v>
      </c>
      <c r="D8238" s="2" t="s">
        <v>18</v>
      </c>
      <c r="E8238" s="4">
        <v>-32624</v>
      </c>
      <c r="F8238" s="3" t="s">
        <v>2838</v>
      </c>
      <c r="G8238" s="3" t="s">
        <v>70</v>
      </c>
      <c r="H8238" s="2" t="s">
        <v>74</v>
      </c>
      <c r="I8238" s="2" t="s">
        <v>20622</v>
      </c>
      <c r="J8238" s="3" t="str">
        <f>HYPERLINK("https://www.boe.es/gazeta/dias/1810/09/04/pdfs/GMD-1810-247.pdf#page=3","Abrir facsímil")</f>
        <v>Abrir facsímil</v>
      </c>
      <c r="K8238" s="3" t="s">
        <v>76</v>
      </c>
    </row>
    <row r="8239" spans="1:11" ht="42" customHeight="1">
      <c r="A8239" s="2" t="s">
        <v>20623</v>
      </c>
      <c r="B8239" s="2" t="s">
        <v>20623</v>
      </c>
      <c r="C8239" s="2" t="s">
        <v>33</v>
      </c>
      <c r="D8239" s="2" t="s">
        <v>27</v>
      </c>
      <c r="E8239" s="4">
        <v>-32636</v>
      </c>
      <c r="F8239" s="3" t="s">
        <v>10232</v>
      </c>
      <c r="G8239" s="3" t="s">
        <v>104</v>
      </c>
      <c r="H8239" s="2" t="s">
        <v>74</v>
      </c>
      <c r="I8239" s="2" t="s">
        <v>20624</v>
      </c>
      <c r="J8239" s="3" t="str">
        <f>HYPERLINK("https://www.boe.es/gazeta/dias/1810/08/23/pdfs/GMD-1810-235.pdf#page=2","Abrir facsímil")</f>
        <v>Abrir facsímil</v>
      </c>
      <c r="K8239" s="3" t="s">
        <v>76</v>
      </c>
    </row>
    <row r="8240" spans="1:11" ht="42" customHeight="1">
      <c r="A8240" s="2" t="s">
        <v>20625</v>
      </c>
      <c r="B8240" s="2" t="s">
        <v>20625</v>
      </c>
      <c r="C8240" s="2" t="s">
        <v>88</v>
      </c>
      <c r="D8240" s="2" t="s">
        <v>117</v>
      </c>
      <c r="E8240" s="4">
        <v>-32659</v>
      </c>
      <c r="F8240" s="3" t="s">
        <v>328</v>
      </c>
      <c r="G8240" s="3" t="s">
        <v>20626</v>
      </c>
      <c r="H8240" s="2" t="s">
        <v>74</v>
      </c>
      <c r="I8240" s="2" t="s">
        <v>20627</v>
      </c>
      <c r="J8240" s="3" t="str">
        <f>HYPERLINK("https://www.boe.es/gazeta/dias/1810/07/31/pdfs/GEI-1810-49.pdf#page=2","Abrir facsímil")</f>
        <v>Abrir facsímil</v>
      </c>
      <c r="K8240" s="3" t="s">
        <v>76</v>
      </c>
    </row>
    <row r="8241" spans="1:11" ht="42" customHeight="1">
      <c r="A8241" s="2" t="s">
        <v>20628</v>
      </c>
      <c r="B8241" s="2" t="s">
        <v>20629</v>
      </c>
      <c r="C8241" s="2" t="s">
        <v>26</v>
      </c>
      <c r="D8241" s="2" t="s">
        <v>27</v>
      </c>
      <c r="E8241" s="4">
        <v>-32508</v>
      </c>
      <c r="F8241" s="3" t="s">
        <v>864</v>
      </c>
      <c r="G8241" s="3" t="s">
        <v>691</v>
      </c>
      <c r="H8241" s="2" t="s">
        <v>74</v>
      </c>
      <c r="I8241" s="2" t="s">
        <v>20630</v>
      </c>
      <c r="J8241" s="3" t="str">
        <f>HYPERLINK("https://www.boe.es/gazeta/dias/1810/12/29/pdfs/GEI-1810-114.pdf#page=8","Abrir facsímil")</f>
        <v>Abrir facsímil</v>
      </c>
      <c r="K8241" s="3" t="s">
        <v>76</v>
      </c>
    </row>
    <row r="8242" spans="1:11" ht="42" customHeight="1">
      <c r="A8242" s="2" t="s">
        <v>20631</v>
      </c>
      <c r="B8242" s="2" t="s">
        <v>20632</v>
      </c>
      <c r="C8242" s="2" t="s">
        <v>26</v>
      </c>
      <c r="D8242" s="2" t="s">
        <v>220</v>
      </c>
      <c r="E8242" s="4">
        <v>-32827</v>
      </c>
      <c r="F8242" s="3" t="s">
        <v>290</v>
      </c>
      <c r="G8242" s="3" t="s">
        <v>291</v>
      </c>
      <c r="H8242" s="2" t="s">
        <v>74</v>
      </c>
      <c r="I8242" s="2" t="s">
        <v>20633</v>
      </c>
      <c r="J8242" s="3" t="str">
        <f>HYPERLINK("https://www.boe.es/gazeta/dias/1810/02/13/pdfs/GMD-1810-44.pdf#page=4","Abrir facsímil")</f>
        <v>Abrir facsímil</v>
      </c>
      <c r="K8242" s="3" t="s">
        <v>76</v>
      </c>
    </row>
    <row r="8243" spans="1:11" ht="42" customHeight="1">
      <c r="A8243" s="2" t="s">
        <v>20634</v>
      </c>
      <c r="B8243" s="2" t="s">
        <v>20635</v>
      </c>
      <c r="C8243" s="2" t="s">
        <v>26</v>
      </c>
      <c r="D8243" s="2" t="s">
        <v>27</v>
      </c>
      <c r="E8243" s="4">
        <v>-32568</v>
      </c>
      <c r="F8243" s="3" t="s">
        <v>1233</v>
      </c>
      <c r="G8243" s="3" t="s">
        <v>140</v>
      </c>
      <c r="H8243" s="2" t="s">
        <v>74</v>
      </c>
      <c r="I8243" s="2" t="s">
        <v>20636</v>
      </c>
      <c r="J8243" s="3" t="str">
        <f>HYPERLINK("https://www.boe.es/gazeta/dias/1810/10/30/pdfs/GMD-1810-303.pdf#page=4","Abrir facsímil")</f>
        <v>Abrir facsímil</v>
      </c>
      <c r="K8243" s="3" t="s">
        <v>76</v>
      </c>
    </row>
    <row r="8244" spans="1:11" ht="42" customHeight="1">
      <c r="A8244" s="2" t="s">
        <v>20637</v>
      </c>
      <c r="B8244" s="2" t="s">
        <v>20638</v>
      </c>
      <c r="C8244" s="2" t="s">
        <v>33</v>
      </c>
      <c r="D8244" s="2" t="s">
        <v>18</v>
      </c>
      <c r="E8244" s="4">
        <v>-32691</v>
      </c>
      <c r="F8244" s="3" t="s">
        <v>3021</v>
      </c>
      <c r="G8244" s="3" t="s">
        <v>3022</v>
      </c>
      <c r="H8244" s="2" t="s">
        <v>74</v>
      </c>
      <c r="I8244" s="2" t="s">
        <v>20639</v>
      </c>
      <c r="J8244" s="3" t="str">
        <f>HYPERLINK("https://www.boe.es/gazeta/dias/1810/06/29/pdfs/GEI-1810-40.pdf#page=7","Abrir facsímil")</f>
        <v>Abrir facsímil</v>
      </c>
      <c r="K8244" s="3" t="s">
        <v>76</v>
      </c>
    </row>
    <row r="8245" spans="1:11" ht="42" customHeight="1">
      <c r="A8245" s="2" t="s">
        <v>20637</v>
      </c>
      <c r="B8245" s="2" t="s">
        <v>20638</v>
      </c>
      <c r="C8245" s="2" t="s">
        <v>33</v>
      </c>
      <c r="D8245" s="2" t="s">
        <v>27</v>
      </c>
      <c r="E8245" s="4">
        <v>-32540</v>
      </c>
      <c r="F8245" s="3" t="s">
        <v>3590</v>
      </c>
      <c r="G8245" s="3" t="s">
        <v>136</v>
      </c>
      <c r="H8245" s="2" t="s">
        <v>74</v>
      </c>
      <c r="I8245" s="2" t="s">
        <v>20640</v>
      </c>
      <c r="J8245" s="3" t="str">
        <f>HYPERLINK("https://www.boe.es/gazeta/dias/1810/11/27/pdfs/GEI-1810-100.pdf#page=8","Abrir facsímil")</f>
        <v>Abrir facsímil</v>
      </c>
      <c r="K8245" s="3" t="s">
        <v>76</v>
      </c>
    </row>
    <row r="8246" spans="1:11" ht="42" customHeight="1">
      <c r="A8246" s="2" t="s">
        <v>20641</v>
      </c>
      <c r="B8246" s="2" t="s">
        <v>20642</v>
      </c>
      <c r="C8246" s="2" t="s">
        <v>317</v>
      </c>
      <c r="D8246" s="2" t="s">
        <v>27</v>
      </c>
      <c r="E8246" s="4">
        <v>-32775</v>
      </c>
      <c r="F8246" s="3" t="s">
        <v>553</v>
      </c>
      <c r="G8246" s="3" t="s">
        <v>749</v>
      </c>
      <c r="H8246" s="2" t="s">
        <v>74</v>
      </c>
      <c r="I8246" s="2" t="s">
        <v>20643</v>
      </c>
      <c r="J8246" s="3" t="str">
        <f>HYPERLINK("https://www.boe.es/gazeta/dias/1810/04/06/pdfs/GEI-1810-12.pdf#page=3","Abrir facsímil")</f>
        <v>Abrir facsímil</v>
      </c>
      <c r="K8246" s="3" t="s">
        <v>76</v>
      </c>
    </row>
    <row r="8247" spans="1:11" ht="42" customHeight="1">
      <c r="A8247" s="2" t="s">
        <v>20644</v>
      </c>
      <c r="B8247" s="2" t="s">
        <v>20645</v>
      </c>
      <c r="C8247" s="2" t="s">
        <v>26</v>
      </c>
      <c r="D8247" s="2" t="s">
        <v>27</v>
      </c>
      <c r="E8247" s="4">
        <v>-32531</v>
      </c>
      <c r="F8247" s="3" t="s">
        <v>2023</v>
      </c>
      <c r="G8247" s="3" t="s">
        <v>29</v>
      </c>
      <c r="H8247" s="2" t="s">
        <v>74</v>
      </c>
      <c r="I8247" s="2" t="s">
        <v>20646</v>
      </c>
      <c r="J8247" s="3" t="str">
        <f>HYPERLINK("https://www.boe.es/gazeta/dias/1810/12/06/pdfs/GMD-1810-340.pdf#page=4","Abrir facsímil")</f>
        <v>Abrir facsímil</v>
      </c>
      <c r="K8247" s="3" t="s">
        <v>76</v>
      </c>
    </row>
    <row r="8248" spans="1:11" ht="42" customHeight="1">
      <c r="A8248" s="2" t="s">
        <v>20647</v>
      </c>
      <c r="B8248" s="2" t="s">
        <v>20648</v>
      </c>
      <c r="C8248" s="2" t="s">
        <v>111</v>
      </c>
      <c r="D8248" s="2" t="s">
        <v>27</v>
      </c>
      <c r="E8248" s="4">
        <v>-32804</v>
      </c>
      <c r="F8248" s="3" t="s">
        <v>583</v>
      </c>
      <c r="G8248" s="3" t="s">
        <v>6307</v>
      </c>
      <c r="H8248" s="2" t="s">
        <v>74</v>
      </c>
      <c r="I8248" s="2" t="s">
        <v>20649</v>
      </c>
      <c r="J8248" s="3" t="str">
        <f>HYPERLINK("https://www.boe.es/gazeta/dias/1810/03/08/pdfs/GMD-1810-67.pdf#page=4","Abrir facsímil")</f>
        <v>Abrir facsímil</v>
      </c>
      <c r="K8248" s="3" t="s">
        <v>76</v>
      </c>
    </row>
    <row r="8249" spans="1:11" ht="42" customHeight="1">
      <c r="A8249" s="2" t="s">
        <v>20650</v>
      </c>
      <c r="B8249" s="2" t="s">
        <v>20651</v>
      </c>
      <c r="C8249" s="2" t="s">
        <v>26</v>
      </c>
      <c r="D8249" s="2" t="s">
        <v>27</v>
      </c>
      <c r="E8249" s="4">
        <v>-32707</v>
      </c>
      <c r="F8249" s="3" t="s">
        <v>1753</v>
      </c>
      <c r="G8249" s="3" t="s">
        <v>227</v>
      </c>
      <c r="H8249" s="2" t="s">
        <v>74</v>
      </c>
      <c r="I8249" s="2" t="s">
        <v>20652</v>
      </c>
      <c r="J8249" s="3" t="str">
        <f>HYPERLINK("https://www.boe.es/gazeta/dias/1810/06/13/pdfs/GMD-1810-164.pdf#page=4","Abrir facsímil")</f>
        <v>Abrir facsímil</v>
      </c>
      <c r="K8249" s="3" t="s">
        <v>76</v>
      </c>
    </row>
    <row r="8250" spans="1:11" ht="42" customHeight="1">
      <c r="A8250" s="2" t="s">
        <v>20653</v>
      </c>
      <c r="B8250" s="2" t="s">
        <v>20654</v>
      </c>
      <c r="C8250" s="2" t="s">
        <v>26</v>
      </c>
      <c r="D8250" s="2" t="s">
        <v>27</v>
      </c>
      <c r="E8250" s="4">
        <v>-32647</v>
      </c>
      <c r="F8250" s="3" t="s">
        <v>118</v>
      </c>
      <c r="G8250" s="3" t="s">
        <v>119</v>
      </c>
      <c r="H8250" s="2" t="s">
        <v>74</v>
      </c>
      <c r="I8250" s="2" t="s">
        <v>20655</v>
      </c>
      <c r="J8250" s="3" t="str">
        <f>HYPERLINK("https://www.boe.es/gazeta/dias/1810/08/12/pdfs/GMD-1810-224.pdf#page=3","Abrir facsímil")</f>
        <v>Abrir facsímil</v>
      </c>
      <c r="K8250" s="3" t="s">
        <v>76</v>
      </c>
    </row>
    <row r="8251" spans="1:11" ht="42" customHeight="1">
      <c r="A8251" s="2" t="s">
        <v>20656</v>
      </c>
      <c r="B8251" s="2" t="s">
        <v>20657</v>
      </c>
      <c r="C8251" s="2" t="s">
        <v>88</v>
      </c>
      <c r="D8251" s="2" t="s">
        <v>27</v>
      </c>
      <c r="E8251" s="4">
        <v>-32531</v>
      </c>
      <c r="F8251" s="3" t="s">
        <v>2023</v>
      </c>
      <c r="G8251" s="3" t="s">
        <v>29</v>
      </c>
      <c r="H8251" s="2" t="s">
        <v>74</v>
      </c>
      <c r="I8251" s="2" t="s">
        <v>20658</v>
      </c>
      <c r="J8251" s="3" t="str">
        <f>HYPERLINK("https://www.boe.es/gazeta/dias/1810/12/06/pdfs/GMD-1810-340.pdf#page=4","Abrir facsímil")</f>
        <v>Abrir facsímil</v>
      </c>
      <c r="K8251" s="3" t="s">
        <v>76</v>
      </c>
    </row>
    <row r="8252" spans="1:11" ht="42" customHeight="1">
      <c r="A8252" s="2" t="s">
        <v>20659</v>
      </c>
      <c r="B8252" s="2" t="s">
        <v>20660</v>
      </c>
      <c r="C8252" s="2" t="s">
        <v>88</v>
      </c>
      <c r="D8252" s="2" t="s">
        <v>27</v>
      </c>
      <c r="E8252" s="4">
        <v>-32700</v>
      </c>
      <c r="F8252" s="3" t="s">
        <v>89</v>
      </c>
      <c r="G8252" s="3" t="s">
        <v>29</v>
      </c>
      <c r="H8252" s="2" t="s">
        <v>74</v>
      </c>
      <c r="I8252" s="2" t="s">
        <v>20661</v>
      </c>
      <c r="J8252" s="3" t="str">
        <f>HYPERLINK("https://www.boe.es/gazeta/dias/1810/06/20/pdfs/GMD-1810-171.pdf#page=3","Abrir facsímil")</f>
        <v>Abrir facsímil</v>
      </c>
      <c r="K8252" s="3" t="s">
        <v>76</v>
      </c>
    </row>
    <row r="8253" spans="1:11" ht="42" customHeight="1">
      <c r="A8253" s="2" t="s">
        <v>20659</v>
      </c>
      <c r="B8253" s="2" t="s">
        <v>20660</v>
      </c>
      <c r="C8253" s="2" t="s">
        <v>88</v>
      </c>
      <c r="D8253" s="2" t="s">
        <v>27</v>
      </c>
      <c r="E8253" s="4">
        <v>-32550</v>
      </c>
      <c r="F8253" s="3" t="s">
        <v>1472</v>
      </c>
      <c r="G8253" s="3" t="s">
        <v>1473</v>
      </c>
      <c r="H8253" s="2" t="s">
        <v>74</v>
      </c>
      <c r="I8253" s="2" t="s">
        <v>20662</v>
      </c>
      <c r="J8253" s="3" t="str">
        <f>HYPERLINK("https://www.boe.es/gazeta/dias/1810/11/17/pdfs/GEI-1810-96.pdf#page=8","Abrir facsímil")</f>
        <v>Abrir facsímil</v>
      </c>
      <c r="K8253" s="3" t="s">
        <v>76</v>
      </c>
    </row>
    <row r="8254" spans="1:11" ht="42" customHeight="1">
      <c r="A8254" s="2" t="s">
        <v>20663</v>
      </c>
      <c r="B8254" s="2" t="s">
        <v>20664</v>
      </c>
      <c r="C8254" s="2" t="s">
        <v>26</v>
      </c>
      <c r="D8254" s="2" t="s">
        <v>39</v>
      </c>
      <c r="E8254" s="4">
        <v>-32740</v>
      </c>
      <c r="F8254" s="3" t="s">
        <v>848</v>
      </c>
      <c r="G8254" s="3" t="s">
        <v>359</v>
      </c>
      <c r="H8254" s="2" t="s">
        <v>74</v>
      </c>
      <c r="I8254" s="2" t="s">
        <v>20665</v>
      </c>
      <c r="J8254" s="3" t="str">
        <f>HYPERLINK("https://www.boe.es/gazeta/dias/1810/05/11/pdfs/GMD-C-1810-131.pdf#page=2","Abrir facsímil")</f>
        <v>Abrir facsímil</v>
      </c>
      <c r="K8254" s="3" t="s">
        <v>76</v>
      </c>
    </row>
    <row r="8255" spans="1:11" ht="42" customHeight="1">
      <c r="A8255" s="2" t="s">
        <v>20666</v>
      </c>
      <c r="B8255" s="2" t="s">
        <v>20667</v>
      </c>
      <c r="C8255" s="2" t="s">
        <v>33</v>
      </c>
      <c r="D8255" s="2" t="s">
        <v>27</v>
      </c>
      <c r="E8255" s="4">
        <v>-32710</v>
      </c>
      <c r="F8255" s="3" t="s">
        <v>126</v>
      </c>
      <c r="G8255" s="3" t="s">
        <v>184</v>
      </c>
      <c r="H8255" s="2" t="s">
        <v>74</v>
      </c>
      <c r="I8255" s="2" t="s">
        <v>20668</v>
      </c>
      <c r="J8255" s="3" t="str">
        <f>HYPERLINK("https://www.boe.es/gazeta/dias/1810/06/10/pdfs/GMD-1810-161.pdf#page=3","Abrir facsímil")</f>
        <v>Abrir facsímil</v>
      </c>
      <c r="K8255" s="3" t="s">
        <v>76</v>
      </c>
    </row>
    <row r="8256" spans="1:11" ht="42" customHeight="1">
      <c r="A8256" s="2" t="s">
        <v>20669</v>
      </c>
      <c r="B8256" s="2" t="s">
        <v>20670</v>
      </c>
      <c r="C8256" s="2" t="s">
        <v>26</v>
      </c>
      <c r="D8256" s="2" t="s">
        <v>27</v>
      </c>
      <c r="E8256" s="4">
        <v>-32563</v>
      </c>
      <c r="F8256" s="3" t="s">
        <v>535</v>
      </c>
      <c r="G8256" s="3" t="s">
        <v>536</v>
      </c>
      <c r="H8256" s="2" t="s">
        <v>74</v>
      </c>
      <c r="I8256" s="2" t="s">
        <v>20671</v>
      </c>
      <c r="J8256" s="3" t="str">
        <f>HYPERLINK("https://www.boe.es/gazeta/dias/1810/11/04/pdfs/GMD-1810-308.pdf#page=9","Abrir facsímil")</f>
        <v>Abrir facsímil</v>
      </c>
      <c r="K8256" s="3" t="s">
        <v>76</v>
      </c>
    </row>
    <row r="8257" spans="1:11" ht="42" customHeight="1">
      <c r="A8257" s="2" t="s">
        <v>20672</v>
      </c>
      <c r="B8257" s="2" t="s">
        <v>20672</v>
      </c>
      <c r="C8257" s="2" t="s">
        <v>33</v>
      </c>
      <c r="D8257" s="2" t="s">
        <v>220</v>
      </c>
      <c r="E8257" s="4">
        <v>-32575</v>
      </c>
      <c r="F8257" s="3" t="s">
        <v>734</v>
      </c>
      <c r="G8257" s="3" t="s">
        <v>932</v>
      </c>
      <c r="H8257" s="2" t="s">
        <v>74</v>
      </c>
      <c r="I8257" s="2" t="s">
        <v>20673</v>
      </c>
      <c r="J8257" s="3" t="str">
        <f>HYPERLINK("https://www.boe.es/gazeta/dias/1810/10/23/pdfs/GMD-1810-296.pdf#page=2","Abrir facsímil")</f>
        <v>Abrir facsímil</v>
      </c>
      <c r="K8257" s="3" t="s">
        <v>76</v>
      </c>
    </row>
    <row r="8258" spans="1:11" ht="42" customHeight="1">
      <c r="A8258" s="2" t="s">
        <v>20674</v>
      </c>
      <c r="B8258" s="2" t="s">
        <v>20675</v>
      </c>
      <c r="C8258" s="2" t="s">
        <v>26</v>
      </c>
      <c r="D8258" s="2" t="s">
        <v>27</v>
      </c>
      <c r="E8258" s="4">
        <v>-32632</v>
      </c>
      <c r="F8258" s="3" t="s">
        <v>358</v>
      </c>
      <c r="G8258" s="3" t="s">
        <v>359</v>
      </c>
      <c r="H8258" s="2" t="s">
        <v>21</v>
      </c>
      <c r="I8258" s="2" t="s">
        <v>20676</v>
      </c>
      <c r="J8258" s="3" t="str">
        <f>HYPERLINK("https://www.boe.es/gazeta/dias/1810/08/27/pdfs/GMD-1810-239.pdf#page=3","Abrir facsímil")</f>
        <v>Abrir facsímil</v>
      </c>
      <c r="K8258" s="3" t="s">
        <v>23</v>
      </c>
    </row>
    <row r="8259" spans="1:11" ht="42" customHeight="1">
      <c r="A8259" s="2" t="s">
        <v>20677</v>
      </c>
      <c r="B8259" s="2" t="s">
        <v>20678</v>
      </c>
      <c r="C8259" s="2" t="s">
        <v>26</v>
      </c>
      <c r="D8259" s="2" t="s">
        <v>27</v>
      </c>
      <c r="E8259" s="4">
        <v>-32732</v>
      </c>
      <c r="F8259" s="3" t="s">
        <v>545</v>
      </c>
      <c r="G8259" s="3" t="s">
        <v>90</v>
      </c>
      <c r="H8259" s="2" t="s">
        <v>74</v>
      </c>
      <c r="I8259" s="2" t="s">
        <v>20679</v>
      </c>
      <c r="J8259" s="3" t="str">
        <f>HYPERLINK("https://www.boe.es/gazeta/dias/1810/05/19/pdfs/GMD-1810-139.pdf#page=4","Abrir facsímil")</f>
        <v>Abrir facsímil</v>
      </c>
      <c r="K8259" s="3" t="s">
        <v>76</v>
      </c>
    </row>
    <row r="8260" spans="1:11" ht="42" customHeight="1">
      <c r="A8260" s="2" t="s">
        <v>20680</v>
      </c>
      <c r="B8260" s="2" t="s">
        <v>20681</v>
      </c>
      <c r="C8260" s="2" t="s">
        <v>88</v>
      </c>
      <c r="D8260" s="2" t="s">
        <v>117</v>
      </c>
      <c r="E8260" s="4">
        <v>-32725</v>
      </c>
      <c r="F8260" s="3" t="s">
        <v>417</v>
      </c>
      <c r="G8260" s="3" t="s">
        <v>140</v>
      </c>
      <c r="H8260" s="2" t="s">
        <v>74</v>
      </c>
      <c r="I8260" s="2" t="s">
        <v>20682</v>
      </c>
      <c r="J8260" s="3" t="str">
        <f>HYPERLINK("https://www.boe.es/gazeta/dias/1810/05/26/pdfs/GMD-1810-146.pdf#page=4","Abrir facsímil")</f>
        <v>Abrir facsímil</v>
      </c>
      <c r="K8260" s="3" t="s">
        <v>76</v>
      </c>
    </row>
    <row r="8261" spans="1:11" ht="42" customHeight="1">
      <c r="A8261" s="2" t="s">
        <v>20683</v>
      </c>
      <c r="B8261" s="2" t="s">
        <v>20683</v>
      </c>
      <c r="C8261" s="2" t="s">
        <v>88</v>
      </c>
      <c r="D8261" s="2" t="s">
        <v>117</v>
      </c>
      <c r="E8261" s="4">
        <v>-32656</v>
      </c>
      <c r="F8261" s="3" t="s">
        <v>4643</v>
      </c>
      <c r="G8261" s="3" t="s">
        <v>15696</v>
      </c>
      <c r="H8261" s="2" t="s">
        <v>74</v>
      </c>
      <c r="I8261" s="2" t="s">
        <v>20684</v>
      </c>
      <c r="J8261" s="3" t="str">
        <f>HYPERLINK("https://www.boe.es/gazeta/dias/1810/08/03/pdfs/GMD-1810-215.pdf#page=1","Abrir facsímil")</f>
        <v>Abrir facsímil</v>
      </c>
      <c r="K8261" s="3" t="s">
        <v>76</v>
      </c>
    </row>
    <row r="8262" spans="1:11" ht="42" customHeight="1">
      <c r="A8262" s="2" t="s">
        <v>20685</v>
      </c>
      <c r="B8262" s="2" t="s">
        <v>20686</v>
      </c>
      <c r="C8262" s="2" t="s">
        <v>26</v>
      </c>
      <c r="D8262" s="2" t="s">
        <v>27</v>
      </c>
      <c r="E8262" s="4">
        <v>-32710</v>
      </c>
      <c r="F8262" s="3" t="s">
        <v>126</v>
      </c>
      <c r="G8262" s="3" t="s">
        <v>35</v>
      </c>
      <c r="H8262" s="2" t="s">
        <v>74</v>
      </c>
      <c r="I8262" s="2" t="s">
        <v>20687</v>
      </c>
      <c r="J8262" s="3" t="str">
        <f>HYPERLINK("https://www.boe.es/gazeta/dias/1810/06/10/pdfs/GMD-1810-161.pdf#page=2","Abrir facsímil")</f>
        <v>Abrir facsímil</v>
      </c>
      <c r="K8262" s="3" t="s">
        <v>76</v>
      </c>
    </row>
    <row r="8263" spans="1:11" ht="42" customHeight="1">
      <c r="A8263" s="2" t="s">
        <v>20688</v>
      </c>
      <c r="B8263" s="2" t="s">
        <v>20689</v>
      </c>
      <c r="C8263" s="2" t="s">
        <v>26</v>
      </c>
      <c r="D8263" s="2" t="s">
        <v>27</v>
      </c>
      <c r="E8263" s="4">
        <v>-32761</v>
      </c>
      <c r="F8263" s="3" t="s">
        <v>811</v>
      </c>
      <c r="G8263" s="3" t="s">
        <v>140</v>
      </c>
      <c r="H8263" s="2" t="s">
        <v>74</v>
      </c>
      <c r="I8263" s="2" t="s">
        <v>20690</v>
      </c>
      <c r="J8263" s="3" t="str">
        <f>HYPERLINK("https://www.boe.es/gazeta/dias/1810/04/20/pdfs/GEI-1810-16.pdf#page=8","Abrir facsímil")</f>
        <v>Abrir facsímil</v>
      </c>
      <c r="K8263" s="3" t="s">
        <v>76</v>
      </c>
    </row>
    <row r="8264" spans="1:11" ht="42" customHeight="1">
      <c r="A8264" s="2" t="s">
        <v>20691</v>
      </c>
      <c r="B8264" s="2" t="s">
        <v>20692</v>
      </c>
      <c r="C8264" s="2" t="s">
        <v>26</v>
      </c>
      <c r="D8264" s="2" t="s">
        <v>27</v>
      </c>
      <c r="E8264" s="4">
        <v>-32761</v>
      </c>
      <c r="F8264" s="3" t="s">
        <v>811</v>
      </c>
      <c r="G8264" s="3" t="s">
        <v>140</v>
      </c>
      <c r="H8264" s="2" t="s">
        <v>74</v>
      </c>
      <c r="I8264" s="2" t="s">
        <v>20693</v>
      </c>
      <c r="J8264" s="3" t="str">
        <f>HYPERLINK("https://www.boe.es/gazeta/dias/1810/04/20/pdfs/GEI-1810-16.pdf#page=8","Abrir facsímil")</f>
        <v>Abrir facsímil</v>
      </c>
      <c r="K8264" s="3" t="s">
        <v>76</v>
      </c>
    </row>
    <row r="8265" spans="1:11" ht="42" customHeight="1">
      <c r="A8265" s="2" t="s">
        <v>20694</v>
      </c>
      <c r="B8265" s="2" t="s">
        <v>20695</v>
      </c>
      <c r="C8265" s="2" t="s">
        <v>88</v>
      </c>
      <c r="D8265" s="2" t="s">
        <v>27</v>
      </c>
      <c r="E8265" s="4">
        <v>-32710</v>
      </c>
      <c r="F8265" s="3" t="s">
        <v>126</v>
      </c>
      <c r="G8265" s="3" t="s">
        <v>180</v>
      </c>
      <c r="H8265" s="2" t="s">
        <v>74</v>
      </c>
      <c r="I8265" s="2" t="s">
        <v>20696</v>
      </c>
      <c r="J8265" s="3" t="str">
        <f>HYPERLINK("https://www.boe.es/gazeta/dias/1810/06/10/pdfs/GMD-1810-161.pdf#page=1","Abrir facsímil")</f>
        <v>Abrir facsímil</v>
      </c>
      <c r="K8265" s="3" t="s">
        <v>76</v>
      </c>
    </row>
    <row r="8266" spans="1:11" ht="42" customHeight="1">
      <c r="A8266" s="2" t="s">
        <v>20697</v>
      </c>
      <c r="B8266" s="2" t="s">
        <v>20698</v>
      </c>
      <c r="C8266" s="2" t="s">
        <v>26</v>
      </c>
      <c r="D8266" s="2" t="s">
        <v>27</v>
      </c>
      <c r="E8266" s="4">
        <v>-32684</v>
      </c>
      <c r="F8266" s="3" t="s">
        <v>1373</v>
      </c>
      <c r="G8266" s="3" t="s">
        <v>1374</v>
      </c>
      <c r="H8266" s="2" t="s">
        <v>74</v>
      </c>
      <c r="I8266" s="2" t="s">
        <v>20699</v>
      </c>
      <c r="J8266" s="3" t="str">
        <f>HYPERLINK("https://www.boe.es/gazeta/dias/1810/07/06/pdfs/GEI-1810-42.pdf#page=8","Abrir facsímil")</f>
        <v>Abrir facsímil</v>
      </c>
      <c r="K8266" s="3" t="s">
        <v>76</v>
      </c>
    </row>
    <row r="8267" spans="1:11" ht="42" customHeight="1">
      <c r="A8267" s="2" t="s">
        <v>20700</v>
      </c>
      <c r="B8267" s="2" t="s">
        <v>20701</v>
      </c>
      <c r="C8267" s="2" t="s">
        <v>26</v>
      </c>
      <c r="D8267" s="2" t="s">
        <v>27</v>
      </c>
      <c r="E8267" s="4">
        <v>-32659</v>
      </c>
      <c r="F8267" s="3" t="s">
        <v>328</v>
      </c>
      <c r="G8267" s="3" t="s">
        <v>119</v>
      </c>
      <c r="H8267" s="2" t="s">
        <v>74</v>
      </c>
      <c r="I8267" s="2" t="s">
        <v>20702</v>
      </c>
      <c r="J8267" s="3" t="str">
        <f>HYPERLINK("https://www.boe.es/gazeta/dias/1810/07/31/pdfs/GEI-1810-49.pdf#page=8","Abrir facsímil")</f>
        <v>Abrir facsímil</v>
      </c>
      <c r="K8267" s="3" t="s">
        <v>76</v>
      </c>
    </row>
    <row r="8268" spans="1:11" ht="42" customHeight="1">
      <c r="A8268" s="2" t="s">
        <v>20703</v>
      </c>
      <c r="B8268" s="2" t="s">
        <v>20704</v>
      </c>
      <c r="C8268" s="2" t="s">
        <v>33</v>
      </c>
      <c r="D8268" s="2" t="s">
        <v>27</v>
      </c>
      <c r="E8268" s="4">
        <v>-32515</v>
      </c>
      <c r="F8268" s="3" t="s">
        <v>351</v>
      </c>
      <c r="G8268" s="3" t="s">
        <v>352</v>
      </c>
      <c r="H8268" s="2" t="s">
        <v>74</v>
      </c>
      <c r="I8268" s="2" t="s">
        <v>20705</v>
      </c>
      <c r="J8268" s="3" t="str">
        <f>HYPERLINK("https://www.boe.es/gazeta/dias/1810/12/22/pdfs/GEI-1810-111.pdf#page=8","Abrir facsímil")</f>
        <v>Abrir facsímil</v>
      </c>
      <c r="K8268" s="3" t="s">
        <v>76</v>
      </c>
    </row>
    <row r="8269" spans="1:11" ht="42" customHeight="1">
      <c r="A8269" s="2" t="s">
        <v>20706</v>
      </c>
      <c r="B8269" s="2" t="s">
        <v>20707</v>
      </c>
      <c r="C8269" s="2" t="s">
        <v>26</v>
      </c>
      <c r="D8269" s="2" t="s">
        <v>27</v>
      </c>
      <c r="E8269" s="4">
        <v>-32591</v>
      </c>
      <c r="F8269" s="3" t="s">
        <v>377</v>
      </c>
      <c r="G8269" s="3" t="s">
        <v>136</v>
      </c>
      <c r="H8269" s="2" t="s">
        <v>74</v>
      </c>
      <c r="I8269" s="2" t="s">
        <v>20708</v>
      </c>
      <c r="J8269" s="3" t="str">
        <f>HYPERLINK("https://www.boe.es/gazeta/dias/1810/10/07/pdfs/GMD-1810-280.pdf#page=3","Abrir facsímil")</f>
        <v>Abrir facsímil</v>
      </c>
      <c r="K8269" s="3" t="s">
        <v>76</v>
      </c>
    </row>
    <row r="8270" spans="1:11" ht="42" customHeight="1">
      <c r="A8270" s="2" t="s">
        <v>20706</v>
      </c>
      <c r="B8270" s="2" t="s">
        <v>20707</v>
      </c>
      <c r="C8270" s="2" t="s">
        <v>26</v>
      </c>
      <c r="D8270" s="2" t="s">
        <v>27</v>
      </c>
      <c r="E8270" s="4">
        <v>-32515</v>
      </c>
      <c r="F8270" s="3" t="s">
        <v>351</v>
      </c>
      <c r="G8270" s="3" t="s">
        <v>352</v>
      </c>
      <c r="H8270" s="2" t="s">
        <v>74</v>
      </c>
      <c r="I8270" s="2" t="s">
        <v>20709</v>
      </c>
      <c r="J8270" s="3" t="str">
        <f>HYPERLINK("https://www.boe.es/gazeta/dias/1810/12/22/pdfs/GEI-1810-111.pdf#page=8","Abrir facsímil")</f>
        <v>Abrir facsímil</v>
      </c>
      <c r="K8270" s="3" t="s">
        <v>76</v>
      </c>
    </row>
    <row r="8271" spans="1:11" ht="42" customHeight="1">
      <c r="A8271" s="2" t="s">
        <v>20710</v>
      </c>
      <c r="B8271" s="2" t="s">
        <v>20711</v>
      </c>
      <c r="C8271" s="2" t="s">
        <v>26</v>
      </c>
      <c r="D8271" s="2" t="s">
        <v>39</v>
      </c>
      <c r="E8271" s="4">
        <v>-32702</v>
      </c>
      <c r="F8271" s="3" t="s">
        <v>179</v>
      </c>
      <c r="G8271" s="3" t="s">
        <v>119</v>
      </c>
      <c r="H8271" s="2" t="s">
        <v>74</v>
      </c>
      <c r="I8271" s="2" t="s">
        <v>20712</v>
      </c>
      <c r="J8271" s="3" t="str">
        <f>HYPERLINK("https://www.boe.es/gazeta/dias/1810/06/18/pdfs/GMD-C-1810-169.pdf#page=1","Abrir facsímil")</f>
        <v>Abrir facsímil</v>
      </c>
      <c r="K8271" s="3" t="s">
        <v>76</v>
      </c>
    </row>
    <row r="8272" spans="1:11" ht="42" customHeight="1">
      <c r="A8272" s="2" t="s">
        <v>20710</v>
      </c>
      <c r="B8272" s="2" t="s">
        <v>20711</v>
      </c>
      <c r="C8272" s="2" t="s">
        <v>930</v>
      </c>
      <c r="D8272" s="2" t="s">
        <v>27</v>
      </c>
      <c r="E8272" s="4">
        <v>-32515</v>
      </c>
      <c r="F8272" s="3" t="s">
        <v>351</v>
      </c>
      <c r="G8272" s="3" t="s">
        <v>352</v>
      </c>
      <c r="H8272" s="2" t="s">
        <v>74</v>
      </c>
      <c r="I8272" s="2" t="s">
        <v>20713</v>
      </c>
      <c r="J8272" s="3" t="str">
        <f>HYPERLINK("https://www.boe.es/gazeta/dias/1810/12/22/pdfs/GEI-1810-111.pdf#page=8","Abrir facsímil")</f>
        <v>Abrir facsímil</v>
      </c>
      <c r="K8272" s="3" t="s">
        <v>76</v>
      </c>
    </row>
    <row r="8273" spans="1:11" ht="42" customHeight="1">
      <c r="A8273" s="2" t="s">
        <v>20714</v>
      </c>
      <c r="B8273" s="2" t="s">
        <v>20715</v>
      </c>
      <c r="C8273" s="2" t="s">
        <v>88</v>
      </c>
      <c r="D8273" s="2" t="s">
        <v>117</v>
      </c>
      <c r="E8273" s="4">
        <v>-32713</v>
      </c>
      <c r="F8273" s="3" t="s">
        <v>959</v>
      </c>
      <c r="G8273" s="3" t="s">
        <v>960</v>
      </c>
      <c r="H8273" s="2" t="s">
        <v>74</v>
      </c>
      <c r="I8273" s="2" t="s">
        <v>20716</v>
      </c>
      <c r="J8273" s="3" t="str">
        <f>HYPERLINK("https://www.boe.es/gazeta/dias/1810/06/07/pdfs/GMD-1810-158.pdf#page=4","Abrir facsímil")</f>
        <v>Abrir facsímil</v>
      </c>
      <c r="K8273" s="3" t="s">
        <v>76</v>
      </c>
    </row>
    <row r="8274" spans="1:11" ht="42" customHeight="1">
      <c r="A8274" s="2" t="s">
        <v>20717</v>
      </c>
      <c r="B8274" s="2" t="s">
        <v>20718</v>
      </c>
      <c r="C8274" s="2" t="s">
        <v>930</v>
      </c>
      <c r="D8274" s="2" t="s">
        <v>27</v>
      </c>
      <c r="E8274" s="4">
        <v>-32858</v>
      </c>
      <c r="F8274" s="3" t="s">
        <v>4182</v>
      </c>
      <c r="G8274" s="3" t="s">
        <v>2077</v>
      </c>
      <c r="H8274" s="2" t="s">
        <v>74</v>
      </c>
      <c r="I8274" s="2" t="s">
        <v>20719</v>
      </c>
      <c r="J8274" s="3" t="str">
        <f>HYPERLINK("https://www.boe.es/gazeta/dias/1810/01/13/pdfs/GGB-1810-6.pdf#page=10","Abrir facsímil")</f>
        <v>Abrir facsímil</v>
      </c>
      <c r="K8274" s="3" t="s">
        <v>76</v>
      </c>
    </row>
    <row r="8275" spans="1:11" ht="42" customHeight="1">
      <c r="A8275" s="2" t="s">
        <v>20720</v>
      </c>
      <c r="B8275" s="2" t="s">
        <v>20721</v>
      </c>
      <c r="C8275" s="2" t="s">
        <v>17</v>
      </c>
      <c r="D8275" s="2" t="s">
        <v>27</v>
      </c>
      <c r="E8275" s="4">
        <v>-32816</v>
      </c>
      <c r="F8275" s="3" t="s">
        <v>10608</v>
      </c>
      <c r="G8275" s="3" t="s">
        <v>90</v>
      </c>
      <c r="H8275" s="2" t="s">
        <v>74</v>
      </c>
      <c r="I8275" s="2" t="s">
        <v>20722</v>
      </c>
      <c r="J8275" s="3" t="str">
        <f>HYPERLINK("https://www.boe.es/gazeta/dias/1810/02/24/pdfs/GMD-1810-55.pdf#page=4","Abrir facsímil")</f>
        <v>Abrir facsímil</v>
      </c>
      <c r="K8275" s="3" t="s">
        <v>76</v>
      </c>
    </row>
    <row r="8276" spans="1:11" ht="42" customHeight="1">
      <c r="A8276" s="2" t="s">
        <v>20723</v>
      </c>
      <c r="B8276" s="2" t="s">
        <v>20724</v>
      </c>
      <c r="C8276" s="2" t="s">
        <v>225</v>
      </c>
      <c r="D8276" s="2" t="s">
        <v>27</v>
      </c>
      <c r="E8276" s="4">
        <v>-32764</v>
      </c>
      <c r="F8276" s="3" t="s">
        <v>640</v>
      </c>
      <c r="G8276" s="3" t="s">
        <v>1347</v>
      </c>
      <c r="H8276" s="2" t="s">
        <v>74</v>
      </c>
      <c r="I8276" s="2" t="s">
        <v>20725</v>
      </c>
      <c r="J8276" s="3" t="str">
        <f>HYPERLINK("https://www.boe.es/gazeta/dias/1810/04/17/pdfs/GEI-1810-15.pdf#page=7","Abrir facsímil")</f>
        <v>Abrir facsímil</v>
      </c>
      <c r="K8276" s="3" t="s">
        <v>76</v>
      </c>
    </row>
    <row r="8277" spans="1:11" ht="42" customHeight="1">
      <c r="A8277" s="2" t="s">
        <v>20726</v>
      </c>
      <c r="B8277" s="2" t="s">
        <v>20727</v>
      </c>
      <c r="C8277" s="2" t="s">
        <v>26</v>
      </c>
      <c r="D8277" s="2" t="s">
        <v>27</v>
      </c>
      <c r="E8277" s="4">
        <v>-32515</v>
      </c>
      <c r="F8277" s="3" t="s">
        <v>351</v>
      </c>
      <c r="G8277" s="3" t="s">
        <v>352</v>
      </c>
      <c r="H8277" s="2" t="s">
        <v>74</v>
      </c>
      <c r="I8277" s="2" t="s">
        <v>20728</v>
      </c>
      <c r="J8277" s="3" t="str">
        <f>HYPERLINK("https://www.boe.es/gazeta/dias/1810/12/22/pdfs/GEI-1810-111.pdf#page=8","Abrir facsímil")</f>
        <v>Abrir facsímil</v>
      </c>
      <c r="K8277" s="3" t="s">
        <v>76</v>
      </c>
    </row>
    <row r="8278" spans="1:11" ht="42" customHeight="1">
      <c r="A8278" s="2" t="s">
        <v>20729</v>
      </c>
      <c r="B8278" s="2" t="s">
        <v>20730</v>
      </c>
      <c r="C8278" s="2" t="s">
        <v>26</v>
      </c>
      <c r="D8278" s="2" t="s">
        <v>27</v>
      </c>
      <c r="E8278" s="4">
        <v>-32557</v>
      </c>
      <c r="F8278" s="3" t="s">
        <v>837</v>
      </c>
      <c r="G8278" s="3" t="s">
        <v>838</v>
      </c>
      <c r="H8278" s="2" t="s">
        <v>74</v>
      </c>
      <c r="I8278" s="2" t="s">
        <v>20731</v>
      </c>
      <c r="J8278" s="3" t="str">
        <f>HYPERLINK("https://www.boe.es/gazeta/dias/1810/11/10/pdfs/GEI-1810-93.pdf#page=4","Abrir facsímil")</f>
        <v>Abrir facsímil</v>
      </c>
      <c r="K8278" s="3" t="s">
        <v>76</v>
      </c>
    </row>
    <row r="8279" spans="1:11" ht="42" customHeight="1">
      <c r="A8279" s="2" t="s">
        <v>20732</v>
      </c>
      <c r="B8279" s="2" t="s">
        <v>20733</v>
      </c>
      <c r="C8279" s="2" t="s">
        <v>317</v>
      </c>
      <c r="D8279" s="2" t="s">
        <v>39</v>
      </c>
      <c r="E8279" s="4">
        <v>-32661</v>
      </c>
      <c r="F8279" s="3" t="s">
        <v>157</v>
      </c>
      <c r="G8279" s="3" t="s">
        <v>158</v>
      </c>
      <c r="H8279" s="2" t="s">
        <v>74</v>
      </c>
      <c r="I8279" s="2" t="s">
        <v>20734</v>
      </c>
      <c r="J8279" s="3" t="str">
        <f>HYPERLINK("https://www.boe.es/gazeta/dias/1810/07/29/pdfs/GMD-C-1810-210.pdf#page=1","Abrir facsímil")</f>
        <v>Abrir facsímil</v>
      </c>
      <c r="K8279" s="3" t="s">
        <v>76</v>
      </c>
    </row>
    <row r="8280" spans="1:11" ht="42" customHeight="1">
      <c r="A8280" s="2" t="s">
        <v>20735</v>
      </c>
      <c r="B8280" s="2" t="s">
        <v>20736</v>
      </c>
      <c r="C8280" s="2" t="s">
        <v>111</v>
      </c>
      <c r="D8280" s="2" t="s">
        <v>27</v>
      </c>
      <c r="E8280" s="4">
        <v>-32607</v>
      </c>
      <c r="F8280" s="3" t="s">
        <v>6044</v>
      </c>
      <c r="G8280" s="3" t="s">
        <v>99</v>
      </c>
      <c r="H8280" s="2" t="s">
        <v>74</v>
      </c>
      <c r="I8280" s="2" t="s">
        <v>20737</v>
      </c>
      <c r="J8280" s="3" t="str">
        <f>HYPERLINK("https://www.boe.es/gazeta/dias/1810/09/21/pdfs/GMD-1810-264.pdf#page=3","Abrir facsímil")</f>
        <v>Abrir facsímil</v>
      </c>
      <c r="K8280" s="3" t="s">
        <v>76</v>
      </c>
    </row>
    <row r="8281" spans="1:11" ht="42" customHeight="1">
      <c r="A8281" s="2" t="s">
        <v>20738</v>
      </c>
      <c r="B8281" s="2" t="s">
        <v>20738</v>
      </c>
      <c r="C8281" s="2" t="s">
        <v>225</v>
      </c>
      <c r="D8281" s="2" t="s">
        <v>220</v>
      </c>
      <c r="E8281" s="4">
        <v>-32608</v>
      </c>
      <c r="F8281" s="3" t="s">
        <v>150</v>
      </c>
      <c r="G8281" s="3" t="s">
        <v>151</v>
      </c>
      <c r="H8281" s="2" t="s">
        <v>74</v>
      </c>
      <c r="I8281" s="2" t="s">
        <v>20739</v>
      </c>
      <c r="J8281" s="3" t="str">
        <f>HYPERLINK("https://www.boe.es/gazeta/dias/1810/09/20/pdfs/GMD-1810-263.pdf#page=3","Abrir facsímil")</f>
        <v>Abrir facsímil</v>
      </c>
      <c r="K8281" s="3" t="s">
        <v>76</v>
      </c>
    </row>
    <row r="8282" spans="1:11" ht="42" customHeight="1">
      <c r="A8282" s="2" t="s">
        <v>20740</v>
      </c>
      <c r="B8282" s="2" t="s">
        <v>20741</v>
      </c>
      <c r="C8282" s="2" t="s">
        <v>26</v>
      </c>
      <c r="D8282" s="2" t="s">
        <v>58</v>
      </c>
      <c r="E8282" s="4">
        <v>-32734</v>
      </c>
      <c r="F8282" s="3" t="s">
        <v>2797</v>
      </c>
      <c r="G8282" s="3" t="s">
        <v>735</v>
      </c>
      <c r="H8282" s="2" t="s">
        <v>74</v>
      </c>
      <c r="I8282" s="2" t="s">
        <v>20742</v>
      </c>
      <c r="J8282" s="3" t="str">
        <f>HYPERLINK("https://www.boe.es/gazeta/dias/1810/05/17/pdfs/GEI-1810-26E.pdf#page=8","Abrir facsímil")</f>
        <v>Abrir facsímil</v>
      </c>
      <c r="K8282" s="3" t="s">
        <v>76</v>
      </c>
    </row>
    <row r="8283" spans="1:11" ht="42" customHeight="1">
      <c r="A8283" s="2" t="s">
        <v>20743</v>
      </c>
      <c r="B8283" s="2" t="s">
        <v>20744</v>
      </c>
      <c r="C8283" s="2" t="s">
        <v>26</v>
      </c>
      <c r="D8283" s="2" t="s">
        <v>27</v>
      </c>
      <c r="E8283" s="4">
        <v>-32648</v>
      </c>
      <c r="F8283" s="3" t="s">
        <v>575</v>
      </c>
      <c r="G8283" s="3" t="s">
        <v>140</v>
      </c>
      <c r="H8283" s="2" t="s">
        <v>74</v>
      </c>
      <c r="I8283" s="2" t="s">
        <v>20745</v>
      </c>
      <c r="J8283" s="3" t="str">
        <f>HYPERLINK("https://www.boe.es/gazeta/dias/1810/08/11/pdfs/GMD-1810-223.pdf#page=4","Abrir facsímil")</f>
        <v>Abrir facsímil</v>
      </c>
      <c r="K8283" s="3" t="s">
        <v>76</v>
      </c>
    </row>
    <row r="8284" spans="1:11" ht="42" customHeight="1">
      <c r="A8284" s="2" t="s">
        <v>20746</v>
      </c>
      <c r="B8284" s="2" t="s">
        <v>20747</v>
      </c>
      <c r="C8284" s="2" t="s">
        <v>26</v>
      </c>
      <c r="D8284" s="2" t="s">
        <v>27</v>
      </c>
      <c r="E8284" s="4">
        <v>-32545</v>
      </c>
      <c r="F8284" s="3" t="s">
        <v>165</v>
      </c>
      <c r="G8284" s="3" t="s">
        <v>166</v>
      </c>
      <c r="H8284" s="2" t="s">
        <v>74</v>
      </c>
      <c r="I8284" s="2" t="s">
        <v>20748</v>
      </c>
      <c r="J8284" s="3" t="str">
        <f>HYPERLINK("https://www.boe.es/gazeta/dias/1810/11/22/pdfs/GEI-1810-98.pdf#page=8","Abrir facsímil")</f>
        <v>Abrir facsímil</v>
      </c>
      <c r="K8284" s="3" t="s">
        <v>76</v>
      </c>
    </row>
    <row r="8285" spans="1:11" ht="42" customHeight="1">
      <c r="A8285" s="2" t="s">
        <v>20749</v>
      </c>
      <c r="B8285" s="2" t="s">
        <v>20750</v>
      </c>
      <c r="C8285" s="2" t="s">
        <v>26</v>
      </c>
      <c r="D8285" s="2" t="s">
        <v>39</v>
      </c>
      <c r="E8285" s="4">
        <v>-32669</v>
      </c>
      <c r="F8285" s="3" t="s">
        <v>1110</v>
      </c>
      <c r="G8285" s="3" t="s">
        <v>473</v>
      </c>
      <c r="H8285" s="2" t="s">
        <v>74</v>
      </c>
      <c r="I8285" s="2" t="s">
        <v>20751</v>
      </c>
      <c r="J8285" s="3" t="str">
        <f>HYPERLINK("https://www.boe.es/gazeta/dias/1810/07/21/pdfs/GMD-C-1810-202.pdf#page=3","Abrir facsímil")</f>
        <v>Abrir facsímil</v>
      </c>
      <c r="K8285" s="3" t="s">
        <v>76</v>
      </c>
    </row>
    <row r="8286" spans="1:11" ht="42" customHeight="1">
      <c r="A8286" s="2" t="s">
        <v>20752</v>
      </c>
      <c r="B8286" s="2" t="s">
        <v>20752</v>
      </c>
      <c r="C8286" s="2" t="s">
        <v>88</v>
      </c>
      <c r="D8286" s="2" t="s">
        <v>27</v>
      </c>
      <c r="E8286" s="4">
        <v>-32529</v>
      </c>
      <c r="F8286" s="3" t="s">
        <v>112</v>
      </c>
      <c r="G8286" s="3" t="s">
        <v>5925</v>
      </c>
      <c r="H8286" s="2" t="s">
        <v>74</v>
      </c>
      <c r="I8286" s="2" t="s">
        <v>20753</v>
      </c>
      <c r="J8286" s="3" t="str">
        <f>HYPERLINK("https://www.boe.es/gazeta/dias/1810/12/08/pdfs/GEI-1810-105.pdf#page=3","Abrir facsímil")</f>
        <v>Abrir facsímil</v>
      </c>
      <c r="K8286" s="3" t="s">
        <v>76</v>
      </c>
    </row>
    <row r="8287" spans="1:11" ht="42" customHeight="1">
      <c r="A8287" s="2" t="s">
        <v>20754</v>
      </c>
      <c r="B8287" s="2" t="s">
        <v>20755</v>
      </c>
      <c r="C8287" s="2" t="s">
        <v>88</v>
      </c>
      <c r="D8287" s="2" t="s">
        <v>27</v>
      </c>
      <c r="E8287" s="4">
        <v>-32529</v>
      </c>
      <c r="F8287" s="3" t="s">
        <v>112</v>
      </c>
      <c r="G8287" s="3" t="s">
        <v>20756</v>
      </c>
      <c r="H8287" s="2" t="s">
        <v>74</v>
      </c>
      <c r="I8287" s="2" t="s">
        <v>20757</v>
      </c>
      <c r="J8287" s="3" t="str">
        <f>HYPERLINK("https://www.boe.es/gazeta/dias/1810/12/08/pdfs/GEI-1810-105.pdf#page=2","Abrir facsímil")</f>
        <v>Abrir facsímil</v>
      </c>
      <c r="K8287" s="3" t="s">
        <v>76</v>
      </c>
    </row>
    <row r="8288" spans="1:11" ht="42" customHeight="1">
      <c r="A8288" s="2" t="s">
        <v>20758</v>
      </c>
      <c r="B8288" s="2" t="s">
        <v>20759</v>
      </c>
      <c r="C8288" s="2" t="s">
        <v>26</v>
      </c>
      <c r="D8288" s="2" t="s">
        <v>27</v>
      </c>
      <c r="E8288" s="4">
        <v>-32533</v>
      </c>
      <c r="F8288" s="3" t="s">
        <v>1357</v>
      </c>
      <c r="G8288" s="3" t="s">
        <v>701</v>
      </c>
      <c r="H8288" s="2" t="s">
        <v>74</v>
      </c>
      <c r="I8288" s="2" t="s">
        <v>20760</v>
      </c>
      <c r="J8288" s="3" t="str">
        <f>HYPERLINK("https://www.boe.es/gazeta/dias/1810/12/04/pdfs/GEI-1810-103.pdf#page=8","Abrir facsímil")</f>
        <v>Abrir facsímil</v>
      </c>
      <c r="K8288" s="3" t="s">
        <v>76</v>
      </c>
    </row>
    <row r="8289" spans="1:11" ht="42" customHeight="1">
      <c r="A8289" s="2" t="s">
        <v>20761</v>
      </c>
      <c r="B8289" s="2" t="s">
        <v>20762</v>
      </c>
      <c r="C8289" s="2" t="s">
        <v>26</v>
      </c>
      <c r="D8289" s="2" t="s">
        <v>27</v>
      </c>
      <c r="E8289" s="4">
        <v>-32837</v>
      </c>
      <c r="F8289" s="3" t="s">
        <v>196</v>
      </c>
      <c r="G8289" s="3" t="s">
        <v>140</v>
      </c>
      <c r="H8289" s="2" t="s">
        <v>74</v>
      </c>
      <c r="I8289" s="2" t="s">
        <v>20763</v>
      </c>
      <c r="J8289" s="3" t="str">
        <f>HYPERLINK("https://www.boe.es/gazeta/dias/1810/02/03/pdfs/GMD-1810-34.pdf#page=4","Abrir facsímil")</f>
        <v>Abrir facsímil</v>
      </c>
      <c r="K8289" s="3" t="s">
        <v>76</v>
      </c>
    </row>
    <row r="8290" spans="1:11" ht="42" customHeight="1">
      <c r="A8290" s="2" t="s">
        <v>20764</v>
      </c>
      <c r="B8290" s="2" t="s">
        <v>20765</v>
      </c>
      <c r="C8290" s="2" t="s">
        <v>88</v>
      </c>
      <c r="D8290" s="2" t="s">
        <v>27</v>
      </c>
      <c r="E8290" s="4">
        <v>-32764</v>
      </c>
      <c r="F8290" s="3" t="s">
        <v>640</v>
      </c>
      <c r="G8290" s="3" t="s">
        <v>641</v>
      </c>
      <c r="H8290" s="2" t="s">
        <v>74</v>
      </c>
      <c r="I8290" s="2" t="s">
        <v>20766</v>
      </c>
      <c r="J8290" s="3" t="str">
        <f>HYPERLINK("https://www.boe.es/gazeta/dias/1810/04/17/pdfs/GEI-1810-15.pdf#page=8","Abrir facsímil")</f>
        <v>Abrir facsímil</v>
      </c>
      <c r="K8290" s="3" t="s">
        <v>76</v>
      </c>
    </row>
    <row r="8291" spans="1:11" ht="42" customHeight="1">
      <c r="A8291" s="2" t="s">
        <v>20767</v>
      </c>
      <c r="B8291" s="2" t="s">
        <v>20768</v>
      </c>
      <c r="C8291" s="2" t="s">
        <v>26</v>
      </c>
      <c r="D8291" s="2" t="s">
        <v>27</v>
      </c>
      <c r="E8291" s="4">
        <v>-32712</v>
      </c>
      <c r="F8291" s="3" t="s">
        <v>667</v>
      </c>
      <c r="G8291" s="3" t="s">
        <v>19140</v>
      </c>
      <c r="H8291" s="2" t="s">
        <v>74</v>
      </c>
      <c r="I8291" s="2" t="s">
        <v>20769</v>
      </c>
      <c r="J8291" s="3" t="str">
        <f>HYPERLINK("https://www.boe.es/gazeta/dias/1810/06/08/pdfs/GEI-1810-34.pdf#page=5","Abrir facsímil")</f>
        <v>Abrir facsímil</v>
      </c>
      <c r="K8291" s="3" t="s">
        <v>76</v>
      </c>
    </row>
    <row r="8292" spans="1:11" ht="42" customHeight="1">
      <c r="A8292" s="2" t="s">
        <v>20770</v>
      </c>
      <c r="B8292" s="2" t="s">
        <v>20771</v>
      </c>
      <c r="C8292" s="2" t="s">
        <v>33</v>
      </c>
      <c r="D8292" s="2" t="s">
        <v>58</v>
      </c>
      <c r="E8292" s="4">
        <v>-32601</v>
      </c>
      <c r="F8292" s="3" t="s">
        <v>392</v>
      </c>
      <c r="G8292" s="3" t="s">
        <v>1430</v>
      </c>
      <c r="H8292" s="2" t="s">
        <v>74</v>
      </c>
      <c r="I8292" s="2" t="s">
        <v>20772</v>
      </c>
      <c r="J8292" s="3" t="str">
        <f>HYPERLINK("https://www.boe.es/gazeta/dias/1810/09/27/pdfs/GEI-1810-74E.pdf#page=3","Abrir facsímil")</f>
        <v>Abrir facsímil</v>
      </c>
      <c r="K8292" s="3" t="s">
        <v>76</v>
      </c>
    </row>
    <row r="8293" spans="1:11" ht="42" customHeight="1">
      <c r="A8293" s="2" t="s">
        <v>20773</v>
      </c>
      <c r="B8293" s="2" t="s">
        <v>20774</v>
      </c>
      <c r="C8293" s="2" t="s">
        <v>26</v>
      </c>
      <c r="D8293" s="2" t="s">
        <v>39</v>
      </c>
      <c r="E8293" s="4">
        <v>-32702</v>
      </c>
      <c r="F8293" s="3" t="s">
        <v>179</v>
      </c>
      <c r="G8293" s="3" t="s">
        <v>213</v>
      </c>
      <c r="H8293" s="2" t="s">
        <v>74</v>
      </c>
      <c r="I8293" s="2" t="s">
        <v>20775</v>
      </c>
      <c r="J8293" s="3" t="str">
        <f>HYPERLINK("https://www.boe.es/gazeta/dias/1810/06/18/pdfs/GMD-C-1810-169.pdf#page=4","Abrir facsímil")</f>
        <v>Abrir facsímil</v>
      </c>
      <c r="K8293" s="3" t="s">
        <v>76</v>
      </c>
    </row>
    <row r="8294" spans="1:11" ht="42" customHeight="1">
      <c r="A8294" s="2" t="s">
        <v>20776</v>
      </c>
      <c r="B8294" s="2" t="s">
        <v>20777</v>
      </c>
      <c r="C8294" s="2" t="s">
        <v>26</v>
      </c>
      <c r="D8294" s="2" t="s">
        <v>27</v>
      </c>
      <c r="E8294" s="4">
        <v>-32545</v>
      </c>
      <c r="F8294" s="3" t="s">
        <v>165</v>
      </c>
      <c r="G8294" s="3" t="s">
        <v>166</v>
      </c>
      <c r="H8294" s="2" t="s">
        <v>74</v>
      </c>
      <c r="I8294" s="2" t="s">
        <v>20778</v>
      </c>
      <c r="J8294" s="3" t="str">
        <f>HYPERLINK("https://www.boe.es/gazeta/dias/1810/11/22/pdfs/GEI-1810-98.pdf#page=8","Abrir facsímil")</f>
        <v>Abrir facsímil</v>
      </c>
      <c r="K8294" s="3" t="s">
        <v>76</v>
      </c>
    </row>
    <row r="8295" spans="1:11" ht="42" customHeight="1">
      <c r="A8295" s="2" t="s">
        <v>20779</v>
      </c>
      <c r="B8295" s="2" t="s">
        <v>20780</v>
      </c>
      <c r="C8295" s="2" t="s">
        <v>111</v>
      </c>
      <c r="D8295" s="2" t="s">
        <v>18</v>
      </c>
      <c r="E8295" s="4">
        <v>-32515</v>
      </c>
      <c r="F8295" s="3" t="s">
        <v>351</v>
      </c>
      <c r="G8295" s="3" t="s">
        <v>352</v>
      </c>
      <c r="H8295" s="2" t="s">
        <v>74</v>
      </c>
      <c r="I8295" s="2" t="s">
        <v>20781</v>
      </c>
      <c r="J8295" s="3" t="str">
        <f>HYPERLINK("https://www.boe.es/gazeta/dias/1810/12/22/pdfs/GEI-1810-111.pdf#page=8","Abrir facsímil")</f>
        <v>Abrir facsímil</v>
      </c>
      <c r="K8295" s="3" t="s">
        <v>76</v>
      </c>
    </row>
    <row r="8296" spans="1:11" ht="42" customHeight="1">
      <c r="A8296" s="2" t="s">
        <v>20782</v>
      </c>
      <c r="B8296" s="2" t="s">
        <v>20783</v>
      </c>
      <c r="C8296" s="2" t="s">
        <v>88</v>
      </c>
      <c r="D8296" s="2" t="s">
        <v>27</v>
      </c>
      <c r="E8296" s="4">
        <v>-32543</v>
      </c>
      <c r="F8296" s="3" t="s">
        <v>69</v>
      </c>
      <c r="G8296" s="3" t="s">
        <v>70</v>
      </c>
      <c r="H8296" s="2" t="s">
        <v>74</v>
      </c>
      <c r="I8296" s="2" t="s">
        <v>20784</v>
      </c>
      <c r="J8296" s="3" t="str">
        <f>HYPERLINK("https://www.boe.es/gazeta/dias/1810/11/24/pdfs/GEI-1810-99.pdf#page=8","Abrir facsímil")</f>
        <v>Abrir facsímil</v>
      </c>
      <c r="K8296" s="3" t="s">
        <v>76</v>
      </c>
    </row>
    <row r="8297" spans="1:11" ht="42" customHeight="1">
      <c r="A8297" s="2" t="s">
        <v>20785</v>
      </c>
      <c r="B8297" s="2" t="s">
        <v>20785</v>
      </c>
      <c r="C8297" s="2" t="s">
        <v>26</v>
      </c>
      <c r="D8297" s="2" t="s">
        <v>27</v>
      </c>
      <c r="E8297" s="4">
        <v>-32635</v>
      </c>
      <c r="F8297" s="3" t="s">
        <v>3132</v>
      </c>
      <c r="G8297" s="3" t="s">
        <v>277</v>
      </c>
      <c r="H8297" s="2" t="s">
        <v>74</v>
      </c>
      <c r="I8297" s="2" t="s">
        <v>20786</v>
      </c>
      <c r="J8297" s="3" t="str">
        <f>HYPERLINK("https://www.boe.es/gazeta/dias/1810/08/24/pdfs/GEI-1810-59.pdf#page=3","Abrir facsímil")</f>
        <v>Abrir facsímil</v>
      </c>
      <c r="K8297" s="3" t="s">
        <v>76</v>
      </c>
    </row>
    <row r="8298" spans="1:11" ht="42" customHeight="1">
      <c r="A8298" s="2" t="s">
        <v>20785</v>
      </c>
      <c r="B8298" s="2" t="s">
        <v>20785</v>
      </c>
      <c r="C8298" s="2" t="s">
        <v>26</v>
      </c>
      <c r="D8298" s="2" t="s">
        <v>27</v>
      </c>
      <c r="E8298" s="4">
        <v>-32610</v>
      </c>
      <c r="F8298" s="3" t="s">
        <v>4991</v>
      </c>
      <c r="G8298" s="3" t="s">
        <v>140</v>
      </c>
      <c r="H8298" s="2" t="s">
        <v>74</v>
      </c>
      <c r="I8298" s="2" t="s">
        <v>20787</v>
      </c>
      <c r="J8298" s="3" t="str">
        <f>HYPERLINK("https://www.boe.es/gazeta/dias/1810/09/18/pdfs/GEI-1810-69.pdf#page=8","Abrir facsímil")</f>
        <v>Abrir facsímil</v>
      </c>
      <c r="K8298" s="3" t="s">
        <v>76</v>
      </c>
    </row>
    <row r="8299" spans="1:11" ht="42" customHeight="1">
      <c r="A8299" s="2" t="s">
        <v>20788</v>
      </c>
      <c r="B8299" s="2" t="s">
        <v>20789</v>
      </c>
      <c r="C8299" s="2" t="s">
        <v>88</v>
      </c>
      <c r="D8299" s="2" t="s">
        <v>27</v>
      </c>
      <c r="E8299" s="4">
        <v>-32550</v>
      </c>
      <c r="F8299" s="3" t="s">
        <v>1472</v>
      </c>
      <c r="G8299" s="3" t="s">
        <v>1473</v>
      </c>
      <c r="H8299" s="2" t="s">
        <v>74</v>
      </c>
      <c r="I8299" s="2" t="s">
        <v>20790</v>
      </c>
      <c r="J8299" s="3" t="str">
        <f>HYPERLINK("https://www.boe.es/gazeta/dias/1810/11/17/pdfs/GEI-1810-96.pdf#page=8","Abrir facsímil")</f>
        <v>Abrir facsímil</v>
      </c>
      <c r="K8299" s="3" t="s">
        <v>76</v>
      </c>
    </row>
    <row r="8300" spans="1:11" ht="42" customHeight="1">
      <c r="A8300" s="2" t="s">
        <v>20791</v>
      </c>
      <c r="B8300" s="2" t="s">
        <v>20792</v>
      </c>
      <c r="C8300" s="2" t="s">
        <v>225</v>
      </c>
      <c r="D8300" s="2" t="s">
        <v>27</v>
      </c>
      <c r="E8300" s="4">
        <v>-32771</v>
      </c>
      <c r="F8300" s="3" t="s">
        <v>543</v>
      </c>
      <c r="G8300" s="3" t="s">
        <v>65</v>
      </c>
      <c r="H8300" s="2" t="s">
        <v>74</v>
      </c>
      <c r="I8300" s="2" t="s">
        <v>20793</v>
      </c>
      <c r="J8300" s="3" t="str">
        <f>HYPERLINK("https://www.boe.es/gazeta/dias/1810/04/10/pdfs/GEI-1810-13.pdf#page=7","Abrir facsímil")</f>
        <v>Abrir facsímil</v>
      </c>
      <c r="K8300" s="3" t="s">
        <v>76</v>
      </c>
    </row>
    <row r="8301" spans="1:11" ht="42" customHeight="1">
      <c r="A8301" s="2" t="s">
        <v>20794</v>
      </c>
      <c r="B8301" s="2" t="s">
        <v>20795</v>
      </c>
      <c r="C8301" s="2" t="s">
        <v>225</v>
      </c>
      <c r="D8301" s="2" t="s">
        <v>27</v>
      </c>
      <c r="E8301" s="4">
        <v>-32771</v>
      </c>
      <c r="F8301" s="3" t="s">
        <v>543</v>
      </c>
      <c r="G8301" s="3" t="s">
        <v>65</v>
      </c>
      <c r="H8301" s="2" t="s">
        <v>74</v>
      </c>
      <c r="I8301" s="2" t="s">
        <v>20796</v>
      </c>
      <c r="J8301" s="3" t="str">
        <f>HYPERLINK("https://www.boe.es/gazeta/dias/1810/04/10/pdfs/GEI-1810-13.pdf#page=7","Abrir facsímil")</f>
        <v>Abrir facsímil</v>
      </c>
      <c r="K8301" s="3" t="s">
        <v>76</v>
      </c>
    </row>
    <row r="8302" spans="1:11" ht="42" customHeight="1">
      <c r="A8302" s="2" t="s">
        <v>20794</v>
      </c>
      <c r="B8302" s="2" t="s">
        <v>20795</v>
      </c>
      <c r="C8302" s="2" t="s">
        <v>26</v>
      </c>
      <c r="D8302" s="2" t="s">
        <v>27</v>
      </c>
      <c r="E8302" s="4">
        <v>-32645</v>
      </c>
      <c r="F8302" s="3" t="s">
        <v>122</v>
      </c>
      <c r="G8302" s="3" t="s">
        <v>12677</v>
      </c>
      <c r="H8302" s="2" t="s">
        <v>74</v>
      </c>
      <c r="I8302" s="2" t="s">
        <v>20797</v>
      </c>
      <c r="J8302" s="3" t="str">
        <f>HYPERLINK("https://www.boe.es/gazeta/dias/1810/08/14/pdfs/GEI-1810-56.pdf#page=5","Abrir facsímil")</f>
        <v>Abrir facsímil</v>
      </c>
      <c r="K8302" s="3" t="s">
        <v>76</v>
      </c>
    </row>
    <row r="8303" spans="1:11" ht="42" customHeight="1">
      <c r="A8303" s="2" t="s">
        <v>20798</v>
      </c>
      <c r="B8303" s="2" t="s">
        <v>20799</v>
      </c>
      <c r="C8303" s="2" t="s">
        <v>88</v>
      </c>
      <c r="D8303" s="2" t="s">
        <v>27</v>
      </c>
      <c r="E8303" s="4">
        <v>-32820</v>
      </c>
      <c r="F8303" s="3" t="s">
        <v>226</v>
      </c>
      <c r="G8303" s="3" t="s">
        <v>227</v>
      </c>
      <c r="H8303" s="2" t="s">
        <v>74</v>
      </c>
      <c r="I8303" s="2" t="s">
        <v>20800</v>
      </c>
      <c r="J8303" s="3" t="str">
        <f>HYPERLINK("https://www.boe.es/gazeta/dias/1810/02/20/pdfs/GMD-1810-51.pdf#page=4","Abrir facsímil")</f>
        <v>Abrir facsímil</v>
      </c>
      <c r="K8303" s="3" t="s">
        <v>76</v>
      </c>
    </row>
    <row r="8304" spans="1:11" ht="42" customHeight="1">
      <c r="A8304" s="2" t="s">
        <v>20801</v>
      </c>
      <c r="B8304" s="2" t="s">
        <v>20802</v>
      </c>
      <c r="C8304" s="2" t="s">
        <v>26</v>
      </c>
      <c r="D8304" s="2" t="s">
        <v>27</v>
      </c>
      <c r="E8304" s="4">
        <v>-32764</v>
      </c>
      <c r="F8304" s="3" t="s">
        <v>640</v>
      </c>
      <c r="G8304" s="3" t="s">
        <v>641</v>
      </c>
      <c r="H8304" s="2" t="s">
        <v>74</v>
      </c>
      <c r="I8304" s="2" t="s">
        <v>20803</v>
      </c>
      <c r="J8304" s="3" t="str">
        <f>HYPERLINK("https://www.boe.es/gazeta/dias/1810/04/17/pdfs/GEI-1810-15.pdf#page=8","Abrir facsímil")</f>
        <v>Abrir facsímil</v>
      </c>
      <c r="K8304" s="3" t="s">
        <v>76</v>
      </c>
    </row>
    <row r="8305" spans="1:11" ht="42" customHeight="1">
      <c r="A8305" s="2" t="s">
        <v>20804</v>
      </c>
      <c r="B8305" s="2" t="s">
        <v>20805</v>
      </c>
      <c r="C8305" s="2" t="s">
        <v>26</v>
      </c>
      <c r="D8305" s="2" t="s">
        <v>27</v>
      </c>
      <c r="E8305" s="4">
        <v>-32710</v>
      </c>
      <c r="F8305" s="3" t="s">
        <v>126</v>
      </c>
      <c r="G8305" s="3" t="s">
        <v>20</v>
      </c>
      <c r="H8305" s="2" t="s">
        <v>74</v>
      </c>
      <c r="I8305" s="2" t="s">
        <v>20806</v>
      </c>
      <c r="J8305" s="3" t="str">
        <f>HYPERLINK("https://www.boe.es/gazeta/dias/1810/06/10/pdfs/GMD-1810-161.pdf#page=4","Abrir facsímil")</f>
        <v>Abrir facsímil</v>
      </c>
      <c r="K8305" s="3" t="s">
        <v>76</v>
      </c>
    </row>
    <row r="8306" spans="1:11" ht="42" customHeight="1">
      <c r="A8306" s="2" t="s">
        <v>20807</v>
      </c>
      <c r="B8306" s="2" t="s">
        <v>20808</v>
      </c>
      <c r="C8306" s="2" t="s">
        <v>26</v>
      </c>
      <c r="D8306" s="2" t="s">
        <v>27</v>
      </c>
      <c r="E8306" s="4">
        <v>-32508</v>
      </c>
      <c r="F8306" s="3" t="s">
        <v>864</v>
      </c>
      <c r="G8306" s="3" t="s">
        <v>691</v>
      </c>
      <c r="H8306" s="2" t="s">
        <v>74</v>
      </c>
      <c r="I8306" s="2" t="s">
        <v>20809</v>
      </c>
      <c r="J8306" s="3" t="str">
        <f>HYPERLINK("https://www.boe.es/gazeta/dias/1810/12/29/pdfs/GEI-1810-114.pdf#page=8","Abrir facsímil")</f>
        <v>Abrir facsímil</v>
      </c>
      <c r="K8306" s="3" t="s">
        <v>76</v>
      </c>
    </row>
    <row r="8307" spans="1:11" ht="42" customHeight="1">
      <c r="A8307" s="2" t="s">
        <v>20810</v>
      </c>
      <c r="B8307" s="2" t="s">
        <v>20811</v>
      </c>
      <c r="C8307" s="2" t="s">
        <v>26</v>
      </c>
      <c r="D8307" s="2" t="s">
        <v>27</v>
      </c>
      <c r="E8307" s="4">
        <v>-32591</v>
      </c>
      <c r="F8307" s="3" t="s">
        <v>377</v>
      </c>
      <c r="G8307" s="3" t="s">
        <v>136</v>
      </c>
      <c r="H8307" s="2" t="s">
        <v>74</v>
      </c>
      <c r="I8307" s="2" t="s">
        <v>20812</v>
      </c>
      <c r="J8307" s="3" t="str">
        <f>HYPERLINK("https://www.boe.es/gazeta/dias/1810/10/07/pdfs/GMD-1810-280.pdf#page=3","Abrir facsímil")</f>
        <v>Abrir facsímil</v>
      </c>
      <c r="K8307" s="3" t="s">
        <v>76</v>
      </c>
    </row>
    <row r="8308" spans="1:11" ht="42" customHeight="1">
      <c r="A8308" s="2" t="s">
        <v>20813</v>
      </c>
      <c r="B8308" s="2" t="s">
        <v>20813</v>
      </c>
      <c r="C8308" s="2" t="s">
        <v>225</v>
      </c>
      <c r="D8308" s="2" t="s">
        <v>27</v>
      </c>
      <c r="E8308" s="4">
        <v>-32764</v>
      </c>
      <c r="F8308" s="3" t="s">
        <v>640</v>
      </c>
      <c r="G8308" s="3" t="s">
        <v>641</v>
      </c>
      <c r="H8308" s="2" t="s">
        <v>74</v>
      </c>
      <c r="I8308" s="2" t="s">
        <v>20814</v>
      </c>
      <c r="J8308" s="3" t="str">
        <f>HYPERLINK("https://www.boe.es/gazeta/dias/1810/04/17/pdfs/GEI-1810-15.pdf#page=8","Abrir facsímil")</f>
        <v>Abrir facsímil</v>
      </c>
      <c r="K8308" s="3" t="s">
        <v>76</v>
      </c>
    </row>
    <row r="8309" spans="1:11" ht="42" customHeight="1">
      <c r="A8309" s="2" t="s">
        <v>20815</v>
      </c>
      <c r="B8309" s="2" t="s">
        <v>20816</v>
      </c>
      <c r="C8309" s="2" t="s">
        <v>26</v>
      </c>
      <c r="D8309" s="2" t="s">
        <v>27</v>
      </c>
      <c r="E8309" s="4">
        <v>-32761</v>
      </c>
      <c r="F8309" s="3" t="s">
        <v>811</v>
      </c>
      <c r="G8309" s="3" t="s">
        <v>119</v>
      </c>
      <c r="H8309" s="2" t="s">
        <v>74</v>
      </c>
      <c r="I8309" s="2" t="s">
        <v>20817</v>
      </c>
      <c r="J8309" s="3" t="str">
        <f>HYPERLINK("https://www.boe.es/gazeta/dias/1810/04/20/pdfs/GEI-1810-16.pdf#page=7","Abrir facsímil")</f>
        <v>Abrir facsímil</v>
      </c>
      <c r="K8309" s="3" t="s">
        <v>76</v>
      </c>
    </row>
    <row r="8310" spans="1:11" ht="42" customHeight="1">
      <c r="A8310" s="2" t="s">
        <v>20815</v>
      </c>
      <c r="B8310" s="2" t="s">
        <v>20816</v>
      </c>
      <c r="C8310" s="2" t="s">
        <v>26</v>
      </c>
      <c r="D8310" s="2" t="s">
        <v>27</v>
      </c>
      <c r="E8310" s="4">
        <v>-32652</v>
      </c>
      <c r="F8310" s="3" t="s">
        <v>3295</v>
      </c>
      <c r="G8310" s="3" t="s">
        <v>7424</v>
      </c>
      <c r="H8310" s="2" t="s">
        <v>74</v>
      </c>
      <c r="I8310" s="2" t="s">
        <v>20818</v>
      </c>
      <c r="J8310" s="3" t="str">
        <f>HYPERLINK("https://www.boe.es/gazeta/dias/1810/08/07/pdfs/GEI-1810-52.pdf#page=8","Abrir facsímil")</f>
        <v>Abrir facsímil</v>
      </c>
      <c r="K8310" s="3" t="s">
        <v>76</v>
      </c>
    </row>
    <row r="8311" spans="1:11" ht="42" customHeight="1">
      <c r="A8311" s="2" t="s">
        <v>20815</v>
      </c>
      <c r="B8311" s="2" t="s">
        <v>20816</v>
      </c>
      <c r="C8311" s="2" t="s">
        <v>26</v>
      </c>
      <c r="D8311" s="2" t="s">
        <v>18</v>
      </c>
      <c r="E8311" s="4">
        <v>-32617</v>
      </c>
      <c r="F8311" s="3" t="s">
        <v>1459</v>
      </c>
      <c r="G8311" s="3" t="s">
        <v>9153</v>
      </c>
      <c r="H8311" s="2" t="s">
        <v>74</v>
      </c>
      <c r="I8311" s="2" t="s">
        <v>20819</v>
      </c>
      <c r="J8311" s="3" t="str">
        <f>HYPERLINK("https://www.boe.es/gazeta/dias/1810/09/11/pdfs/GEI-1810-66.pdf#page=8","Abrir facsímil")</f>
        <v>Abrir facsímil</v>
      </c>
      <c r="K8311" s="3" t="s">
        <v>76</v>
      </c>
    </row>
    <row r="8312" spans="1:11" ht="42" customHeight="1">
      <c r="A8312" s="2" t="s">
        <v>20815</v>
      </c>
      <c r="B8312" s="2" t="s">
        <v>20816</v>
      </c>
      <c r="C8312" s="2" t="s">
        <v>33</v>
      </c>
      <c r="D8312" s="2" t="s">
        <v>27</v>
      </c>
      <c r="E8312" s="4">
        <v>-32582</v>
      </c>
      <c r="F8312" s="3" t="s">
        <v>3849</v>
      </c>
      <c r="G8312" s="3" t="s">
        <v>1347</v>
      </c>
      <c r="H8312" s="2" t="s">
        <v>74</v>
      </c>
      <c r="I8312" s="2" t="s">
        <v>20820</v>
      </c>
      <c r="J8312" s="3" t="str">
        <f>HYPERLINK("https://www.boe.es/gazeta/dias/1810/10/16/pdfs/GEI-1810-82.pdf#page=7","Abrir facsímil")</f>
        <v>Abrir facsímil</v>
      </c>
      <c r="K8312" s="3" t="s">
        <v>76</v>
      </c>
    </row>
    <row r="8313" spans="1:11" ht="42" customHeight="1">
      <c r="A8313" s="2" t="s">
        <v>20821</v>
      </c>
      <c r="B8313" s="2" t="s">
        <v>20822</v>
      </c>
      <c r="C8313" s="2" t="s">
        <v>33</v>
      </c>
      <c r="D8313" s="2" t="s">
        <v>18</v>
      </c>
      <c r="E8313" s="4">
        <v>-32733</v>
      </c>
      <c r="F8313" s="3" t="s">
        <v>955</v>
      </c>
      <c r="G8313" s="3" t="s">
        <v>5433</v>
      </c>
      <c r="H8313" s="2" t="s">
        <v>74</v>
      </c>
      <c r="I8313" s="2" t="s">
        <v>20823</v>
      </c>
      <c r="J8313" s="3" t="str">
        <f>HYPERLINK("https://www.boe.es/gazeta/dias/1810/05/18/pdfs/GEI-1810-27.pdf#page=3","Abrir facsímil")</f>
        <v>Abrir facsímil</v>
      </c>
      <c r="K8313" s="3" t="s">
        <v>76</v>
      </c>
    </row>
    <row r="8314" spans="1:11" ht="42" customHeight="1">
      <c r="A8314" s="2" t="s">
        <v>20824</v>
      </c>
      <c r="B8314" s="2" t="s">
        <v>20825</v>
      </c>
      <c r="C8314" s="2" t="s">
        <v>33</v>
      </c>
      <c r="D8314" s="2" t="s">
        <v>27</v>
      </c>
      <c r="E8314" s="4">
        <v>-32510</v>
      </c>
      <c r="F8314" s="3" t="s">
        <v>1955</v>
      </c>
      <c r="G8314" s="3" t="s">
        <v>6209</v>
      </c>
      <c r="H8314" s="2" t="s">
        <v>74</v>
      </c>
      <c r="I8314" s="2" t="s">
        <v>20826</v>
      </c>
      <c r="J8314" s="3" t="str">
        <f>HYPERLINK("https://www.boe.es/gazeta/dias/1810/12/27/pdfs/GEI-1810-113.pdf#page=2","Abrir facsímil")</f>
        <v>Abrir facsímil</v>
      </c>
      <c r="K8314" s="3" t="s">
        <v>76</v>
      </c>
    </row>
    <row r="8315" spans="1:11" ht="42" customHeight="1">
      <c r="A8315" s="2" t="s">
        <v>20827</v>
      </c>
      <c r="B8315" s="2" t="s">
        <v>20828</v>
      </c>
      <c r="C8315" s="2" t="s">
        <v>88</v>
      </c>
      <c r="D8315" s="2" t="s">
        <v>117</v>
      </c>
      <c r="E8315" s="4">
        <v>-32820</v>
      </c>
      <c r="F8315" s="3" t="s">
        <v>226</v>
      </c>
      <c r="G8315" s="3" t="s">
        <v>356</v>
      </c>
      <c r="H8315" s="2" t="s">
        <v>74</v>
      </c>
      <c r="I8315" s="2" t="s">
        <v>20829</v>
      </c>
      <c r="J8315" s="3" t="str">
        <f>HYPERLINK("https://www.boe.es/gazeta/dias/1810/02/20/pdfs/GMD-1810-51.pdf#page=3","Abrir facsímil")</f>
        <v>Abrir facsímil</v>
      </c>
      <c r="K8315" s="3" t="s">
        <v>76</v>
      </c>
    </row>
    <row r="8316" spans="1:11" ht="42" customHeight="1">
      <c r="A8316" s="2" t="s">
        <v>20830</v>
      </c>
      <c r="B8316" s="2" t="s">
        <v>20831</v>
      </c>
      <c r="C8316" s="2" t="s">
        <v>26</v>
      </c>
      <c r="D8316" s="2" t="s">
        <v>39</v>
      </c>
      <c r="E8316" s="4">
        <v>-32669</v>
      </c>
      <c r="F8316" s="3" t="s">
        <v>1110</v>
      </c>
      <c r="G8316" s="3" t="s">
        <v>473</v>
      </c>
      <c r="H8316" s="2" t="s">
        <v>74</v>
      </c>
      <c r="I8316" s="2" t="s">
        <v>20832</v>
      </c>
      <c r="J8316" s="3" t="str">
        <f>HYPERLINK("https://www.boe.es/gazeta/dias/1810/07/21/pdfs/GMD-C-1810-202.pdf#page=3","Abrir facsímil")</f>
        <v>Abrir facsímil</v>
      </c>
      <c r="K8316" s="3" t="s">
        <v>76</v>
      </c>
    </row>
    <row r="8317" spans="1:11" ht="42" customHeight="1">
      <c r="A8317" s="2" t="s">
        <v>20833</v>
      </c>
      <c r="B8317" s="2" t="s">
        <v>20834</v>
      </c>
      <c r="C8317" s="2" t="s">
        <v>26</v>
      </c>
      <c r="D8317" s="2" t="s">
        <v>39</v>
      </c>
      <c r="E8317" s="4">
        <v>-32669</v>
      </c>
      <c r="F8317" s="3" t="s">
        <v>1110</v>
      </c>
      <c r="G8317" s="3" t="s">
        <v>1222</v>
      </c>
      <c r="H8317" s="2" t="s">
        <v>74</v>
      </c>
      <c r="I8317" s="2" t="s">
        <v>20835</v>
      </c>
      <c r="J8317" s="3" t="str">
        <f>HYPERLINK("https://www.boe.es/gazeta/dias/1810/07/21/pdfs/GMD-C-1810-202.pdf#page=2","Abrir facsímil")</f>
        <v>Abrir facsímil</v>
      </c>
      <c r="K8317" s="3" t="s">
        <v>76</v>
      </c>
    </row>
    <row r="8318" spans="1:11" ht="42" customHeight="1">
      <c r="A8318" s="2" t="s">
        <v>20833</v>
      </c>
      <c r="B8318" s="2" t="s">
        <v>20834</v>
      </c>
      <c r="C8318" s="2" t="s">
        <v>26</v>
      </c>
      <c r="D8318" s="2" t="s">
        <v>39</v>
      </c>
      <c r="E8318" s="4">
        <v>-32669</v>
      </c>
      <c r="F8318" s="3" t="s">
        <v>1110</v>
      </c>
      <c r="G8318" s="3" t="s">
        <v>473</v>
      </c>
      <c r="H8318" s="2" t="s">
        <v>74</v>
      </c>
      <c r="I8318" s="2" t="s">
        <v>20836</v>
      </c>
      <c r="J8318" s="3" t="str">
        <f>HYPERLINK("https://www.boe.es/gazeta/dias/1810/07/21/pdfs/GMD-C-1810-202.pdf#page=3","Abrir facsímil")</f>
        <v>Abrir facsímil</v>
      </c>
      <c r="K8318" s="3" t="s">
        <v>76</v>
      </c>
    </row>
    <row r="8319" spans="1:11" ht="42" customHeight="1">
      <c r="A8319" s="2" t="s">
        <v>20837</v>
      </c>
      <c r="B8319" s="2" t="s">
        <v>20837</v>
      </c>
      <c r="C8319" s="2" t="s">
        <v>88</v>
      </c>
      <c r="D8319" s="2" t="s">
        <v>117</v>
      </c>
      <c r="E8319" s="4">
        <v>-32865</v>
      </c>
      <c r="F8319" s="3" t="s">
        <v>4391</v>
      </c>
      <c r="G8319" s="3" t="s">
        <v>70</v>
      </c>
      <c r="H8319" s="2" t="s">
        <v>74</v>
      </c>
      <c r="I8319" s="2" t="s">
        <v>20838</v>
      </c>
      <c r="J8319" s="3" t="str">
        <f>HYPERLINK("https://www.boe.es/gazeta/dias/1810/01/06/pdfs/GGB-1810-3.pdf#page=6","Abrir facsímil")</f>
        <v>Abrir facsímil</v>
      </c>
      <c r="K8319" s="3" t="s">
        <v>76</v>
      </c>
    </row>
    <row r="8320" spans="1:11" ht="42" customHeight="1">
      <c r="A8320" s="2" t="s">
        <v>20839</v>
      </c>
      <c r="B8320" s="2" t="s">
        <v>20840</v>
      </c>
      <c r="C8320" s="2" t="s">
        <v>88</v>
      </c>
      <c r="D8320" s="2" t="s">
        <v>27</v>
      </c>
      <c r="E8320" s="4">
        <v>-32710</v>
      </c>
      <c r="F8320" s="3" t="s">
        <v>126</v>
      </c>
      <c r="G8320" s="3" t="s">
        <v>20</v>
      </c>
      <c r="H8320" s="2" t="s">
        <v>74</v>
      </c>
      <c r="I8320" s="2" t="s">
        <v>20841</v>
      </c>
      <c r="J8320" s="3" t="str">
        <f>HYPERLINK("https://www.boe.es/gazeta/dias/1810/06/10/pdfs/GMD-1810-161.pdf#page=4","Abrir facsímil")</f>
        <v>Abrir facsímil</v>
      </c>
      <c r="K8320" s="3" t="s">
        <v>76</v>
      </c>
    </row>
    <row r="8321" spans="1:11" ht="42" customHeight="1">
      <c r="A8321" s="2" t="s">
        <v>20842</v>
      </c>
      <c r="B8321" s="2" t="s">
        <v>20842</v>
      </c>
      <c r="C8321" s="2" t="s">
        <v>26</v>
      </c>
      <c r="D8321" s="2" t="s">
        <v>27</v>
      </c>
      <c r="E8321" s="4">
        <v>-32803</v>
      </c>
      <c r="F8321" s="3" t="s">
        <v>4052</v>
      </c>
      <c r="G8321" s="3" t="s">
        <v>695</v>
      </c>
      <c r="H8321" s="2" t="s">
        <v>74</v>
      </c>
      <c r="I8321" s="2" t="s">
        <v>20843</v>
      </c>
      <c r="J8321" s="3" t="str">
        <f>HYPERLINK("https://www.boe.es/gazeta/dias/1810/03/09/pdfs/GMD-1810-68.pdf#page=4","Abrir facsímil")</f>
        <v>Abrir facsímil</v>
      </c>
      <c r="K8321" s="3" t="s">
        <v>76</v>
      </c>
    </row>
    <row r="8322" spans="1:11" ht="42" customHeight="1">
      <c r="A8322" s="2" t="s">
        <v>20844</v>
      </c>
      <c r="B8322" s="2" t="s">
        <v>20845</v>
      </c>
      <c r="C8322" s="2" t="s">
        <v>26</v>
      </c>
      <c r="D8322" s="2" t="s">
        <v>39</v>
      </c>
      <c r="E8322" s="4">
        <v>-32669</v>
      </c>
      <c r="F8322" s="3" t="s">
        <v>1110</v>
      </c>
      <c r="G8322" s="3" t="s">
        <v>213</v>
      </c>
      <c r="H8322" s="2" t="s">
        <v>74</v>
      </c>
      <c r="I8322" s="2" t="s">
        <v>20846</v>
      </c>
      <c r="J8322" s="3" t="str">
        <f>HYPERLINK("https://www.boe.es/gazeta/dias/1810/07/21/pdfs/GMD-C-1810-202.pdf#page=1","Abrir facsímil")</f>
        <v>Abrir facsímil</v>
      </c>
      <c r="K8322" s="3" t="s">
        <v>76</v>
      </c>
    </row>
    <row r="8323" spans="1:11" ht="42" customHeight="1">
      <c r="A8323" s="2" t="s">
        <v>20847</v>
      </c>
      <c r="B8323" s="2" t="s">
        <v>20847</v>
      </c>
      <c r="C8323" s="2" t="s">
        <v>88</v>
      </c>
      <c r="D8323" s="2" t="s">
        <v>27</v>
      </c>
      <c r="E8323" s="4">
        <v>-32608</v>
      </c>
      <c r="F8323" s="3" t="s">
        <v>150</v>
      </c>
      <c r="G8323" s="3" t="s">
        <v>151</v>
      </c>
      <c r="H8323" s="2" t="s">
        <v>74</v>
      </c>
      <c r="I8323" s="2" t="s">
        <v>20848</v>
      </c>
      <c r="J8323" s="3" t="str">
        <f>HYPERLINK("https://www.boe.es/gazeta/dias/1810/09/20/pdfs/GMD-1810-263.pdf#page=3","Abrir facsímil")</f>
        <v>Abrir facsímil</v>
      </c>
      <c r="K8323" s="3" t="s">
        <v>76</v>
      </c>
    </row>
    <row r="8324" spans="1:11" ht="42" customHeight="1">
      <c r="A8324" s="2" t="s">
        <v>20849</v>
      </c>
      <c r="B8324" s="2" t="s">
        <v>20850</v>
      </c>
      <c r="C8324" s="2" t="s">
        <v>26</v>
      </c>
      <c r="D8324" s="2" t="s">
        <v>27</v>
      </c>
      <c r="E8324" s="4">
        <v>-32568</v>
      </c>
      <c r="F8324" s="3" t="s">
        <v>683</v>
      </c>
      <c r="G8324" s="3" t="s">
        <v>465</v>
      </c>
      <c r="H8324" s="2" t="s">
        <v>74</v>
      </c>
      <c r="I8324" s="2" t="s">
        <v>20851</v>
      </c>
      <c r="J8324" s="3" t="str">
        <f>HYPERLINK("https://www.boe.es/gazeta/dias/1810/10/30/pdfs/GEI-1810-88.pdf#page=8","Abrir facsímil")</f>
        <v>Abrir facsímil</v>
      </c>
      <c r="K8324" s="3" t="s">
        <v>76</v>
      </c>
    </row>
    <row r="8325" spans="1:11" ht="42" customHeight="1">
      <c r="A8325" s="2" t="s">
        <v>20852</v>
      </c>
      <c r="B8325" s="2" t="s">
        <v>20853</v>
      </c>
      <c r="C8325" s="2" t="s">
        <v>225</v>
      </c>
      <c r="D8325" s="2" t="s">
        <v>18</v>
      </c>
      <c r="E8325" s="4">
        <v>-32719</v>
      </c>
      <c r="F8325" s="3" t="s">
        <v>5543</v>
      </c>
      <c r="G8325" s="3" t="s">
        <v>1616</v>
      </c>
      <c r="H8325" s="2" t="s">
        <v>74</v>
      </c>
      <c r="I8325" s="2" t="s">
        <v>20854</v>
      </c>
      <c r="J8325" s="3" t="str">
        <f>HYPERLINK("https://www.boe.es/gazeta/dias/1810/06/01/pdfs/GEI-1810-32.pdf#page=8","Abrir facsímil")</f>
        <v>Abrir facsímil</v>
      </c>
      <c r="K8325" s="3" t="s">
        <v>76</v>
      </c>
    </row>
    <row r="8326" spans="1:11" ht="42" customHeight="1">
      <c r="A8326" s="2" t="s">
        <v>20855</v>
      </c>
      <c r="B8326" s="2" t="s">
        <v>20856</v>
      </c>
      <c r="C8326" s="2" t="s">
        <v>88</v>
      </c>
      <c r="D8326" s="2" t="s">
        <v>117</v>
      </c>
      <c r="E8326" s="4">
        <v>-32764</v>
      </c>
      <c r="F8326" s="3" t="s">
        <v>640</v>
      </c>
      <c r="G8326" s="3" t="s">
        <v>4676</v>
      </c>
      <c r="H8326" s="2" t="s">
        <v>74</v>
      </c>
      <c r="I8326" s="2" t="s">
        <v>20857</v>
      </c>
      <c r="J8326" s="3" t="str">
        <f>HYPERLINK("https://www.boe.es/gazeta/dias/1810/04/17/pdfs/GEI-1810-15.pdf#page=5","Abrir facsímil")</f>
        <v>Abrir facsímil</v>
      </c>
      <c r="K8326" s="3" t="s">
        <v>76</v>
      </c>
    </row>
    <row r="8327" spans="1:11" ht="42" customHeight="1">
      <c r="A8327" s="2" t="s">
        <v>20858</v>
      </c>
      <c r="B8327" s="2" t="s">
        <v>20859</v>
      </c>
      <c r="C8327" s="2" t="s">
        <v>26</v>
      </c>
      <c r="D8327" s="2" t="s">
        <v>39</v>
      </c>
      <c r="E8327" s="4">
        <v>-32698</v>
      </c>
      <c r="F8327" s="3" t="s">
        <v>2657</v>
      </c>
      <c r="G8327" s="3" t="s">
        <v>3327</v>
      </c>
      <c r="H8327" s="2" t="s">
        <v>74</v>
      </c>
      <c r="I8327" s="2" t="s">
        <v>20860</v>
      </c>
      <c r="J8327" s="3" t="str">
        <f>HYPERLINK("https://www.boe.es/gazeta/dias/1810/06/22/pdfs/GEI-D-1810-38.pdf#page=2","Abrir facsímil")</f>
        <v>Abrir facsímil</v>
      </c>
      <c r="K8327" s="3" t="s">
        <v>76</v>
      </c>
    </row>
    <row r="8328" spans="1:11" ht="42" customHeight="1">
      <c r="A8328" s="2" t="s">
        <v>20861</v>
      </c>
      <c r="B8328" s="2" t="s">
        <v>20861</v>
      </c>
      <c r="C8328" s="2" t="s">
        <v>26</v>
      </c>
      <c r="D8328" s="2" t="s">
        <v>27</v>
      </c>
      <c r="E8328" s="4">
        <v>-32687</v>
      </c>
      <c r="F8328" s="3" t="s">
        <v>221</v>
      </c>
      <c r="G8328" s="3" t="s">
        <v>4739</v>
      </c>
      <c r="H8328" s="2" t="s">
        <v>74</v>
      </c>
      <c r="I8328" s="2" t="s">
        <v>20862</v>
      </c>
      <c r="J8328" s="3" t="str">
        <f>HYPERLINK("https://www.boe.es/gazeta/dias/1810/07/03/pdfs/GMD-1810-184.pdf#page=3","Abrir facsímil")</f>
        <v>Abrir facsímil</v>
      </c>
      <c r="K8328" s="3" t="s">
        <v>76</v>
      </c>
    </row>
    <row r="8329" spans="1:11" ht="42" customHeight="1">
      <c r="A8329" s="2" t="s">
        <v>20863</v>
      </c>
      <c r="B8329" s="2" t="s">
        <v>20864</v>
      </c>
      <c r="C8329" s="2" t="s">
        <v>88</v>
      </c>
      <c r="D8329" s="2" t="s">
        <v>27</v>
      </c>
      <c r="E8329" s="4">
        <v>-32764</v>
      </c>
      <c r="F8329" s="3" t="s">
        <v>640</v>
      </c>
      <c r="G8329" s="3" t="s">
        <v>641</v>
      </c>
      <c r="H8329" s="2" t="s">
        <v>74</v>
      </c>
      <c r="I8329" s="2" t="s">
        <v>20865</v>
      </c>
      <c r="J8329" s="3" t="str">
        <f>HYPERLINK("https://www.boe.es/gazeta/dias/1810/04/17/pdfs/GEI-1810-15.pdf#page=8","Abrir facsímil")</f>
        <v>Abrir facsímil</v>
      </c>
      <c r="K8329" s="3" t="s">
        <v>76</v>
      </c>
    </row>
    <row r="8330" spans="1:11" ht="42" customHeight="1">
      <c r="A8330" s="2" t="s">
        <v>20866</v>
      </c>
      <c r="B8330" s="2" t="s">
        <v>20866</v>
      </c>
      <c r="C8330" s="2" t="s">
        <v>88</v>
      </c>
      <c r="D8330" s="2" t="s">
        <v>27</v>
      </c>
      <c r="E8330" s="4">
        <v>-32768</v>
      </c>
      <c r="F8330" s="3" t="s">
        <v>1930</v>
      </c>
      <c r="G8330" s="3" t="s">
        <v>4202</v>
      </c>
      <c r="H8330" s="2" t="s">
        <v>74</v>
      </c>
      <c r="I8330" s="2" t="s">
        <v>20867</v>
      </c>
      <c r="J8330" s="3" t="str">
        <f>HYPERLINK("https://www.boe.es/gazeta/dias/1810/04/13/pdfs/GEI-1810-14.pdf#page=5","Abrir facsímil")</f>
        <v>Abrir facsímil</v>
      </c>
      <c r="K8330" s="3" t="s">
        <v>76</v>
      </c>
    </row>
    <row r="8331" spans="1:11" ht="42" customHeight="1">
      <c r="A8331" s="2" t="s">
        <v>20866</v>
      </c>
      <c r="B8331" s="2" t="s">
        <v>20866</v>
      </c>
      <c r="C8331" s="2" t="s">
        <v>88</v>
      </c>
      <c r="D8331" s="2" t="s">
        <v>27</v>
      </c>
      <c r="E8331" s="4">
        <v>-32712</v>
      </c>
      <c r="F8331" s="3" t="s">
        <v>667</v>
      </c>
      <c r="G8331" s="3" t="s">
        <v>20868</v>
      </c>
      <c r="H8331" s="2" t="s">
        <v>74</v>
      </c>
      <c r="I8331" s="2" t="s">
        <v>20869</v>
      </c>
      <c r="J8331" s="3" t="str">
        <f>HYPERLINK("https://www.boe.es/gazeta/dias/1810/06/08/pdfs/GEI-1810-34.pdf#page=1","Abrir facsímil")</f>
        <v>Abrir facsímil</v>
      </c>
      <c r="K8331" s="3" t="s">
        <v>76</v>
      </c>
    </row>
    <row r="8332" spans="1:11" ht="42" customHeight="1">
      <c r="A8332" s="2" t="s">
        <v>20870</v>
      </c>
      <c r="B8332" s="2" t="s">
        <v>20871</v>
      </c>
      <c r="C8332" s="2" t="s">
        <v>26</v>
      </c>
      <c r="D8332" s="2" t="s">
        <v>27</v>
      </c>
      <c r="E8332" s="4">
        <v>-32669</v>
      </c>
      <c r="F8332" s="3" t="s">
        <v>217</v>
      </c>
      <c r="G8332" s="3" t="s">
        <v>29</v>
      </c>
      <c r="H8332" s="2" t="s">
        <v>74</v>
      </c>
      <c r="I8332" s="2" t="s">
        <v>20872</v>
      </c>
      <c r="J8332" s="3" t="str">
        <f>HYPERLINK("https://www.boe.es/gazeta/dias/1810/07/21/pdfs/GMD-1810-202.pdf#page=3","Abrir facsímil")</f>
        <v>Abrir facsímil</v>
      </c>
      <c r="K8332" s="3" t="s">
        <v>76</v>
      </c>
    </row>
    <row r="8333" spans="1:11" ht="42" customHeight="1">
      <c r="A8333" s="2" t="s">
        <v>20873</v>
      </c>
      <c r="B8333" s="2" t="s">
        <v>20874</v>
      </c>
      <c r="C8333" s="2" t="s">
        <v>88</v>
      </c>
      <c r="D8333" s="2" t="s">
        <v>220</v>
      </c>
      <c r="E8333" s="4">
        <v>-32856</v>
      </c>
      <c r="F8333" s="3" t="s">
        <v>963</v>
      </c>
      <c r="G8333" s="3" t="s">
        <v>140</v>
      </c>
      <c r="H8333" s="2" t="s">
        <v>74</v>
      </c>
      <c r="I8333" s="2" t="s">
        <v>20875</v>
      </c>
      <c r="J8333" s="3" t="str">
        <f>HYPERLINK("https://www.boe.es/gazeta/dias/1810/01/15/pdfs/GMD-1810-15.pdf#page=1","Abrir facsímil")</f>
        <v>Abrir facsímil</v>
      </c>
      <c r="K8333" s="3" t="s">
        <v>76</v>
      </c>
    </row>
    <row r="8334" spans="1:11" ht="42" customHeight="1">
      <c r="A8334" s="2" t="s">
        <v>20876</v>
      </c>
      <c r="B8334" s="2" t="s">
        <v>20877</v>
      </c>
      <c r="C8334" s="2" t="s">
        <v>317</v>
      </c>
      <c r="D8334" s="2" t="s">
        <v>27</v>
      </c>
      <c r="E8334" s="4">
        <v>-32537</v>
      </c>
      <c r="F8334" s="3" t="s">
        <v>1091</v>
      </c>
      <c r="G8334" s="3" t="s">
        <v>20</v>
      </c>
      <c r="H8334" s="2" t="s">
        <v>74</v>
      </c>
      <c r="I8334" s="2" t="s">
        <v>20878</v>
      </c>
      <c r="J8334" s="3" t="str">
        <f>HYPERLINK("https://www.boe.es/gazeta/dias/1810/11/30/pdfs/GMD-1810-334.pdf#page=4","Abrir facsímil")</f>
        <v>Abrir facsímil</v>
      </c>
      <c r="K8334" s="3" t="s">
        <v>76</v>
      </c>
    </row>
    <row r="8335" spans="1:11" ht="42" customHeight="1">
      <c r="A8335" s="2" t="s">
        <v>20879</v>
      </c>
      <c r="B8335" s="2" t="s">
        <v>20880</v>
      </c>
      <c r="C8335" s="2" t="s">
        <v>225</v>
      </c>
      <c r="D8335" s="2" t="s">
        <v>27</v>
      </c>
      <c r="E8335" s="4">
        <v>-32509</v>
      </c>
      <c r="F8335" s="3" t="s">
        <v>212</v>
      </c>
      <c r="G8335" s="3" t="s">
        <v>213</v>
      </c>
      <c r="H8335" s="2" t="s">
        <v>74</v>
      </c>
      <c r="I8335" s="2" t="s">
        <v>20881</v>
      </c>
      <c r="J8335" s="3" t="str">
        <f>HYPERLINK("https://www.boe.es/gazeta/dias/1810/12/28/pdfs/GMD-1810-362.pdf#page=4","Abrir facsímil")</f>
        <v>Abrir facsímil</v>
      </c>
      <c r="K8335" s="3" t="s">
        <v>76</v>
      </c>
    </row>
    <row r="8336" spans="1:11" ht="42" customHeight="1">
      <c r="A8336" s="2" t="s">
        <v>20882</v>
      </c>
      <c r="B8336" s="2" t="s">
        <v>20882</v>
      </c>
      <c r="C8336" s="2" t="s">
        <v>88</v>
      </c>
      <c r="D8336" s="2" t="s">
        <v>27</v>
      </c>
      <c r="E8336" s="4">
        <v>-32696</v>
      </c>
      <c r="F8336" s="3" t="s">
        <v>1863</v>
      </c>
      <c r="G8336" s="3" t="s">
        <v>70</v>
      </c>
      <c r="H8336" s="2" t="s">
        <v>74</v>
      </c>
      <c r="I8336" s="2" t="s">
        <v>20883</v>
      </c>
      <c r="J8336" s="3" t="str">
        <f>HYPERLINK("https://www.boe.es/gazeta/dias/1810/06/24/pdfs/GMD-1810-175.pdf#page=3","Abrir facsímil")</f>
        <v>Abrir facsímil</v>
      </c>
      <c r="K8336" s="3" t="s">
        <v>76</v>
      </c>
    </row>
    <row r="8337" spans="1:11" ht="42" customHeight="1">
      <c r="A8337" s="2" t="s">
        <v>20884</v>
      </c>
      <c r="B8337" s="2" t="s">
        <v>20884</v>
      </c>
      <c r="C8337" s="2" t="s">
        <v>88</v>
      </c>
      <c r="D8337" s="2" t="s">
        <v>39</v>
      </c>
      <c r="E8337" s="4">
        <v>-32642</v>
      </c>
      <c r="F8337" s="3" t="s">
        <v>2273</v>
      </c>
      <c r="G8337" s="3" t="s">
        <v>20064</v>
      </c>
      <c r="H8337" s="2" t="s">
        <v>74</v>
      </c>
      <c r="I8337" s="2" t="s">
        <v>20885</v>
      </c>
      <c r="J8337" s="3" t="str">
        <f>HYPERLINK("https://www.boe.es/gazeta/dias/1810/08/17/pdfs/GEI-D-1810-57.pdf#page=4","Abrir facsímil")</f>
        <v>Abrir facsímil</v>
      </c>
      <c r="K8337" s="3" t="s">
        <v>76</v>
      </c>
    </row>
    <row r="8338" spans="1:11" ht="42" customHeight="1">
      <c r="A8338" s="2" t="s">
        <v>20884</v>
      </c>
      <c r="B8338" s="2" t="s">
        <v>20884</v>
      </c>
      <c r="C8338" s="2" t="s">
        <v>88</v>
      </c>
      <c r="D8338" s="2" t="s">
        <v>39</v>
      </c>
      <c r="E8338" s="4">
        <v>-32642</v>
      </c>
      <c r="F8338" s="3" t="s">
        <v>2273</v>
      </c>
      <c r="G8338" s="3" t="s">
        <v>20886</v>
      </c>
      <c r="H8338" s="2" t="s">
        <v>74</v>
      </c>
      <c r="I8338" s="2" t="s">
        <v>20887</v>
      </c>
      <c r="J8338" s="3" t="str">
        <f>HYPERLINK("https://www.boe.es/gazeta/dias/1810/08/17/pdfs/GEI-D-1810-57.pdf#page=6","Abrir facsímil")</f>
        <v>Abrir facsímil</v>
      </c>
      <c r="K8338" s="3" t="s">
        <v>76</v>
      </c>
    </row>
    <row r="8339" spans="1:11" ht="42" customHeight="1">
      <c r="A8339" s="2" t="s">
        <v>20884</v>
      </c>
      <c r="B8339" s="2" t="s">
        <v>20884</v>
      </c>
      <c r="C8339" s="2" t="s">
        <v>88</v>
      </c>
      <c r="D8339" s="2" t="s">
        <v>27</v>
      </c>
      <c r="E8339" s="4">
        <v>-32580</v>
      </c>
      <c r="F8339" s="3" t="s">
        <v>2508</v>
      </c>
      <c r="G8339" s="3" t="s">
        <v>1590</v>
      </c>
      <c r="H8339" s="2" t="s">
        <v>74</v>
      </c>
      <c r="I8339" s="2" t="s">
        <v>20888</v>
      </c>
      <c r="J8339" s="3" t="str">
        <f>HYPERLINK("https://www.boe.es/gazeta/dias/1810/10/18/pdfs/GEI-1810-83.pdf#page=2","Abrir facsímil")</f>
        <v>Abrir facsímil</v>
      </c>
      <c r="K8339" s="3" t="s">
        <v>76</v>
      </c>
    </row>
    <row r="8340" spans="1:11" ht="42" customHeight="1">
      <c r="A8340" s="2" t="s">
        <v>20889</v>
      </c>
      <c r="B8340" s="2" t="s">
        <v>20890</v>
      </c>
      <c r="C8340" s="2" t="s">
        <v>88</v>
      </c>
      <c r="D8340" s="2" t="s">
        <v>27</v>
      </c>
      <c r="E8340" s="4">
        <v>-32784</v>
      </c>
      <c r="F8340" s="3" t="s">
        <v>429</v>
      </c>
      <c r="G8340" s="3" t="s">
        <v>1821</v>
      </c>
      <c r="H8340" s="2" t="s">
        <v>74</v>
      </c>
      <c r="I8340" s="2" t="s">
        <v>20891</v>
      </c>
      <c r="J8340" s="3" t="str">
        <f>HYPERLINK("https://www.boe.es/gazeta/dias/1810/03/28/pdfs/GMD-1810-87.pdf#page=4","Abrir facsímil")</f>
        <v>Abrir facsímil</v>
      </c>
      <c r="K8340" s="3" t="s">
        <v>76</v>
      </c>
    </row>
    <row r="8341" spans="1:11" ht="42" customHeight="1">
      <c r="A8341" s="2" t="s">
        <v>20892</v>
      </c>
      <c r="B8341" s="2" t="s">
        <v>20893</v>
      </c>
      <c r="C8341" s="2" t="s">
        <v>88</v>
      </c>
      <c r="D8341" s="2" t="s">
        <v>117</v>
      </c>
      <c r="E8341" s="4">
        <v>-32642</v>
      </c>
      <c r="F8341" s="3" t="s">
        <v>2273</v>
      </c>
      <c r="G8341" s="3" t="s">
        <v>274</v>
      </c>
      <c r="H8341" s="2" t="s">
        <v>74</v>
      </c>
      <c r="I8341" s="2" t="s">
        <v>20894</v>
      </c>
      <c r="J8341" s="3" t="str">
        <f>HYPERLINK("https://www.boe.es/gazeta/dias/1810/08/17/pdfs/GEI-D-1810-57.pdf#page=8","Abrir facsímil")</f>
        <v>Abrir facsímil</v>
      </c>
      <c r="K8341" s="3" t="s">
        <v>76</v>
      </c>
    </row>
    <row r="8342" spans="1:11" ht="42" customHeight="1">
      <c r="A8342" s="2" t="s">
        <v>20895</v>
      </c>
      <c r="B8342" s="2" t="s">
        <v>20895</v>
      </c>
      <c r="C8342" s="2" t="s">
        <v>88</v>
      </c>
      <c r="D8342" s="2" t="s">
        <v>117</v>
      </c>
      <c r="E8342" s="4">
        <v>-32767</v>
      </c>
      <c r="F8342" s="3" t="s">
        <v>1265</v>
      </c>
      <c r="G8342" s="3" t="s">
        <v>1266</v>
      </c>
      <c r="H8342" s="2" t="s">
        <v>74</v>
      </c>
      <c r="I8342" s="2" t="s">
        <v>20896</v>
      </c>
      <c r="J8342" s="3" t="str">
        <f>HYPERLINK("https://www.boe.es/gazeta/dias/1810/04/14/pdfs/GMD-1810-104.pdf#page=4","Abrir facsímil")</f>
        <v>Abrir facsímil</v>
      </c>
      <c r="K8342" s="3" t="s">
        <v>76</v>
      </c>
    </row>
    <row r="8343" spans="1:11" ht="42" customHeight="1">
      <c r="A8343" s="2" t="s">
        <v>20897</v>
      </c>
      <c r="B8343" s="2" t="s">
        <v>20898</v>
      </c>
      <c r="C8343" s="2" t="s">
        <v>26</v>
      </c>
      <c r="D8343" s="2" t="s">
        <v>27</v>
      </c>
      <c r="E8343" s="4">
        <v>-32647</v>
      </c>
      <c r="F8343" s="3" t="s">
        <v>118</v>
      </c>
      <c r="G8343" s="3" t="s">
        <v>119</v>
      </c>
      <c r="H8343" s="2" t="s">
        <v>74</v>
      </c>
      <c r="I8343" s="2" t="s">
        <v>20899</v>
      </c>
      <c r="J8343" s="3" t="str">
        <f>HYPERLINK("https://www.boe.es/gazeta/dias/1810/08/12/pdfs/GMD-1810-224.pdf#page=3","Abrir facsímil")</f>
        <v>Abrir facsímil</v>
      </c>
      <c r="K8343" s="3" t="s">
        <v>76</v>
      </c>
    </row>
    <row r="8344" spans="1:11" ht="42" customHeight="1">
      <c r="A8344" s="2" t="s">
        <v>20900</v>
      </c>
      <c r="B8344" s="2" t="s">
        <v>20901</v>
      </c>
      <c r="C8344" s="2" t="s">
        <v>225</v>
      </c>
      <c r="D8344" s="2" t="s">
        <v>18</v>
      </c>
      <c r="E8344" s="4">
        <v>-32538</v>
      </c>
      <c r="F8344" s="3" t="s">
        <v>1949</v>
      </c>
      <c r="G8344" s="3" t="s">
        <v>213</v>
      </c>
      <c r="H8344" s="2" t="s">
        <v>74</v>
      </c>
      <c r="I8344" s="2" t="s">
        <v>20902</v>
      </c>
      <c r="J8344" s="3" t="str">
        <f>HYPERLINK("https://www.boe.es/gazeta/dias/1810/11/29/pdfs/GEI-1810-101.pdf#page=8","Abrir facsímil")</f>
        <v>Abrir facsímil</v>
      </c>
      <c r="K8344" s="3" t="s">
        <v>76</v>
      </c>
    </row>
    <row r="8345" spans="1:11" ht="42" customHeight="1">
      <c r="A8345" s="2" t="s">
        <v>20903</v>
      </c>
      <c r="B8345" s="2" t="s">
        <v>20904</v>
      </c>
      <c r="C8345" s="2" t="s">
        <v>33</v>
      </c>
      <c r="D8345" s="2" t="s">
        <v>27</v>
      </c>
      <c r="E8345" s="4">
        <v>-32761</v>
      </c>
      <c r="F8345" s="3" t="s">
        <v>811</v>
      </c>
      <c r="G8345" s="3" t="s">
        <v>119</v>
      </c>
      <c r="H8345" s="2" t="s">
        <v>74</v>
      </c>
      <c r="I8345" s="2" t="s">
        <v>20905</v>
      </c>
      <c r="J8345" s="3" t="str">
        <f>HYPERLINK("https://www.boe.es/gazeta/dias/1810/04/20/pdfs/GEI-1810-16.pdf#page=7","Abrir facsímil")</f>
        <v>Abrir facsímil</v>
      </c>
      <c r="K8345" s="3" t="s">
        <v>76</v>
      </c>
    </row>
    <row r="8346" spans="1:11" ht="42" customHeight="1">
      <c r="A8346" s="2" t="s">
        <v>20906</v>
      </c>
      <c r="B8346" s="2" t="s">
        <v>20907</v>
      </c>
      <c r="C8346" s="2" t="s">
        <v>26</v>
      </c>
      <c r="D8346" s="2" t="s">
        <v>27</v>
      </c>
      <c r="E8346" s="4">
        <v>-32557</v>
      </c>
      <c r="F8346" s="3" t="s">
        <v>837</v>
      </c>
      <c r="G8346" s="3" t="s">
        <v>2073</v>
      </c>
      <c r="H8346" s="2" t="s">
        <v>74</v>
      </c>
      <c r="I8346" s="2" t="s">
        <v>20908</v>
      </c>
      <c r="J8346" s="3" t="str">
        <f>HYPERLINK("https://www.boe.es/gazeta/dias/1810/11/10/pdfs/GEI-1810-93.pdf#page=7","Abrir facsímil")</f>
        <v>Abrir facsímil</v>
      </c>
      <c r="K8346" s="3" t="s">
        <v>76</v>
      </c>
    </row>
    <row r="8347" spans="1:11" ht="42" customHeight="1">
      <c r="A8347" s="2" t="s">
        <v>20909</v>
      </c>
      <c r="B8347" s="2" t="s">
        <v>20910</v>
      </c>
      <c r="C8347" s="2" t="s">
        <v>26</v>
      </c>
      <c r="D8347" s="2" t="s">
        <v>27</v>
      </c>
      <c r="E8347" s="4">
        <v>-32591</v>
      </c>
      <c r="F8347" s="3" t="s">
        <v>377</v>
      </c>
      <c r="G8347" s="3" t="s">
        <v>136</v>
      </c>
      <c r="H8347" s="2" t="s">
        <v>74</v>
      </c>
      <c r="I8347" s="2" t="s">
        <v>20911</v>
      </c>
      <c r="J8347" s="3" t="str">
        <f>HYPERLINK("https://www.boe.es/gazeta/dias/1810/10/07/pdfs/GMD-1810-280.pdf#page=3","Abrir facsímil")</f>
        <v>Abrir facsímil</v>
      </c>
      <c r="K8347" s="3" t="s">
        <v>76</v>
      </c>
    </row>
    <row r="8348" spans="1:11" ht="42" customHeight="1">
      <c r="A8348" s="2" t="s">
        <v>20912</v>
      </c>
      <c r="B8348" s="2" t="s">
        <v>20912</v>
      </c>
      <c r="C8348" s="2" t="s">
        <v>88</v>
      </c>
      <c r="D8348" s="2" t="s">
        <v>18</v>
      </c>
      <c r="E8348" s="4">
        <v>-32793</v>
      </c>
      <c r="F8348" s="3" t="s">
        <v>1619</v>
      </c>
      <c r="G8348" s="3" t="s">
        <v>971</v>
      </c>
      <c r="H8348" s="2" t="s">
        <v>74</v>
      </c>
      <c r="I8348" s="2" t="s">
        <v>20913</v>
      </c>
      <c r="J8348" s="3" t="str">
        <f>HYPERLINK("https://www.boe.es/gazeta/dias/1810/03/19/pdfs/GMD-1810-78.pdf#page=4","Abrir facsímil")</f>
        <v>Abrir facsímil</v>
      </c>
      <c r="K8348" s="3" t="s">
        <v>76</v>
      </c>
    </row>
    <row r="8349" spans="1:11" ht="42" customHeight="1">
      <c r="A8349" s="2" t="s">
        <v>20912</v>
      </c>
      <c r="B8349" s="2" t="s">
        <v>20912</v>
      </c>
      <c r="C8349" s="2" t="s">
        <v>88</v>
      </c>
      <c r="D8349" s="2" t="s">
        <v>18</v>
      </c>
      <c r="E8349" s="4">
        <v>-32698</v>
      </c>
      <c r="F8349" s="3" t="s">
        <v>2657</v>
      </c>
      <c r="G8349" s="3" t="s">
        <v>1667</v>
      </c>
      <c r="H8349" s="2" t="s">
        <v>74</v>
      </c>
      <c r="I8349" s="2" t="s">
        <v>20914</v>
      </c>
      <c r="J8349" s="3" t="str">
        <f>HYPERLINK("https://www.boe.es/gazeta/dias/1810/06/22/pdfs/GEI-D-1810-38.pdf#page=1","Abrir facsímil")</f>
        <v>Abrir facsímil</v>
      </c>
      <c r="K8349" s="3" t="s">
        <v>76</v>
      </c>
    </row>
    <row r="8350" spans="1:11" ht="42" customHeight="1">
      <c r="A8350" s="2" t="s">
        <v>20912</v>
      </c>
      <c r="B8350" s="2" t="s">
        <v>20912</v>
      </c>
      <c r="C8350" s="2" t="s">
        <v>88</v>
      </c>
      <c r="D8350" s="2" t="s">
        <v>27</v>
      </c>
      <c r="E8350" s="4">
        <v>-32529</v>
      </c>
      <c r="F8350" s="3" t="s">
        <v>112</v>
      </c>
      <c r="G8350" s="3" t="s">
        <v>2184</v>
      </c>
      <c r="H8350" s="2" t="s">
        <v>74</v>
      </c>
      <c r="I8350" s="2" t="s">
        <v>20915</v>
      </c>
      <c r="J8350" s="3" t="str">
        <f>HYPERLINK("https://www.boe.es/gazeta/dias/1810/12/08/pdfs/GEI-1810-105.pdf#page=7","Abrir facsímil")</f>
        <v>Abrir facsímil</v>
      </c>
      <c r="K8350" s="3" t="s">
        <v>76</v>
      </c>
    </row>
    <row r="8351" spans="1:11" ht="42" customHeight="1">
      <c r="A8351" s="2" t="s">
        <v>20916</v>
      </c>
      <c r="B8351" s="2" t="s">
        <v>20917</v>
      </c>
      <c r="C8351" s="2" t="s">
        <v>26</v>
      </c>
      <c r="D8351" s="2" t="s">
        <v>27</v>
      </c>
      <c r="E8351" s="4">
        <v>-32684</v>
      </c>
      <c r="F8351" s="3" t="s">
        <v>1373</v>
      </c>
      <c r="G8351" s="3" t="s">
        <v>1374</v>
      </c>
      <c r="H8351" s="2" t="s">
        <v>74</v>
      </c>
      <c r="I8351" s="2" t="s">
        <v>20918</v>
      </c>
      <c r="J8351" s="3" t="str">
        <f>HYPERLINK("https://www.boe.es/gazeta/dias/1810/07/06/pdfs/GEI-1810-42.pdf#page=8","Abrir facsímil")</f>
        <v>Abrir facsímil</v>
      </c>
      <c r="K8351" s="3" t="s">
        <v>76</v>
      </c>
    </row>
    <row r="8352" spans="1:11" ht="42" customHeight="1">
      <c r="A8352" s="2" t="s">
        <v>20919</v>
      </c>
      <c r="B8352" s="2" t="s">
        <v>20920</v>
      </c>
      <c r="C8352" s="2" t="s">
        <v>26</v>
      </c>
      <c r="D8352" s="2" t="s">
        <v>18</v>
      </c>
      <c r="E8352" s="4">
        <v>-32701</v>
      </c>
      <c r="F8352" s="3" t="s">
        <v>40</v>
      </c>
      <c r="G8352" s="3" t="s">
        <v>333</v>
      </c>
      <c r="H8352" s="2" t="s">
        <v>74</v>
      </c>
      <c r="I8352" s="2" t="s">
        <v>20921</v>
      </c>
      <c r="J8352" s="3" t="str">
        <f>HYPERLINK("https://www.boe.es/gazeta/dias/1810/06/19/pdfs/GMD-C-1810-170.pdf#page=4","Abrir facsímil")</f>
        <v>Abrir facsímil</v>
      </c>
      <c r="K8352" s="3" t="s">
        <v>76</v>
      </c>
    </row>
    <row r="8353" spans="1:11" ht="42" customHeight="1">
      <c r="A8353" s="2" t="s">
        <v>20919</v>
      </c>
      <c r="B8353" s="2" t="s">
        <v>20920</v>
      </c>
      <c r="C8353" s="2" t="s">
        <v>26</v>
      </c>
      <c r="D8353" s="2" t="s">
        <v>39</v>
      </c>
      <c r="E8353" s="4">
        <v>-32661</v>
      </c>
      <c r="F8353" s="3" t="s">
        <v>157</v>
      </c>
      <c r="G8353" s="3" t="s">
        <v>158</v>
      </c>
      <c r="H8353" s="2" t="s">
        <v>74</v>
      </c>
      <c r="I8353" s="2" t="s">
        <v>20922</v>
      </c>
      <c r="J8353" s="3" t="str">
        <f>HYPERLINK("https://www.boe.es/gazeta/dias/1810/07/29/pdfs/GMD-C-1810-210.pdf#page=1","Abrir facsímil")</f>
        <v>Abrir facsímil</v>
      </c>
      <c r="K8353" s="3" t="s">
        <v>76</v>
      </c>
    </row>
    <row r="8354" spans="1:11" ht="42" customHeight="1">
      <c r="A8354" s="2" t="s">
        <v>20923</v>
      </c>
      <c r="B8354" s="2" t="s">
        <v>20923</v>
      </c>
      <c r="C8354" s="2" t="s">
        <v>26</v>
      </c>
      <c r="D8354" s="2" t="s">
        <v>27</v>
      </c>
      <c r="E8354" s="4">
        <v>-32691</v>
      </c>
      <c r="F8354" s="3" t="s">
        <v>727</v>
      </c>
      <c r="G8354" s="3" t="s">
        <v>695</v>
      </c>
      <c r="H8354" s="2" t="s">
        <v>74</v>
      </c>
      <c r="I8354" s="2" t="s">
        <v>20924</v>
      </c>
      <c r="J8354" s="3" t="str">
        <f>HYPERLINK("https://www.boe.es/gazeta/dias/1810/06/29/pdfs/GMD-1810-180.pdf#page=1","Abrir facsímil")</f>
        <v>Abrir facsímil</v>
      </c>
      <c r="K8354" s="3" t="s">
        <v>76</v>
      </c>
    </row>
    <row r="8355" spans="1:11" ht="42" customHeight="1">
      <c r="A8355" s="2" t="s">
        <v>20925</v>
      </c>
      <c r="B8355" s="2" t="s">
        <v>20925</v>
      </c>
      <c r="C8355" s="2" t="s">
        <v>88</v>
      </c>
      <c r="D8355" s="2" t="s">
        <v>27</v>
      </c>
      <c r="E8355" s="4">
        <v>-32787</v>
      </c>
      <c r="F8355" s="3" t="s">
        <v>4797</v>
      </c>
      <c r="G8355" s="3" t="s">
        <v>4798</v>
      </c>
      <c r="H8355" s="2" t="s">
        <v>74</v>
      </c>
      <c r="I8355" s="2" t="s">
        <v>20926</v>
      </c>
      <c r="J8355" s="3" t="str">
        <f>HYPERLINK("https://www.boe.es/gazeta/dias/1810/03/25/pdfs/GMD-1810-84.pdf#page=2","Abrir facsímil")</f>
        <v>Abrir facsímil</v>
      </c>
      <c r="K8355" s="3" t="s">
        <v>76</v>
      </c>
    </row>
    <row r="8356" spans="1:11" ht="42" customHeight="1">
      <c r="A8356" s="2" t="s">
        <v>20927</v>
      </c>
      <c r="B8356" s="2" t="s">
        <v>20927</v>
      </c>
      <c r="C8356" s="2" t="s">
        <v>88</v>
      </c>
      <c r="D8356" s="2" t="s">
        <v>117</v>
      </c>
      <c r="E8356" s="4">
        <v>-32645</v>
      </c>
      <c r="F8356" s="3" t="s">
        <v>122</v>
      </c>
      <c r="G8356" s="3" t="s">
        <v>147</v>
      </c>
      <c r="H8356" s="2" t="s">
        <v>74</v>
      </c>
      <c r="I8356" s="2" t="s">
        <v>20928</v>
      </c>
      <c r="J8356" s="3" t="str">
        <f>HYPERLINK("https://www.boe.es/gazeta/dias/1810/08/14/pdfs/GEI-1810-56.pdf#page=16","Abrir facsímil")</f>
        <v>Abrir facsímil</v>
      </c>
      <c r="K8356" s="3" t="s">
        <v>76</v>
      </c>
    </row>
    <row r="8357" spans="1:11" ht="42" customHeight="1">
      <c r="A8357" s="2" t="s">
        <v>20929</v>
      </c>
      <c r="B8357" s="2" t="s">
        <v>20930</v>
      </c>
      <c r="C8357" s="2" t="s">
        <v>26</v>
      </c>
      <c r="D8357" s="2" t="s">
        <v>27</v>
      </c>
      <c r="E8357" s="4">
        <v>-32526</v>
      </c>
      <c r="F8357" s="3" t="s">
        <v>530</v>
      </c>
      <c r="G8357" s="3" t="s">
        <v>531</v>
      </c>
      <c r="H8357" s="2" t="s">
        <v>74</v>
      </c>
      <c r="I8357" s="2" t="s">
        <v>20931</v>
      </c>
      <c r="J8357" s="3" t="str">
        <f>HYPERLINK("https://www.boe.es/gazeta/dias/1810/12/11/pdfs/GEI-1810-106.pdf#page=2","Abrir facsímil")</f>
        <v>Abrir facsímil</v>
      </c>
      <c r="K8357" s="3" t="s">
        <v>76</v>
      </c>
    </row>
    <row r="8358" spans="1:11" ht="42" customHeight="1">
      <c r="A8358" s="2" t="s">
        <v>20932</v>
      </c>
      <c r="B8358" s="2" t="s">
        <v>20932</v>
      </c>
      <c r="C8358" s="2" t="s">
        <v>26</v>
      </c>
      <c r="D8358" s="2" t="s">
        <v>220</v>
      </c>
      <c r="E8358" s="4">
        <v>-32865</v>
      </c>
      <c r="F8358" s="3" t="s">
        <v>1377</v>
      </c>
      <c r="G8358" s="3" t="s">
        <v>227</v>
      </c>
      <c r="H8358" s="2" t="s">
        <v>74</v>
      </c>
      <c r="I8358" s="2" t="s">
        <v>20933</v>
      </c>
      <c r="J8358" s="3" t="str">
        <f>HYPERLINK("https://www.boe.es/gazeta/dias/1810/01/06/pdfs/GMD-1810-6.pdf#page=1","Abrir facsímil")</f>
        <v>Abrir facsímil</v>
      </c>
      <c r="K8358" s="3" t="s">
        <v>76</v>
      </c>
    </row>
    <row r="8359" spans="1:11" ht="42" customHeight="1">
      <c r="A8359" s="2" t="s">
        <v>20934</v>
      </c>
      <c r="B8359" s="2" t="s">
        <v>20934</v>
      </c>
      <c r="C8359" s="2" t="s">
        <v>26</v>
      </c>
      <c r="D8359" s="2" t="s">
        <v>27</v>
      </c>
      <c r="E8359" s="4">
        <v>-32550</v>
      </c>
      <c r="F8359" s="3" t="s">
        <v>1472</v>
      </c>
      <c r="G8359" s="3" t="s">
        <v>3210</v>
      </c>
      <c r="H8359" s="2" t="s">
        <v>74</v>
      </c>
      <c r="I8359" s="2" t="s">
        <v>20935</v>
      </c>
      <c r="J8359" s="3" t="str">
        <f>HYPERLINK("https://www.boe.es/gazeta/dias/1810/11/17/pdfs/GEI-1810-96.pdf#page=7","Abrir facsímil")</f>
        <v>Abrir facsímil</v>
      </c>
      <c r="K8359" s="3" t="s">
        <v>76</v>
      </c>
    </row>
    <row r="8360" spans="1:11" ht="42" customHeight="1">
      <c r="A8360" s="2" t="s">
        <v>20936</v>
      </c>
      <c r="B8360" s="2" t="s">
        <v>20936</v>
      </c>
      <c r="C8360" s="2" t="s">
        <v>88</v>
      </c>
      <c r="D8360" s="2" t="s">
        <v>117</v>
      </c>
      <c r="E8360" s="4">
        <v>-32766</v>
      </c>
      <c r="F8360" s="3" t="s">
        <v>492</v>
      </c>
      <c r="G8360" s="3" t="s">
        <v>99</v>
      </c>
      <c r="H8360" s="2" t="s">
        <v>74</v>
      </c>
      <c r="I8360" s="2" t="s">
        <v>20937</v>
      </c>
      <c r="J8360" s="3" t="str">
        <f>HYPERLINK("https://www.boe.es/gazeta/dias/1810/04/15/pdfs/GMD-1810-105.pdf#page=3","Abrir facsímil")</f>
        <v>Abrir facsímil</v>
      </c>
      <c r="K8360" s="3" t="s">
        <v>76</v>
      </c>
    </row>
    <row r="8361" spans="1:11" ht="42" customHeight="1">
      <c r="A8361" s="2" t="s">
        <v>20936</v>
      </c>
      <c r="B8361" s="2" t="s">
        <v>20936</v>
      </c>
      <c r="C8361" s="2" t="s">
        <v>33</v>
      </c>
      <c r="D8361" s="2" t="s">
        <v>27</v>
      </c>
      <c r="E8361" s="4">
        <v>-32756</v>
      </c>
      <c r="F8361" s="3" t="s">
        <v>203</v>
      </c>
      <c r="G8361" s="3" t="s">
        <v>180</v>
      </c>
      <c r="H8361" s="2" t="s">
        <v>74</v>
      </c>
      <c r="I8361" s="2" t="s">
        <v>20938</v>
      </c>
      <c r="J8361" s="3" t="str">
        <f>HYPERLINK("https://www.boe.es/gazeta/dias/1810/04/25/pdfs/GMD-1810-115.pdf#page=4","Abrir facsímil")</f>
        <v>Abrir facsímil</v>
      </c>
      <c r="K8361" s="3" t="s">
        <v>76</v>
      </c>
    </row>
    <row r="8362" spans="1:11" ht="42" customHeight="1">
      <c r="A8362" s="2" t="s">
        <v>20936</v>
      </c>
      <c r="B8362" s="2" t="s">
        <v>20936</v>
      </c>
      <c r="C8362" s="2" t="s">
        <v>111</v>
      </c>
      <c r="D8362" s="2" t="s">
        <v>27</v>
      </c>
      <c r="E8362" s="4">
        <v>-32724</v>
      </c>
      <c r="F8362" s="3" t="s">
        <v>1027</v>
      </c>
      <c r="G8362" s="3" t="s">
        <v>213</v>
      </c>
      <c r="H8362" s="2" t="s">
        <v>74</v>
      </c>
      <c r="I8362" s="2" t="s">
        <v>20939</v>
      </c>
      <c r="J8362" s="3" t="str">
        <f>HYPERLINK("https://www.boe.es/gazeta/dias/1810/05/27/pdfs/GMD-1810-147.pdf#page=4","Abrir facsímil")</f>
        <v>Abrir facsímil</v>
      </c>
      <c r="K8362" s="3" t="s">
        <v>76</v>
      </c>
    </row>
    <row r="8363" spans="1:11" ht="42" customHeight="1">
      <c r="A8363" s="2" t="s">
        <v>20936</v>
      </c>
      <c r="B8363" s="2" t="s">
        <v>20936</v>
      </c>
      <c r="C8363" s="2" t="s">
        <v>26</v>
      </c>
      <c r="D8363" s="2" t="s">
        <v>27</v>
      </c>
      <c r="E8363" s="4">
        <v>-32693</v>
      </c>
      <c r="F8363" s="3" t="s">
        <v>54</v>
      </c>
      <c r="G8363" s="3" t="s">
        <v>20</v>
      </c>
      <c r="H8363" s="2" t="s">
        <v>74</v>
      </c>
      <c r="I8363" s="2" t="s">
        <v>20940</v>
      </c>
      <c r="J8363" s="3" t="str">
        <f>HYPERLINK("https://www.boe.es/gazeta/dias/1810/06/27/pdfs/GMD-1810-178.pdf#page=4","Abrir facsímil")</f>
        <v>Abrir facsímil</v>
      </c>
      <c r="K8363" s="3" t="s">
        <v>76</v>
      </c>
    </row>
    <row r="8364" spans="1:11" ht="42" customHeight="1">
      <c r="A8364" s="2" t="s">
        <v>20936</v>
      </c>
      <c r="B8364" s="2" t="s">
        <v>20936</v>
      </c>
      <c r="C8364" s="2" t="s">
        <v>88</v>
      </c>
      <c r="D8364" s="2" t="s">
        <v>18</v>
      </c>
      <c r="E8364" s="4">
        <v>-32566</v>
      </c>
      <c r="F8364" s="3" t="s">
        <v>405</v>
      </c>
      <c r="G8364" s="3" t="s">
        <v>99</v>
      </c>
      <c r="H8364" s="2" t="s">
        <v>74</v>
      </c>
      <c r="I8364" s="2" t="s">
        <v>20941</v>
      </c>
      <c r="J8364" s="3" t="str">
        <f>HYPERLINK("https://www.boe.es/gazeta/dias/1810/11/01/pdfs/GMD-1810-305.pdf#page=3","Abrir facsímil")</f>
        <v>Abrir facsímil</v>
      </c>
      <c r="K8364" s="3" t="s">
        <v>76</v>
      </c>
    </row>
    <row r="8365" spans="1:11" ht="42" customHeight="1">
      <c r="A8365" s="2" t="s">
        <v>20936</v>
      </c>
      <c r="B8365" s="2" t="s">
        <v>20936</v>
      </c>
      <c r="C8365" s="2" t="s">
        <v>88</v>
      </c>
      <c r="D8365" s="2" t="s">
        <v>27</v>
      </c>
      <c r="E8365" s="4">
        <v>-32564</v>
      </c>
      <c r="F8365" s="3" t="s">
        <v>1604</v>
      </c>
      <c r="G8365" s="3" t="s">
        <v>1605</v>
      </c>
      <c r="H8365" s="2" t="s">
        <v>74</v>
      </c>
      <c r="I8365" s="2" t="s">
        <v>20942</v>
      </c>
      <c r="J8365" s="3" t="str">
        <f>HYPERLINK("https://www.boe.es/gazeta/dias/1810/11/03/pdfs/GMD-1810-307.pdf#page=2","Abrir facsímil")</f>
        <v>Abrir facsímil</v>
      </c>
      <c r="K8365" s="3" t="s">
        <v>76</v>
      </c>
    </row>
    <row r="8366" spans="1:11" ht="42" customHeight="1">
      <c r="A8366" s="2" t="s">
        <v>20936</v>
      </c>
      <c r="B8366" s="2" t="s">
        <v>20936</v>
      </c>
      <c r="C8366" s="2" t="s">
        <v>26</v>
      </c>
      <c r="D8366" s="2" t="s">
        <v>27</v>
      </c>
      <c r="E8366" s="4">
        <v>-32543</v>
      </c>
      <c r="F8366" s="3" t="s">
        <v>69</v>
      </c>
      <c r="G8366" s="3" t="s">
        <v>84</v>
      </c>
      <c r="H8366" s="2" t="s">
        <v>74</v>
      </c>
      <c r="I8366" s="2" t="s">
        <v>20943</v>
      </c>
      <c r="J8366" s="3" t="str">
        <f>HYPERLINK("https://www.boe.es/gazeta/dias/1810/11/24/pdfs/GEI-1810-99.pdf#page=7","Abrir facsímil")</f>
        <v>Abrir facsímil</v>
      </c>
      <c r="K8366" s="3" t="s">
        <v>76</v>
      </c>
    </row>
    <row r="8367" spans="1:11" ht="42" customHeight="1">
      <c r="A8367" s="2" t="s">
        <v>20944</v>
      </c>
      <c r="B8367" s="2" t="s">
        <v>20945</v>
      </c>
      <c r="C8367" s="2" t="s">
        <v>26</v>
      </c>
      <c r="D8367" s="2" t="s">
        <v>18</v>
      </c>
      <c r="E8367" s="4">
        <v>-32566</v>
      </c>
      <c r="F8367" s="3" t="s">
        <v>405</v>
      </c>
      <c r="G8367" s="3" t="s">
        <v>469</v>
      </c>
      <c r="H8367" s="2" t="s">
        <v>74</v>
      </c>
      <c r="I8367" s="2" t="s">
        <v>20946</v>
      </c>
      <c r="J8367" s="3" t="str">
        <f>HYPERLINK("https://www.boe.es/gazeta/dias/1810/11/01/pdfs/GMD-1810-305.pdf#page=2","Abrir facsímil")</f>
        <v>Abrir facsímil</v>
      </c>
      <c r="K8367" s="3" t="s">
        <v>76</v>
      </c>
    </row>
    <row r="8368" spans="1:11" ht="42" customHeight="1">
      <c r="A8368" s="2" t="s">
        <v>20947</v>
      </c>
      <c r="B8368" s="2" t="s">
        <v>20948</v>
      </c>
      <c r="C8368" s="2" t="s">
        <v>26</v>
      </c>
      <c r="D8368" s="2" t="s">
        <v>27</v>
      </c>
      <c r="E8368" s="4">
        <v>-32833</v>
      </c>
      <c r="F8368" s="3" t="s">
        <v>1836</v>
      </c>
      <c r="G8368" s="3" t="s">
        <v>29</v>
      </c>
      <c r="H8368" s="2" t="s">
        <v>74</v>
      </c>
      <c r="I8368" s="2" t="s">
        <v>20949</v>
      </c>
      <c r="J8368" s="3" t="str">
        <f>HYPERLINK("https://www.boe.es/gazeta/dias/1810/02/07/pdfs/GMD-1810-38.pdf#page=4","Abrir facsímil")</f>
        <v>Abrir facsímil</v>
      </c>
      <c r="K8368" s="3" t="s">
        <v>76</v>
      </c>
    </row>
    <row r="8369" spans="1:11" ht="42" customHeight="1">
      <c r="A8369" s="2" t="s">
        <v>20950</v>
      </c>
      <c r="B8369" s="2" t="s">
        <v>20950</v>
      </c>
      <c r="C8369" s="2" t="s">
        <v>26</v>
      </c>
      <c r="D8369" s="2" t="s">
        <v>27</v>
      </c>
      <c r="E8369" s="4">
        <v>-32800</v>
      </c>
      <c r="F8369" s="3" t="s">
        <v>388</v>
      </c>
      <c r="G8369" s="3" t="s">
        <v>90</v>
      </c>
      <c r="H8369" s="2" t="s">
        <v>74</v>
      </c>
      <c r="I8369" s="2" t="s">
        <v>20951</v>
      </c>
      <c r="J8369" s="3" t="str">
        <f>HYPERLINK("https://www.boe.es/gazeta/dias/1810/03/12/pdfs/GMD-1810-71.pdf#page=4","Abrir facsímil")</f>
        <v>Abrir facsímil</v>
      </c>
      <c r="K8369" s="3" t="s">
        <v>76</v>
      </c>
    </row>
    <row r="8370" spans="1:11" ht="42" customHeight="1">
      <c r="A8370" s="2" t="s">
        <v>20952</v>
      </c>
      <c r="B8370" s="2" t="s">
        <v>20952</v>
      </c>
      <c r="C8370" s="2" t="s">
        <v>26</v>
      </c>
      <c r="D8370" s="2" t="s">
        <v>27</v>
      </c>
      <c r="E8370" s="4">
        <v>-32800</v>
      </c>
      <c r="F8370" s="3" t="s">
        <v>388</v>
      </c>
      <c r="G8370" s="3" t="s">
        <v>119</v>
      </c>
      <c r="H8370" s="2" t="s">
        <v>74</v>
      </c>
      <c r="I8370" s="2" t="s">
        <v>20953</v>
      </c>
      <c r="J8370" s="3" t="str">
        <f>HYPERLINK("https://www.boe.es/gazeta/dias/1810/03/12/pdfs/GMD-1810-71.pdf#page=3","Abrir facsímil")</f>
        <v>Abrir facsímil</v>
      </c>
      <c r="K8370" s="3" t="s">
        <v>76</v>
      </c>
    </row>
    <row r="8371" spans="1:11" ht="42" customHeight="1">
      <c r="A8371" s="2" t="s">
        <v>20954</v>
      </c>
      <c r="B8371" s="2" t="s">
        <v>20954</v>
      </c>
      <c r="C8371" s="2" t="s">
        <v>88</v>
      </c>
      <c r="D8371" s="2" t="s">
        <v>117</v>
      </c>
      <c r="E8371" s="4">
        <v>-32805</v>
      </c>
      <c r="F8371" s="3" t="s">
        <v>2068</v>
      </c>
      <c r="G8371" s="3" t="s">
        <v>213</v>
      </c>
      <c r="H8371" s="2" t="s">
        <v>74</v>
      </c>
      <c r="I8371" s="2" t="s">
        <v>20955</v>
      </c>
      <c r="J8371" s="3" t="str">
        <f>HYPERLINK("https://www.boe.es/gazeta/dias/1810/03/07/pdfs/GMD-1810-66.pdf#page=2","Abrir facsímil")</f>
        <v>Abrir facsímil</v>
      </c>
      <c r="K8371" s="3" t="s">
        <v>76</v>
      </c>
    </row>
    <row r="8372" spans="1:11" ht="42" customHeight="1">
      <c r="A8372" s="2" t="s">
        <v>20954</v>
      </c>
      <c r="B8372" s="2" t="s">
        <v>20954</v>
      </c>
      <c r="C8372" s="2" t="s">
        <v>88</v>
      </c>
      <c r="D8372" s="2" t="s">
        <v>117</v>
      </c>
      <c r="E8372" s="4">
        <v>-32677</v>
      </c>
      <c r="F8372" s="3" t="s">
        <v>549</v>
      </c>
      <c r="G8372" s="3" t="s">
        <v>9137</v>
      </c>
      <c r="H8372" s="2" t="s">
        <v>74</v>
      </c>
      <c r="I8372" s="2" t="s">
        <v>20956</v>
      </c>
      <c r="J8372" s="3" t="str">
        <f>HYPERLINK("https://www.boe.es/gazeta/dias/1810/07/13/pdfs/GEI-D-1810-44.pdf#page=5","Abrir facsímil")</f>
        <v>Abrir facsímil</v>
      </c>
      <c r="K8372" s="3" t="s">
        <v>76</v>
      </c>
    </row>
    <row r="8373" spans="1:11" ht="42" customHeight="1">
      <c r="A8373" s="2" t="s">
        <v>20954</v>
      </c>
      <c r="B8373" s="2" t="s">
        <v>20954</v>
      </c>
      <c r="C8373" s="2" t="s">
        <v>88</v>
      </c>
      <c r="D8373" s="2" t="s">
        <v>27</v>
      </c>
      <c r="E8373" s="4">
        <v>-32565</v>
      </c>
      <c r="F8373" s="3" t="s">
        <v>743</v>
      </c>
      <c r="G8373" s="3" t="s">
        <v>458</v>
      </c>
      <c r="H8373" s="2" t="s">
        <v>74</v>
      </c>
      <c r="I8373" s="2" t="s">
        <v>20957</v>
      </c>
      <c r="J8373" s="3" t="str">
        <f>HYPERLINK("https://www.boe.es/gazeta/dias/1810/11/02/pdfs/GMD-1810-306.pdf#page=2","Abrir facsímil")</f>
        <v>Abrir facsímil</v>
      </c>
      <c r="K8373" s="3" t="s">
        <v>76</v>
      </c>
    </row>
    <row r="8374" spans="1:11" ht="42" customHeight="1">
      <c r="A8374" s="2" t="s">
        <v>20958</v>
      </c>
      <c r="B8374" s="2" t="s">
        <v>20959</v>
      </c>
      <c r="C8374" s="2" t="s">
        <v>26</v>
      </c>
      <c r="D8374" s="2" t="s">
        <v>27</v>
      </c>
      <c r="E8374" s="4">
        <v>-32575</v>
      </c>
      <c r="F8374" s="3" t="s">
        <v>135</v>
      </c>
      <c r="G8374" s="3" t="s">
        <v>136</v>
      </c>
      <c r="H8374" s="2" t="s">
        <v>74</v>
      </c>
      <c r="I8374" s="2" t="s">
        <v>20960</v>
      </c>
      <c r="J8374" s="3" t="str">
        <f>HYPERLINK("https://www.boe.es/gazeta/dias/1810/10/23/pdfs/GEI-1810-85.pdf#page=11","Abrir facsímil")</f>
        <v>Abrir facsímil</v>
      </c>
      <c r="K8374" s="3" t="s">
        <v>76</v>
      </c>
    </row>
    <row r="8375" spans="1:11" ht="42" customHeight="1">
      <c r="A8375" s="2" t="s">
        <v>20961</v>
      </c>
      <c r="B8375" s="2" t="s">
        <v>20962</v>
      </c>
      <c r="C8375" s="2" t="s">
        <v>88</v>
      </c>
      <c r="D8375" s="2" t="s">
        <v>58</v>
      </c>
      <c r="E8375" s="4">
        <v>-32729</v>
      </c>
      <c r="F8375" s="3" t="s">
        <v>2427</v>
      </c>
      <c r="G8375" s="3" t="s">
        <v>1266</v>
      </c>
      <c r="H8375" s="2" t="s">
        <v>74</v>
      </c>
      <c r="I8375" s="2" t="s">
        <v>20963</v>
      </c>
      <c r="J8375" s="3" t="str">
        <f>HYPERLINK("https://www.boe.es/gazeta/dias/1810/05/22/pdfs/GEI-1810-29E.pdf#page=3","Abrir facsímil")</f>
        <v>Abrir facsímil</v>
      </c>
      <c r="K8375" s="3" t="s">
        <v>76</v>
      </c>
    </row>
    <row r="8376" spans="1:11" ht="42" customHeight="1">
      <c r="A8376" s="2" t="s">
        <v>20964</v>
      </c>
      <c r="B8376" s="2" t="s">
        <v>20965</v>
      </c>
      <c r="C8376" s="2" t="s">
        <v>26</v>
      </c>
      <c r="D8376" s="2" t="s">
        <v>27</v>
      </c>
      <c r="E8376" s="4">
        <v>-32730</v>
      </c>
      <c r="F8376" s="3" t="s">
        <v>50</v>
      </c>
      <c r="G8376" s="3" t="s">
        <v>20</v>
      </c>
      <c r="H8376" s="2" t="s">
        <v>74</v>
      </c>
      <c r="I8376" s="2" t="s">
        <v>20966</v>
      </c>
      <c r="J8376" s="3" t="str">
        <f>HYPERLINK("https://www.boe.es/gazeta/dias/1810/05/21/pdfs/GMD-1810-141.pdf#page=4","Abrir facsímil")</f>
        <v>Abrir facsímil</v>
      </c>
      <c r="K8376" s="3" t="s">
        <v>76</v>
      </c>
    </row>
    <row r="8377" spans="1:11" ht="42" customHeight="1">
      <c r="A8377" s="2" t="s">
        <v>20967</v>
      </c>
      <c r="B8377" s="2" t="s">
        <v>20968</v>
      </c>
      <c r="C8377" s="2" t="s">
        <v>88</v>
      </c>
      <c r="D8377" s="2" t="s">
        <v>27</v>
      </c>
      <c r="E8377" s="4">
        <v>-32631</v>
      </c>
      <c r="F8377" s="3" t="s">
        <v>497</v>
      </c>
      <c r="G8377" s="3" t="s">
        <v>498</v>
      </c>
      <c r="H8377" s="2" t="s">
        <v>74</v>
      </c>
      <c r="I8377" s="2" t="s">
        <v>20969</v>
      </c>
      <c r="J8377" s="3" t="str">
        <f>HYPERLINK("https://www.boe.es/gazeta/dias/1810/08/28/pdfs/GMD-1810-240.pdf#page=2","Abrir facsímil")</f>
        <v>Abrir facsímil</v>
      </c>
      <c r="K8377" s="3" t="s">
        <v>76</v>
      </c>
    </row>
    <row r="8378" spans="1:11" ht="42" customHeight="1">
      <c r="A8378" s="2" t="s">
        <v>20970</v>
      </c>
      <c r="B8378" s="2" t="s">
        <v>20971</v>
      </c>
      <c r="C8378" s="2" t="s">
        <v>26</v>
      </c>
      <c r="D8378" s="2" t="s">
        <v>27</v>
      </c>
      <c r="E8378" s="4">
        <v>-32526</v>
      </c>
      <c r="F8378" s="3" t="s">
        <v>530</v>
      </c>
      <c r="G8378" s="3" t="s">
        <v>531</v>
      </c>
      <c r="H8378" s="2" t="s">
        <v>74</v>
      </c>
      <c r="I8378" s="2" t="s">
        <v>20972</v>
      </c>
      <c r="J8378" s="3" t="str">
        <f>HYPERLINK("https://www.boe.es/gazeta/dias/1810/12/11/pdfs/GEI-1810-106.pdf#page=2","Abrir facsímil")</f>
        <v>Abrir facsímil</v>
      </c>
      <c r="K8378" s="3" t="s">
        <v>76</v>
      </c>
    </row>
    <row r="8379" spans="1:11" ht="42" customHeight="1">
      <c r="A8379" s="2" t="s">
        <v>20973</v>
      </c>
      <c r="B8379" s="2" t="s">
        <v>20974</v>
      </c>
      <c r="C8379" s="2" t="s">
        <v>26</v>
      </c>
      <c r="D8379" s="2" t="s">
        <v>18</v>
      </c>
      <c r="E8379" s="4">
        <v>-32741</v>
      </c>
      <c r="F8379" s="3" t="s">
        <v>98</v>
      </c>
      <c r="G8379" s="3" t="s">
        <v>90</v>
      </c>
      <c r="H8379" s="2" t="s">
        <v>74</v>
      </c>
      <c r="I8379" s="2" t="s">
        <v>20975</v>
      </c>
      <c r="J8379" s="3" t="str">
        <f>HYPERLINK("https://www.boe.es/gazeta/dias/1810/05/10/pdfs/GMD-1810-130.pdf#page=4","Abrir facsímil")</f>
        <v>Abrir facsímil</v>
      </c>
      <c r="K8379" s="3" t="s">
        <v>76</v>
      </c>
    </row>
    <row r="8380" spans="1:11" ht="42" customHeight="1">
      <c r="A8380" s="2" t="s">
        <v>20976</v>
      </c>
      <c r="B8380" s="2" t="s">
        <v>20977</v>
      </c>
      <c r="C8380" s="2" t="s">
        <v>17</v>
      </c>
      <c r="D8380" s="2" t="s">
        <v>27</v>
      </c>
      <c r="E8380" s="4">
        <v>-32666</v>
      </c>
      <c r="F8380" s="3" t="s">
        <v>346</v>
      </c>
      <c r="G8380" s="3" t="s">
        <v>4798</v>
      </c>
      <c r="H8380" s="2" t="s">
        <v>74</v>
      </c>
      <c r="I8380" s="2" t="s">
        <v>20978</v>
      </c>
      <c r="J8380" s="3" t="str">
        <f>HYPERLINK("https://www.boe.es/gazeta/dias/1810/07/24/pdfs/GEI-1810-47.pdf#page=9","Abrir facsímil")</f>
        <v>Abrir facsímil</v>
      </c>
      <c r="K8380" s="3" t="s">
        <v>76</v>
      </c>
    </row>
    <row r="8381" spans="1:11" ht="42" customHeight="1">
      <c r="A8381" s="2" t="s">
        <v>20979</v>
      </c>
      <c r="B8381" s="2" t="s">
        <v>20980</v>
      </c>
      <c r="C8381" s="2" t="s">
        <v>26</v>
      </c>
      <c r="D8381" s="2" t="s">
        <v>27</v>
      </c>
      <c r="E8381" s="4">
        <v>-32666</v>
      </c>
      <c r="F8381" s="3" t="s">
        <v>346</v>
      </c>
      <c r="G8381" s="3" t="s">
        <v>90</v>
      </c>
      <c r="H8381" s="2" t="s">
        <v>74</v>
      </c>
      <c r="I8381" s="2" t="s">
        <v>20981</v>
      </c>
      <c r="J8381" s="3" t="str">
        <f>HYPERLINK("https://www.boe.es/gazeta/dias/1810/07/24/pdfs/GEI-1810-47.pdf#page=10","Abrir facsímil")</f>
        <v>Abrir facsímil</v>
      </c>
      <c r="K8381" s="3" t="s">
        <v>76</v>
      </c>
    </row>
    <row r="8382" spans="1:11" ht="42" customHeight="1">
      <c r="A8382" s="2" t="s">
        <v>20979</v>
      </c>
      <c r="B8382" s="2" t="s">
        <v>20980</v>
      </c>
      <c r="C8382" s="2" t="s">
        <v>26</v>
      </c>
      <c r="D8382" s="2" t="s">
        <v>220</v>
      </c>
      <c r="E8382" s="4">
        <v>-32659</v>
      </c>
      <c r="F8382" s="3" t="s">
        <v>328</v>
      </c>
      <c r="G8382" s="3" t="s">
        <v>119</v>
      </c>
      <c r="H8382" s="2" t="s">
        <v>74</v>
      </c>
      <c r="I8382" s="2" t="s">
        <v>20982</v>
      </c>
      <c r="J8382" s="3" t="str">
        <f>HYPERLINK("https://www.boe.es/gazeta/dias/1810/07/31/pdfs/GEI-1810-49.pdf#page=8","Abrir facsímil")</f>
        <v>Abrir facsímil</v>
      </c>
      <c r="K8382" s="3" t="s">
        <v>76</v>
      </c>
    </row>
    <row r="8383" spans="1:11" ht="42" customHeight="1">
      <c r="A8383" s="2" t="s">
        <v>20983</v>
      </c>
      <c r="B8383" s="2" t="s">
        <v>20983</v>
      </c>
      <c r="C8383" s="2" t="s">
        <v>33</v>
      </c>
      <c r="D8383" s="2" t="s">
        <v>18</v>
      </c>
      <c r="E8383" s="4">
        <v>-32853</v>
      </c>
      <c r="F8383" s="3" t="s">
        <v>516</v>
      </c>
      <c r="G8383" s="3" t="s">
        <v>2035</v>
      </c>
      <c r="H8383" s="2" t="s">
        <v>74</v>
      </c>
      <c r="I8383" s="2" t="s">
        <v>20984</v>
      </c>
      <c r="J8383" s="3" t="str">
        <f>HYPERLINK("https://www.boe.es/gazeta/dias/1810/01/18/pdfs/GGB-1810-8.pdf#page=3","Abrir facsímil")</f>
        <v>Abrir facsímil</v>
      </c>
      <c r="K8383" s="3" t="s">
        <v>76</v>
      </c>
    </row>
    <row r="8384" spans="1:11" ht="42" customHeight="1">
      <c r="A8384" s="2" t="s">
        <v>20985</v>
      </c>
      <c r="B8384" s="2" t="s">
        <v>20986</v>
      </c>
      <c r="C8384" s="2" t="s">
        <v>88</v>
      </c>
      <c r="D8384" s="2" t="s">
        <v>27</v>
      </c>
      <c r="E8384" s="4">
        <v>-32763</v>
      </c>
      <c r="F8384" s="3" t="s">
        <v>1146</v>
      </c>
      <c r="G8384" s="3" t="s">
        <v>20</v>
      </c>
      <c r="H8384" s="2" t="s">
        <v>74</v>
      </c>
      <c r="I8384" s="2" t="s">
        <v>20987</v>
      </c>
      <c r="J8384" s="3" t="str">
        <f>HYPERLINK("https://www.boe.es/gazeta/dias/1810/04/18/pdfs/GMD-1810-108.pdf#page=4","Abrir facsímil")</f>
        <v>Abrir facsímil</v>
      </c>
      <c r="K8384" s="3" t="s">
        <v>76</v>
      </c>
    </row>
    <row r="8385" spans="1:11" ht="42" customHeight="1">
      <c r="A8385" s="2" t="s">
        <v>20988</v>
      </c>
      <c r="B8385" s="2" t="s">
        <v>20988</v>
      </c>
      <c r="C8385" s="2" t="s">
        <v>26</v>
      </c>
      <c r="D8385" s="2" t="s">
        <v>27</v>
      </c>
      <c r="E8385" s="4">
        <v>-32804</v>
      </c>
      <c r="F8385" s="3" t="s">
        <v>583</v>
      </c>
      <c r="G8385" s="3" t="s">
        <v>6307</v>
      </c>
      <c r="H8385" s="2" t="s">
        <v>74</v>
      </c>
      <c r="I8385" s="2" t="s">
        <v>20989</v>
      </c>
      <c r="J8385" s="3" t="str">
        <f>HYPERLINK("https://www.boe.es/gazeta/dias/1810/03/08/pdfs/GMD-1810-67.pdf#page=4","Abrir facsímil")</f>
        <v>Abrir facsímil</v>
      </c>
      <c r="K8385" s="3" t="s">
        <v>76</v>
      </c>
    </row>
    <row r="8386" spans="1:11" ht="42" customHeight="1">
      <c r="A8386" s="2" t="s">
        <v>20990</v>
      </c>
      <c r="B8386" s="2" t="s">
        <v>20991</v>
      </c>
      <c r="C8386" s="2" t="s">
        <v>111</v>
      </c>
      <c r="D8386" s="2" t="s">
        <v>27</v>
      </c>
      <c r="E8386" s="4">
        <v>-32607</v>
      </c>
      <c r="F8386" s="3" t="s">
        <v>6044</v>
      </c>
      <c r="G8386" s="3" t="s">
        <v>99</v>
      </c>
      <c r="H8386" s="2" t="s">
        <v>74</v>
      </c>
      <c r="I8386" s="2" t="s">
        <v>20992</v>
      </c>
      <c r="J8386" s="3" t="str">
        <f>HYPERLINK("https://www.boe.es/gazeta/dias/1810/09/21/pdfs/GMD-1810-264.pdf#page=3","Abrir facsímil")</f>
        <v>Abrir facsímil</v>
      </c>
      <c r="K8386" s="3" t="s">
        <v>76</v>
      </c>
    </row>
    <row r="8387" spans="1:11" ht="42" customHeight="1">
      <c r="A8387" s="2" t="s">
        <v>20993</v>
      </c>
      <c r="B8387" s="2" t="s">
        <v>20994</v>
      </c>
      <c r="C8387" s="2" t="s">
        <v>88</v>
      </c>
      <c r="D8387" s="2" t="s">
        <v>27</v>
      </c>
      <c r="E8387" s="4">
        <v>-32725</v>
      </c>
      <c r="F8387" s="3" t="s">
        <v>417</v>
      </c>
      <c r="G8387" s="3" t="s">
        <v>1656</v>
      </c>
      <c r="H8387" s="2" t="s">
        <v>21</v>
      </c>
      <c r="I8387" s="2" t="s">
        <v>20995</v>
      </c>
      <c r="J8387" s="3" t="str">
        <f>HYPERLINK("https://www.boe.es/gazeta/dias/1810/05/26/pdfs/GMD-1810-146.pdf#page=1","Abrir facsímil")</f>
        <v>Abrir facsímil</v>
      </c>
      <c r="K8387" s="3" t="s">
        <v>23</v>
      </c>
    </row>
    <row r="8388" spans="1:11" ht="42" customHeight="1">
      <c r="A8388" s="2" t="s">
        <v>20996</v>
      </c>
      <c r="B8388" s="2" t="s">
        <v>20997</v>
      </c>
      <c r="C8388" s="2" t="s">
        <v>88</v>
      </c>
      <c r="D8388" s="2" t="s">
        <v>117</v>
      </c>
      <c r="E8388" s="4">
        <v>-32658</v>
      </c>
      <c r="F8388" s="3" t="s">
        <v>1224</v>
      </c>
      <c r="G8388" s="3" t="s">
        <v>140</v>
      </c>
      <c r="H8388" s="2" t="s">
        <v>74</v>
      </c>
      <c r="I8388" s="2" t="s">
        <v>20998</v>
      </c>
      <c r="J8388" s="3" t="str">
        <f>HYPERLINK("https://www.boe.es/gazeta/dias/1810/08/01/pdfs/GMD-1810-213.pdf#page=4","Abrir facsímil")</f>
        <v>Abrir facsímil</v>
      </c>
      <c r="K8388" s="3" t="s">
        <v>76</v>
      </c>
    </row>
    <row r="8389" spans="1:11" ht="42" customHeight="1">
      <c r="A8389" s="2" t="s">
        <v>20999</v>
      </c>
      <c r="B8389" s="2" t="s">
        <v>21000</v>
      </c>
      <c r="C8389" s="2" t="s">
        <v>33</v>
      </c>
      <c r="D8389" s="2" t="s">
        <v>27</v>
      </c>
      <c r="E8389" s="4">
        <v>-32869</v>
      </c>
      <c r="F8389" s="3" t="s">
        <v>5318</v>
      </c>
      <c r="G8389" s="3" t="s">
        <v>227</v>
      </c>
      <c r="H8389" s="2" t="s">
        <v>74</v>
      </c>
      <c r="I8389" s="2" t="s">
        <v>21001</v>
      </c>
      <c r="J8389" s="3" t="str">
        <f>HYPERLINK("https://www.boe.es/gazeta/dias/1810/01/02/pdfs/GGB-1810-1.pdf#page=6","Abrir facsímil")</f>
        <v>Abrir facsímil</v>
      </c>
      <c r="K8389" s="3" t="s">
        <v>76</v>
      </c>
    </row>
    <row r="8390" spans="1:11" ht="42" customHeight="1">
      <c r="A8390" s="2" t="s">
        <v>21002</v>
      </c>
      <c r="B8390" s="2" t="s">
        <v>21003</v>
      </c>
      <c r="C8390" s="2" t="s">
        <v>26</v>
      </c>
      <c r="D8390" s="2" t="s">
        <v>58</v>
      </c>
      <c r="E8390" s="4">
        <v>-32734</v>
      </c>
      <c r="F8390" s="3" t="s">
        <v>2797</v>
      </c>
      <c r="G8390" s="3" t="s">
        <v>35</v>
      </c>
      <c r="H8390" s="2" t="s">
        <v>74</v>
      </c>
      <c r="I8390" s="2" t="s">
        <v>21004</v>
      </c>
      <c r="J8390" s="3" t="str">
        <f>HYPERLINK("https://www.boe.es/gazeta/dias/1810/05/17/pdfs/GEI-1810-26E.pdf#page=2","Abrir facsímil")</f>
        <v>Abrir facsímil</v>
      </c>
      <c r="K8390" s="3" t="s">
        <v>76</v>
      </c>
    </row>
    <row r="8391" spans="1:11" ht="42" customHeight="1">
      <c r="A8391" s="2" t="s">
        <v>21002</v>
      </c>
      <c r="B8391" s="2" t="s">
        <v>21003</v>
      </c>
      <c r="C8391" s="2" t="s">
        <v>33</v>
      </c>
      <c r="D8391" s="2" t="s">
        <v>58</v>
      </c>
      <c r="E8391" s="4">
        <v>-32734</v>
      </c>
      <c r="F8391" s="3" t="s">
        <v>2797</v>
      </c>
      <c r="G8391" s="3" t="s">
        <v>99</v>
      </c>
      <c r="H8391" s="2" t="s">
        <v>74</v>
      </c>
      <c r="I8391" s="2" t="s">
        <v>21005</v>
      </c>
      <c r="J8391" s="3" t="str">
        <f>HYPERLINK("https://www.boe.es/gazeta/dias/1810/05/17/pdfs/GEI-1810-26E.pdf#page=3","Abrir facsímil")</f>
        <v>Abrir facsímil</v>
      </c>
      <c r="K8391" s="3" t="s">
        <v>76</v>
      </c>
    </row>
    <row r="8392" spans="1:11" ht="42" customHeight="1">
      <c r="A8392" s="2" t="s">
        <v>21006</v>
      </c>
      <c r="B8392" s="2" t="s">
        <v>21007</v>
      </c>
      <c r="C8392" s="2" t="s">
        <v>930</v>
      </c>
      <c r="D8392" s="2" t="s">
        <v>27</v>
      </c>
      <c r="E8392" s="4">
        <v>-32867</v>
      </c>
      <c r="F8392" s="3" t="s">
        <v>712</v>
      </c>
      <c r="G8392" s="3" t="s">
        <v>3133</v>
      </c>
      <c r="H8392" s="2" t="s">
        <v>74</v>
      </c>
      <c r="I8392" s="2" t="s">
        <v>21008</v>
      </c>
      <c r="J8392" s="3" t="str">
        <f>HYPERLINK("https://www.boe.es/gazeta/dias/1810/01/04/pdfs/GGB-1810-2.pdf#page=6","Abrir facsímil")</f>
        <v>Abrir facsímil</v>
      </c>
      <c r="K8392" s="3" t="s">
        <v>76</v>
      </c>
    </row>
    <row r="8393" spans="1:11" ht="42" customHeight="1">
      <c r="A8393" s="2" t="s">
        <v>21006</v>
      </c>
      <c r="B8393" s="2" t="s">
        <v>21007</v>
      </c>
      <c r="C8393" s="2" t="s">
        <v>88</v>
      </c>
      <c r="D8393" s="2" t="s">
        <v>27</v>
      </c>
      <c r="E8393" s="4">
        <v>-32860</v>
      </c>
      <c r="F8393" s="3" t="s">
        <v>504</v>
      </c>
      <c r="G8393" s="3" t="s">
        <v>90</v>
      </c>
      <c r="H8393" s="2" t="s">
        <v>74</v>
      </c>
      <c r="I8393" s="2" t="s">
        <v>21009</v>
      </c>
      <c r="J8393" s="3" t="str">
        <f>HYPERLINK("https://www.boe.es/gazeta/dias/1810/01/11/pdfs/GGB-1810-5.pdf#page=7","Abrir facsímil")</f>
        <v>Abrir facsímil</v>
      </c>
      <c r="K8393" s="3" t="s">
        <v>76</v>
      </c>
    </row>
    <row r="8394" spans="1:11" ht="42" customHeight="1">
      <c r="A8394" s="2" t="s">
        <v>21006</v>
      </c>
      <c r="B8394" s="2" t="s">
        <v>21007</v>
      </c>
      <c r="C8394" s="2" t="s">
        <v>88</v>
      </c>
      <c r="D8394" s="2" t="s">
        <v>27</v>
      </c>
      <c r="E8394" s="4">
        <v>-32792</v>
      </c>
      <c r="F8394" s="3" t="s">
        <v>2387</v>
      </c>
      <c r="G8394" s="3" t="s">
        <v>180</v>
      </c>
      <c r="H8394" s="2" t="s">
        <v>74</v>
      </c>
      <c r="I8394" s="2" t="s">
        <v>21010</v>
      </c>
      <c r="J8394" s="3" t="str">
        <f>HYPERLINK("https://www.boe.es/gazeta/dias/1810/03/20/pdfs/GEI-1810-4.pdf#page=3","Abrir facsímil")</f>
        <v>Abrir facsímil</v>
      </c>
      <c r="K8394" s="3" t="s">
        <v>76</v>
      </c>
    </row>
    <row r="8395" spans="1:11" ht="42" customHeight="1">
      <c r="A8395" s="2" t="s">
        <v>21006</v>
      </c>
      <c r="B8395" s="2" t="s">
        <v>21007</v>
      </c>
      <c r="C8395" s="2" t="s">
        <v>88</v>
      </c>
      <c r="D8395" s="2" t="s">
        <v>117</v>
      </c>
      <c r="E8395" s="4">
        <v>-32785</v>
      </c>
      <c r="F8395" s="3" t="s">
        <v>7167</v>
      </c>
      <c r="G8395" s="3" t="s">
        <v>1044</v>
      </c>
      <c r="H8395" s="2" t="s">
        <v>74</v>
      </c>
      <c r="I8395" s="2" t="s">
        <v>21011</v>
      </c>
      <c r="J8395" s="3" t="str">
        <f>HYPERLINK("https://www.boe.es/gazeta/dias/1810/03/27/pdfs/GEI-1810-7.pdf#page=4","Abrir facsímil")</f>
        <v>Abrir facsímil</v>
      </c>
      <c r="K8395" s="3" t="s">
        <v>76</v>
      </c>
    </row>
    <row r="8396" spans="1:11" ht="42" customHeight="1">
      <c r="A8396" s="2" t="s">
        <v>21006</v>
      </c>
      <c r="B8396" s="2" t="s">
        <v>21007</v>
      </c>
      <c r="C8396" s="2" t="s">
        <v>17</v>
      </c>
      <c r="D8396" s="2" t="s">
        <v>18</v>
      </c>
      <c r="E8396" s="4">
        <v>-32771</v>
      </c>
      <c r="F8396" s="3" t="s">
        <v>543</v>
      </c>
      <c r="G8396" s="3" t="s">
        <v>1488</v>
      </c>
      <c r="H8396" s="2" t="s">
        <v>74</v>
      </c>
      <c r="I8396" s="2" t="s">
        <v>21012</v>
      </c>
      <c r="J8396" s="3" t="str">
        <f>HYPERLINK("https://www.boe.es/gazeta/dias/1810/04/10/pdfs/GEI-1810-13.pdf#page=6","Abrir facsímil")</f>
        <v>Abrir facsímil</v>
      </c>
      <c r="K8396" s="3" t="s">
        <v>76</v>
      </c>
    </row>
    <row r="8397" spans="1:11" ht="42" customHeight="1">
      <c r="A8397" s="2" t="s">
        <v>21006</v>
      </c>
      <c r="B8397" s="2" t="s">
        <v>21007</v>
      </c>
      <c r="C8397" s="2" t="s">
        <v>17</v>
      </c>
      <c r="D8397" s="2" t="s">
        <v>27</v>
      </c>
      <c r="E8397" s="4">
        <v>-32764</v>
      </c>
      <c r="F8397" s="3" t="s">
        <v>640</v>
      </c>
      <c r="G8397" s="3" t="s">
        <v>21013</v>
      </c>
      <c r="H8397" s="2" t="s">
        <v>74</v>
      </c>
      <c r="I8397" s="2" t="s">
        <v>21014</v>
      </c>
      <c r="J8397" s="3" t="str">
        <f>HYPERLINK("https://www.boe.es/gazeta/dias/1810/04/17/pdfs/GEI-1810-15.pdf#page=6","Abrir facsímil")</f>
        <v>Abrir facsímil</v>
      </c>
      <c r="K8397" s="3" t="s">
        <v>76</v>
      </c>
    </row>
    <row r="8398" spans="1:11" ht="42" customHeight="1">
      <c r="A8398" s="2" t="s">
        <v>21006</v>
      </c>
      <c r="B8398" s="2" t="s">
        <v>21007</v>
      </c>
      <c r="C8398" s="2" t="s">
        <v>26</v>
      </c>
      <c r="D8398" s="2" t="s">
        <v>27</v>
      </c>
      <c r="E8398" s="4">
        <v>-32761</v>
      </c>
      <c r="F8398" s="3" t="s">
        <v>811</v>
      </c>
      <c r="G8398" s="3" t="s">
        <v>21015</v>
      </c>
      <c r="H8398" s="2" t="s">
        <v>74</v>
      </c>
      <c r="I8398" s="2" t="s">
        <v>21016</v>
      </c>
      <c r="J8398" s="3" t="str">
        <f>HYPERLINK("https://www.boe.es/gazeta/dias/1810/04/20/pdfs/GEI-1810-16.pdf#page=6","Abrir facsímil")</f>
        <v>Abrir facsímil</v>
      </c>
      <c r="K8398" s="3" t="s">
        <v>76</v>
      </c>
    </row>
    <row r="8399" spans="1:11" ht="42" customHeight="1">
      <c r="A8399" s="2" t="s">
        <v>21017</v>
      </c>
      <c r="B8399" s="2" t="s">
        <v>21018</v>
      </c>
      <c r="C8399" s="2" t="s">
        <v>88</v>
      </c>
      <c r="D8399" s="2" t="s">
        <v>117</v>
      </c>
      <c r="E8399" s="4">
        <v>-32747</v>
      </c>
      <c r="F8399" s="3" t="s">
        <v>2337</v>
      </c>
      <c r="G8399" s="3" t="s">
        <v>21019</v>
      </c>
      <c r="H8399" s="2" t="s">
        <v>74</v>
      </c>
      <c r="I8399" s="2" t="s">
        <v>21020</v>
      </c>
      <c r="J8399" s="3" t="str">
        <f>HYPERLINK("https://www.boe.es/gazeta/dias/1810/05/04/pdfs/GEI-1810-21.pdf#page=6","Abrir facsímil")</f>
        <v>Abrir facsímil</v>
      </c>
      <c r="K8399" s="3" t="s">
        <v>76</v>
      </c>
    </row>
    <row r="8400" spans="1:11" ht="42" customHeight="1">
      <c r="A8400" s="2" t="s">
        <v>21006</v>
      </c>
      <c r="B8400" s="2" t="s">
        <v>21007</v>
      </c>
      <c r="C8400" s="2" t="s">
        <v>26</v>
      </c>
      <c r="D8400" s="2" t="s">
        <v>27</v>
      </c>
      <c r="E8400" s="4">
        <v>-32747</v>
      </c>
      <c r="F8400" s="3" t="s">
        <v>2337</v>
      </c>
      <c r="G8400" s="3" t="s">
        <v>1722</v>
      </c>
      <c r="H8400" s="2" t="s">
        <v>74</v>
      </c>
      <c r="I8400" s="2" t="s">
        <v>21021</v>
      </c>
      <c r="J8400" s="3" t="str">
        <f>HYPERLINK("https://www.boe.es/gazeta/dias/1810/05/04/pdfs/GEI-1810-21.pdf#page=7","Abrir facsímil")</f>
        <v>Abrir facsímil</v>
      </c>
      <c r="K8400" s="3" t="s">
        <v>76</v>
      </c>
    </row>
    <row r="8401" spans="1:11" ht="42" customHeight="1">
      <c r="A8401" s="2" t="s">
        <v>21006</v>
      </c>
      <c r="B8401" s="2" t="s">
        <v>21007</v>
      </c>
      <c r="C8401" s="2" t="s">
        <v>33</v>
      </c>
      <c r="D8401" s="2" t="s">
        <v>58</v>
      </c>
      <c r="E8401" s="4">
        <v>-32734</v>
      </c>
      <c r="F8401" s="3" t="s">
        <v>2797</v>
      </c>
      <c r="G8401" s="3" t="s">
        <v>21022</v>
      </c>
      <c r="H8401" s="2" t="s">
        <v>74</v>
      </c>
      <c r="I8401" s="2" t="s">
        <v>21023</v>
      </c>
      <c r="J8401" s="3" t="str">
        <f>HYPERLINK("https://www.boe.es/gazeta/dias/1810/05/17/pdfs/GEI-1810-26E.pdf#page=4","Abrir facsímil")</f>
        <v>Abrir facsímil</v>
      </c>
      <c r="K8401" s="3" t="s">
        <v>76</v>
      </c>
    </row>
    <row r="8402" spans="1:11" ht="42" customHeight="1">
      <c r="A8402" s="2" t="s">
        <v>21006</v>
      </c>
      <c r="B8402" s="2" t="s">
        <v>21007</v>
      </c>
      <c r="C8402" s="2" t="s">
        <v>26</v>
      </c>
      <c r="D8402" s="2" t="s">
        <v>27</v>
      </c>
      <c r="E8402" s="4">
        <v>-32733</v>
      </c>
      <c r="F8402" s="3" t="s">
        <v>955</v>
      </c>
      <c r="G8402" s="3" t="s">
        <v>21024</v>
      </c>
      <c r="H8402" s="2" t="s">
        <v>74</v>
      </c>
      <c r="I8402" s="2" t="s">
        <v>21025</v>
      </c>
      <c r="J8402" s="3" t="str">
        <f>HYPERLINK("https://www.boe.es/gazeta/dias/1810/05/18/pdfs/GEI-1810-27.pdf#page=7","Abrir facsímil")</f>
        <v>Abrir facsímil</v>
      </c>
      <c r="K8402" s="3" t="s">
        <v>76</v>
      </c>
    </row>
    <row r="8403" spans="1:11" ht="42" customHeight="1">
      <c r="A8403" s="2" t="s">
        <v>21006</v>
      </c>
      <c r="B8403" s="2" t="s">
        <v>21007</v>
      </c>
      <c r="C8403" s="2" t="s">
        <v>33</v>
      </c>
      <c r="D8403" s="2" t="s">
        <v>220</v>
      </c>
      <c r="E8403" s="4">
        <v>-32677</v>
      </c>
      <c r="F8403" s="3" t="s">
        <v>1940</v>
      </c>
      <c r="G8403" s="3" t="s">
        <v>16241</v>
      </c>
      <c r="H8403" s="2" t="s">
        <v>74</v>
      </c>
      <c r="I8403" s="2" t="s">
        <v>21026</v>
      </c>
      <c r="J8403" s="3" t="str">
        <f>HYPERLINK("https://www.boe.es/gazeta/dias/1810/07/13/pdfs/GEI-1810-44.pdf#page=2","Abrir facsímil")</f>
        <v>Abrir facsímil</v>
      </c>
      <c r="K8403" s="3" t="s">
        <v>76</v>
      </c>
    </row>
    <row r="8404" spans="1:11" ht="42" customHeight="1">
      <c r="A8404" s="2" t="s">
        <v>21027</v>
      </c>
      <c r="B8404" s="2" t="s">
        <v>21028</v>
      </c>
      <c r="C8404" s="2" t="s">
        <v>26</v>
      </c>
      <c r="D8404" s="2" t="s">
        <v>27</v>
      </c>
      <c r="E8404" s="4">
        <v>-32734</v>
      </c>
      <c r="F8404" s="3" t="s">
        <v>19</v>
      </c>
      <c r="G8404" s="3" t="s">
        <v>20</v>
      </c>
      <c r="H8404" s="2" t="s">
        <v>74</v>
      </c>
      <c r="I8404" s="2" t="s">
        <v>21029</v>
      </c>
      <c r="J8404" s="3" t="str">
        <f>HYPERLINK("https://www.boe.es/gazeta/dias/1810/05/17/pdfs/GMD-1810-137.pdf#page=4","Abrir facsímil")</f>
        <v>Abrir facsímil</v>
      </c>
      <c r="K8404" s="3" t="s">
        <v>76</v>
      </c>
    </row>
    <row r="8405" spans="1:11" ht="42" customHeight="1">
      <c r="A8405" s="2" t="s">
        <v>21030</v>
      </c>
      <c r="B8405" s="2" t="s">
        <v>21031</v>
      </c>
      <c r="C8405" s="2" t="s">
        <v>88</v>
      </c>
      <c r="D8405" s="2" t="s">
        <v>27</v>
      </c>
      <c r="E8405" s="4">
        <v>-32697</v>
      </c>
      <c r="F8405" s="3" t="s">
        <v>1859</v>
      </c>
      <c r="G8405" s="3" t="s">
        <v>70</v>
      </c>
      <c r="H8405" s="2" t="s">
        <v>74</v>
      </c>
      <c r="I8405" s="2" t="s">
        <v>21032</v>
      </c>
      <c r="J8405" s="3" t="str">
        <f>HYPERLINK("https://www.boe.es/gazeta/dias/1810/06/23/pdfs/GMD-1810-174.pdf#page=4","Abrir facsímil")</f>
        <v>Abrir facsímil</v>
      </c>
      <c r="K8405" s="3" t="s">
        <v>76</v>
      </c>
    </row>
    <row r="8406" spans="1:11" ht="42" customHeight="1">
      <c r="A8406" s="2" t="s">
        <v>21033</v>
      </c>
      <c r="B8406" s="2" t="s">
        <v>21034</v>
      </c>
      <c r="C8406" s="2" t="s">
        <v>88</v>
      </c>
      <c r="D8406" s="2" t="s">
        <v>117</v>
      </c>
      <c r="E8406" s="4">
        <v>-32768</v>
      </c>
      <c r="F8406" s="3" t="s">
        <v>1930</v>
      </c>
      <c r="G8406" s="3" t="s">
        <v>1931</v>
      </c>
      <c r="H8406" s="2" t="s">
        <v>74</v>
      </c>
      <c r="I8406" s="2" t="s">
        <v>21035</v>
      </c>
      <c r="J8406" s="3" t="str">
        <f>HYPERLINK("https://www.boe.es/gazeta/dias/1810/04/13/pdfs/GEI-1810-14.pdf#page=11","Abrir facsímil")</f>
        <v>Abrir facsímil</v>
      </c>
      <c r="K8406" s="3" t="s">
        <v>76</v>
      </c>
    </row>
    <row r="8407" spans="1:11" ht="42" customHeight="1">
      <c r="A8407" s="2" t="s">
        <v>21036</v>
      </c>
      <c r="B8407" s="2" t="s">
        <v>21037</v>
      </c>
      <c r="C8407" s="2" t="s">
        <v>88</v>
      </c>
      <c r="D8407" s="2" t="s">
        <v>27</v>
      </c>
      <c r="E8407" s="4">
        <v>-32698</v>
      </c>
      <c r="F8407" s="3" t="s">
        <v>2705</v>
      </c>
      <c r="G8407" s="3" t="s">
        <v>2706</v>
      </c>
      <c r="H8407" s="2" t="s">
        <v>74</v>
      </c>
      <c r="I8407" s="2" t="s">
        <v>21038</v>
      </c>
      <c r="J8407" s="3" t="str">
        <f>HYPERLINK("https://www.boe.es/gazeta/dias/1810/06/22/pdfs/GEI-1810-38.pdf#page=8","Abrir facsímil")</f>
        <v>Abrir facsímil</v>
      </c>
      <c r="K8407" s="3" t="s">
        <v>76</v>
      </c>
    </row>
    <row r="8408" spans="1:11" ht="42" customHeight="1">
      <c r="A8408" s="2" t="s">
        <v>21039</v>
      </c>
      <c r="B8408" s="2" t="s">
        <v>21040</v>
      </c>
      <c r="C8408" s="2" t="s">
        <v>88</v>
      </c>
      <c r="D8408" s="2" t="s">
        <v>27</v>
      </c>
      <c r="E8408" s="4">
        <v>-32533</v>
      </c>
      <c r="F8408" s="3" t="s">
        <v>1357</v>
      </c>
      <c r="G8408" s="3" t="s">
        <v>1667</v>
      </c>
      <c r="H8408" s="2" t="s">
        <v>74</v>
      </c>
      <c r="I8408" s="2" t="s">
        <v>21041</v>
      </c>
      <c r="J8408" s="3" t="str">
        <f>HYPERLINK("https://www.boe.es/gazeta/dias/1810/12/04/pdfs/GEI-1810-103.pdf#page=6","Abrir facsímil")</f>
        <v>Abrir facsímil</v>
      </c>
      <c r="K8408" s="3" t="s">
        <v>76</v>
      </c>
    </row>
    <row r="8409" spans="1:11" ht="42" customHeight="1">
      <c r="A8409" s="2" t="s">
        <v>21042</v>
      </c>
      <c r="B8409" s="2" t="s">
        <v>21043</v>
      </c>
      <c r="C8409" s="2" t="s">
        <v>17</v>
      </c>
      <c r="D8409" s="2" t="s">
        <v>27</v>
      </c>
      <c r="E8409" s="4">
        <v>-32676</v>
      </c>
      <c r="F8409" s="3" t="s">
        <v>2863</v>
      </c>
      <c r="G8409" s="3" t="s">
        <v>592</v>
      </c>
      <c r="H8409" s="2" t="s">
        <v>74</v>
      </c>
      <c r="I8409" s="2" t="s">
        <v>21044</v>
      </c>
      <c r="J8409" s="3" t="str">
        <f>HYPERLINK("https://www.boe.es/gazeta/dias/1810/07/14/pdfs/GMD-1810-195.pdf#page=4","Abrir facsímil")</f>
        <v>Abrir facsímil</v>
      </c>
      <c r="K8409" s="3" t="s">
        <v>76</v>
      </c>
    </row>
    <row r="8410" spans="1:11" ht="42" customHeight="1">
      <c r="A8410" s="2" t="s">
        <v>21045</v>
      </c>
      <c r="B8410" s="2" t="s">
        <v>21046</v>
      </c>
      <c r="C8410" s="2" t="s">
        <v>26</v>
      </c>
      <c r="D8410" s="2" t="s">
        <v>27</v>
      </c>
      <c r="E8410" s="4">
        <v>-32729</v>
      </c>
      <c r="F8410" s="3" t="s">
        <v>174</v>
      </c>
      <c r="G8410" s="3" t="s">
        <v>1164</v>
      </c>
      <c r="H8410" s="2" t="s">
        <v>74</v>
      </c>
      <c r="I8410" s="2" t="s">
        <v>21047</v>
      </c>
      <c r="J8410" s="3" t="str">
        <f>HYPERLINK("https://www.boe.es/gazeta/dias/1810/05/22/pdfs/GEI-1810-28.pdf#page=9","Abrir facsímil")</f>
        <v>Abrir facsímil</v>
      </c>
      <c r="K8410" s="3" t="s">
        <v>76</v>
      </c>
    </row>
    <row r="8411" spans="1:11" ht="42" customHeight="1">
      <c r="A8411" s="2" t="s">
        <v>21045</v>
      </c>
      <c r="B8411" s="2" t="s">
        <v>21046</v>
      </c>
      <c r="C8411" s="2" t="s">
        <v>88</v>
      </c>
      <c r="D8411" s="2" t="s">
        <v>27</v>
      </c>
      <c r="E8411" s="4">
        <v>-32691</v>
      </c>
      <c r="F8411" s="3" t="s">
        <v>3021</v>
      </c>
      <c r="G8411" s="3" t="s">
        <v>7188</v>
      </c>
      <c r="H8411" s="2" t="s">
        <v>74</v>
      </c>
      <c r="I8411" s="2" t="s">
        <v>21048</v>
      </c>
      <c r="J8411" s="3" t="str">
        <f>HYPERLINK("https://www.boe.es/gazeta/dias/1810/06/29/pdfs/GEI-1810-40.pdf#page=6","Abrir facsímil")</f>
        <v>Abrir facsímil</v>
      </c>
      <c r="K8411" s="3" t="s">
        <v>76</v>
      </c>
    </row>
    <row r="8412" spans="1:11" ht="42" customHeight="1">
      <c r="A8412" s="2" t="s">
        <v>21049</v>
      </c>
      <c r="B8412" s="2" t="s">
        <v>21050</v>
      </c>
      <c r="C8412" s="2" t="s">
        <v>33</v>
      </c>
      <c r="D8412" s="2" t="s">
        <v>27</v>
      </c>
      <c r="E8412" s="4">
        <v>-32691</v>
      </c>
      <c r="F8412" s="3" t="s">
        <v>3021</v>
      </c>
      <c r="G8412" s="3" t="s">
        <v>10063</v>
      </c>
      <c r="H8412" s="2" t="s">
        <v>21</v>
      </c>
      <c r="I8412" s="2" t="s">
        <v>21051</v>
      </c>
      <c r="J8412" s="3" t="str">
        <f>HYPERLINK("https://www.boe.es/gazeta/dias/1810/06/29/pdfs/GEI-1810-40.pdf#page=8","Abrir facsímil")</f>
        <v>Abrir facsímil</v>
      </c>
      <c r="K8412" s="3" t="s">
        <v>23</v>
      </c>
    </row>
    <row r="8413" spans="1:11" ht="42" customHeight="1">
      <c r="A8413" s="2" t="s">
        <v>21049</v>
      </c>
      <c r="B8413" s="2" t="s">
        <v>21050</v>
      </c>
      <c r="C8413" s="2" t="s">
        <v>33</v>
      </c>
      <c r="D8413" s="2" t="s">
        <v>58</v>
      </c>
      <c r="E8413" s="4">
        <v>-32651</v>
      </c>
      <c r="F8413" s="3" t="s">
        <v>59</v>
      </c>
      <c r="G8413" s="3" t="s">
        <v>9477</v>
      </c>
      <c r="H8413" s="2" t="s">
        <v>21</v>
      </c>
      <c r="I8413" s="2" t="s">
        <v>21052</v>
      </c>
      <c r="J8413" s="3" t="str">
        <f>HYPERLINK("https://www.boe.es/gazeta/dias/1810/08/08/pdfs/GEI-1810-53E.pdf#page=4","Abrir facsímil")</f>
        <v>Abrir facsímil</v>
      </c>
      <c r="K8413" s="3" t="s">
        <v>23</v>
      </c>
    </row>
    <row r="8414" spans="1:11" ht="42" customHeight="1">
      <c r="A8414" s="2" t="s">
        <v>21049</v>
      </c>
      <c r="B8414" s="2" t="s">
        <v>21050</v>
      </c>
      <c r="C8414" s="2" t="s">
        <v>33</v>
      </c>
      <c r="D8414" s="2" t="s">
        <v>27</v>
      </c>
      <c r="E8414" s="4">
        <v>-32589</v>
      </c>
      <c r="F8414" s="3" t="s">
        <v>3026</v>
      </c>
      <c r="G8414" s="3" t="s">
        <v>3027</v>
      </c>
      <c r="H8414" s="2" t="s">
        <v>21</v>
      </c>
      <c r="I8414" s="2" t="s">
        <v>21053</v>
      </c>
      <c r="J8414" s="3" t="str">
        <f>HYPERLINK("https://www.boe.es/gazeta/dias/1810/10/09/pdfs/GEI-1810-79.pdf#page=4","Abrir facsímil")</f>
        <v>Abrir facsímil</v>
      </c>
      <c r="K8414" s="3" t="s">
        <v>23</v>
      </c>
    </row>
    <row r="8415" spans="1:11" ht="42" customHeight="1">
      <c r="A8415" s="2" t="s">
        <v>21054</v>
      </c>
      <c r="B8415" s="2" t="s">
        <v>21055</v>
      </c>
      <c r="C8415" s="2" t="s">
        <v>111</v>
      </c>
      <c r="D8415" s="2" t="s">
        <v>27</v>
      </c>
      <c r="E8415" s="4">
        <v>-32754</v>
      </c>
      <c r="F8415" s="3" t="s">
        <v>1057</v>
      </c>
      <c r="G8415" s="3" t="s">
        <v>8186</v>
      </c>
      <c r="H8415" s="2" t="s">
        <v>74</v>
      </c>
      <c r="I8415" s="2" t="s">
        <v>21056</v>
      </c>
      <c r="J8415" s="3" t="str">
        <f>HYPERLINK("https://www.boe.es/gazeta/dias/1810/04/27/pdfs/GEI-1810-18.pdf#page=11","Abrir facsímil")</f>
        <v>Abrir facsímil</v>
      </c>
      <c r="K8415" s="3" t="s">
        <v>76</v>
      </c>
    </row>
    <row r="8416" spans="1:11" ht="42" customHeight="1">
      <c r="A8416" s="2" t="s">
        <v>21057</v>
      </c>
      <c r="B8416" s="2" t="s">
        <v>21058</v>
      </c>
      <c r="C8416" s="2" t="s">
        <v>26</v>
      </c>
      <c r="D8416" s="2" t="s">
        <v>27</v>
      </c>
      <c r="E8416" s="4">
        <v>-32761</v>
      </c>
      <c r="F8416" s="3" t="s">
        <v>811</v>
      </c>
      <c r="G8416" s="3" t="s">
        <v>140</v>
      </c>
      <c r="H8416" s="2" t="s">
        <v>74</v>
      </c>
      <c r="I8416" s="2" t="s">
        <v>21059</v>
      </c>
      <c r="J8416" s="3" t="str">
        <f>HYPERLINK("https://www.boe.es/gazeta/dias/1810/04/20/pdfs/GEI-1810-16.pdf#page=8","Abrir facsímil")</f>
        <v>Abrir facsímil</v>
      </c>
      <c r="K8416" s="3" t="s">
        <v>76</v>
      </c>
    </row>
    <row r="8417" spans="1:11" ht="42" customHeight="1">
      <c r="A8417" s="2" t="s">
        <v>21060</v>
      </c>
      <c r="B8417" s="2" t="s">
        <v>21061</v>
      </c>
      <c r="C8417" s="2" t="s">
        <v>26</v>
      </c>
      <c r="D8417" s="2" t="s">
        <v>27</v>
      </c>
      <c r="E8417" s="4">
        <v>-32512</v>
      </c>
      <c r="F8417" s="3" t="s">
        <v>1920</v>
      </c>
      <c r="G8417" s="3" t="s">
        <v>1659</v>
      </c>
      <c r="H8417" s="2" t="s">
        <v>74</v>
      </c>
      <c r="I8417" s="2" t="s">
        <v>21062</v>
      </c>
      <c r="J8417" s="3" t="str">
        <f>HYPERLINK("https://www.boe.es/gazeta/dias/1810/12/25/pdfs/GEI-1810-112.pdf#page=5","Abrir facsímil")</f>
        <v>Abrir facsímil</v>
      </c>
      <c r="K8417" s="3" t="s">
        <v>76</v>
      </c>
    </row>
    <row r="8418" spans="1:11" ht="42" customHeight="1">
      <c r="A8418" s="2" t="s">
        <v>21063</v>
      </c>
      <c r="B8418" s="2" t="s">
        <v>21064</v>
      </c>
      <c r="C8418" s="2" t="s">
        <v>26</v>
      </c>
      <c r="D8418" s="2" t="s">
        <v>39</v>
      </c>
      <c r="E8418" s="4">
        <v>-32642</v>
      </c>
      <c r="F8418" s="3" t="s">
        <v>2273</v>
      </c>
      <c r="G8418" s="3" t="s">
        <v>8558</v>
      </c>
      <c r="H8418" s="2" t="s">
        <v>74</v>
      </c>
      <c r="I8418" s="2" t="s">
        <v>21065</v>
      </c>
      <c r="J8418" s="3" t="str">
        <f>HYPERLINK("https://www.boe.es/gazeta/dias/1810/08/17/pdfs/GEI-D-1810-57.pdf#page=3","Abrir facsímil")</f>
        <v>Abrir facsímil</v>
      </c>
      <c r="K8418" s="3" t="s">
        <v>76</v>
      </c>
    </row>
    <row r="8419" spans="1:11" ht="42" customHeight="1">
      <c r="A8419" s="2" t="s">
        <v>21066</v>
      </c>
      <c r="B8419" s="2" t="s">
        <v>21066</v>
      </c>
      <c r="C8419" s="2" t="s">
        <v>88</v>
      </c>
      <c r="D8419" s="2" t="s">
        <v>117</v>
      </c>
      <c r="E8419" s="4">
        <v>-32768</v>
      </c>
      <c r="F8419" s="3" t="s">
        <v>1930</v>
      </c>
      <c r="G8419" s="3" t="s">
        <v>15449</v>
      </c>
      <c r="H8419" s="2" t="s">
        <v>74</v>
      </c>
      <c r="I8419" s="2" t="s">
        <v>21067</v>
      </c>
      <c r="J8419" s="3" t="str">
        <f>HYPERLINK("https://www.boe.es/gazeta/dias/1810/04/13/pdfs/GEI-1810-14.pdf#page=8","Abrir facsímil")</f>
        <v>Abrir facsímil</v>
      </c>
      <c r="K8419" s="3" t="s">
        <v>76</v>
      </c>
    </row>
    <row r="8420" spans="1:11" ht="42" customHeight="1">
      <c r="A8420" s="2" t="s">
        <v>21068</v>
      </c>
      <c r="B8420" s="2" t="s">
        <v>21069</v>
      </c>
      <c r="C8420" s="2" t="s">
        <v>33</v>
      </c>
      <c r="D8420" s="2" t="s">
        <v>18</v>
      </c>
      <c r="E8420" s="4">
        <v>-32733</v>
      </c>
      <c r="F8420" s="3" t="s">
        <v>955</v>
      </c>
      <c r="G8420" s="3" t="s">
        <v>5433</v>
      </c>
      <c r="H8420" s="2" t="s">
        <v>74</v>
      </c>
      <c r="I8420" s="2" t="s">
        <v>21070</v>
      </c>
      <c r="J8420" s="3" t="str">
        <f>HYPERLINK("https://www.boe.es/gazeta/dias/1810/05/18/pdfs/GEI-1810-27.pdf#page=3","Abrir facsímil")</f>
        <v>Abrir facsímil</v>
      </c>
      <c r="K8420" s="3" t="s">
        <v>76</v>
      </c>
    </row>
    <row r="8421" spans="1:11" ht="42" customHeight="1">
      <c r="A8421" s="2" t="s">
        <v>21071</v>
      </c>
      <c r="B8421" s="2" t="s">
        <v>21072</v>
      </c>
      <c r="C8421" s="2" t="s">
        <v>26</v>
      </c>
      <c r="D8421" s="2" t="s">
        <v>27</v>
      </c>
      <c r="E8421" s="4">
        <v>-32508</v>
      </c>
      <c r="F8421" s="3" t="s">
        <v>864</v>
      </c>
      <c r="G8421" s="3" t="s">
        <v>691</v>
      </c>
      <c r="H8421" s="2" t="s">
        <v>74</v>
      </c>
      <c r="I8421" s="2" t="s">
        <v>21073</v>
      </c>
      <c r="J8421" s="3" t="str">
        <f>HYPERLINK("https://www.boe.es/gazeta/dias/1810/12/29/pdfs/GEI-1810-114.pdf#page=8","Abrir facsímil")</f>
        <v>Abrir facsímil</v>
      </c>
      <c r="K8421" s="3" t="s">
        <v>76</v>
      </c>
    </row>
    <row r="8422" spans="1:11" ht="42" customHeight="1">
      <c r="A8422" s="2" t="s">
        <v>21074</v>
      </c>
      <c r="B8422" s="2" t="s">
        <v>21075</v>
      </c>
      <c r="C8422" s="2" t="s">
        <v>88</v>
      </c>
      <c r="D8422" s="2" t="s">
        <v>117</v>
      </c>
      <c r="E8422" s="4">
        <v>-32842</v>
      </c>
      <c r="F8422" s="3" t="s">
        <v>1291</v>
      </c>
      <c r="G8422" s="3" t="s">
        <v>1292</v>
      </c>
      <c r="H8422" s="2" t="s">
        <v>74</v>
      </c>
      <c r="I8422" s="2" t="s">
        <v>21076</v>
      </c>
      <c r="J8422" s="3" t="str">
        <f>HYPERLINK("https://www.boe.es/gazeta/dias/1810/01/29/pdfs/GMD-1810-29.pdf#page=3","Abrir facsímil")</f>
        <v>Abrir facsímil</v>
      </c>
      <c r="K8422" s="3" t="s">
        <v>76</v>
      </c>
    </row>
    <row r="8423" spans="1:11" ht="42" customHeight="1">
      <c r="A8423" s="2" t="s">
        <v>21077</v>
      </c>
      <c r="B8423" s="2" t="s">
        <v>21078</v>
      </c>
      <c r="C8423" s="2" t="s">
        <v>26</v>
      </c>
      <c r="D8423" s="2" t="s">
        <v>220</v>
      </c>
      <c r="E8423" s="4">
        <v>-32591</v>
      </c>
      <c r="F8423" s="3" t="s">
        <v>377</v>
      </c>
      <c r="G8423" s="3" t="s">
        <v>136</v>
      </c>
      <c r="H8423" s="2" t="s">
        <v>74</v>
      </c>
      <c r="I8423" s="2" t="s">
        <v>21079</v>
      </c>
      <c r="J8423" s="3" t="str">
        <f>HYPERLINK("https://www.boe.es/gazeta/dias/1810/10/07/pdfs/GMD-1810-280.pdf#page=3","Abrir facsímil")</f>
        <v>Abrir facsímil</v>
      </c>
      <c r="K8423" s="3" t="s">
        <v>76</v>
      </c>
    </row>
    <row r="8424" spans="1:11" ht="42" customHeight="1">
      <c r="A8424" s="2" t="s">
        <v>21080</v>
      </c>
      <c r="B8424" s="2" t="s">
        <v>21081</v>
      </c>
      <c r="C8424" s="2" t="s">
        <v>26</v>
      </c>
      <c r="D8424" s="2" t="s">
        <v>27</v>
      </c>
      <c r="E8424" s="4">
        <v>-32631</v>
      </c>
      <c r="F8424" s="3" t="s">
        <v>497</v>
      </c>
      <c r="G8424" s="3" t="s">
        <v>498</v>
      </c>
      <c r="H8424" s="2" t="s">
        <v>74</v>
      </c>
      <c r="I8424" s="2" t="s">
        <v>21082</v>
      </c>
      <c r="J8424" s="3" t="str">
        <f>HYPERLINK("https://www.boe.es/gazeta/dias/1810/08/28/pdfs/GMD-1810-240.pdf#page=2","Abrir facsímil")</f>
        <v>Abrir facsímil</v>
      </c>
      <c r="K8424" s="3" t="s">
        <v>76</v>
      </c>
    </row>
    <row r="8425" spans="1:11" ht="42" customHeight="1">
      <c r="A8425" s="2" t="s">
        <v>21083</v>
      </c>
      <c r="B8425" s="2" t="s">
        <v>21084</v>
      </c>
      <c r="C8425" s="2" t="s">
        <v>26</v>
      </c>
      <c r="D8425" s="2" t="s">
        <v>27</v>
      </c>
      <c r="E8425" s="4">
        <v>-32508</v>
      </c>
      <c r="F8425" s="3" t="s">
        <v>864</v>
      </c>
      <c r="G8425" s="3" t="s">
        <v>17837</v>
      </c>
      <c r="H8425" s="2" t="s">
        <v>74</v>
      </c>
      <c r="I8425" s="2" t="s">
        <v>21085</v>
      </c>
      <c r="J8425" s="3" t="str">
        <f>HYPERLINK("https://www.boe.es/gazeta/dias/1810/12/29/pdfs/GEI-1810-114.pdf#page=2","Abrir facsímil")</f>
        <v>Abrir facsímil</v>
      </c>
      <c r="K8425" s="3" t="s">
        <v>76</v>
      </c>
    </row>
    <row r="8426" spans="1:11" ht="42" customHeight="1">
      <c r="A8426" s="2" t="s">
        <v>21086</v>
      </c>
      <c r="B8426" s="2" t="s">
        <v>21086</v>
      </c>
      <c r="C8426" s="2" t="s">
        <v>88</v>
      </c>
      <c r="D8426" s="2" t="s">
        <v>117</v>
      </c>
      <c r="E8426" s="4">
        <v>-32848</v>
      </c>
      <c r="F8426" s="3" t="s">
        <v>558</v>
      </c>
      <c r="G8426" s="3" t="s">
        <v>9393</v>
      </c>
      <c r="H8426" s="2" t="s">
        <v>74</v>
      </c>
      <c r="I8426" s="2" t="s">
        <v>21087</v>
      </c>
      <c r="J8426" s="3" t="str">
        <f>HYPERLINK("https://www.boe.es/gazeta/dias/1810/01/23/pdfs/GGB-1810-10.pdf#page=4","Abrir facsímil")</f>
        <v>Abrir facsímil</v>
      </c>
      <c r="K8426" s="3" t="s">
        <v>76</v>
      </c>
    </row>
    <row r="8427" spans="1:11" ht="42" customHeight="1">
      <c r="A8427" s="2" t="s">
        <v>21086</v>
      </c>
      <c r="B8427" s="2" t="s">
        <v>21086</v>
      </c>
      <c r="C8427" s="2" t="s">
        <v>88</v>
      </c>
      <c r="D8427" s="2" t="s">
        <v>27</v>
      </c>
      <c r="E8427" s="4">
        <v>-32712</v>
      </c>
      <c r="F8427" s="3" t="s">
        <v>667</v>
      </c>
      <c r="G8427" s="3" t="s">
        <v>668</v>
      </c>
      <c r="H8427" s="2" t="s">
        <v>74</v>
      </c>
      <c r="I8427" s="2" t="s">
        <v>21088</v>
      </c>
      <c r="J8427" s="3" t="str">
        <f>HYPERLINK("https://www.boe.es/gazeta/dias/1810/06/08/pdfs/GEI-1810-34.pdf#page=3","Abrir facsímil")</f>
        <v>Abrir facsímil</v>
      </c>
      <c r="K8427" s="3" t="s">
        <v>76</v>
      </c>
    </row>
    <row r="8428" spans="1:11" ht="42" customHeight="1">
      <c r="A8428" s="2" t="s">
        <v>21086</v>
      </c>
      <c r="B8428" s="2" t="s">
        <v>21086</v>
      </c>
      <c r="C8428" s="2" t="s">
        <v>88</v>
      </c>
      <c r="D8428" s="2" t="s">
        <v>27</v>
      </c>
      <c r="E8428" s="4">
        <v>-32708</v>
      </c>
      <c r="F8428" s="3" t="s">
        <v>654</v>
      </c>
      <c r="G8428" s="3" t="s">
        <v>90</v>
      </c>
      <c r="H8428" s="2" t="s">
        <v>74</v>
      </c>
      <c r="I8428" s="2" t="s">
        <v>21089</v>
      </c>
      <c r="J8428" s="3" t="str">
        <f>HYPERLINK("https://www.boe.es/gazeta/dias/1810/06/12/pdfs/GEI-1810-35.pdf#page=8","Abrir facsímil")</f>
        <v>Abrir facsímil</v>
      </c>
      <c r="K8428" s="3" t="s">
        <v>76</v>
      </c>
    </row>
    <row r="8429" spans="1:11" ht="42" customHeight="1">
      <c r="A8429" s="2" t="s">
        <v>21086</v>
      </c>
      <c r="B8429" s="2" t="s">
        <v>21086</v>
      </c>
      <c r="C8429" s="2" t="s">
        <v>88</v>
      </c>
      <c r="D8429" s="2" t="s">
        <v>27</v>
      </c>
      <c r="E8429" s="4">
        <v>-32701</v>
      </c>
      <c r="F8429" s="3" t="s">
        <v>671</v>
      </c>
      <c r="G8429" s="3" t="s">
        <v>151</v>
      </c>
      <c r="H8429" s="2" t="s">
        <v>74</v>
      </c>
      <c r="I8429" s="2" t="s">
        <v>21090</v>
      </c>
      <c r="J8429" s="3" t="str">
        <f>HYPERLINK("https://www.boe.es/gazeta/dias/1810/06/19/pdfs/GEI-1810-37.pdf#page=5","Abrir facsímil")</f>
        <v>Abrir facsímil</v>
      </c>
      <c r="K8429" s="3" t="s">
        <v>76</v>
      </c>
    </row>
    <row r="8430" spans="1:11" ht="42" customHeight="1">
      <c r="A8430" s="2" t="s">
        <v>21086</v>
      </c>
      <c r="B8430" s="2" t="s">
        <v>21086</v>
      </c>
      <c r="C8430" s="2" t="s">
        <v>88</v>
      </c>
      <c r="D8430" s="2" t="s">
        <v>27</v>
      </c>
      <c r="E8430" s="4">
        <v>-32666</v>
      </c>
      <c r="F8430" s="3" t="s">
        <v>346</v>
      </c>
      <c r="G8430" s="3" t="s">
        <v>7829</v>
      </c>
      <c r="H8430" s="2" t="s">
        <v>74</v>
      </c>
      <c r="I8430" s="2" t="s">
        <v>21091</v>
      </c>
      <c r="J8430" s="3" t="str">
        <f>HYPERLINK("https://www.boe.es/gazeta/dias/1810/07/24/pdfs/GEI-1810-47.pdf#page=2","Abrir facsímil")</f>
        <v>Abrir facsímil</v>
      </c>
      <c r="K8430" s="3" t="s">
        <v>76</v>
      </c>
    </row>
    <row r="8431" spans="1:11" ht="42" customHeight="1">
      <c r="A8431" s="2" t="s">
        <v>21086</v>
      </c>
      <c r="B8431" s="2" t="s">
        <v>21086</v>
      </c>
      <c r="C8431" s="2" t="s">
        <v>88</v>
      </c>
      <c r="D8431" s="2" t="s">
        <v>27</v>
      </c>
      <c r="E8431" s="4">
        <v>-32666</v>
      </c>
      <c r="F8431" s="3" t="s">
        <v>346</v>
      </c>
      <c r="G8431" s="3" t="s">
        <v>21092</v>
      </c>
      <c r="H8431" s="2" t="s">
        <v>74</v>
      </c>
      <c r="I8431" s="2" t="s">
        <v>21093</v>
      </c>
      <c r="J8431" s="3" t="str">
        <f>HYPERLINK("https://www.boe.es/gazeta/dias/1810/07/24/pdfs/GEI-1810-47.pdf#page=4","Abrir facsímil")</f>
        <v>Abrir facsímil</v>
      </c>
      <c r="K8431" s="3" t="s">
        <v>76</v>
      </c>
    </row>
    <row r="8432" spans="1:11" ht="42" customHeight="1">
      <c r="A8432" s="2" t="s">
        <v>21086</v>
      </c>
      <c r="B8432" s="2" t="s">
        <v>21086</v>
      </c>
      <c r="C8432" s="2" t="s">
        <v>88</v>
      </c>
      <c r="D8432" s="2" t="s">
        <v>39</v>
      </c>
      <c r="E8432" s="4">
        <v>-32642</v>
      </c>
      <c r="F8432" s="3" t="s">
        <v>2273</v>
      </c>
      <c r="G8432" s="3" t="s">
        <v>20064</v>
      </c>
      <c r="H8432" s="2" t="s">
        <v>74</v>
      </c>
      <c r="I8432" s="2" t="s">
        <v>21094</v>
      </c>
      <c r="J8432" s="3" t="str">
        <f>HYPERLINK("https://www.boe.es/gazeta/dias/1810/08/17/pdfs/GEI-D-1810-57.pdf#page=4","Abrir facsímil")</f>
        <v>Abrir facsímil</v>
      </c>
      <c r="K8432" s="3" t="s">
        <v>76</v>
      </c>
    </row>
    <row r="8433" spans="1:11" ht="42" customHeight="1">
      <c r="A8433" s="2" t="s">
        <v>21086</v>
      </c>
      <c r="B8433" s="2" t="s">
        <v>21086</v>
      </c>
      <c r="C8433" s="2" t="s">
        <v>88</v>
      </c>
      <c r="D8433" s="2" t="s">
        <v>39</v>
      </c>
      <c r="E8433" s="4">
        <v>-32642</v>
      </c>
      <c r="F8433" s="3" t="s">
        <v>2273</v>
      </c>
      <c r="G8433" s="3" t="s">
        <v>20886</v>
      </c>
      <c r="H8433" s="2" t="s">
        <v>74</v>
      </c>
      <c r="I8433" s="2" t="s">
        <v>21095</v>
      </c>
      <c r="J8433" s="3" t="str">
        <f>HYPERLINK("https://www.boe.es/gazeta/dias/1810/08/17/pdfs/GEI-D-1810-57.pdf#page=6","Abrir facsímil")</f>
        <v>Abrir facsímil</v>
      </c>
      <c r="K8433" s="3" t="s">
        <v>76</v>
      </c>
    </row>
    <row r="8434" spans="1:11" ht="42" customHeight="1">
      <c r="A8434" s="2" t="s">
        <v>21086</v>
      </c>
      <c r="B8434" s="2" t="s">
        <v>21086</v>
      </c>
      <c r="C8434" s="2" t="s">
        <v>88</v>
      </c>
      <c r="D8434" s="2" t="s">
        <v>27</v>
      </c>
      <c r="E8434" s="4">
        <v>-32601</v>
      </c>
      <c r="F8434" s="3" t="s">
        <v>2181</v>
      </c>
      <c r="G8434" s="3" t="s">
        <v>180</v>
      </c>
      <c r="H8434" s="2" t="s">
        <v>74</v>
      </c>
      <c r="I8434" s="2" t="s">
        <v>21096</v>
      </c>
      <c r="J8434" s="3" t="str">
        <f>HYPERLINK("https://www.boe.es/gazeta/dias/1810/09/27/pdfs/GEI-1810-73.pdf#page=5","Abrir facsímil")</f>
        <v>Abrir facsímil</v>
      </c>
      <c r="K8434" s="3" t="s">
        <v>76</v>
      </c>
    </row>
    <row r="8435" spans="1:11" ht="42" customHeight="1">
      <c r="A8435" s="2" t="s">
        <v>21097</v>
      </c>
      <c r="B8435" s="2" t="s">
        <v>21098</v>
      </c>
      <c r="C8435" s="2" t="s">
        <v>88</v>
      </c>
      <c r="D8435" s="2" t="s">
        <v>27</v>
      </c>
      <c r="E8435" s="4">
        <v>-32698</v>
      </c>
      <c r="F8435" s="3" t="s">
        <v>2705</v>
      </c>
      <c r="G8435" s="3" t="s">
        <v>4518</v>
      </c>
      <c r="H8435" s="2" t="s">
        <v>74</v>
      </c>
      <c r="I8435" s="2" t="s">
        <v>21099</v>
      </c>
      <c r="J8435" s="3" t="str">
        <f>HYPERLINK("https://www.boe.es/gazeta/dias/1810/06/22/pdfs/GEI-1810-38.pdf#page=6","Abrir facsímil")</f>
        <v>Abrir facsímil</v>
      </c>
      <c r="K8435" s="3" t="s">
        <v>76</v>
      </c>
    </row>
    <row r="8436" spans="1:11" ht="42" customHeight="1">
      <c r="A8436" s="2" t="s">
        <v>21100</v>
      </c>
      <c r="B8436" s="2" t="s">
        <v>21100</v>
      </c>
      <c r="C8436" s="2" t="s">
        <v>88</v>
      </c>
      <c r="D8436" s="2" t="s">
        <v>27</v>
      </c>
      <c r="E8436" s="4">
        <v>-32564</v>
      </c>
      <c r="F8436" s="3" t="s">
        <v>108</v>
      </c>
      <c r="G8436" s="3" t="s">
        <v>227</v>
      </c>
      <c r="H8436" s="2" t="s">
        <v>74</v>
      </c>
      <c r="I8436" s="2" t="s">
        <v>21101</v>
      </c>
      <c r="J8436" s="3" t="str">
        <f>HYPERLINK("https://www.boe.es/gazeta/dias/1810/11/03/pdfs/GEI-1810-90.pdf#page=2","Abrir facsímil")</f>
        <v>Abrir facsímil</v>
      </c>
      <c r="K8436" s="3" t="s">
        <v>76</v>
      </c>
    </row>
    <row r="8437" spans="1:11" ht="42" customHeight="1">
      <c r="A8437" s="2" t="s">
        <v>21100</v>
      </c>
      <c r="B8437" s="2" t="s">
        <v>21100</v>
      </c>
      <c r="C8437" s="2" t="s">
        <v>88</v>
      </c>
      <c r="D8437" s="2" t="s">
        <v>27</v>
      </c>
      <c r="E8437" s="4">
        <v>-32564</v>
      </c>
      <c r="F8437" s="3" t="s">
        <v>108</v>
      </c>
      <c r="G8437" s="3" t="s">
        <v>9477</v>
      </c>
      <c r="H8437" s="2" t="s">
        <v>74</v>
      </c>
      <c r="I8437" s="2" t="s">
        <v>21102</v>
      </c>
      <c r="J8437" s="3" t="str">
        <f>HYPERLINK("https://www.boe.es/gazeta/dias/1810/11/03/pdfs/GEI-1810-90.pdf#page=3","Abrir facsímil")</f>
        <v>Abrir facsímil</v>
      </c>
      <c r="K8437" s="3" t="s">
        <v>76</v>
      </c>
    </row>
    <row r="8438" spans="1:11" ht="42" customHeight="1">
      <c r="A8438" s="2" t="s">
        <v>21103</v>
      </c>
      <c r="B8438" s="2" t="s">
        <v>21104</v>
      </c>
      <c r="C8438" s="2" t="s">
        <v>26</v>
      </c>
      <c r="D8438" s="2" t="s">
        <v>220</v>
      </c>
      <c r="E8438" s="4">
        <v>-32839</v>
      </c>
      <c r="F8438" s="3" t="s">
        <v>28</v>
      </c>
      <c r="G8438" s="3" t="s">
        <v>29</v>
      </c>
      <c r="H8438" s="2" t="s">
        <v>74</v>
      </c>
      <c r="I8438" s="2" t="s">
        <v>21105</v>
      </c>
      <c r="J8438" s="3" t="str">
        <f>HYPERLINK("https://www.boe.es/gazeta/dias/1810/02/01/pdfs/GMD-1810-32.pdf#page=3","Abrir facsímil")</f>
        <v>Abrir facsímil</v>
      </c>
      <c r="K8438" s="3" t="s">
        <v>76</v>
      </c>
    </row>
    <row r="8439" spans="1:11" ht="42" customHeight="1">
      <c r="A8439" s="2" t="s">
        <v>21106</v>
      </c>
      <c r="B8439" s="2" t="s">
        <v>21107</v>
      </c>
      <c r="C8439" s="2" t="s">
        <v>88</v>
      </c>
      <c r="D8439" s="2" t="s">
        <v>27</v>
      </c>
      <c r="E8439" s="4">
        <v>-32775</v>
      </c>
      <c r="F8439" s="3" t="s">
        <v>308</v>
      </c>
      <c r="G8439" s="3" t="s">
        <v>140</v>
      </c>
      <c r="H8439" s="2" t="s">
        <v>74</v>
      </c>
      <c r="I8439" s="2" t="s">
        <v>21108</v>
      </c>
      <c r="J8439" s="3" t="str">
        <f>HYPERLINK("https://www.boe.es/gazeta/dias/1810/04/06/pdfs/GMD-1810-96.pdf#page=3","Abrir facsímil")</f>
        <v>Abrir facsímil</v>
      </c>
      <c r="K8439" s="3" t="s">
        <v>76</v>
      </c>
    </row>
    <row r="8440" spans="1:11" ht="42" customHeight="1">
      <c r="A8440" s="2" t="s">
        <v>21109</v>
      </c>
      <c r="B8440" s="2" t="s">
        <v>21110</v>
      </c>
      <c r="C8440" s="2" t="s">
        <v>88</v>
      </c>
      <c r="D8440" s="2" t="s">
        <v>27</v>
      </c>
      <c r="E8440" s="4">
        <v>-32533</v>
      </c>
      <c r="F8440" s="3" t="s">
        <v>1357</v>
      </c>
      <c r="G8440" s="3" t="s">
        <v>701</v>
      </c>
      <c r="H8440" s="2" t="s">
        <v>74</v>
      </c>
      <c r="I8440" s="2" t="s">
        <v>21111</v>
      </c>
      <c r="J8440" s="3" t="str">
        <f>HYPERLINK("https://www.boe.es/gazeta/dias/1810/12/04/pdfs/GEI-1810-103.pdf#page=8","Abrir facsímil")</f>
        <v>Abrir facsímil</v>
      </c>
      <c r="K8440" s="3" t="s">
        <v>76</v>
      </c>
    </row>
    <row r="8441" spans="1:11" ht="42" customHeight="1">
      <c r="A8441" s="2" t="s">
        <v>21112</v>
      </c>
      <c r="B8441" s="2" t="s">
        <v>21113</v>
      </c>
      <c r="C8441" s="2" t="s">
        <v>26</v>
      </c>
      <c r="D8441" s="2" t="s">
        <v>27</v>
      </c>
      <c r="E8441" s="4">
        <v>-32647</v>
      </c>
      <c r="F8441" s="3" t="s">
        <v>118</v>
      </c>
      <c r="G8441" s="3" t="s">
        <v>119</v>
      </c>
      <c r="H8441" s="2" t="s">
        <v>74</v>
      </c>
      <c r="I8441" s="2" t="s">
        <v>21114</v>
      </c>
      <c r="J8441" s="3" t="str">
        <f>HYPERLINK("https://www.boe.es/gazeta/dias/1810/08/12/pdfs/GMD-1810-224.pdf#page=3","Abrir facsímil")</f>
        <v>Abrir facsímil</v>
      </c>
      <c r="K8441" s="3" t="s">
        <v>76</v>
      </c>
    </row>
    <row r="8442" spans="1:11" ht="42" customHeight="1">
      <c r="A8442" s="2" t="s">
        <v>21115</v>
      </c>
      <c r="B8442" s="2" t="s">
        <v>21116</v>
      </c>
      <c r="C8442" s="2" t="s">
        <v>26</v>
      </c>
      <c r="D8442" s="2" t="s">
        <v>27</v>
      </c>
      <c r="E8442" s="4">
        <v>-32738</v>
      </c>
      <c r="F8442" s="3" t="s">
        <v>321</v>
      </c>
      <c r="G8442" s="3" t="s">
        <v>140</v>
      </c>
      <c r="H8442" s="2" t="s">
        <v>74</v>
      </c>
      <c r="I8442" s="2" t="s">
        <v>21117</v>
      </c>
      <c r="J8442" s="3" t="str">
        <f>HYPERLINK("https://www.boe.es/gazeta/dias/1810/05/13/pdfs/GMD-1810-133.pdf#page=4","Abrir facsímil")</f>
        <v>Abrir facsímil</v>
      </c>
      <c r="K8442" s="3" t="s">
        <v>76</v>
      </c>
    </row>
    <row r="8443" spans="1:11" ht="42" customHeight="1">
      <c r="A8443" s="2" t="s">
        <v>21118</v>
      </c>
      <c r="B8443" s="2" t="s">
        <v>21119</v>
      </c>
      <c r="C8443" s="2" t="s">
        <v>88</v>
      </c>
      <c r="D8443" s="2" t="s">
        <v>117</v>
      </c>
      <c r="E8443" s="4">
        <v>-32715</v>
      </c>
      <c r="F8443" s="3" t="s">
        <v>6792</v>
      </c>
      <c r="G8443" s="3" t="s">
        <v>99</v>
      </c>
      <c r="H8443" s="2" t="s">
        <v>74</v>
      </c>
      <c r="I8443" s="2" t="s">
        <v>21120</v>
      </c>
      <c r="J8443" s="3" t="str">
        <f>HYPERLINK("https://www.boe.es/gazeta/dias/1810/06/05/pdfs/GEI-D-1810-33.pdf#page=3","Abrir facsímil")</f>
        <v>Abrir facsímil</v>
      </c>
      <c r="K8443" s="3" t="s">
        <v>76</v>
      </c>
    </row>
    <row r="8444" spans="1:11" ht="42" customHeight="1">
      <c r="A8444" s="2" t="s">
        <v>21118</v>
      </c>
      <c r="B8444" s="2" t="s">
        <v>21119</v>
      </c>
      <c r="C8444" s="2" t="s">
        <v>26</v>
      </c>
      <c r="D8444" s="2" t="s">
        <v>39</v>
      </c>
      <c r="E8444" s="4">
        <v>-32715</v>
      </c>
      <c r="F8444" s="3" t="s">
        <v>6792</v>
      </c>
      <c r="G8444" s="3" t="s">
        <v>140</v>
      </c>
      <c r="H8444" s="2" t="s">
        <v>74</v>
      </c>
      <c r="I8444" s="2" t="s">
        <v>21121</v>
      </c>
      <c r="J8444" s="3" t="str">
        <f>HYPERLINK("https://www.boe.es/gazeta/dias/1810/06/05/pdfs/GEI-D-1810-33.pdf#page=4","Abrir facsímil")</f>
        <v>Abrir facsímil</v>
      </c>
      <c r="K8444" s="3" t="s">
        <v>76</v>
      </c>
    </row>
    <row r="8445" spans="1:11" ht="42" customHeight="1">
      <c r="A8445" s="2" t="s">
        <v>21118</v>
      </c>
      <c r="B8445" s="2" t="s">
        <v>21119</v>
      </c>
      <c r="C8445" s="2" t="s">
        <v>88</v>
      </c>
      <c r="D8445" s="2" t="s">
        <v>27</v>
      </c>
      <c r="E8445" s="4">
        <v>-32691</v>
      </c>
      <c r="F8445" s="3" t="s">
        <v>3021</v>
      </c>
      <c r="G8445" s="3" t="s">
        <v>2595</v>
      </c>
      <c r="H8445" s="2" t="s">
        <v>74</v>
      </c>
      <c r="I8445" s="2" t="s">
        <v>21122</v>
      </c>
      <c r="J8445" s="3" t="str">
        <f>HYPERLINK("https://www.boe.es/gazeta/dias/1810/06/29/pdfs/GEI-1810-40.pdf#page=3","Abrir facsímil")</f>
        <v>Abrir facsímil</v>
      </c>
      <c r="K8445" s="3" t="s">
        <v>76</v>
      </c>
    </row>
    <row r="8446" spans="1:11" ht="42" customHeight="1">
      <c r="A8446" s="2" t="s">
        <v>21123</v>
      </c>
      <c r="B8446" s="2" t="s">
        <v>21124</v>
      </c>
      <c r="C8446" s="2" t="s">
        <v>26</v>
      </c>
      <c r="D8446" s="2" t="s">
        <v>27</v>
      </c>
      <c r="E8446" s="4">
        <v>-32543</v>
      </c>
      <c r="F8446" s="3" t="s">
        <v>69</v>
      </c>
      <c r="G8446" s="3" t="s">
        <v>84</v>
      </c>
      <c r="H8446" s="2" t="s">
        <v>74</v>
      </c>
      <c r="I8446" s="2" t="s">
        <v>21125</v>
      </c>
      <c r="J8446" s="3" t="str">
        <f>HYPERLINK("https://www.boe.es/gazeta/dias/1810/11/24/pdfs/GEI-1810-99.pdf#page=7","Abrir facsímil")</f>
        <v>Abrir facsímil</v>
      </c>
      <c r="K8446" s="3" t="s">
        <v>76</v>
      </c>
    </row>
    <row r="8447" spans="1:11" ht="42" customHeight="1">
      <c r="A8447" s="2" t="s">
        <v>21126</v>
      </c>
      <c r="B8447" s="2" t="s">
        <v>21127</v>
      </c>
      <c r="C8447" s="2" t="s">
        <v>26</v>
      </c>
      <c r="D8447" s="2" t="s">
        <v>39</v>
      </c>
      <c r="E8447" s="4">
        <v>-32740</v>
      </c>
      <c r="F8447" s="3" t="s">
        <v>848</v>
      </c>
      <c r="G8447" s="3" t="s">
        <v>849</v>
      </c>
      <c r="H8447" s="2" t="s">
        <v>74</v>
      </c>
      <c r="I8447" s="2" t="s">
        <v>21128</v>
      </c>
      <c r="J8447" s="3" t="str">
        <f>HYPERLINK("https://www.boe.es/gazeta/dias/1810/05/11/pdfs/GMD-C-1810-131.pdf#page=1","Abrir facsímil")</f>
        <v>Abrir facsímil</v>
      </c>
      <c r="K8447" s="3" t="s">
        <v>76</v>
      </c>
    </row>
    <row r="8448" spans="1:11" ht="42" customHeight="1">
      <c r="A8448" s="2" t="s">
        <v>21129</v>
      </c>
      <c r="B8448" s="2" t="s">
        <v>21130</v>
      </c>
      <c r="C8448" s="2" t="s">
        <v>26</v>
      </c>
      <c r="D8448" s="2" t="s">
        <v>27</v>
      </c>
      <c r="E8448" s="4">
        <v>-32710</v>
      </c>
      <c r="F8448" s="3" t="s">
        <v>126</v>
      </c>
      <c r="G8448" s="3" t="s">
        <v>184</v>
      </c>
      <c r="H8448" s="2" t="s">
        <v>74</v>
      </c>
      <c r="I8448" s="2" t="s">
        <v>21131</v>
      </c>
      <c r="J8448" s="3" t="str">
        <f>HYPERLINK("https://www.boe.es/gazeta/dias/1810/06/10/pdfs/GMD-1810-161.pdf#page=3","Abrir facsímil")</f>
        <v>Abrir facsímil</v>
      </c>
      <c r="K8448" s="3" t="s">
        <v>76</v>
      </c>
    </row>
    <row r="8449" spans="1:11" ht="42" customHeight="1">
      <c r="A8449" s="2" t="s">
        <v>21132</v>
      </c>
      <c r="B8449" s="2" t="s">
        <v>21132</v>
      </c>
      <c r="C8449" s="2" t="s">
        <v>88</v>
      </c>
      <c r="D8449" s="2" t="s">
        <v>27</v>
      </c>
      <c r="E8449" s="4">
        <v>-32799</v>
      </c>
      <c r="F8449" s="3" t="s">
        <v>874</v>
      </c>
      <c r="G8449" s="3" t="s">
        <v>29</v>
      </c>
      <c r="H8449" s="2" t="s">
        <v>74</v>
      </c>
      <c r="I8449" s="2" t="s">
        <v>21133</v>
      </c>
      <c r="J8449" s="3" t="str">
        <f>HYPERLINK("https://www.boe.es/gazeta/dias/1810/03/13/pdfs/GEI-1810-1.pdf#page=8","Abrir facsímil")</f>
        <v>Abrir facsímil</v>
      </c>
      <c r="K8449" s="3" t="s">
        <v>76</v>
      </c>
    </row>
    <row r="8450" spans="1:11" ht="42" customHeight="1">
      <c r="A8450" s="2" t="s">
        <v>21134</v>
      </c>
      <c r="B8450" s="2" t="s">
        <v>21135</v>
      </c>
      <c r="C8450" s="2" t="s">
        <v>26</v>
      </c>
      <c r="D8450" s="2" t="s">
        <v>27</v>
      </c>
      <c r="E8450" s="4">
        <v>-32754</v>
      </c>
      <c r="F8450" s="3" t="s">
        <v>1057</v>
      </c>
      <c r="G8450" s="3" t="s">
        <v>21136</v>
      </c>
      <c r="H8450" s="2" t="s">
        <v>74</v>
      </c>
      <c r="I8450" s="2" t="s">
        <v>21137</v>
      </c>
      <c r="J8450" s="3" t="str">
        <f>HYPERLINK("https://www.boe.es/gazeta/dias/1810/04/27/pdfs/GEI-1810-18.pdf#page=3","Abrir facsímil")</f>
        <v>Abrir facsímil</v>
      </c>
      <c r="K8450" s="3" t="s">
        <v>76</v>
      </c>
    </row>
    <row r="8451" spans="1:11" ht="42" customHeight="1">
      <c r="A8451" s="2" t="s">
        <v>21138</v>
      </c>
      <c r="B8451" s="2" t="s">
        <v>21139</v>
      </c>
      <c r="C8451" s="2" t="s">
        <v>26</v>
      </c>
      <c r="D8451" s="2" t="s">
        <v>27</v>
      </c>
      <c r="E8451" s="4">
        <v>-32647</v>
      </c>
      <c r="F8451" s="3" t="s">
        <v>118</v>
      </c>
      <c r="G8451" s="3" t="s">
        <v>119</v>
      </c>
      <c r="H8451" s="2" t="s">
        <v>74</v>
      </c>
      <c r="I8451" s="2" t="s">
        <v>21140</v>
      </c>
      <c r="J8451" s="3" t="str">
        <f>HYPERLINK("https://www.boe.es/gazeta/dias/1810/08/12/pdfs/GMD-1810-224.pdf#page=3","Abrir facsímil")</f>
        <v>Abrir facsímil</v>
      </c>
      <c r="K8451" s="3" t="s">
        <v>76</v>
      </c>
    </row>
    <row r="8452" spans="1:11" ht="42" customHeight="1">
      <c r="A8452" s="2" t="s">
        <v>21141</v>
      </c>
      <c r="B8452" s="2" t="s">
        <v>21142</v>
      </c>
      <c r="C8452" s="2" t="s">
        <v>26</v>
      </c>
      <c r="D8452" s="2" t="s">
        <v>27</v>
      </c>
      <c r="E8452" s="4">
        <v>-32741</v>
      </c>
      <c r="F8452" s="3" t="s">
        <v>98</v>
      </c>
      <c r="G8452" s="3" t="s">
        <v>90</v>
      </c>
      <c r="H8452" s="2" t="s">
        <v>74</v>
      </c>
      <c r="I8452" s="2" t="s">
        <v>21143</v>
      </c>
      <c r="J8452" s="3" t="str">
        <f>HYPERLINK("https://www.boe.es/gazeta/dias/1810/05/10/pdfs/GMD-1810-130.pdf#page=4","Abrir facsímil")</f>
        <v>Abrir facsímil</v>
      </c>
      <c r="K8452" s="3" t="s">
        <v>76</v>
      </c>
    </row>
    <row r="8453" spans="1:11" ht="42" customHeight="1">
      <c r="A8453" s="2" t="s">
        <v>21144</v>
      </c>
      <c r="B8453" s="2" t="s">
        <v>21144</v>
      </c>
      <c r="C8453" s="2" t="s">
        <v>225</v>
      </c>
      <c r="D8453" s="2" t="s">
        <v>27</v>
      </c>
      <c r="E8453" s="4">
        <v>-32730</v>
      </c>
      <c r="F8453" s="3" t="s">
        <v>50</v>
      </c>
      <c r="G8453" s="3" t="s">
        <v>20</v>
      </c>
      <c r="H8453" s="2" t="s">
        <v>74</v>
      </c>
      <c r="I8453" s="2" t="s">
        <v>21145</v>
      </c>
      <c r="J8453" s="3" t="str">
        <f>HYPERLINK("https://www.boe.es/gazeta/dias/1810/05/21/pdfs/GMD-1810-141.pdf#page=4","Abrir facsímil")</f>
        <v>Abrir facsímil</v>
      </c>
      <c r="K8453" s="3" t="s">
        <v>76</v>
      </c>
    </row>
    <row r="8454" spans="1:11" ht="42" customHeight="1">
      <c r="A8454" s="2" t="s">
        <v>21146</v>
      </c>
      <c r="B8454" s="2" t="s">
        <v>21147</v>
      </c>
      <c r="C8454" s="2" t="s">
        <v>26</v>
      </c>
      <c r="D8454" s="2" t="s">
        <v>27</v>
      </c>
      <c r="E8454" s="4">
        <v>-32771</v>
      </c>
      <c r="F8454" s="3" t="s">
        <v>543</v>
      </c>
      <c r="G8454" s="3" t="s">
        <v>65</v>
      </c>
      <c r="H8454" s="2" t="s">
        <v>74</v>
      </c>
      <c r="I8454" s="2" t="s">
        <v>21148</v>
      </c>
      <c r="J8454" s="3" t="str">
        <f>HYPERLINK("https://www.boe.es/gazeta/dias/1810/04/10/pdfs/GEI-1810-13.pdf#page=7","Abrir facsímil")</f>
        <v>Abrir facsímil</v>
      </c>
      <c r="K8454" s="3" t="s">
        <v>76</v>
      </c>
    </row>
    <row r="8455" spans="1:11" ht="42" customHeight="1">
      <c r="A8455" s="2" t="s">
        <v>21149</v>
      </c>
      <c r="B8455" s="2" t="s">
        <v>21150</v>
      </c>
      <c r="C8455" s="2" t="s">
        <v>88</v>
      </c>
      <c r="D8455" s="2" t="s">
        <v>27</v>
      </c>
      <c r="E8455" s="4">
        <v>-32728</v>
      </c>
      <c r="F8455" s="3" t="s">
        <v>269</v>
      </c>
      <c r="G8455" s="3" t="s">
        <v>119</v>
      </c>
      <c r="H8455" s="2" t="s">
        <v>74</v>
      </c>
      <c r="I8455" s="2" t="s">
        <v>21151</v>
      </c>
      <c r="J8455" s="3" t="str">
        <f>HYPERLINK("https://www.boe.es/gazeta/dias/1810/05/23/pdfs/GMD-1810-143.pdf#page=3","Abrir facsímil")</f>
        <v>Abrir facsímil</v>
      </c>
      <c r="K8455" s="3" t="s">
        <v>76</v>
      </c>
    </row>
    <row r="8456" spans="1:11" ht="42" customHeight="1">
      <c r="A8456" s="2" t="s">
        <v>21152</v>
      </c>
      <c r="B8456" s="2" t="s">
        <v>21153</v>
      </c>
      <c r="C8456" s="2" t="s">
        <v>26</v>
      </c>
      <c r="D8456" s="2" t="s">
        <v>39</v>
      </c>
      <c r="E8456" s="4">
        <v>-32684</v>
      </c>
      <c r="F8456" s="3" t="s">
        <v>372</v>
      </c>
      <c r="G8456" s="3" t="s">
        <v>2049</v>
      </c>
      <c r="H8456" s="2" t="s">
        <v>74</v>
      </c>
      <c r="I8456" s="2" t="s">
        <v>21154</v>
      </c>
      <c r="J8456" s="3" t="str">
        <f>HYPERLINK("https://www.boe.es/gazeta/dias/1810/07/06/pdfs/GEI-D-1810-42.pdf#page=7","Abrir facsímil")</f>
        <v>Abrir facsímil</v>
      </c>
      <c r="K8456" s="3" t="s">
        <v>76</v>
      </c>
    </row>
    <row r="8457" spans="1:11" ht="42" customHeight="1">
      <c r="A8457" s="2" t="s">
        <v>21155</v>
      </c>
      <c r="B8457" s="2" t="s">
        <v>21156</v>
      </c>
      <c r="C8457" s="2" t="s">
        <v>33</v>
      </c>
      <c r="D8457" s="2" t="s">
        <v>27</v>
      </c>
      <c r="E8457" s="4">
        <v>-32820</v>
      </c>
      <c r="F8457" s="3" t="s">
        <v>226</v>
      </c>
      <c r="G8457" s="3" t="s">
        <v>356</v>
      </c>
      <c r="H8457" s="2" t="s">
        <v>74</v>
      </c>
      <c r="I8457" s="2" t="s">
        <v>21157</v>
      </c>
      <c r="J8457" s="3" t="str">
        <f>HYPERLINK("https://www.boe.es/gazeta/dias/1810/02/20/pdfs/GMD-1810-51.pdf#page=3","Abrir facsímil")</f>
        <v>Abrir facsímil</v>
      </c>
      <c r="K8457" s="3" t="s">
        <v>76</v>
      </c>
    </row>
    <row r="8458" spans="1:11" ht="42" customHeight="1">
      <c r="A8458" s="2" t="s">
        <v>21158</v>
      </c>
      <c r="B8458" s="2" t="s">
        <v>21159</v>
      </c>
      <c r="C8458" s="2" t="s">
        <v>88</v>
      </c>
      <c r="D8458" s="2" t="s">
        <v>27</v>
      </c>
      <c r="E8458" s="4">
        <v>-32763</v>
      </c>
      <c r="F8458" s="3" t="s">
        <v>1146</v>
      </c>
      <c r="G8458" s="3" t="s">
        <v>20</v>
      </c>
      <c r="H8458" s="2" t="s">
        <v>74</v>
      </c>
      <c r="I8458" s="2" t="s">
        <v>21160</v>
      </c>
      <c r="J8458" s="3" t="str">
        <f>HYPERLINK("https://www.boe.es/gazeta/dias/1810/04/18/pdfs/GMD-1810-108.pdf#page=4","Abrir facsímil")</f>
        <v>Abrir facsímil</v>
      </c>
      <c r="K8458" s="3" t="s">
        <v>76</v>
      </c>
    </row>
    <row r="8459" spans="1:11" ht="42" customHeight="1">
      <c r="A8459" s="2" t="s">
        <v>21161</v>
      </c>
      <c r="B8459" s="2" t="s">
        <v>21162</v>
      </c>
      <c r="C8459" s="2" t="s">
        <v>26</v>
      </c>
      <c r="D8459" s="2" t="s">
        <v>27</v>
      </c>
      <c r="E8459" s="4">
        <v>-32557</v>
      </c>
      <c r="F8459" s="3" t="s">
        <v>837</v>
      </c>
      <c r="G8459" s="3" t="s">
        <v>8451</v>
      </c>
      <c r="H8459" s="2" t="s">
        <v>74</v>
      </c>
      <c r="I8459" s="2" t="s">
        <v>21163</v>
      </c>
      <c r="J8459" s="3" t="str">
        <f>HYPERLINK("https://www.boe.es/gazeta/dias/1810/11/10/pdfs/GEI-1810-93.pdf#page=8","Abrir facsímil")</f>
        <v>Abrir facsímil</v>
      </c>
      <c r="K8459" s="3" t="s">
        <v>76</v>
      </c>
    </row>
    <row r="8460" spans="1:11" ht="42" customHeight="1">
      <c r="A8460" s="2" t="s">
        <v>21164</v>
      </c>
      <c r="B8460" s="2" t="s">
        <v>21165</v>
      </c>
      <c r="C8460" s="2" t="s">
        <v>26</v>
      </c>
      <c r="D8460" s="2" t="s">
        <v>27</v>
      </c>
      <c r="E8460" s="4">
        <v>-32543</v>
      </c>
      <c r="F8460" s="3" t="s">
        <v>69</v>
      </c>
      <c r="G8460" s="3" t="s">
        <v>70</v>
      </c>
      <c r="H8460" s="2" t="s">
        <v>74</v>
      </c>
      <c r="I8460" s="2" t="s">
        <v>21166</v>
      </c>
      <c r="J8460" s="3" t="str">
        <f>HYPERLINK("https://www.boe.es/gazeta/dias/1810/11/24/pdfs/GEI-1810-99.pdf#page=8","Abrir facsímil")</f>
        <v>Abrir facsímil</v>
      </c>
      <c r="K8460" s="3" t="s">
        <v>76</v>
      </c>
    </row>
    <row r="8461" spans="1:11" ht="42" customHeight="1">
      <c r="A8461" s="2" t="s">
        <v>21167</v>
      </c>
      <c r="B8461" s="2" t="s">
        <v>21168</v>
      </c>
      <c r="C8461" s="2" t="s">
        <v>88</v>
      </c>
      <c r="D8461" s="2" t="s">
        <v>117</v>
      </c>
      <c r="E8461" s="4">
        <v>-32795</v>
      </c>
      <c r="F8461" s="3" t="s">
        <v>690</v>
      </c>
      <c r="G8461" s="3" t="s">
        <v>213</v>
      </c>
      <c r="H8461" s="2" t="s">
        <v>74</v>
      </c>
      <c r="I8461" s="2" t="s">
        <v>21169</v>
      </c>
      <c r="J8461" s="3" t="str">
        <f>HYPERLINK("https://www.boe.es/gazeta/dias/1810/03/17/pdfs/GMD-1810-76.pdf#page=4","Abrir facsímil")</f>
        <v>Abrir facsímil</v>
      </c>
      <c r="K8461" s="3" t="s">
        <v>76</v>
      </c>
    </row>
    <row r="8462" spans="1:11" ht="42" customHeight="1">
      <c r="A8462" s="2" t="s">
        <v>21170</v>
      </c>
      <c r="B8462" s="2" t="s">
        <v>21171</v>
      </c>
      <c r="C8462" s="2" t="s">
        <v>88</v>
      </c>
      <c r="D8462" s="2" t="s">
        <v>27</v>
      </c>
      <c r="E8462" s="4">
        <v>-32713</v>
      </c>
      <c r="F8462" s="3" t="s">
        <v>959</v>
      </c>
      <c r="G8462" s="3" t="s">
        <v>960</v>
      </c>
      <c r="H8462" s="2" t="s">
        <v>74</v>
      </c>
      <c r="I8462" s="2" t="s">
        <v>21172</v>
      </c>
      <c r="J8462" s="3" t="str">
        <f>HYPERLINK("https://www.boe.es/gazeta/dias/1810/06/07/pdfs/GMD-1810-158.pdf#page=4","Abrir facsímil")</f>
        <v>Abrir facsímil</v>
      </c>
      <c r="K8462" s="3" t="s">
        <v>76</v>
      </c>
    </row>
    <row r="8463" spans="1:11" ht="42" customHeight="1">
      <c r="A8463" s="2" t="s">
        <v>21173</v>
      </c>
      <c r="B8463" s="2" t="s">
        <v>21173</v>
      </c>
      <c r="C8463" s="2" t="s">
        <v>88</v>
      </c>
      <c r="D8463" s="2" t="s">
        <v>117</v>
      </c>
      <c r="E8463" s="4">
        <v>-32816</v>
      </c>
      <c r="F8463" s="3" t="s">
        <v>10608</v>
      </c>
      <c r="G8463" s="3" t="s">
        <v>16305</v>
      </c>
      <c r="H8463" s="2" t="s">
        <v>74</v>
      </c>
      <c r="I8463" s="2" t="s">
        <v>21174</v>
      </c>
      <c r="J8463" s="3" t="str">
        <f>HYPERLINK("https://www.boe.es/gazeta/dias/1810/02/24/pdfs/GMD-1810-55.pdf#page=2","Abrir facsímil")</f>
        <v>Abrir facsímil</v>
      </c>
      <c r="K8463" s="3" t="s">
        <v>76</v>
      </c>
    </row>
    <row r="8464" spans="1:11" ht="42" customHeight="1">
      <c r="A8464" s="2" t="s">
        <v>21175</v>
      </c>
      <c r="B8464" s="2" t="s">
        <v>21175</v>
      </c>
      <c r="C8464" s="2" t="s">
        <v>26</v>
      </c>
      <c r="D8464" s="2" t="s">
        <v>27</v>
      </c>
      <c r="E8464" s="4">
        <v>-32690</v>
      </c>
      <c r="F8464" s="3" t="s">
        <v>2142</v>
      </c>
      <c r="G8464" s="3" t="s">
        <v>29</v>
      </c>
      <c r="H8464" s="2" t="s">
        <v>74</v>
      </c>
      <c r="I8464" s="2" t="s">
        <v>21176</v>
      </c>
      <c r="J8464" s="3" t="str">
        <f>HYPERLINK("https://www.boe.es/gazeta/dias/1810/06/30/pdfs/GMD-1810-181.pdf#page=4","Abrir facsímil")</f>
        <v>Abrir facsímil</v>
      </c>
      <c r="K8464" s="3" t="s">
        <v>76</v>
      </c>
    </row>
    <row r="8465" spans="1:11" ht="42" customHeight="1">
      <c r="A8465" s="2" t="s">
        <v>21177</v>
      </c>
      <c r="B8465" s="2" t="s">
        <v>21178</v>
      </c>
      <c r="C8465" s="2" t="s">
        <v>930</v>
      </c>
      <c r="D8465" s="2" t="s">
        <v>27</v>
      </c>
      <c r="E8465" s="4">
        <v>-32554</v>
      </c>
      <c r="F8465" s="3" t="s">
        <v>5190</v>
      </c>
      <c r="G8465" s="3" t="s">
        <v>5191</v>
      </c>
      <c r="H8465" s="2" t="s">
        <v>74</v>
      </c>
      <c r="I8465" s="2" t="s">
        <v>21179</v>
      </c>
      <c r="J8465" s="3" t="str">
        <f>HYPERLINK("https://www.boe.es/gazeta/dias/1810/11/13/pdfs/GEI-1810-94.pdf#page=8","Abrir facsímil")</f>
        <v>Abrir facsímil</v>
      </c>
      <c r="K8465" s="3" t="s">
        <v>76</v>
      </c>
    </row>
    <row r="8466" spans="1:11" ht="42" customHeight="1">
      <c r="A8466" s="2" t="s">
        <v>21180</v>
      </c>
      <c r="B8466" s="2" t="s">
        <v>21180</v>
      </c>
      <c r="C8466" s="2" t="s">
        <v>88</v>
      </c>
      <c r="D8466" s="2" t="s">
        <v>27</v>
      </c>
      <c r="E8466" s="4">
        <v>-32698</v>
      </c>
      <c r="F8466" s="3" t="s">
        <v>2705</v>
      </c>
      <c r="G8466" s="3" t="s">
        <v>21181</v>
      </c>
      <c r="H8466" s="2" t="s">
        <v>74</v>
      </c>
      <c r="I8466" s="2" t="s">
        <v>21182</v>
      </c>
      <c r="J8466" s="3" t="str">
        <f>HYPERLINK("https://www.boe.es/gazeta/dias/1810/06/22/pdfs/GEI-1810-38.pdf#page=5","Abrir facsímil")</f>
        <v>Abrir facsímil</v>
      </c>
      <c r="K8466" s="3" t="s">
        <v>76</v>
      </c>
    </row>
    <row r="8467" spans="1:11" ht="42" customHeight="1">
      <c r="A8467" s="2" t="s">
        <v>21183</v>
      </c>
      <c r="B8467" s="2" t="s">
        <v>21184</v>
      </c>
      <c r="C8467" s="2" t="s">
        <v>26</v>
      </c>
      <c r="D8467" s="2" t="s">
        <v>58</v>
      </c>
      <c r="E8467" s="4">
        <v>-32601</v>
      </c>
      <c r="F8467" s="3" t="s">
        <v>392</v>
      </c>
      <c r="G8467" s="3" t="s">
        <v>35</v>
      </c>
      <c r="H8467" s="2" t="s">
        <v>74</v>
      </c>
      <c r="I8467" s="2" t="s">
        <v>21185</v>
      </c>
      <c r="J8467" s="3" t="str">
        <f>HYPERLINK("https://www.boe.es/gazeta/dias/1810/09/27/pdfs/GEI-1810-74E.pdf#page=2","Abrir facsímil")</f>
        <v>Abrir facsímil</v>
      </c>
      <c r="K8467" s="3" t="s">
        <v>76</v>
      </c>
    </row>
    <row r="8468" spans="1:11" ht="42" customHeight="1">
      <c r="A8468" s="2" t="s">
        <v>21186</v>
      </c>
      <c r="B8468" s="2" t="s">
        <v>21187</v>
      </c>
      <c r="C8468" s="2" t="s">
        <v>26</v>
      </c>
      <c r="D8468" s="2" t="s">
        <v>27</v>
      </c>
      <c r="E8468" s="4">
        <v>-32819</v>
      </c>
      <c r="F8468" s="3" t="s">
        <v>5942</v>
      </c>
      <c r="G8468" s="3" t="s">
        <v>70</v>
      </c>
      <c r="H8468" s="2" t="s">
        <v>74</v>
      </c>
      <c r="I8468" s="2" t="s">
        <v>21188</v>
      </c>
      <c r="J8468" s="3" t="str">
        <f>HYPERLINK("https://www.boe.es/gazeta/dias/1810/02/21/pdfs/GMD-1810-52.pdf#page=2","Abrir facsímil")</f>
        <v>Abrir facsímil</v>
      </c>
      <c r="K8468" s="3" t="s">
        <v>76</v>
      </c>
    </row>
    <row r="8469" spans="1:11" ht="42" customHeight="1">
      <c r="A8469" s="2" t="s">
        <v>21189</v>
      </c>
      <c r="B8469" s="2" t="s">
        <v>21189</v>
      </c>
      <c r="C8469" s="2" t="s">
        <v>17</v>
      </c>
      <c r="D8469" s="2" t="s">
        <v>18</v>
      </c>
      <c r="E8469" s="4">
        <v>-32740</v>
      </c>
      <c r="F8469" s="3" t="s">
        <v>848</v>
      </c>
      <c r="G8469" s="3" t="s">
        <v>849</v>
      </c>
      <c r="H8469" s="2" t="s">
        <v>74</v>
      </c>
      <c r="I8469" s="2" t="s">
        <v>21190</v>
      </c>
      <c r="J8469" s="3" t="str">
        <f>HYPERLINK("https://www.boe.es/gazeta/dias/1810/05/11/pdfs/GMD-C-1810-131.pdf#page=1","Abrir facsímil")</f>
        <v>Abrir facsímil</v>
      </c>
      <c r="K8469" s="3" t="s">
        <v>76</v>
      </c>
    </row>
    <row r="8470" spans="1:11" ht="42" customHeight="1">
      <c r="A8470" s="2" t="s">
        <v>21191</v>
      </c>
      <c r="B8470" s="2" t="s">
        <v>21191</v>
      </c>
      <c r="C8470" s="2" t="s">
        <v>33</v>
      </c>
      <c r="D8470" s="2" t="s">
        <v>27</v>
      </c>
      <c r="E8470" s="4">
        <v>-32865</v>
      </c>
      <c r="F8470" s="3" t="s">
        <v>1377</v>
      </c>
      <c r="G8470" s="3" t="s">
        <v>227</v>
      </c>
      <c r="H8470" s="2" t="s">
        <v>74</v>
      </c>
      <c r="I8470" s="2" t="s">
        <v>21192</v>
      </c>
      <c r="J8470" s="3" t="str">
        <f>HYPERLINK("https://www.boe.es/gazeta/dias/1810/01/06/pdfs/GMD-1810-6.pdf#page=1","Abrir facsímil")</f>
        <v>Abrir facsímil</v>
      </c>
      <c r="K8470" s="3" t="s">
        <v>76</v>
      </c>
    </row>
    <row r="8471" spans="1:11" ht="42" customHeight="1">
      <c r="A8471" s="2" t="s">
        <v>21191</v>
      </c>
      <c r="B8471" s="2" t="s">
        <v>21191</v>
      </c>
      <c r="C8471" s="2" t="s">
        <v>26</v>
      </c>
      <c r="D8471" s="2" t="s">
        <v>27</v>
      </c>
      <c r="E8471" s="4">
        <v>-32865</v>
      </c>
      <c r="F8471" s="3" t="s">
        <v>1377</v>
      </c>
      <c r="G8471" s="3" t="s">
        <v>691</v>
      </c>
      <c r="H8471" s="2" t="s">
        <v>74</v>
      </c>
      <c r="I8471" s="2" t="s">
        <v>21193</v>
      </c>
      <c r="J8471" s="3" t="str">
        <f>HYPERLINK("https://www.boe.es/gazeta/dias/1810/01/06/pdfs/GMD-1810-6.pdf#page=2","Abrir facsímil")</f>
        <v>Abrir facsímil</v>
      </c>
      <c r="K8471" s="3" t="s">
        <v>76</v>
      </c>
    </row>
    <row r="8472" spans="1:11" ht="42" customHeight="1">
      <c r="A8472" s="2" t="s">
        <v>21191</v>
      </c>
      <c r="B8472" s="2" t="s">
        <v>21191</v>
      </c>
      <c r="C8472" s="2" t="s">
        <v>33</v>
      </c>
      <c r="D8472" s="2" t="s">
        <v>27</v>
      </c>
      <c r="E8472" s="4">
        <v>-32865</v>
      </c>
      <c r="F8472" s="3" t="s">
        <v>1377</v>
      </c>
      <c r="G8472" s="3" t="s">
        <v>29</v>
      </c>
      <c r="H8472" s="2" t="s">
        <v>74</v>
      </c>
      <c r="I8472" s="2" t="s">
        <v>21194</v>
      </c>
      <c r="J8472" s="3" t="str">
        <f>HYPERLINK("https://www.boe.es/gazeta/dias/1810/01/06/pdfs/GMD-1810-6.pdf#page=3","Abrir facsímil")</f>
        <v>Abrir facsímil</v>
      </c>
      <c r="K8472" s="3" t="s">
        <v>76</v>
      </c>
    </row>
    <row r="8473" spans="1:11" ht="42" customHeight="1">
      <c r="A8473" s="2" t="s">
        <v>21195</v>
      </c>
      <c r="B8473" s="2" t="s">
        <v>21196</v>
      </c>
      <c r="C8473" s="2" t="s">
        <v>26</v>
      </c>
      <c r="D8473" s="2" t="s">
        <v>39</v>
      </c>
      <c r="E8473" s="4">
        <v>-32702</v>
      </c>
      <c r="F8473" s="3" t="s">
        <v>179</v>
      </c>
      <c r="G8473" s="3" t="s">
        <v>119</v>
      </c>
      <c r="H8473" s="2" t="s">
        <v>21</v>
      </c>
      <c r="I8473" s="2" t="s">
        <v>21197</v>
      </c>
      <c r="J8473" s="3" t="str">
        <f>HYPERLINK("https://www.boe.es/gazeta/dias/1810/06/18/pdfs/GMD-C-1810-169.pdf#page=1","Abrir facsímil")</f>
        <v>Abrir facsímil</v>
      </c>
      <c r="K8473" s="3" t="s">
        <v>23</v>
      </c>
    </row>
    <row r="8474" spans="1:11" ht="42" customHeight="1">
      <c r="A8474" s="2" t="s">
        <v>21198</v>
      </c>
      <c r="B8474" s="2" t="s">
        <v>21199</v>
      </c>
      <c r="C8474" s="2" t="s">
        <v>26</v>
      </c>
      <c r="D8474" s="2" t="s">
        <v>27</v>
      </c>
      <c r="E8474" s="4">
        <v>-32533</v>
      </c>
      <c r="F8474" s="3" t="s">
        <v>1357</v>
      </c>
      <c r="G8474" s="3" t="s">
        <v>701</v>
      </c>
      <c r="H8474" s="2" t="s">
        <v>74</v>
      </c>
      <c r="I8474" s="2" t="s">
        <v>21200</v>
      </c>
      <c r="J8474" s="3" t="str">
        <f>HYPERLINK("https://www.boe.es/gazeta/dias/1810/12/04/pdfs/GEI-1810-103.pdf#page=8","Abrir facsímil")</f>
        <v>Abrir facsímil</v>
      </c>
      <c r="K8474" s="3" t="s">
        <v>76</v>
      </c>
    </row>
    <row r="8475" spans="1:11" ht="42" customHeight="1">
      <c r="A8475" s="2" t="s">
        <v>21201</v>
      </c>
      <c r="B8475" s="2" t="s">
        <v>21202</v>
      </c>
      <c r="C8475" s="2" t="s">
        <v>88</v>
      </c>
      <c r="D8475" s="2" t="s">
        <v>27</v>
      </c>
      <c r="E8475" s="4">
        <v>-32533</v>
      </c>
      <c r="F8475" s="3" t="s">
        <v>1357</v>
      </c>
      <c r="G8475" s="3" t="s">
        <v>701</v>
      </c>
      <c r="H8475" s="2" t="s">
        <v>74</v>
      </c>
      <c r="I8475" s="2" t="s">
        <v>21203</v>
      </c>
      <c r="J8475" s="3" t="str">
        <f>HYPERLINK("https://www.boe.es/gazeta/dias/1810/12/04/pdfs/GEI-1810-103.pdf#page=8","Abrir facsímil")</f>
        <v>Abrir facsímil</v>
      </c>
      <c r="K8475" s="3" t="s">
        <v>76</v>
      </c>
    </row>
    <row r="8476" spans="1:11" ht="42" customHeight="1">
      <c r="A8476" s="2" t="s">
        <v>21204</v>
      </c>
      <c r="B8476" s="2" t="s">
        <v>21205</v>
      </c>
      <c r="C8476" s="2" t="s">
        <v>26</v>
      </c>
      <c r="D8476" s="2" t="s">
        <v>27</v>
      </c>
      <c r="E8476" s="4">
        <v>-32557</v>
      </c>
      <c r="F8476" s="3" t="s">
        <v>837</v>
      </c>
      <c r="G8476" s="3" t="s">
        <v>8451</v>
      </c>
      <c r="H8476" s="2" t="s">
        <v>74</v>
      </c>
      <c r="I8476" s="2" t="s">
        <v>21206</v>
      </c>
      <c r="J8476" s="3" t="str">
        <f>HYPERLINK("https://www.boe.es/gazeta/dias/1810/11/10/pdfs/GEI-1810-93.pdf#page=8","Abrir facsímil")</f>
        <v>Abrir facsímil</v>
      </c>
      <c r="K8476" s="3" t="s">
        <v>76</v>
      </c>
    </row>
    <row r="8477" spans="1:11" ht="42" customHeight="1">
      <c r="A8477" s="2" t="s">
        <v>21207</v>
      </c>
      <c r="B8477" s="2" t="s">
        <v>21208</v>
      </c>
      <c r="C8477" s="2" t="s">
        <v>26</v>
      </c>
      <c r="D8477" s="2" t="s">
        <v>27</v>
      </c>
      <c r="E8477" s="4">
        <v>-32647</v>
      </c>
      <c r="F8477" s="3" t="s">
        <v>118</v>
      </c>
      <c r="G8477" s="3" t="s">
        <v>20</v>
      </c>
      <c r="H8477" s="2" t="s">
        <v>74</v>
      </c>
      <c r="I8477" s="2" t="s">
        <v>21209</v>
      </c>
      <c r="J8477" s="3" t="str">
        <f>HYPERLINK("https://www.boe.es/gazeta/dias/1810/08/12/pdfs/GMD-1810-224.pdf#page=4","Abrir facsímil")</f>
        <v>Abrir facsímil</v>
      </c>
      <c r="K8477" s="3" t="s">
        <v>76</v>
      </c>
    </row>
    <row r="8478" spans="1:11" ht="42" customHeight="1">
      <c r="A8478" s="2" t="s">
        <v>21210</v>
      </c>
      <c r="B8478" s="2" t="s">
        <v>21211</v>
      </c>
      <c r="C8478" s="2" t="s">
        <v>26</v>
      </c>
      <c r="D8478" s="2" t="s">
        <v>27</v>
      </c>
      <c r="E8478" s="4">
        <v>-32545</v>
      </c>
      <c r="F8478" s="3" t="s">
        <v>165</v>
      </c>
      <c r="G8478" s="3" t="s">
        <v>166</v>
      </c>
      <c r="H8478" s="2" t="s">
        <v>74</v>
      </c>
      <c r="I8478" s="2" t="s">
        <v>21212</v>
      </c>
      <c r="J8478" s="3" t="str">
        <f>HYPERLINK("https://www.boe.es/gazeta/dias/1810/11/22/pdfs/GEI-1810-98.pdf#page=8","Abrir facsímil")</f>
        <v>Abrir facsímil</v>
      </c>
      <c r="K8478" s="3" t="s">
        <v>76</v>
      </c>
    </row>
    <row r="8479" spans="1:11" ht="42" customHeight="1">
      <c r="A8479" s="2" t="s">
        <v>21213</v>
      </c>
      <c r="B8479" s="2" t="s">
        <v>21213</v>
      </c>
      <c r="C8479" s="2" t="s">
        <v>88</v>
      </c>
      <c r="D8479" s="2" t="s">
        <v>27</v>
      </c>
      <c r="E8479" s="4">
        <v>-32730</v>
      </c>
      <c r="F8479" s="3" t="s">
        <v>50</v>
      </c>
      <c r="G8479" s="3" t="s">
        <v>5422</v>
      </c>
      <c r="H8479" s="2" t="s">
        <v>74</v>
      </c>
      <c r="I8479" s="2" t="s">
        <v>21214</v>
      </c>
      <c r="J8479" s="3" t="str">
        <f>HYPERLINK("https://www.boe.es/gazeta/dias/1810/05/21/pdfs/GMD-1810-141.pdf#page=1","Abrir facsímil")</f>
        <v>Abrir facsímil</v>
      </c>
      <c r="K8479" s="3" t="s">
        <v>76</v>
      </c>
    </row>
    <row r="8480" spans="1:11" ht="42" customHeight="1">
      <c r="A8480" s="2" t="s">
        <v>21215</v>
      </c>
      <c r="B8480" s="2" t="s">
        <v>21215</v>
      </c>
      <c r="C8480" s="2" t="s">
        <v>88</v>
      </c>
      <c r="D8480" s="2" t="s">
        <v>117</v>
      </c>
      <c r="E8480" s="4">
        <v>-32648</v>
      </c>
      <c r="F8480" s="3" t="s">
        <v>575</v>
      </c>
      <c r="G8480" s="3" t="s">
        <v>70</v>
      </c>
      <c r="H8480" s="2" t="s">
        <v>74</v>
      </c>
      <c r="I8480" s="2" t="s">
        <v>21216</v>
      </c>
      <c r="J8480" s="3" t="str">
        <f>HYPERLINK("https://www.boe.es/gazeta/dias/1810/08/11/pdfs/GMD-1810-223.pdf#page=2","Abrir facsímil")</f>
        <v>Abrir facsímil</v>
      </c>
      <c r="K8480" s="3" t="s">
        <v>76</v>
      </c>
    </row>
    <row r="8481" spans="1:11" ht="42" customHeight="1">
      <c r="A8481" s="2" t="s">
        <v>21217</v>
      </c>
      <c r="B8481" s="2" t="s">
        <v>21217</v>
      </c>
      <c r="C8481" s="2" t="s">
        <v>26</v>
      </c>
      <c r="D8481" s="2" t="s">
        <v>27</v>
      </c>
      <c r="E8481" s="4">
        <v>-32698</v>
      </c>
      <c r="F8481" s="3" t="s">
        <v>1721</v>
      </c>
      <c r="G8481" s="3" t="s">
        <v>668</v>
      </c>
      <c r="H8481" s="2" t="s">
        <v>74</v>
      </c>
      <c r="I8481" s="2" t="s">
        <v>21218</v>
      </c>
      <c r="J8481" s="3" t="str">
        <f>HYPERLINK("https://www.boe.es/gazeta/dias/1810/06/22/pdfs/GMD-1810-173.pdf#page=3","Abrir facsímil")</f>
        <v>Abrir facsímil</v>
      </c>
      <c r="K8481" s="3" t="s">
        <v>76</v>
      </c>
    </row>
    <row r="8482" spans="1:11" ht="42" customHeight="1">
      <c r="A8482" s="2" t="s">
        <v>21219</v>
      </c>
      <c r="B8482" s="2" t="s">
        <v>21219</v>
      </c>
      <c r="C8482" s="2" t="s">
        <v>88</v>
      </c>
      <c r="D8482" s="2" t="s">
        <v>27</v>
      </c>
      <c r="E8482" s="4">
        <v>-32526</v>
      </c>
      <c r="F8482" s="3" t="s">
        <v>530</v>
      </c>
      <c r="G8482" s="3" t="s">
        <v>20</v>
      </c>
      <c r="H8482" s="2" t="s">
        <v>74</v>
      </c>
      <c r="I8482" s="2" t="s">
        <v>21220</v>
      </c>
      <c r="J8482" s="3" t="str">
        <f>HYPERLINK("https://www.boe.es/gazeta/dias/1810/12/11/pdfs/GEI-1810-106.pdf#page=4","Abrir facsímil")</f>
        <v>Abrir facsímil</v>
      </c>
      <c r="K8482" s="3" t="s">
        <v>76</v>
      </c>
    </row>
    <row r="8483" spans="1:11" ht="42" customHeight="1">
      <c r="A8483" s="2" t="s">
        <v>21221</v>
      </c>
      <c r="B8483" s="2" t="s">
        <v>21221</v>
      </c>
      <c r="C8483" s="2" t="s">
        <v>33</v>
      </c>
      <c r="D8483" s="2" t="s">
        <v>27</v>
      </c>
      <c r="E8483" s="4">
        <v>-32812</v>
      </c>
      <c r="F8483" s="3" t="s">
        <v>627</v>
      </c>
      <c r="G8483" s="3" t="s">
        <v>505</v>
      </c>
      <c r="H8483" s="2" t="s">
        <v>74</v>
      </c>
      <c r="I8483" s="2" t="s">
        <v>21222</v>
      </c>
      <c r="J8483" s="3" t="str">
        <f>HYPERLINK("https://www.boe.es/gazeta/dias/1810/02/28/pdfs/GMD-1810-59.pdf#page=1","Abrir facsímil")</f>
        <v>Abrir facsímil</v>
      </c>
      <c r="K8483" s="3" t="s">
        <v>76</v>
      </c>
    </row>
    <row r="8484" spans="1:11" ht="42" customHeight="1">
      <c r="A8484" s="2" t="s">
        <v>21223</v>
      </c>
      <c r="B8484" s="2" t="s">
        <v>21223</v>
      </c>
      <c r="C8484" s="2" t="s">
        <v>88</v>
      </c>
      <c r="D8484" s="2" t="s">
        <v>27</v>
      </c>
      <c r="E8484" s="4">
        <v>-32783</v>
      </c>
      <c r="F8484" s="3" t="s">
        <v>896</v>
      </c>
      <c r="G8484" s="3" t="s">
        <v>1667</v>
      </c>
      <c r="H8484" s="2" t="s">
        <v>74</v>
      </c>
      <c r="I8484" s="2" t="s">
        <v>21224</v>
      </c>
      <c r="J8484" s="3" t="str">
        <f>HYPERLINK("https://www.boe.es/gazeta/dias/1810/03/29/pdfs/GMD-1810-88.pdf#page=2","Abrir facsímil")</f>
        <v>Abrir facsímil</v>
      </c>
      <c r="K8484" s="3" t="s">
        <v>76</v>
      </c>
    </row>
    <row r="8485" spans="1:11" ht="42" customHeight="1">
      <c r="A8485" s="2" t="s">
        <v>21225</v>
      </c>
      <c r="B8485" s="2" t="s">
        <v>21226</v>
      </c>
      <c r="C8485" s="2" t="s">
        <v>26</v>
      </c>
      <c r="D8485" s="2" t="s">
        <v>27</v>
      </c>
      <c r="E8485" s="4">
        <v>-32684</v>
      </c>
      <c r="F8485" s="3" t="s">
        <v>1373</v>
      </c>
      <c r="G8485" s="3" t="s">
        <v>1374</v>
      </c>
      <c r="H8485" s="2" t="s">
        <v>74</v>
      </c>
      <c r="I8485" s="2" t="s">
        <v>21227</v>
      </c>
      <c r="J8485" s="3" t="str">
        <f>HYPERLINK("https://www.boe.es/gazeta/dias/1810/07/06/pdfs/GEI-1810-42.pdf#page=8","Abrir facsímil")</f>
        <v>Abrir facsímil</v>
      </c>
      <c r="K8485" s="3" t="s">
        <v>76</v>
      </c>
    </row>
    <row r="8486" spans="1:11" ht="42" customHeight="1">
      <c r="A8486" s="2" t="s">
        <v>21228</v>
      </c>
      <c r="B8486" s="2" t="s">
        <v>21228</v>
      </c>
      <c r="C8486" s="2" t="s">
        <v>88</v>
      </c>
      <c r="D8486" s="2" t="s">
        <v>27</v>
      </c>
      <c r="E8486" s="4">
        <v>-32611</v>
      </c>
      <c r="F8486" s="3" t="s">
        <v>604</v>
      </c>
      <c r="G8486" s="3" t="s">
        <v>213</v>
      </c>
      <c r="H8486" s="2" t="s">
        <v>74</v>
      </c>
      <c r="I8486" s="2" t="s">
        <v>21229</v>
      </c>
      <c r="J8486" s="3" t="str">
        <f>HYPERLINK("https://www.boe.es/gazeta/dias/1810/09/17/pdfs/GMD-1810-260.pdf#page=1","Abrir facsímil")</f>
        <v>Abrir facsímil</v>
      </c>
      <c r="K8486" s="3" t="s">
        <v>76</v>
      </c>
    </row>
    <row r="8487" spans="1:11" ht="42" customHeight="1">
      <c r="A8487" s="2" t="s">
        <v>21230</v>
      </c>
      <c r="B8487" s="2" t="s">
        <v>21231</v>
      </c>
      <c r="C8487" s="2" t="s">
        <v>111</v>
      </c>
      <c r="D8487" s="2" t="s">
        <v>27</v>
      </c>
      <c r="E8487" s="4">
        <v>-32575</v>
      </c>
      <c r="F8487" s="3" t="s">
        <v>135</v>
      </c>
      <c r="G8487" s="3" t="s">
        <v>140</v>
      </c>
      <c r="H8487" s="2" t="s">
        <v>74</v>
      </c>
      <c r="I8487" s="2" t="s">
        <v>21232</v>
      </c>
      <c r="J8487" s="3" t="str">
        <f>HYPERLINK("https://www.boe.es/gazeta/dias/1810/10/23/pdfs/GEI-1810-85.pdf#page=10","Abrir facsímil")</f>
        <v>Abrir facsímil</v>
      </c>
      <c r="K8487" s="3" t="s">
        <v>76</v>
      </c>
    </row>
    <row r="8488" spans="1:11" ht="42" customHeight="1">
      <c r="A8488" s="2" t="s">
        <v>21233</v>
      </c>
      <c r="B8488" s="2" t="s">
        <v>21233</v>
      </c>
      <c r="C8488" s="2" t="s">
        <v>88</v>
      </c>
      <c r="D8488" s="2" t="s">
        <v>117</v>
      </c>
      <c r="E8488" s="4">
        <v>-32789</v>
      </c>
      <c r="F8488" s="3" t="s">
        <v>1468</v>
      </c>
      <c r="G8488" s="3" t="s">
        <v>1691</v>
      </c>
      <c r="H8488" s="2" t="s">
        <v>74</v>
      </c>
      <c r="I8488" s="2" t="s">
        <v>21234</v>
      </c>
      <c r="J8488" s="3" t="str">
        <f>HYPERLINK("https://www.boe.es/gazeta/dias/1810/03/23/pdfs/GEI-1810-5.pdf#page=7","Abrir facsímil")</f>
        <v>Abrir facsímil</v>
      </c>
      <c r="K8488" s="3" t="s">
        <v>76</v>
      </c>
    </row>
    <row r="8489" spans="1:11" ht="42" customHeight="1">
      <c r="A8489" s="2" t="s">
        <v>21235</v>
      </c>
      <c r="B8489" s="2" t="s">
        <v>21235</v>
      </c>
      <c r="C8489" s="2" t="s">
        <v>88</v>
      </c>
      <c r="D8489" s="2" t="s">
        <v>27</v>
      </c>
      <c r="E8489" s="4">
        <v>-32557</v>
      </c>
      <c r="F8489" s="3" t="s">
        <v>8182</v>
      </c>
      <c r="G8489" s="3" t="s">
        <v>1616</v>
      </c>
      <c r="H8489" s="2" t="s">
        <v>74</v>
      </c>
      <c r="I8489" s="2" t="s">
        <v>21236</v>
      </c>
      <c r="J8489" s="3" t="str">
        <f>HYPERLINK("https://www.boe.es/gazeta/dias/1810/11/10/pdfs/GMD-1810-314.pdf#page=2","Abrir facsímil")</f>
        <v>Abrir facsímil</v>
      </c>
      <c r="K8489" s="3" t="s">
        <v>76</v>
      </c>
    </row>
    <row r="8490" spans="1:11" ht="42" customHeight="1">
      <c r="A8490" s="2" t="s">
        <v>21237</v>
      </c>
      <c r="B8490" s="2" t="s">
        <v>21237</v>
      </c>
      <c r="C8490" s="2" t="s">
        <v>88</v>
      </c>
      <c r="D8490" s="2" t="s">
        <v>117</v>
      </c>
      <c r="E8490" s="4">
        <v>-32568</v>
      </c>
      <c r="F8490" s="3" t="s">
        <v>1233</v>
      </c>
      <c r="G8490" s="3" t="s">
        <v>2902</v>
      </c>
      <c r="H8490" s="2" t="s">
        <v>74</v>
      </c>
      <c r="I8490" s="2" t="s">
        <v>21238</v>
      </c>
      <c r="J8490" s="3" t="str">
        <f>HYPERLINK("https://www.boe.es/gazeta/dias/1810/10/30/pdfs/GMD-1810-303.pdf#page=1","Abrir facsímil")</f>
        <v>Abrir facsímil</v>
      </c>
      <c r="K8490" s="3" t="s">
        <v>76</v>
      </c>
    </row>
    <row r="8491" spans="1:11" ht="42" customHeight="1">
      <c r="A8491" s="2" t="s">
        <v>21239</v>
      </c>
      <c r="B8491" s="2" t="s">
        <v>21239</v>
      </c>
      <c r="C8491" s="2" t="s">
        <v>88</v>
      </c>
      <c r="D8491" s="2" t="s">
        <v>117</v>
      </c>
      <c r="E8491" s="4">
        <v>-32578</v>
      </c>
      <c r="F8491" s="3" t="s">
        <v>2333</v>
      </c>
      <c r="G8491" s="3" t="s">
        <v>4095</v>
      </c>
      <c r="H8491" s="2" t="s">
        <v>74</v>
      </c>
      <c r="I8491" s="2" t="s">
        <v>21240</v>
      </c>
      <c r="J8491" s="3" t="str">
        <f>HYPERLINK("https://www.boe.es/gazeta/dias/1810/10/20/pdfs/GEI-1810-84.pdf#page=3","Abrir facsímil")</f>
        <v>Abrir facsímil</v>
      </c>
      <c r="K8491" s="3" t="s">
        <v>76</v>
      </c>
    </row>
    <row r="8492" spans="1:11" ht="42" customHeight="1">
      <c r="A8492" s="2" t="s">
        <v>21241</v>
      </c>
      <c r="B8492" s="2" t="s">
        <v>21241</v>
      </c>
      <c r="C8492" s="2" t="s">
        <v>33</v>
      </c>
      <c r="D8492" s="2" t="s">
        <v>27</v>
      </c>
      <c r="E8492" s="4">
        <v>-32670</v>
      </c>
      <c r="F8492" s="3" t="s">
        <v>2256</v>
      </c>
      <c r="G8492" s="3" t="s">
        <v>140</v>
      </c>
      <c r="H8492" s="2" t="s">
        <v>74</v>
      </c>
      <c r="I8492" s="2" t="s">
        <v>21242</v>
      </c>
      <c r="J8492" s="3" t="str">
        <f>HYPERLINK("https://www.boe.es/gazeta/dias/1810/07/20/pdfs/GMD-1810-201.pdf#page=2","Abrir facsímil")</f>
        <v>Abrir facsímil</v>
      </c>
      <c r="K8492" s="3" t="s">
        <v>76</v>
      </c>
    </row>
    <row r="8493" spans="1:11" ht="42" customHeight="1">
      <c r="A8493" s="2" t="s">
        <v>21241</v>
      </c>
      <c r="B8493" s="2" t="s">
        <v>21241</v>
      </c>
      <c r="C8493" s="2" t="s">
        <v>33</v>
      </c>
      <c r="D8493" s="2" t="s">
        <v>220</v>
      </c>
      <c r="E8493" s="4">
        <v>-32631</v>
      </c>
      <c r="F8493" s="3" t="s">
        <v>497</v>
      </c>
      <c r="G8493" s="3" t="s">
        <v>16035</v>
      </c>
      <c r="H8493" s="2" t="s">
        <v>74</v>
      </c>
      <c r="I8493" s="2" t="s">
        <v>21243</v>
      </c>
      <c r="J8493" s="3" t="str">
        <f>HYPERLINK("https://www.boe.es/gazeta/dias/1810/08/28/pdfs/GMD-1810-240.pdf#page=1","Abrir facsímil")</f>
        <v>Abrir facsímil</v>
      </c>
      <c r="K8493" s="3" t="s">
        <v>76</v>
      </c>
    </row>
    <row r="8494" spans="1:11" ht="42" customHeight="1">
      <c r="A8494" s="2" t="s">
        <v>21241</v>
      </c>
      <c r="B8494" s="2" t="s">
        <v>21241</v>
      </c>
      <c r="C8494" s="2" t="s">
        <v>225</v>
      </c>
      <c r="D8494" s="2" t="s">
        <v>220</v>
      </c>
      <c r="E8494" s="4">
        <v>-32619</v>
      </c>
      <c r="F8494" s="3" t="s">
        <v>1270</v>
      </c>
      <c r="G8494" s="3" t="s">
        <v>90</v>
      </c>
      <c r="H8494" s="2" t="s">
        <v>74</v>
      </c>
      <c r="I8494" s="2" t="s">
        <v>21244</v>
      </c>
      <c r="J8494" s="3" t="str">
        <f>HYPERLINK("https://www.boe.es/gazeta/dias/1810/09/09/pdfs/GMD-1810-252.pdf#page=3","Abrir facsímil")</f>
        <v>Abrir facsímil</v>
      </c>
      <c r="K8494" s="3" t="s">
        <v>76</v>
      </c>
    </row>
    <row r="8495" spans="1:11" ht="42" customHeight="1">
      <c r="A8495" s="2" t="s">
        <v>21241</v>
      </c>
      <c r="B8495" s="2" t="s">
        <v>21241</v>
      </c>
      <c r="C8495" s="2" t="s">
        <v>26</v>
      </c>
      <c r="D8495" s="2" t="s">
        <v>27</v>
      </c>
      <c r="E8495" s="4">
        <v>-32617</v>
      </c>
      <c r="F8495" s="3" t="s">
        <v>3861</v>
      </c>
      <c r="G8495" s="3" t="s">
        <v>70</v>
      </c>
      <c r="H8495" s="2" t="s">
        <v>74</v>
      </c>
      <c r="I8495" s="2" t="s">
        <v>21245</v>
      </c>
      <c r="J8495" s="3" t="str">
        <f>HYPERLINK("https://www.boe.es/gazeta/dias/1810/09/11/pdfs/GMD-1810-254.pdf#page=3","Abrir facsímil")</f>
        <v>Abrir facsímil</v>
      </c>
      <c r="K8495" s="3" t="s">
        <v>76</v>
      </c>
    </row>
    <row r="8496" spans="1:11" ht="42" customHeight="1">
      <c r="A8496" s="2" t="s">
        <v>21241</v>
      </c>
      <c r="B8496" s="2" t="s">
        <v>21241</v>
      </c>
      <c r="C8496" s="2" t="s">
        <v>930</v>
      </c>
      <c r="D8496" s="2" t="s">
        <v>220</v>
      </c>
      <c r="E8496" s="4">
        <v>-32580</v>
      </c>
      <c r="F8496" s="3" t="s">
        <v>833</v>
      </c>
      <c r="G8496" s="3" t="s">
        <v>465</v>
      </c>
      <c r="H8496" s="2" t="s">
        <v>74</v>
      </c>
      <c r="I8496" s="2" t="s">
        <v>21246</v>
      </c>
      <c r="J8496" s="3" t="str">
        <f>HYPERLINK("https://www.boe.es/gazeta/dias/1810/10/18/pdfs/GMD-1810-291.pdf#page=2","Abrir facsímil")</f>
        <v>Abrir facsímil</v>
      </c>
      <c r="K8496" s="3" t="s">
        <v>76</v>
      </c>
    </row>
    <row r="8497" spans="1:11" ht="42" customHeight="1">
      <c r="A8497" s="2" t="s">
        <v>21241</v>
      </c>
      <c r="B8497" s="2" t="s">
        <v>21241</v>
      </c>
      <c r="C8497" s="2" t="s">
        <v>111</v>
      </c>
      <c r="D8497" s="2" t="s">
        <v>27</v>
      </c>
      <c r="E8497" s="4">
        <v>-32534</v>
      </c>
      <c r="F8497" s="3" t="s">
        <v>2242</v>
      </c>
      <c r="G8497" s="3" t="s">
        <v>35</v>
      </c>
      <c r="H8497" s="2" t="s">
        <v>74</v>
      </c>
      <c r="I8497" s="2" t="s">
        <v>21247</v>
      </c>
      <c r="J8497" s="3" t="str">
        <f>HYPERLINK("https://www.boe.es/gazeta/dias/1810/12/03/pdfs/GMD-1810-337.pdf#page=2","Abrir facsímil")</f>
        <v>Abrir facsímil</v>
      </c>
      <c r="K8497" s="3" t="s">
        <v>76</v>
      </c>
    </row>
    <row r="8498" spans="1:11" ht="42" customHeight="1">
      <c r="A8498" s="2" t="s">
        <v>21248</v>
      </c>
      <c r="B8498" s="2" t="s">
        <v>21248</v>
      </c>
      <c r="C8498" s="2" t="s">
        <v>317</v>
      </c>
      <c r="D8498" s="2" t="s">
        <v>220</v>
      </c>
      <c r="E8498" s="4">
        <v>-32538</v>
      </c>
      <c r="F8498" s="3" t="s">
        <v>17740</v>
      </c>
      <c r="G8498" s="3" t="s">
        <v>17741</v>
      </c>
      <c r="H8498" s="2" t="s">
        <v>74</v>
      </c>
      <c r="I8498" s="2" t="s">
        <v>21249</v>
      </c>
      <c r="J8498" s="3" t="str">
        <f>HYPERLINK("https://www.boe.es/gazeta/dias/1810/11/29/pdfs/GMD-1810-333.pdf#page=1","Abrir facsímil")</f>
        <v>Abrir facsímil</v>
      </c>
      <c r="K8498" s="3" t="s">
        <v>76</v>
      </c>
    </row>
    <row r="8499" spans="1:11" ht="42" customHeight="1">
      <c r="A8499" s="2" t="s">
        <v>21250</v>
      </c>
      <c r="B8499" s="2" t="s">
        <v>21250</v>
      </c>
      <c r="C8499" s="2" t="s">
        <v>195</v>
      </c>
      <c r="D8499" s="2" t="s">
        <v>27</v>
      </c>
      <c r="E8499" s="4">
        <v>-32676</v>
      </c>
      <c r="F8499" s="3" t="s">
        <v>2863</v>
      </c>
      <c r="G8499" s="3" t="s">
        <v>4363</v>
      </c>
      <c r="H8499" s="2" t="s">
        <v>74</v>
      </c>
      <c r="I8499" s="2" t="s">
        <v>21251</v>
      </c>
      <c r="J8499" s="3" t="str">
        <f>HYPERLINK("https://www.boe.es/gazeta/dias/1810/07/14/pdfs/GMD-1810-195.pdf#page=1","Abrir facsímil")</f>
        <v>Abrir facsímil</v>
      </c>
      <c r="K8499" s="3" t="s">
        <v>76</v>
      </c>
    </row>
    <row r="8500" spans="1:11" ht="42" customHeight="1">
      <c r="A8500" s="2" t="s">
        <v>21252</v>
      </c>
      <c r="B8500" s="2" t="s">
        <v>21252</v>
      </c>
      <c r="C8500" s="2" t="s">
        <v>88</v>
      </c>
      <c r="D8500" s="2" t="s">
        <v>117</v>
      </c>
      <c r="E8500" s="4">
        <v>-32566</v>
      </c>
      <c r="F8500" s="3" t="s">
        <v>649</v>
      </c>
      <c r="G8500" s="3" t="s">
        <v>1814</v>
      </c>
      <c r="H8500" s="2" t="s">
        <v>74</v>
      </c>
      <c r="I8500" s="2" t="s">
        <v>21253</v>
      </c>
      <c r="J8500" s="3" t="str">
        <f>HYPERLINK("https://www.boe.es/gazeta/dias/1810/11/01/pdfs/GEI-1810-89.pdf#page=2","Abrir facsímil")</f>
        <v>Abrir facsímil</v>
      </c>
      <c r="K8500" s="3" t="s">
        <v>76</v>
      </c>
    </row>
    <row r="8501" spans="1:11" ht="42" customHeight="1">
      <c r="A8501" s="2" t="s">
        <v>21254</v>
      </c>
      <c r="B8501" s="2" t="s">
        <v>21254</v>
      </c>
      <c r="C8501" s="2" t="s">
        <v>88</v>
      </c>
      <c r="D8501" s="2" t="s">
        <v>220</v>
      </c>
      <c r="E8501" s="4">
        <v>-32830</v>
      </c>
      <c r="F8501" s="3" t="s">
        <v>3354</v>
      </c>
      <c r="G8501" s="3" t="s">
        <v>227</v>
      </c>
      <c r="H8501" s="2" t="s">
        <v>74</v>
      </c>
      <c r="I8501" s="2" t="s">
        <v>21255</v>
      </c>
      <c r="J8501" s="3" t="str">
        <f>HYPERLINK("https://www.boe.es/gazeta/dias/1810/02/10/pdfs/GMD-1810-41.pdf#page=2","Abrir facsímil")</f>
        <v>Abrir facsímil</v>
      </c>
      <c r="K8501" s="3" t="s">
        <v>76</v>
      </c>
    </row>
    <row r="8502" spans="1:11" ht="42" customHeight="1">
      <c r="A8502" s="2" t="s">
        <v>21256</v>
      </c>
      <c r="B8502" s="2" t="s">
        <v>21256</v>
      </c>
      <c r="C8502" s="2" t="s">
        <v>88</v>
      </c>
      <c r="D8502" s="2" t="s">
        <v>220</v>
      </c>
      <c r="E8502" s="4">
        <v>-32527</v>
      </c>
      <c r="F8502" s="3" t="s">
        <v>8069</v>
      </c>
      <c r="G8502" s="3" t="s">
        <v>21257</v>
      </c>
      <c r="H8502" s="2" t="s">
        <v>74</v>
      </c>
      <c r="I8502" s="2" t="s">
        <v>21258</v>
      </c>
      <c r="J8502" s="3" t="str">
        <f>HYPERLINK("https://www.boe.es/gazeta/dias/1810/12/10/pdfs/GMD-1810-344.pdf#page=1","Abrir facsímil")</f>
        <v>Abrir facsímil</v>
      </c>
      <c r="K8502" s="3" t="s">
        <v>76</v>
      </c>
    </row>
    <row r="8503" spans="1:11" ht="42" customHeight="1">
      <c r="A8503" s="2" t="s">
        <v>21259</v>
      </c>
      <c r="B8503" s="2" t="s">
        <v>21259</v>
      </c>
      <c r="C8503" s="2" t="s">
        <v>225</v>
      </c>
      <c r="D8503" s="2" t="s">
        <v>27</v>
      </c>
      <c r="E8503" s="4">
        <v>-32630</v>
      </c>
      <c r="F8503" s="3" t="s">
        <v>3542</v>
      </c>
      <c r="G8503" s="3" t="s">
        <v>1464</v>
      </c>
      <c r="H8503" s="2" t="s">
        <v>74</v>
      </c>
      <c r="I8503" s="2" t="s">
        <v>21260</v>
      </c>
      <c r="J8503" s="3" t="str">
        <f>HYPERLINK("https://www.boe.es/gazeta/dias/1810/08/29/pdfs/GMD-1810-241.pdf#page=1","Abrir facsímil")</f>
        <v>Abrir facsímil</v>
      </c>
      <c r="K8503" s="3" t="s">
        <v>76</v>
      </c>
    </row>
    <row r="8504" spans="1:11" ht="42" customHeight="1">
      <c r="A8504" s="2" t="s">
        <v>21261</v>
      </c>
      <c r="B8504" s="2" t="s">
        <v>21262</v>
      </c>
      <c r="C8504" s="2" t="s">
        <v>88</v>
      </c>
      <c r="D8504" s="2" t="s">
        <v>18</v>
      </c>
      <c r="E8504" s="4">
        <v>-32704</v>
      </c>
      <c r="F8504" s="3" t="s">
        <v>94</v>
      </c>
      <c r="G8504" s="3" t="s">
        <v>20</v>
      </c>
      <c r="H8504" s="2" t="s">
        <v>74</v>
      </c>
      <c r="I8504" s="2" t="s">
        <v>21263</v>
      </c>
      <c r="J8504" s="3" t="str">
        <f>HYPERLINK("https://www.boe.es/gazeta/dias/1810/06/16/pdfs/GMD-1810-167.pdf#page=4","Abrir facsímil")</f>
        <v>Abrir facsímil</v>
      </c>
      <c r="K8504" s="3" t="s">
        <v>76</v>
      </c>
    </row>
    <row r="8505" spans="1:11" ht="42" customHeight="1">
      <c r="A8505" s="2" t="s">
        <v>21264</v>
      </c>
      <c r="B8505" s="2" t="s">
        <v>21264</v>
      </c>
      <c r="C8505" s="2" t="s">
        <v>26</v>
      </c>
      <c r="D8505" s="2" t="s">
        <v>27</v>
      </c>
      <c r="E8505" s="4">
        <v>-32506</v>
      </c>
      <c r="F8505" s="3" t="s">
        <v>7076</v>
      </c>
      <c r="G8505" s="3" t="s">
        <v>227</v>
      </c>
      <c r="H8505" s="2" t="s">
        <v>74</v>
      </c>
      <c r="I8505" s="2" t="s">
        <v>21265</v>
      </c>
      <c r="J8505" s="3" t="str">
        <f>HYPERLINK("https://www.boe.es/gazeta/dias/1810/12/31/pdfs/GMD-1810-365.pdf#page=2","Abrir facsímil")</f>
        <v>Abrir facsímil</v>
      </c>
      <c r="K8505" s="3" t="s">
        <v>76</v>
      </c>
    </row>
    <row r="8506" spans="1:11" ht="42" customHeight="1">
      <c r="A8506" s="2" t="s">
        <v>21266</v>
      </c>
      <c r="B8506" s="2" t="s">
        <v>21266</v>
      </c>
      <c r="C8506" s="2" t="s">
        <v>33</v>
      </c>
      <c r="D8506" s="2" t="s">
        <v>27</v>
      </c>
      <c r="E8506" s="4">
        <v>-32574</v>
      </c>
      <c r="F8506" s="3" t="s">
        <v>9540</v>
      </c>
      <c r="G8506" s="3" t="s">
        <v>140</v>
      </c>
      <c r="H8506" s="2" t="s">
        <v>74</v>
      </c>
      <c r="I8506" s="2" t="s">
        <v>21267</v>
      </c>
      <c r="J8506" s="3" t="str">
        <f>HYPERLINK("https://www.boe.es/gazeta/dias/1810/10/24/pdfs/GMD-1810-297.pdf#page=2","Abrir facsímil")</f>
        <v>Abrir facsímil</v>
      </c>
      <c r="K8506" s="3" t="s">
        <v>76</v>
      </c>
    </row>
    <row r="8507" spans="1:11" ht="42" customHeight="1">
      <c r="A8507" s="2" t="s">
        <v>21268</v>
      </c>
      <c r="B8507" s="2" t="s">
        <v>21268</v>
      </c>
      <c r="C8507" s="2" t="s">
        <v>88</v>
      </c>
      <c r="D8507" s="2" t="s">
        <v>117</v>
      </c>
      <c r="E8507" s="4">
        <v>-32863</v>
      </c>
      <c r="F8507" s="3" t="s">
        <v>2391</v>
      </c>
      <c r="G8507" s="3" t="s">
        <v>35</v>
      </c>
      <c r="H8507" s="2" t="s">
        <v>74</v>
      </c>
      <c r="I8507" s="2" t="s">
        <v>21269</v>
      </c>
      <c r="J8507" s="3" t="str">
        <f>HYPERLINK("https://www.boe.es/gazeta/dias/1810/01/08/pdfs/GMD-1810-8.pdf#page=2","Abrir facsímil")</f>
        <v>Abrir facsímil</v>
      </c>
      <c r="K8507" s="3" t="s">
        <v>76</v>
      </c>
    </row>
    <row r="8508" spans="1:11" ht="42" customHeight="1">
      <c r="A8508" s="2" t="s">
        <v>21270</v>
      </c>
      <c r="B8508" s="2" t="s">
        <v>21271</v>
      </c>
      <c r="C8508" s="2" t="s">
        <v>26</v>
      </c>
      <c r="D8508" s="2" t="s">
        <v>18</v>
      </c>
      <c r="E8508" s="4">
        <v>-32659</v>
      </c>
      <c r="F8508" s="3" t="s">
        <v>328</v>
      </c>
      <c r="G8508" s="3" t="s">
        <v>119</v>
      </c>
      <c r="H8508" s="2" t="s">
        <v>74</v>
      </c>
      <c r="I8508" s="2" t="s">
        <v>21272</v>
      </c>
      <c r="J8508" s="3" t="str">
        <f>HYPERLINK("https://www.boe.es/gazeta/dias/1810/07/31/pdfs/GEI-1810-49.pdf#page=8","Abrir facsímil")</f>
        <v>Abrir facsímil</v>
      </c>
      <c r="K8508" s="3" t="s">
        <v>76</v>
      </c>
    </row>
    <row r="8509" spans="1:11" ht="42" customHeight="1">
      <c r="A8509" s="2" t="s">
        <v>21270</v>
      </c>
      <c r="B8509" s="2" t="s">
        <v>21271</v>
      </c>
      <c r="C8509" s="2" t="s">
        <v>33</v>
      </c>
      <c r="D8509" s="2" t="s">
        <v>18</v>
      </c>
      <c r="E8509" s="4">
        <v>-32642</v>
      </c>
      <c r="F8509" s="3" t="s">
        <v>657</v>
      </c>
      <c r="G8509" s="3" t="s">
        <v>140</v>
      </c>
      <c r="H8509" s="2" t="s">
        <v>74</v>
      </c>
      <c r="I8509" s="2" t="s">
        <v>21273</v>
      </c>
      <c r="J8509" s="3" t="str">
        <f>HYPERLINK("https://www.boe.es/gazeta/dias/1810/08/17/pdfs/GEI-1810-57.pdf#page=6","Abrir facsímil")</f>
        <v>Abrir facsímil</v>
      </c>
      <c r="K8509" s="3" t="s">
        <v>76</v>
      </c>
    </row>
    <row r="8510" spans="1:11" ht="42" customHeight="1">
      <c r="A8510" s="2" t="s">
        <v>21274</v>
      </c>
      <c r="B8510" s="2" t="s">
        <v>21274</v>
      </c>
      <c r="C8510" s="2" t="s">
        <v>88</v>
      </c>
      <c r="D8510" s="2" t="s">
        <v>27</v>
      </c>
      <c r="E8510" s="4">
        <v>-32518</v>
      </c>
      <c r="F8510" s="3" t="s">
        <v>15073</v>
      </c>
      <c r="G8510" s="3" t="s">
        <v>613</v>
      </c>
      <c r="H8510" s="2" t="s">
        <v>74</v>
      </c>
      <c r="I8510" s="2" t="s">
        <v>21275</v>
      </c>
      <c r="J8510" s="3" t="str">
        <f>HYPERLINK("https://www.boe.es/gazeta/dias/1810/12/19/pdfs/GMD-1810-353.pdf#page=2","Abrir facsímil")</f>
        <v>Abrir facsímil</v>
      </c>
      <c r="K8510" s="3" t="s">
        <v>76</v>
      </c>
    </row>
    <row r="8511" spans="1:11" ht="42" customHeight="1">
      <c r="A8511" s="2" t="s">
        <v>21276</v>
      </c>
      <c r="B8511" s="2" t="s">
        <v>21276</v>
      </c>
      <c r="C8511" s="2" t="s">
        <v>88</v>
      </c>
      <c r="D8511" s="2" t="s">
        <v>27</v>
      </c>
      <c r="E8511" s="4">
        <v>-32725</v>
      </c>
      <c r="F8511" s="3" t="s">
        <v>417</v>
      </c>
      <c r="G8511" s="3" t="s">
        <v>1656</v>
      </c>
      <c r="H8511" s="2" t="s">
        <v>74</v>
      </c>
      <c r="I8511" s="2" t="s">
        <v>21277</v>
      </c>
      <c r="J8511" s="3" t="str">
        <f>HYPERLINK("https://www.boe.es/gazeta/dias/1810/05/26/pdfs/GMD-1810-146.pdf#page=1","Abrir facsímil")</f>
        <v>Abrir facsímil</v>
      </c>
      <c r="K8511" s="3" t="s">
        <v>76</v>
      </c>
    </row>
    <row r="8512" spans="1:11" ht="42" customHeight="1">
      <c r="A8512" s="2" t="s">
        <v>21276</v>
      </c>
      <c r="B8512" s="2" t="s">
        <v>21276</v>
      </c>
      <c r="C8512" s="2" t="s">
        <v>33</v>
      </c>
      <c r="D8512" s="2" t="s">
        <v>27</v>
      </c>
      <c r="E8512" s="4">
        <v>-32693</v>
      </c>
      <c r="F8512" s="3" t="s">
        <v>54</v>
      </c>
      <c r="G8512" s="3" t="s">
        <v>90</v>
      </c>
      <c r="H8512" s="2" t="s">
        <v>74</v>
      </c>
      <c r="I8512" s="2" t="s">
        <v>21278</v>
      </c>
      <c r="J8512" s="3" t="str">
        <f>HYPERLINK("https://www.boe.es/gazeta/dias/1810/06/27/pdfs/GMD-1810-178.pdf#page=2","Abrir facsímil")</f>
        <v>Abrir facsímil</v>
      </c>
      <c r="K8512" s="3" t="s">
        <v>76</v>
      </c>
    </row>
    <row r="8513" spans="1:11" ht="42" customHeight="1">
      <c r="A8513" s="2" t="s">
        <v>21279</v>
      </c>
      <c r="B8513" s="2" t="s">
        <v>21279</v>
      </c>
      <c r="C8513" s="2" t="s">
        <v>88</v>
      </c>
      <c r="D8513" s="2" t="s">
        <v>117</v>
      </c>
      <c r="E8513" s="4">
        <v>-32575</v>
      </c>
      <c r="F8513" s="3" t="s">
        <v>135</v>
      </c>
      <c r="G8513" s="3" t="s">
        <v>2560</v>
      </c>
      <c r="H8513" s="2" t="s">
        <v>74</v>
      </c>
      <c r="I8513" s="2" t="s">
        <v>21280</v>
      </c>
      <c r="J8513" s="3" t="str">
        <f>HYPERLINK("https://www.boe.es/gazeta/dias/1810/10/23/pdfs/GEI-1810-85.pdf#page=5","Abrir facsímil")</f>
        <v>Abrir facsímil</v>
      </c>
      <c r="K8513" s="3" t="s">
        <v>76</v>
      </c>
    </row>
    <row r="8514" spans="1:11" ht="42" customHeight="1">
      <c r="A8514" s="2" t="s">
        <v>21281</v>
      </c>
      <c r="B8514" s="2" t="s">
        <v>21281</v>
      </c>
      <c r="C8514" s="2" t="s">
        <v>33</v>
      </c>
      <c r="D8514" s="2" t="s">
        <v>220</v>
      </c>
      <c r="E8514" s="4">
        <v>-32578</v>
      </c>
      <c r="F8514" s="3" t="s">
        <v>2333</v>
      </c>
      <c r="G8514" s="3" t="s">
        <v>9356</v>
      </c>
      <c r="H8514" s="2" t="s">
        <v>74</v>
      </c>
      <c r="I8514" s="2" t="s">
        <v>21282</v>
      </c>
      <c r="J8514" s="3" t="str">
        <f>HYPERLINK("https://www.boe.es/gazeta/dias/1810/10/20/pdfs/GEI-1810-84.pdf#page=1","Abrir facsímil")</f>
        <v>Abrir facsímil</v>
      </c>
      <c r="K8514" s="3" t="s">
        <v>76</v>
      </c>
    </row>
    <row r="8515" spans="1:11" ht="42" customHeight="1">
      <c r="A8515" s="2" t="s">
        <v>21281</v>
      </c>
      <c r="B8515" s="2" t="s">
        <v>21281</v>
      </c>
      <c r="C8515" s="2" t="s">
        <v>88</v>
      </c>
      <c r="D8515" s="2" t="s">
        <v>117</v>
      </c>
      <c r="E8515" s="4">
        <v>-32545</v>
      </c>
      <c r="F8515" s="3" t="s">
        <v>2807</v>
      </c>
      <c r="G8515" s="3" t="s">
        <v>8186</v>
      </c>
      <c r="H8515" s="2" t="s">
        <v>74</v>
      </c>
      <c r="I8515" s="2" t="s">
        <v>21283</v>
      </c>
      <c r="J8515" s="3" t="str">
        <f>HYPERLINK("https://www.boe.es/gazeta/dias/1810/11/22/pdfs/GMD-1810-326.pdf#page=2","Abrir facsímil")</f>
        <v>Abrir facsímil</v>
      </c>
      <c r="K8515" s="3" t="s">
        <v>76</v>
      </c>
    </row>
    <row r="8516" spans="1:11" ht="42" customHeight="1">
      <c r="A8516" s="2" t="s">
        <v>21281</v>
      </c>
      <c r="B8516" s="2" t="s">
        <v>21281</v>
      </c>
      <c r="C8516" s="2" t="s">
        <v>88</v>
      </c>
      <c r="D8516" s="2" t="s">
        <v>27</v>
      </c>
      <c r="E8516" s="4">
        <v>-32542</v>
      </c>
      <c r="F8516" s="3" t="s">
        <v>6175</v>
      </c>
      <c r="G8516" s="3" t="s">
        <v>5985</v>
      </c>
      <c r="H8516" s="2" t="s">
        <v>74</v>
      </c>
      <c r="I8516" s="2" t="s">
        <v>21284</v>
      </c>
      <c r="J8516" s="3" t="str">
        <f>HYPERLINK("https://www.boe.es/gazeta/dias/1810/11/25/pdfs/GMD-1810-329.pdf#page=3","Abrir facsímil")</f>
        <v>Abrir facsímil</v>
      </c>
      <c r="K8516" s="3" t="s">
        <v>76</v>
      </c>
    </row>
    <row r="8517" spans="1:11" ht="42" customHeight="1">
      <c r="A8517" s="2" t="s">
        <v>21281</v>
      </c>
      <c r="B8517" s="2" t="s">
        <v>21281</v>
      </c>
      <c r="C8517" s="2" t="s">
        <v>26</v>
      </c>
      <c r="D8517" s="2" t="s">
        <v>27</v>
      </c>
      <c r="E8517" s="4">
        <v>-32536</v>
      </c>
      <c r="F8517" s="3" t="s">
        <v>9556</v>
      </c>
      <c r="G8517" s="3" t="s">
        <v>18813</v>
      </c>
      <c r="H8517" s="2" t="s">
        <v>74</v>
      </c>
      <c r="I8517" s="2" t="s">
        <v>21285</v>
      </c>
      <c r="J8517" s="3" t="str">
        <f>HYPERLINK("https://www.boe.es/gazeta/dias/1810/12/01/pdfs/GEI-1810-102.pdf#page=1","Abrir facsímil")</f>
        <v>Abrir facsímil</v>
      </c>
      <c r="K8517" s="3" t="s">
        <v>76</v>
      </c>
    </row>
    <row r="8518" spans="1:11" ht="42" customHeight="1">
      <c r="A8518" s="2" t="s">
        <v>21286</v>
      </c>
      <c r="B8518" s="2" t="s">
        <v>21287</v>
      </c>
      <c r="C8518" s="2" t="s">
        <v>88</v>
      </c>
      <c r="D8518" s="2" t="s">
        <v>18</v>
      </c>
      <c r="E8518" s="4">
        <v>-32578</v>
      </c>
      <c r="F8518" s="3" t="s">
        <v>2333</v>
      </c>
      <c r="G8518" s="3" t="s">
        <v>645</v>
      </c>
      <c r="H8518" s="2" t="s">
        <v>74</v>
      </c>
      <c r="I8518" s="2" t="s">
        <v>21288</v>
      </c>
      <c r="J8518" s="3" t="str">
        <f>HYPERLINK("https://www.boe.es/gazeta/dias/1810/10/20/pdfs/GEI-1810-84.pdf#page=7","Abrir facsímil")</f>
        <v>Abrir facsímil</v>
      </c>
      <c r="K8518" s="3" t="s">
        <v>76</v>
      </c>
    </row>
    <row r="8519" spans="1:11" ht="42" customHeight="1">
      <c r="A8519" s="2" t="s">
        <v>21289</v>
      </c>
      <c r="B8519" s="2" t="s">
        <v>21289</v>
      </c>
      <c r="C8519" s="2" t="s">
        <v>26</v>
      </c>
      <c r="D8519" s="2" t="s">
        <v>220</v>
      </c>
      <c r="E8519" s="4">
        <v>-32687</v>
      </c>
      <c r="F8519" s="3" t="s">
        <v>221</v>
      </c>
      <c r="G8519" s="3" t="s">
        <v>20</v>
      </c>
      <c r="H8519" s="2" t="s">
        <v>74</v>
      </c>
      <c r="I8519" s="2" t="s">
        <v>21290</v>
      </c>
      <c r="J8519" s="3" t="str">
        <f>HYPERLINK("https://www.boe.es/gazeta/dias/1810/07/03/pdfs/GMD-1810-184.pdf#page=4","Abrir facsímil")</f>
        <v>Abrir facsímil</v>
      </c>
      <c r="K8519" s="3" t="s">
        <v>76</v>
      </c>
    </row>
    <row r="8520" spans="1:11" ht="42" customHeight="1">
      <c r="A8520" s="2" t="s">
        <v>21291</v>
      </c>
      <c r="B8520" s="2" t="s">
        <v>21291</v>
      </c>
      <c r="C8520" s="2" t="s">
        <v>88</v>
      </c>
      <c r="D8520" s="2" t="s">
        <v>117</v>
      </c>
      <c r="E8520" s="4">
        <v>-32543</v>
      </c>
      <c r="F8520" s="3" t="s">
        <v>69</v>
      </c>
      <c r="G8520" s="3" t="s">
        <v>8237</v>
      </c>
      <c r="H8520" s="2" t="s">
        <v>74</v>
      </c>
      <c r="I8520" s="2" t="s">
        <v>21292</v>
      </c>
      <c r="J8520" s="3" t="str">
        <f>HYPERLINK("https://www.boe.es/gazeta/dias/1810/11/24/pdfs/GEI-1810-99.pdf#page=4","Abrir facsímil")</f>
        <v>Abrir facsímil</v>
      </c>
      <c r="K8520" s="3" t="s">
        <v>76</v>
      </c>
    </row>
    <row r="8521" spans="1:11" ht="42" customHeight="1">
      <c r="A8521" s="2" t="s">
        <v>21293</v>
      </c>
      <c r="B8521" s="2" t="s">
        <v>21293</v>
      </c>
      <c r="C8521" s="2" t="s">
        <v>88</v>
      </c>
      <c r="D8521" s="2" t="s">
        <v>27</v>
      </c>
      <c r="E8521" s="4">
        <v>-32826</v>
      </c>
      <c r="F8521" s="3" t="s">
        <v>1252</v>
      </c>
      <c r="G8521" s="3" t="s">
        <v>140</v>
      </c>
      <c r="H8521" s="2" t="s">
        <v>74</v>
      </c>
      <c r="I8521" s="2" t="s">
        <v>21294</v>
      </c>
      <c r="J8521" s="3" t="str">
        <f>HYPERLINK("https://www.boe.es/gazeta/dias/1810/02/14/pdfs/GMD-1810-45.pdf#page=2","Abrir facsímil")</f>
        <v>Abrir facsímil</v>
      </c>
      <c r="K8521" s="3" t="s">
        <v>76</v>
      </c>
    </row>
    <row r="8522" spans="1:11" ht="42" customHeight="1">
      <c r="A8522" s="2" t="s">
        <v>21295</v>
      </c>
      <c r="B8522" s="2" t="s">
        <v>21295</v>
      </c>
      <c r="C8522" s="2" t="s">
        <v>88</v>
      </c>
      <c r="D8522" s="2" t="s">
        <v>220</v>
      </c>
      <c r="E8522" s="4">
        <v>-32643</v>
      </c>
      <c r="F8522" s="3" t="s">
        <v>4246</v>
      </c>
      <c r="G8522" s="3" t="s">
        <v>140</v>
      </c>
      <c r="H8522" s="2" t="s">
        <v>74</v>
      </c>
      <c r="I8522" s="2" t="s">
        <v>21296</v>
      </c>
      <c r="J8522" s="3" t="str">
        <f>HYPERLINK("https://www.boe.es/gazeta/dias/1810/08/16/pdfs/GMD-1810-228.pdf#page=2","Abrir facsímil")</f>
        <v>Abrir facsímil</v>
      </c>
      <c r="K8522" s="3" t="s">
        <v>76</v>
      </c>
    </row>
    <row r="8523" spans="1:11" ht="42" customHeight="1">
      <c r="A8523" s="2" t="s">
        <v>21297</v>
      </c>
      <c r="B8523" s="2" t="s">
        <v>21298</v>
      </c>
      <c r="C8523" s="2" t="s">
        <v>33</v>
      </c>
      <c r="D8523" s="2" t="s">
        <v>27</v>
      </c>
      <c r="E8523" s="4">
        <v>-32799</v>
      </c>
      <c r="F8523" s="3" t="s">
        <v>874</v>
      </c>
      <c r="G8523" s="3" t="s">
        <v>131</v>
      </c>
      <c r="H8523" s="2" t="s">
        <v>74</v>
      </c>
      <c r="I8523" s="2" t="s">
        <v>21299</v>
      </c>
      <c r="J8523" s="3" t="str">
        <f>HYPERLINK("https://www.boe.es/gazeta/dias/1810/03/13/pdfs/GEI-1810-1.pdf#page=10","Abrir facsímil")</f>
        <v>Abrir facsímil</v>
      </c>
      <c r="K8523" s="3" t="s">
        <v>76</v>
      </c>
    </row>
    <row r="8524" spans="1:11" ht="42" customHeight="1">
      <c r="A8524" s="2" t="s">
        <v>21300</v>
      </c>
      <c r="B8524" s="2" t="s">
        <v>21300</v>
      </c>
      <c r="C8524" s="2" t="s">
        <v>88</v>
      </c>
      <c r="D8524" s="2" t="s">
        <v>117</v>
      </c>
      <c r="E8524" s="4">
        <v>-32795</v>
      </c>
      <c r="F8524" s="3" t="s">
        <v>690</v>
      </c>
      <c r="G8524" s="3" t="s">
        <v>113</v>
      </c>
      <c r="H8524" s="2" t="s">
        <v>74</v>
      </c>
      <c r="I8524" s="2" t="s">
        <v>21301</v>
      </c>
      <c r="J8524" s="3" t="str">
        <f>HYPERLINK("https://www.boe.es/gazeta/dias/1810/03/17/pdfs/GMD-1810-76.pdf#page=2","Abrir facsímil")</f>
        <v>Abrir facsímil</v>
      </c>
      <c r="K8524" s="3" t="s">
        <v>76</v>
      </c>
    </row>
    <row r="8525" spans="1:11" ht="42" customHeight="1">
      <c r="A8525" s="2" t="s">
        <v>21302</v>
      </c>
      <c r="B8525" s="2" t="s">
        <v>21302</v>
      </c>
      <c r="C8525" s="2" t="s">
        <v>88</v>
      </c>
      <c r="D8525" s="2" t="s">
        <v>117</v>
      </c>
      <c r="E8525" s="4">
        <v>-32624</v>
      </c>
      <c r="F8525" s="3" t="s">
        <v>6736</v>
      </c>
      <c r="G8525" s="3" t="s">
        <v>6737</v>
      </c>
      <c r="H8525" s="2" t="s">
        <v>74</v>
      </c>
      <c r="I8525" s="2" t="s">
        <v>21303</v>
      </c>
      <c r="J8525" s="3" t="str">
        <f>HYPERLINK("https://www.boe.es/gazeta/dias/1810/09/04/pdfs/GEI-D-1810-64.pdf#page=1","Abrir facsímil")</f>
        <v>Abrir facsímil</v>
      </c>
      <c r="K8525" s="3" t="s">
        <v>76</v>
      </c>
    </row>
    <row r="8526" spans="1:11" ht="42" customHeight="1">
      <c r="A8526" s="2" t="s">
        <v>21304</v>
      </c>
      <c r="B8526" s="2" t="s">
        <v>21304</v>
      </c>
      <c r="C8526" s="2" t="s">
        <v>26</v>
      </c>
      <c r="D8526" s="2" t="s">
        <v>27</v>
      </c>
      <c r="E8526" s="4">
        <v>-32816</v>
      </c>
      <c r="F8526" s="3" t="s">
        <v>10608</v>
      </c>
      <c r="G8526" s="3" t="s">
        <v>695</v>
      </c>
      <c r="H8526" s="2" t="s">
        <v>74</v>
      </c>
      <c r="I8526" s="2" t="s">
        <v>21305</v>
      </c>
      <c r="J8526" s="3" t="str">
        <f>HYPERLINK("https://www.boe.es/gazeta/dias/1810/02/24/pdfs/GMD-1810-55.pdf#page=1","Abrir facsímil")</f>
        <v>Abrir facsímil</v>
      </c>
      <c r="K8526" s="3" t="s">
        <v>76</v>
      </c>
    </row>
    <row r="8527" spans="1:11" ht="42" customHeight="1">
      <c r="A8527" s="2" t="s">
        <v>21306</v>
      </c>
      <c r="B8527" s="2" t="s">
        <v>21306</v>
      </c>
      <c r="C8527" s="2" t="s">
        <v>88</v>
      </c>
      <c r="D8527" s="2" t="s">
        <v>117</v>
      </c>
      <c r="E8527" s="4">
        <v>-32576</v>
      </c>
      <c r="F8527" s="3" t="s">
        <v>447</v>
      </c>
      <c r="G8527" s="3" t="s">
        <v>291</v>
      </c>
      <c r="H8527" s="2" t="s">
        <v>74</v>
      </c>
      <c r="I8527" s="2" t="s">
        <v>21307</v>
      </c>
      <c r="J8527" s="3" t="str">
        <f>HYPERLINK("https://www.boe.es/gazeta/dias/1810/10/22/pdfs/GMD-1810-295.pdf#page=3","Abrir facsímil")</f>
        <v>Abrir facsímil</v>
      </c>
      <c r="K8527" s="3" t="s">
        <v>76</v>
      </c>
    </row>
    <row r="8528" spans="1:11" ht="42" customHeight="1">
      <c r="A8528" s="2" t="s">
        <v>21308</v>
      </c>
      <c r="B8528" s="2" t="s">
        <v>21309</v>
      </c>
      <c r="C8528" s="2" t="s">
        <v>317</v>
      </c>
      <c r="D8528" s="2" t="s">
        <v>27</v>
      </c>
      <c r="E8528" s="4">
        <v>-32729</v>
      </c>
      <c r="F8528" s="3" t="s">
        <v>1025</v>
      </c>
      <c r="G8528" s="3" t="s">
        <v>90</v>
      </c>
      <c r="H8528" s="2" t="s">
        <v>74</v>
      </c>
      <c r="I8528" s="2" t="s">
        <v>21310</v>
      </c>
      <c r="J8528" s="3" t="str">
        <f>HYPERLINK("https://www.boe.es/gazeta/dias/1810/05/22/pdfs/GMD-1810-142.pdf#page=2","Abrir facsímil")</f>
        <v>Abrir facsímil</v>
      </c>
      <c r="K8528" s="3" t="s">
        <v>76</v>
      </c>
    </row>
    <row r="8529" spans="1:11" ht="42" customHeight="1">
      <c r="A8529" s="2" t="s">
        <v>21311</v>
      </c>
      <c r="B8529" s="2" t="s">
        <v>21311</v>
      </c>
      <c r="C8529" s="2" t="s">
        <v>88</v>
      </c>
      <c r="D8529" s="2" t="s">
        <v>27</v>
      </c>
      <c r="E8529" s="4">
        <v>-32573</v>
      </c>
      <c r="F8529" s="3" t="s">
        <v>3120</v>
      </c>
      <c r="G8529" s="3" t="s">
        <v>136</v>
      </c>
      <c r="H8529" s="2" t="s">
        <v>74</v>
      </c>
      <c r="I8529" s="2" t="s">
        <v>21312</v>
      </c>
      <c r="J8529" s="3" t="str">
        <f>HYPERLINK("https://www.boe.es/gazeta/dias/1810/10/25/pdfs/GEI-1810-86.pdf#page=1","Abrir facsímil")</f>
        <v>Abrir facsímil</v>
      </c>
      <c r="K8529" s="3" t="s">
        <v>76</v>
      </c>
    </row>
    <row r="8530" spans="1:11" ht="42" customHeight="1">
      <c r="A8530" s="2" t="s">
        <v>21313</v>
      </c>
      <c r="B8530" s="2" t="s">
        <v>21313</v>
      </c>
      <c r="C8530" s="2" t="s">
        <v>88</v>
      </c>
      <c r="D8530" s="2" t="s">
        <v>220</v>
      </c>
      <c r="E8530" s="4">
        <v>-32571</v>
      </c>
      <c r="F8530" s="3" t="s">
        <v>737</v>
      </c>
      <c r="G8530" s="3" t="s">
        <v>1985</v>
      </c>
      <c r="H8530" s="2" t="s">
        <v>74</v>
      </c>
      <c r="I8530" s="2" t="s">
        <v>21314</v>
      </c>
      <c r="J8530" s="3" t="str">
        <f>HYPERLINK("https://www.boe.es/gazeta/dias/1810/10/27/pdfs/GEI-1810-87.pdf#page=2","Abrir facsímil")</f>
        <v>Abrir facsímil</v>
      </c>
      <c r="K8530" s="3" t="s">
        <v>76</v>
      </c>
    </row>
    <row r="8531" spans="1:11" ht="42" customHeight="1">
      <c r="A8531" s="2" t="s">
        <v>21311</v>
      </c>
      <c r="B8531" s="2" t="s">
        <v>21311</v>
      </c>
      <c r="C8531" s="2" t="s">
        <v>88</v>
      </c>
      <c r="D8531" s="2" t="s">
        <v>117</v>
      </c>
      <c r="E8531" s="4">
        <v>-32566</v>
      </c>
      <c r="F8531" s="3" t="s">
        <v>649</v>
      </c>
      <c r="G8531" s="3" t="s">
        <v>180</v>
      </c>
      <c r="H8531" s="2" t="s">
        <v>74</v>
      </c>
      <c r="I8531" s="2" t="s">
        <v>21315</v>
      </c>
      <c r="J8531" s="3" t="str">
        <f>HYPERLINK("https://www.boe.es/gazeta/dias/1810/11/01/pdfs/GEI-1810-89.pdf#page=3","Abrir facsímil")</f>
        <v>Abrir facsímil</v>
      </c>
      <c r="K8531" s="3" t="s">
        <v>76</v>
      </c>
    </row>
    <row r="8532" spans="1:11" ht="42" customHeight="1">
      <c r="A8532" s="2" t="s">
        <v>21316</v>
      </c>
      <c r="B8532" s="2" t="s">
        <v>21316</v>
      </c>
      <c r="C8532" s="2" t="s">
        <v>88</v>
      </c>
      <c r="D8532" s="2" t="s">
        <v>117</v>
      </c>
      <c r="E8532" s="4">
        <v>-32606</v>
      </c>
      <c r="F8532" s="3" t="s">
        <v>1676</v>
      </c>
      <c r="G8532" s="3" t="s">
        <v>180</v>
      </c>
      <c r="H8532" s="2" t="s">
        <v>74</v>
      </c>
      <c r="I8532" s="2" t="s">
        <v>21317</v>
      </c>
      <c r="J8532" s="3" t="str">
        <f>HYPERLINK("https://www.boe.es/gazeta/dias/1810/09/22/pdfs/GMD-1810-265.pdf#page=1","Abrir facsímil")</f>
        <v>Abrir facsímil</v>
      </c>
      <c r="K8532" s="3" t="s">
        <v>76</v>
      </c>
    </row>
    <row r="8533" spans="1:11" ht="42" customHeight="1">
      <c r="A8533" s="2" t="s">
        <v>21318</v>
      </c>
      <c r="B8533" s="2" t="s">
        <v>21319</v>
      </c>
      <c r="C8533" s="2" t="s">
        <v>111</v>
      </c>
      <c r="D8533" s="2" t="s">
        <v>27</v>
      </c>
      <c r="E8533" s="4">
        <v>-32684</v>
      </c>
      <c r="F8533" s="3" t="s">
        <v>1373</v>
      </c>
      <c r="G8533" s="3" t="s">
        <v>1374</v>
      </c>
      <c r="H8533" s="2" t="s">
        <v>74</v>
      </c>
      <c r="I8533" s="2" t="s">
        <v>21320</v>
      </c>
      <c r="J8533" s="3" t="str">
        <f>HYPERLINK("https://www.boe.es/gazeta/dias/1810/07/06/pdfs/GEI-1810-42.pdf#page=8","Abrir facsímil")</f>
        <v>Abrir facsímil</v>
      </c>
      <c r="K8533" s="3" t="s">
        <v>76</v>
      </c>
    </row>
    <row r="8534" spans="1:11" ht="42" customHeight="1">
      <c r="A8534" s="2" t="s">
        <v>21321</v>
      </c>
      <c r="B8534" s="2" t="s">
        <v>21321</v>
      </c>
      <c r="C8534" s="2" t="s">
        <v>26</v>
      </c>
      <c r="D8534" s="2" t="s">
        <v>220</v>
      </c>
      <c r="E8534" s="4">
        <v>-32703</v>
      </c>
      <c r="F8534" s="3" t="s">
        <v>1213</v>
      </c>
      <c r="G8534" s="3" t="s">
        <v>35</v>
      </c>
      <c r="H8534" s="2" t="s">
        <v>74</v>
      </c>
      <c r="I8534" s="2" t="s">
        <v>21322</v>
      </c>
      <c r="J8534" s="3" t="str">
        <f>HYPERLINK("https://www.boe.es/gazeta/dias/1810/06/17/pdfs/GMD-1810-168.pdf#page=2","Abrir facsímil")</f>
        <v>Abrir facsímil</v>
      </c>
      <c r="K8534" s="3" t="s">
        <v>76</v>
      </c>
    </row>
    <row r="8535" spans="1:11" ht="42" customHeight="1">
      <c r="A8535" s="2" t="s">
        <v>21323</v>
      </c>
      <c r="B8535" s="2" t="s">
        <v>21323</v>
      </c>
      <c r="C8535" s="2" t="s">
        <v>88</v>
      </c>
      <c r="D8535" s="2" t="s">
        <v>27</v>
      </c>
      <c r="E8535" s="4">
        <v>-32617</v>
      </c>
      <c r="F8535" s="3" t="s">
        <v>3861</v>
      </c>
      <c r="G8535" s="3" t="s">
        <v>140</v>
      </c>
      <c r="H8535" s="2" t="s">
        <v>74</v>
      </c>
      <c r="I8535" s="2" t="s">
        <v>21324</v>
      </c>
      <c r="J8535" s="3" t="str">
        <f>HYPERLINK("https://www.boe.es/gazeta/dias/1810/09/11/pdfs/GMD-1810-254.pdf#page=1","Abrir facsímil")</f>
        <v>Abrir facsímil</v>
      </c>
      <c r="K8535" s="3" t="s">
        <v>76</v>
      </c>
    </row>
    <row r="8536" spans="1:11" ht="42" customHeight="1">
      <c r="A8536" s="2" t="s">
        <v>21325</v>
      </c>
      <c r="B8536" s="2" t="s">
        <v>21325</v>
      </c>
      <c r="C8536" s="2" t="s">
        <v>88</v>
      </c>
      <c r="D8536" s="2" t="s">
        <v>27</v>
      </c>
      <c r="E8536" s="4">
        <v>-32606</v>
      </c>
      <c r="F8536" s="3" t="s">
        <v>1676</v>
      </c>
      <c r="G8536" s="3" t="s">
        <v>227</v>
      </c>
      <c r="H8536" s="2" t="s">
        <v>74</v>
      </c>
      <c r="I8536" s="2" t="s">
        <v>21326</v>
      </c>
      <c r="J8536" s="3" t="str">
        <f>HYPERLINK("https://www.boe.es/gazeta/dias/1810/09/22/pdfs/GMD-1810-265.pdf#page=3","Abrir facsímil")</f>
        <v>Abrir facsímil</v>
      </c>
      <c r="K8536" s="3" t="s">
        <v>76</v>
      </c>
    </row>
    <row r="8537" spans="1:11" ht="42" customHeight="1">
      <c r="A8537" s="2" t="s">
        <v>21327</v>
      </c>
      <c r="B8537" s="2" t="s">
        <v>21327</v>
      </c>
      <c r="C8537" s="2" t="s">
        <v>88</v>
      </c>
      <c r="D8537" s="2" t="s">
        <v>27</v>
      </c>
      <c r="E8537" s="4">
        <v>-32606</v>
      </c>
      <c r="F8537" s="3" t="s">
        <v>1676</v>
      </c>
      <c r="G8537" s="3" t="s">
        <v>227</v>
      </c>
      <c r="H8537" s="2" t="s">
        <v>74</v>
      </c>
      <c r="I8537" s="2" t="s">
        <v>21328</v>
      </c>
      <c r="J8537" s="3" t="str">
        <f>HYPERLINK("https://www.boe.es/gazeta/dias/1810/09/22/pdfs/GMD-1810-265.pdf#page=2","Abrir facsímil")</f>
        <v>Abrir facsímil</v>
      </c>
      <c r="K8537" s="3" t="s">
        <v>76</v>
      </c>
    </row>
    <row r="8538" spans="1:11" ht="42" customHeight="1">
      <c r="A8538" s="2" t="s">
        <v>21327</v>
      </c>
      <c r="B8538" s="2" t="s">
        <v>21327</v>
      </c>
      <c r="C8538" s="2" t="s">
        <v>88</v>
      </c>
      <c r="D8538" s="2" t="s">
        <v>27</v>
      </c>
      <c r="E8538" s="4">
        <v>-32598</v>
      </c>
      <c r="F8538" s="3" t="s">
        <v>6961</v>
      </c>
      <c r="G8538" s="3" t="s">
        <v>180</v>
      </c>
      <c r="H8538" s="2" t="s">
        <v>74</v>
      </c>
      <c r="I8538" s="2" t="s">
        <v>21329</v>
      </c>
      <c r="J8538" s="3" t="str">
        <f>HYPERLINK("https://www.boe.es/gazeta/dias/1810/09/30/pdfs/GMD-1810-273.pdf#page=1","Abrir facsímil")</f>
        <v>Abrir facsímil</v>
      </c>
      <c r="K8538" s="3" t="s">
        <v>76</v>
      </c>
    </row>
    <row r="8539" spans="1:11" ht="42" customHeight="1">
      <c r="A8539" s="2" t="s">
        <v>21330</v>
      </c>
      <c r="B8539" s="2" t="s">
        <v>21331</v>
      </c>
      <c r="C8539" s="2" t="s">
        <v>26</v>
      </c>
      <c r="D8539" s="2" t="s">
        <v>27</v>
      </c>
      <c r="E8539" s="4">
        <v>-32647</v>
      </c>
      <c r="F8539" s="3" t="s">
        <v>118</v>
      </c>
      <c r="G8539" s="3" t="s">
        <v>119</v>
      </c>
      <c r="H8539" s="2" t="s">
        <v>74</v>
      </c>
      <c r="I8539" s="2" t="s">
        <v>21332</v>
      </c>
      <c r="J8539" s="3" t="str">
        <f>HYPERLINK("https://www.boe.es/gazeta/dias/1810/08/12/pdfs/GMD-1810-224.pdf#page=3","Abrir facsímil")</f>
        <v>Abrir facsímil</v>
      </c>
      <c r="K8539" s="3" t="s">
        <v>76</v>
      </c>
    </row>
    <row r="8540" spans="1:11" ht="42" customHeight="1">
      <c r="A8540" s="2" t="s">
        <v>21333</v>
      </c>
      <c r="B8540" s="2" t="s">
        <v>21333</v>
      </c>
      <c r="C8540" s="2" t="s">
        <v>88</v>
      </c>
      <c r="D8540" s="2" t="s">
        <v>117</v>
      </c>
      <c r="E8540" s="4">
        <v>-32721</v>
      </c>
      <c r="F8540" s="3" t="s">
        <v>3437</v>
      </c>
      <c r="G8540" s="3" t="s">
        <v>213</v>
      </c>
      <c r="H8540" s="2" t="s">
        <v>74</v>
      </c>
      <c r="I8540" s="2" t="s">
        <v>21334</v>
      </c>
      <c r="J8540" s="3" t="str">
        <f>HYPERLINK("https://www.boe.es/gazeta/dias/1810/05/30/pdfs/GMD-1810-150.pdf#page=2","Abrir facsímil")</f>
        <v>Abrir facsímil</v>
      </c>
      <c r="K8540" s="3" t="s">
        <v>76</v>
      </c>
    </row>
    <row r="8541" spans="1:11" ht="42" customHeight="1">
      <c r="A8541" s="2" t="s">
        <v>21335</v>
      </c>
      <c r="B8541" s="2" t="s">
        <v>21335</v>
      </c>
      <c r="C8541" s="2" t="s">
        <v>225</v>
      </c>
      <c r="D8541" s="2" t="s">
        <v>117</v>
      </c>
      <c r="E8541" s="4">
        <v>-32693</v>
      </c>
      <c r="F8541" s="3" t="s">
        <v>54</v>
      </c>
      <c r="G8541" s="3" t="s">
        <v>90</v>
      </c>
      <c r="H8541" s="2" t="s">
        <v>74</v>
      </c>
      <c r="I8541" s="2" t="s">
        <v>21336</v>
      </c>
      <c r="J8541" s="3" t="str">
        <f>HYPERLINK("https://www.boe.es/gazeta/dias/1810/06/27/pdfs/GMD-1810-178.pdf#page=2","Abrir facsímil")</f>
        <v>Abrir facsímil</v>
      </c>
      <c r="K8541" s="3" t="s">
        <v>76</v>
      </c>
    </row>
    <row r="8542" spans="1:11" ht="42" customHeight="1">
      <c r="A8542" s="2" t="s">
        <v>21337</v>
      </c>
      <c r="B8542" s="2" t="s">
        <v>21337</v>
      </c>
      <c r="C8542" s="2" t="s">
        <v>225</v>
      </c>
      <c r="D8542" s="2" t="s">
        <v>117</v>
      </c>
      <c r="E8542" s="4">
        <v>-32598</v>
      </c>
      <c r="F8542" s="3" t="s">
        <v>6961</v>
      </c>
      <c r="G8542" s="3" t="s">
        <v>180</v>
      </c>
      <c r="H8542" s="2" t="s">
        <v>74</v>
      </c>
      <c r="I8542" s="2" t="s">
        <v>21338</v>
      </c>
      <c r="J8542" s="3" t="str">
        <f>HYPERLINK("https://www.boe.es/gazeta/dias/1810/09/30/pdfs/GMD-1810-273.pdf#page=1","Abrir facsímil")</f>
        <v>Abrir facsímil</v>
      </c>
      <c r="K8542" s="3" t="s">
        <v>76</v>
      </c>
    </row>
    <row r="8543" spans="1:11" ht="42" customHeight="1">
      <c r="A8543" s="2" t="s">
        <v>21339</v>
      </c>
      <c r="B8543" s="2" t="s">
        <v>21339</v>
      </c>
      <c r="C8543" s="2" t="s">
        <v>88</v>
      </c>
      <c r="D8543" s="2" t="s">
        <v>220</v>
      </c>
      <c r="E8543" s="4">
        <v>-32795</v>
      </c>
      <c r="F8543" s="3" t="s">
        <v>690</v>
      </c>
      <c r="G8543" s="3" t="s">
        <v>1833</v>
      </c>
      <c r="H8543" s="2" t="s">
        <v>74</v>
      </c>
      <c r="I8543" s="2" t="s">
        <v>21340</v>
      </c>
      <c r="J8543" s="3" t="str">
        <f>HYPERLINK("https://www.boe.es/gazeta/dias/1810/03/17/pdfs/GMD-1810-76.pdf#page=1","Abrir facsímil")</f>
        <v>Abrir facsímil</v>
      </c>
      <c r="K8543" s="3" t="s">
        <v>76</v>
      </c>
    </row>
    <row r="8544" spans="1:11" ht="42" customHeight="1">
      <c r="A8544" s="2" t="s">
        <v>21339</v>
      </c>
      <c r="B8544" s="2" t="s">
        <v>21339</v>
      </c>
      <c r="C8544" s="2" t="s">
        <v>88</v>
      </c>
      <c r="D8544" s="2" t="s">
        <v>27</v>
      </c>
      <c r="E8544" s="4">
        <v>-32756</v>
      </c>
      <c r="F8544" s="3" t="s">
        <v>203</v>
      </c>
      <c r="G8544" s="3" t="s">
        <v>465</v>
      </c>
      <c r="H8544" s="2" t="s">
        <v>74</v>
      </c>
      <c r="I8544" s="2" t="s">
        <v>21341</v>
      </c>
      <c r="J8544" s="3" t="str">
        <f>HYPERLINK("https://www.boe.es/gazeta/dias/1810/04/25/pdfs/GMD-1810-115.pdf#page=1","Abrir facsímil")</f>
        <v>Abrir facsímil</v>
      </c>
      <c r="K8544" s="3" t="s">
        <v>76</v>
      </c>
    </row>
    <row r="8545" spans="1:11" ht="42" customHeight="1">
      <c r="A8545" s="2" t="s">
        <v>21339</v>
      </c>
      <c r="B8545" s="2" t="s">
        <v>21339</v>
      </c>
      <c r="C8545" s="2" t="s">
        <v>88</v>
      </c>
      <c r="D8545" s="2" t="s">
        <v>27</v>
      </c>
      <c r="E8545" s="4">
        <v>-32687</v>
      </c>
      <c r="F8545" s="3" t="s">
        <v>221</v>
      </c>
      <c r="G8545" s="3" t="s">
        <v>4739</v>
      </c>
      <c r="H8545" s="2" t="s">
        <v>74</v>
      </c>
      <c r="I8545" s="2" t="s">
        <v>21342</v>
      </c>
      <c r="J8545" s="3" t="str">
        <f>HYPERLINK("https://www.boe.es/gazeta/dias/1810/07/03/pdfs/GMD-1810-184.pdf#page=3","Abrir facsímil")</f>
        <v>Abrir facsímil</v>
      </c>
      <c r="K8545" s="3" t="s">
        <v>76</v>
      </c>
    </row>
    <row r="8546" spans="1:11" ht="42" customHeight="1">
      <c r="A8546" s="2" t="s">
        <v>21343</v>
      </c>
      <c r="B8546" s="2" t="s">
        <v>21343</v>
      </c>
      <c r="C8546" s="2" t="s">
        <v>225</v>
      </c>
      <c r="D8546" s="2" t="s">
        <v>27</v>
      </c>
      <c r="E8546" s="4">
        <v>-32695</v>
      </c>
      <c r="F8546" s="3" t="s">
        <v>1646</v>
      </c>
      <c r="G8546" s="3" t="s">
        <v>701</v>
      </c>
      <c r="H8546" s="2" t="s">
        <v>74</v>
      </c>
      <c r="I8546" s="2" t="s">
        <v>21344</v>
      </c>
      <c r="J8546" s="3" t="str">
        <f>HYPERLINK("https://www.boe.es/gazeta/dias/1810/06/25/pdfs/GMD-1810-176.pdf#page=2","Abrir facsímil")</f>
        <v>Abrir facsímil</v>
      </c>
      <c r="K8546" s="3" t="s">
        <v>76</v>
      </c>
    </row>
    <row r="8547" spans="1:11" ht="42" customHeight="1">
      <c r="A8547" s="2" t="s">
        <v>21345</v>
      </c>
      <c r="B8547" s="2" t="s">
        <v>21345</v>
      </c>
      <c r="C8547" s="2" t="s">
        <v>26</v>
      </c>
      <c r="D8547" s="2" t="s">
        <v>27</v>
      </c>
      <c r="E8547" s="4">
        <v>-32508</v>
      </c>
      <c r="F8547" s="3" t="s">
        <v>2609</v>
      </c>
      <c r="G8547" s="3" t="s">
        <v>18976</v>
      </c>
      <c r="H8547" s="2" t="s">
        <v>74</v>
      </c>
      <c r="I8547" s="2" t="s">
        <v>21346</v>
      </c>
      <c r="J8547" s="3" t="str">
        <f>HYPERLINK("https://www.boe.es/gazeta/dias/1810/12/29/pdfs/GMD-1810-363.pdf#page=1","Abrir facsímil")</f>
        <v>Abrir facsímil</v>
      </c>
      <c r="K8547" s="3" t="s">
        <v>76</v>
      </c>
    </row>
    <row r="8548" spans="1:11" ht="42" customHeight="1">
      <c r="A8548" s="2" t="s">
        <v>21347</v>
      </c>
      <c r="B8548" s="2" t="s">
        <v>21347</v>
      </c>
      <c r="C8548" s="2" t="s">
        <v>33</v>
      </c>
      <c r="D8548" s="2" t="s">
        <v>220</v>
      </c>
      <c r="E8548" s="4">
        <v>-32693</v>
      </c>
      <c r="F8548" s="3" t="s">
        <v>54</v>
      </c>
      <c r="G8548" s="3" t="s">
        <v>180</v>
      </c>
      <c r="H8548" s="2" t="s">
        <v>74</v>
      </c>
      <c r="I8548" s="2" t="s">
        <v>21348</v>
      </c>
      <c r="J8548" s="3" t="str">
        <f>HYPERLINK("https://www.boe.es/gazeta/dias/1810/06/27/pdfs/GMD-1810-178.pdf#page=1","Abrir facsímil")</f>
        <v>Abrir facsímil</v>
      </c>
      <c r="K8548" s="3" t="s">
        <v>76</v>
      </c>
    </row>
    <row r="8549" spans="1:11" ht="42" customHeight="1">
      <c r="A8549" s="2" t="s">
        <v>21349</v>
      </c>
      <c r="B8549" s="2" t="s">
        <v>21349</v>
      </c>
      <c r="C8549" s="2" t="s">
        <v>33</v>
      </c>
      <c r="D8549" s="2" t="s">
        <v>220</v>
      </c>
      <c r="E8549" s="4">
        <v>-32669</v>
      </c>
      <c r="F8549" s="3" t="s">
        <v>217</v>
      </c>
      <c r="G8549" s="3" t="s">
        <v>180</v>
      </c>
      <c r="H8549" s="2" t="s">
        <v>74</v>
      </c>
      <c r="I8549" s="2" t="s">
        <v>21350</v>
      </c>
      <c r="J8549" s="3" t="str">
        <f>HYPERLINK("https://www.boe.es/gazeta/dias/1810/07/21/pdfs/GMD-1810-202.pdf#page=1","Abrir facsímil")</f>
        <v>Abrir facsímil</v>
      </c>
      <c r="K8549" s="3" t="s">
        <v>76</v>
      </c>
    </row>
    <row r="8550" spans="1:11" ht="42" customHeight="1">
      <c r="A8550" s="2" t="s">
        <v>21351</v>
      </c>
      <c r="B8550" s="2" t="s">
        <v>21351</v>
      </c>
      <c r="C8550" s="2" t="s">
        <v>88</v>
      </c>
      <c r="D8550" s="2" t="s">
        <v>220</v>
      </c>
      <c r="E8550" s="4">
        <v>-32552</v>
      </c>
      <c r="F8550" s="3" t="s">
        <v>234</v>
      </c>
      <c r="G8550" s="3" t="s">
        <v>235</v>
      </c>
      <c r="H8550" s="2" t="s">
        <v>74</v>
      </c>
      <c r="I8550" s="2" t="s">
        <v>21352</v>
      </c>
      <c r="J8550" s="3" t="str">
        <f>HYPERLINK("https://www.boe.es/gazeta/dias/1810/11/15/pdfs/GMD-1810-319.pdf#page=1","Abrir facsímil")</f>
        <v>Abrir facsímil</v>
      </c>
      <c r="K8550" s="3" t="s">
        <v>76</v>
      </c>
    </row>
    <row r="8551" spans="1:11" ht="42" customHeight="1">
      <c r="A8551" s="2" t="s">
        <v>21353</v>
      </c>
      <c r="B8551" s="2" t="s">
        <v>21354</v>
      </c>
      <c r="C8551" s="2" t="s">
        <v>17</v>
      </c>
      <c r="D8551" s="2" t="s">
        <v>27</v>
      </c>
      <c r="E8551" s="4">
        <v>-32648</v>
      </c>
      <c r="F8551" s="3" t="s">
        <v>575</v>
      </c>
      <c r="G8551" s="3" t="s">
        <v>140</v>
      </c>
      <c r="H8551" s="2" t="s">
        <v>21</v>
      </c>
      <c r="I8551" s="2" t="s">
        <v>21355</v>
      </c>
      <c r="J8551" s="3" t="str">
        <f>HYPERLINK("https://www.boe.es/gazeta/dias/1810/08/11/pdfs/GMD-1810-223.pdf#page=4","Abrir facsímil")</f>
        <v>Abrir facsímil</v>
      </c>
      <c r="K8551" s="3" t="s">
        <v>23</v>
      </c>
    </row>
    <row r="8552" spans="1:11" ht="42" customHeight="1">
      <c r="A8552" s="2" t="s">
        <v>21356</v>
      </c>
      <c r="B8552" s="2" t="s">
        <v>21357</v>
      </c>
      <c r="C8552" s="2" t="s">
        <v>26</v>
      </c>
      <c r="D8552" s="2" t="s">
        <v>27</v>
      </c>
      <c r="E8552" s="4">
        <v>-32689</v>
      </c>
      <c r="F8552" s="3" t="s">
        <v>571</v>
      </c>
      <c r="G8552" s="3" t="s">
        <v>29</v>
      </c>
      <c r="H8552" s="2" t="s">
        <v>21</v>
      </c>
      <c r="I8552" s="2" t="s">
        <v>21358</v>
      </c>
      <c r="J8552" s="3" t="str">
        <f>HYPERLINK("https://www.boe.es/gazeta/dias/1810/07/01/pdfs/GMD-1810-182.pdf#page=3","Abrir facsímil")</f>
        <v>Abrir facsímil</v>
      </c>
      <c r="K8552" s="3" t="s">
        <v>23</v>
      </c>
    </row>
    <row r="8553" spans="1:11" ht="42" customHeight="1">
      <c r="A8553" s="2" t="s">
        <v>21359</v>
      </c>
      <c r="B8553" s="2" t="s">
        <v>21360</v>
      </c>
      <c r="C8553" s="2" t="s">
        <v>195</v>
      </c>
      <c r="D8553" s="2" t="s">
        <v>27</v>
      </c>
      <c r="E8553" s="4">
        <v>-32648</v>
      </c>
      <c r="F8553" s="3" t="s">
        <v>575</v>
      </c>
      <c r="G8553" s="3" t="s">
        <v>140</v>
      </c>
      <c r="H8553" s="2" t="s">
        <v>21</v>
      </c>
      <c r="I8553" s="2" t="s">
        <v>21361</v>
      </c>
      <c r="J8553" s="3" t="str">
        <f>HYPERLINK("https://www.boe.es/gazeta/dias/1810/08/11/pdfs/GMD-1810-223.pdf#page=4","Abrir facsímil")</f>
        <v>Abrir facsímil</v>
      </c>
      <c r="K8553" s="3" t="s">
        <v>23</v>
      </c>
    </row>
    <row r="8554" spans="1:11" ht="42" customHeight="1">
      <c r="A8554" s="2" t="s">
        <v>21362</v>
      </c>
      <c r="B8554" s="2" t="s">
        <v>21363</v>
      </c>
      <c r="C8554" s="2" t="s">
        <v>17</v>
      </c>
      <c r="D8554" s="2" t="s">
        <v>27</v>
      </c>
      <c r="E8554" s="4">
        <v>-32735</v>
      </c>
      <c r="F8554" s="3" t="s">
        <v>612</v>
      </c>
      <c r="G8554" s="3" t="s">
        <v>701</v>
      </c>
      <c r="H8554" s="2" t="s">
        <v>74</v>
      </c>
      <c r="I8554" s="2" t="s">
        <v>21364</v>
      </c>
      <c r="J8554" s="3" t="str">
        <f>HYPERLINK("https://www.boe.es/gazeta/dias/1810/05/16/pdfs/GMD-1810-136.pdf#page=4","Abrir facsímil")</f>
        <v>Abrir facsímil</v>
      </c>
      <c r="K8554" s="3" t="s">
        <v>76</v>
      </c>
    </row>
    <row r="8555" spans="1:11" ht="42" customHeight="1">
      <c r="A8555" s="2" t="s">
        <v>21365</v>
      </c>
      <c r="B8555" s="2" t="s">
        <v>21366</v>
      </c>
      <c r="C8555" s="2" t="s">
        <v>88</v>
      </c>
      <c r="D8555" s="2" t="s">
        <v>27</v>
      </c>
      <c r="E8555" s="4">
        <v>-32839</v>
      </c>
      <c r="F8555" s="3" t="s">
        <v>28</v>
      </c>
      <c r="G8555" s="3" t="s">
        <v>29</v>
      </c>
      <c r="H8555" s="2" t="s">
        <v>74</v>
      </c>
      <c r="I8555" s="2" t="s">
        <v>21367</v>
      </c>
      <c r="J8555" s="3" t="str">
        <f>HYPERLINK("https://www.boe.es/gazeta/dias/1810/02/01/pdfs/GMD-1810-32.pdf#page=2","Abrir facsímil")</f>
        <v>Abrir facsímil</v>
      </c>
      <c r="K8555" s="3" t="s">
        <v>76</v>
      </c>
    </row>
    <row r="8556" spans="1:11" ht="42" customHeight="1">
      <c r="A8556" s="2" t="s">
        <v>21368</v>
      </c>
      <c r="B8556" s="2" t="s">
        <v>21369</v>
      </c>
      <c r="C8556" s="2" t="s">
        <v>26</v>
      </c>
      <c r="D8556" s="2" t="s">
        <v>27</v>
      </c>
      <c r="E8556" s="4">
        <v>-32855</v>
      </c>
      <c r="F8556" s="3" t="s">
        <v>3911</v>
      </c>
      <c r="G8556" s="3" t="s">
        <v>6957</v>
      </c>
      <c r="H8556" s="2" t="s">
        <v>74</v>
      </c>
      <c r="I8556" s="2" t="s">
        <v>21370</v>
      </c>
      <c r="J8556" s="3" t="str">
        <f>HYPERLINK("https://www.boe.es/gazeta/dias/1810/01/16/pdfs/GGB-1810-7.pdf#page=7","Abrir facsímil")</f>
        <v>Abrir facsímil</v>
      </c>
      <c r="K8556" s="3" t="s">
        <v>76</v>
      </c>
    </row>
    <row r="8557" spans="1:11" ht="42" customHeight="1">
      <c r="A8557" s="2" t="s">
        <v>21371</v>
      </c>
      <c r="B8557" s="2" t="s">
        <v>21371</v>
      </c>
      <c r="C8557" s="2" t="s">
        <v>88</v>
      </c>
      <c r="D8557" s="2" t="s">
        <v>117</v>
      </c>
      <c r="E8557" s="4">
        <v>-32769</v>
      </c>
      <c r="F8557" s="3" t="s">
        <v>1543</v>
      </c>
      <c r="G8557" s="3" t="s">
        <v>1936</v>
      </c>
      <c r="H8557" s="2" t="s">
        <v>74</v>
      </c>
      <c r="I8557" s="2" t="s">
        <v>21372</v>
      </c>
      <c r="J8557" s="3" t="str">
        <f>HYPERLINK("https://www.boe.es/gazeta/dias/1810/04/12/pdfs/GMD-1810-102.pdf#page=1","Abrir facsímil")</f>
        <v>Abrir facsímil</v>
      </c>
      <c r="K8557" s="3" t="s">
        <v>76</v>
      </c>
    </row>
    <row r="8558" spans="1:11" ht="42" customHeight="1">
      <c r="A8558" s="2" t="s">
        <v>21373</v>
      </c>
      <c r="B8558" s="2" t="s">
        <v>21374</v>
      </c>
      <c r="C8558" s="2" t="s">
        <v>26</v>
      </c>
      <c r="D8558" s="2" t="s">
        <v>27</v>
      </c>
      <c r="E8558" s="4">
        <v>-32647</v>
      </c>
      <c r="F8558" s="3" t="s">
        <v>118</v>
      </c>
      <c r="G8558" s="3" t="s">
        <v>20</v>
      </c>
      <c r="H8558" s="2" t="s">
        <v>74</v>
      </c>
      <c r="I8558" s="2" t="s">
        <v>21375</v>
      </c>
      <c r="J8558" s="3" t="str">
        <f>HYPERLINK("https://www.boe.es/gazeta/dias/1810/08/12/pdfs/GMD-1810-224.pdf#page=4","Abrir facsímil")</f>
        <v>Abrir facsímil</v>
      </c>
      <c r="K8558" s="3" t="s">
        <v>76</v>
      </c>
    </row>
    <row r="8559" spans="1:11" ht="42" customHeight="1">
      <c r="A8559" s="2" t="s">
        <v>21376</v>
      </c>
      <c r="B8559" s="2" t="s">
        <v>21377</v>
      </c>
      <c r="C8559" s="2" t="s">
        <v>26</v>
      </c>
      <c r="D8559" s="2" t="s">
        <v>18</v>
      </c>
      <c r="E8559" s="4">
        <v>-32783</v>
      </c>
      <c r="F8559" s="3" t="s">
        <v>896</v>
      </c>
      <c r="G8559" s="3" t="s">
        <v>20</v>
      </c>
      <c r="H8559" s="2" t="s">
        <v>74</v>
      </c>
      <c r="I8559" s="2" t="s">
        <v>21378</v>
      </c>
      <c r="J8559" s="3" t="str">
        <f>HYPERLINK("https://www.boe.es/gazeta/dias/1810/03/29/pdfs/GMD-1810-88.pdf#page=4","Abrir facsímil")</f>
        <v>Abrir facsímil</v>
      </c>
      <c r="K8559" s="3" t="s">
        <v>76</v>
      </c>
    </row>
    <row r="8560" spans="1:11" ht="42" customHeight="1">
      <c r="A8560" s="2" t="s">
        <v>21379</v>
      </c>
      <c r="B8560" s="2" t="s">
        <v>21380</v>
      </c>
      <c r="C8560" s="2" t="s">
        <v>88</v>
      </c>
      <c r="D8560" s="2" t="s">
        <v>27</v>
      </c>
      <c r="E8560" s="4">
        <v>-32728</v>
      </c>
      <c r="F8560" s="3" t="s">
        <v>269</v>
      </c>
      <c r="G8560" s="3" t="s">
        <v>119</v>
      </c>
      <c r="H8560" s="2" t="s">
        <v>74</v>
      </c>
      <c r="I8560" s="2" t="s">
        <v>21381</v>
      </c>
      <c r="J8560" s="3" t="str">
        <f>HYPERLINK("https://www.boe.es/gazeta/dias/1810/05/23/pdfs/GMD-1810-143.pdf#page=3","Abrir facsímil")</f>
        <v>Abrir facsímil</v>
      </c>
      <c r="K8560" s="3" t="s">
        <v>76</v>
      </c>
    </row>
    <row r="8561" spans="1:11" ht="42" customHeight="1">
      <c r="A8561" s="2" t="s">
        <v>21382</v>
      </c>
      <c r="B8561" s="2" t="s">
        <v>21382</v>
      </c>
      <c r="C8561" s="2" t="s">
        <v>88</v>
      </c>
      <c r="D8561" s="2" t="s">
        <v>27</v>
      </c>
      <c r="E8561" s="4">
        <v>-32568</v>
      </c>
      <c r="F8561" s="3" t="s">
        <v>1233</v>
      </c>
      <c r="G8561" s="3" t="s">
        <v>29</v>
      </c>
      <c r="H8561" s="2" t="s">
        <v>74</v>
      </c>
      <c r="I8561" s="2" t="s">
        <v>21383</v>
      </c>
      <c r="J8561" s="3" t="str">
        <f>HYPERLINK("https://www.boe.es/gazeta/dias/1810/10/30/pdfs/GMD-1810-303.pdf#page=2","Abrir facsímil")</f>
        <v>Abrir facsímil</v>
      </c>
      <c r="K8561" s="3" t="s">
        <v>76</v>
      </c>
    </row>
    <row r="8562" spans="1:11" ht="42" customHeight="1">
      <c r="A8562" s="2" t="s">
        <v>21384</v>
      </c>
      <c r="B8562" s="2" t="s">
        <v>21384</v>
      </c>
      <c r="C8562" s="2" t="s">
        <v>88</v>
      </c>
      <c r="D8562" s="2" t="s">
        <v>27</v>
      </c>
      <c r="E8562" s="4">
        <v>-32812</v>
      </c>
      <c r="F8562" s="3" t="s">
        <v>627</v>
      </c>
      <c r="G8562" s="3" t="s">
        <v>119</v>
      </c>
      <c r="H8562" s="2" t="s">
        <v>74</v>
      </c>
      <c r="I8562" s="2" t="s">
        <v>21385</v>
      </c>
      <c r="J8562" s="3" t="str">
        <f>HYPERLINK("https://www.boe.es/gazeta/dias/1810/02/28/pdfs/GMD-1810-59.pdf#page=3","Abrir facsímil")</f>
        <v>Abrir facsímil</v>
      </c>
      <c r="K8562" s="3" t="s">
        <v>76</v>
      </c>
    </row>
    <row r="8563" spans="1:11" ht="42" customHeight="1">
      <c r="A8563" s="2" t="s">
        <v>21384</v>
      </c>
      <c r="B8563" s="2" t="s">
        <v>21384</v>
      </c>
      <c r="C8563" s="2" t="s">
        <v>33</v>
      </c>
      <c r="D8563" s="2" t="s">
        <v>27</v>
      </c>
      <c r="E8563" s="4">
        <v>-32812</v>
      </c>
      <c r="F8563" s="3" t="s">
        <v>627</v>
      </c>
      <c r="G8563" s="3" t="s">
        <v>20</v>
      </c>
      <c r="H8563" s="2" t="s">
        <v>74</v>
      </c>
      <c r="I8563" s="2" t="s">
        <v>21386</v>
      </c>
      <c r="J8563" s="3" t="str">
        <f>HYPERLINK("https://www.boe.es/gazeta/dias/1810/02/28/pdfs/GMD-1810-59.pdf#page=4","Abrir facsímil")</f>
        <v>Abrir facsímil</v>
      </c>
      <c r="K8563" s="3" t="s">
        <v>76</v>
      </c>
    </row>
    <row r="8564" spans="1:11" ht="42" customHeight="1">
      <c r="A8564" s="2" t="s">
        <v>21387</v>
      </c>
      <c r="B8564" s="2" t="s">
        <v>21388</v>
      </c>
      <c r="C8564" s="2" t="s">
        <v>26</v>
      </c>
      <c r="D8564" s="2" t="s">
        <v>27</v>
      </c>
      <c r="E8564" s="4">
        <v>-32754</v>
      </c>
      <c r="F8564" s="3" t="s">
        <v>1057</v>
      </c>
      <c r="G8564" s="3" t="s">
        <v>18964</v>
      </c>
      <c r="H8564" s="2" t="s">
        <v>74</v>
      </c>
      <c r="I8564" s="2" t="s">
        <v>21389</v>
      </c>
      <c r="J8564" s="3" t="str">
        <f>HYPERLINK("https://www.boe.es/gazeta/dias/1810/04/27/pdfs/GEI-1810-18.pdf#page=9","Abrir facsímil")</f>
        <v>Abrir facsímil</v>
      </c>
      <c r="K8564" s="3" t="s">
        <v>76</v>
      </c>
    </row>
    <row r="8565" spans="1:11" ht="42" customHeight="1">
      <c r="A8565" s="2" t="s">
        <v>21387</v>
      </c>
      <c r="B8565" s="2" t="s">
        <v>21388</v>
      </c>
      <c r="C8565" s="2" t="s">
        <v>26</v>
      </c>
      <c r="D8565" s="2" t="s">
        <v>27</v>
      </c>
      <c r="E8565" s="4">
        <v>-32751</v>
      </c>
      <c r="F8565" s="3" t="s">
        <v>1205</v>
      </c>
      <c r="G8565" s="3" t="s">
        <v>191</v>
      </c>
      <c r="H8565" s="2" t="s">
        <v>74</v>
      </c>
      <c r="I8565" s="2" t="s">
        <v>21390</v>
      </c>
      <c r="J8565" s="3" t="str">
        <f>HYPERLINK("https://www.boe.es/gazeta/dias/1810/04/30/pdfs/GMD-1810-120.pdf#page=3","Abrir facsímil")</f>
        <v>Abrir facsímil</v>
      </c>
      <c r="K8565" s="3" t="s">
        <v>76</v>
      </c>
    </row>
    <row r="8566" spans="1:11" ht="42" customHeight="1">
      <c r="A8566" s="2" t="s">
        <v>21387</v>
      </c>
      <c r="B8566" s="2" t="s">
        <v>21388</v>
      </c>
      <c r="C8566" s="2" t="s">
        <v>17</v>
      </c>
      <c r="D8566" s="2" t="s">
        <v>27</v>
      </c>
      <c r="E8566" s="4">
        <v>-32667</v>
      </c>
      <c r="F8566" s="3" t="s">
        <v>381</v>
      </c>
      <c r="G8566" s="3" t="s">
        <v>2928</v>
      </c>
      <c r="H8566" s="2" t="s">
        <v>74</v>
      </c>
      <c r="I8566" s="2" t="s">
        <v>21391</v>
      </c>
      <c r="J8566" s="3" t="str">
        <f>HYPERLINK("https://www.boe.es/gazeta/dias/1810/07/23/pdfs/GMD-1810-204.pdf#page=3","Abrir facsímil")</f>
        <v>Abrir facsímil</v>
      </c>
      <c r="K8566" s="3" t="s">
        <v>76</v>
      </c>
    </row>
    <row r="8567" spans="1:11" ht="42" customHeight="1">
      <c r="A8567" s="2" t="s">
        <v>21387</v>
      </c>
      <c r="B8567" s="2" t="s">
        <v>21388</v>
      </c>
      <c r="C8567" s="2" t="s">
        <v>88</v>
      </c>
      <c r="D8567" s="2" t="s">
        <v>117</v>
      </c>
      <c r="E8567" s="4">
        <v>-32566</v>
      </c>
      <c r="F8567" s="3" t="s">
        <v>405</v>
      </c>
      <c r="G8567" s="3" t="s">
        <v>99</v>
      </c>
      <c r="H8567" s="2" t="s">
        <v>74</v>
      </c>
      <c r="I8567" s="2" t="s">
        <v>21392</v>
      </c>
      <c r="J8567" s="3" t="str">
        <f>HYPERLINK("https://www.boe.es/gazeta/dias/1810/11/01/pdfs/GMD-1810-305.pdf#page=3","Abrir facsímil")</f>
        <v>Abrir facsímil</v>
      </c>
      <c r="K8567" s="3" t="s">
        <v>76</v>
      </c>
    </row>
    <row r="8568" spans="1:11" ht="42" customHeight="1">
      <c r="A8568" s="2" t="s">
        <v>21393</v>
      </c>
      <c r="B8568" s="2" t="s">
        <v>21394</v>
      </c>
      <c r="C8568" s="2" t="s">
        <v>225</v>
      </c>
      <c r="D8568" s="2" t="s">
        <v>27</v>
      </c>
      <c r="E8568" s="4">
        <v>-32673</v>
      </c>
      <c r="F8568" s="3" t="s">
        <v>2174</v>
      </c>
      <c r="G8568" s="3" t="s">
        <v>140</v>
      </c>
      <c r="H8568" s="2" t="s">
        <v>74</v>
      </c>
      <c r="I8568" s="2" t="s">
        <v>21395</v>
      </c>
      <c r="J8568" s="3" t="str">
        <f>HYPERLINK("https://www.boe.es/gazeta/dias/1810/07/17/pdfs/GEI-1810-45.pdf#page=8","Abrir facsímil")</f>
        <v>Abrir facsímil</v>
      </c>
      <c r="K8568" s="3" t="s">
        <v>76</v>
      </c>
    </row>
    <row r="8569" spans="1:11" ht="42" customHeight="1">
      <c r="A8569" s="2" t="s">
        <v>21396</v>
      </c>
      <c r="B8569" s="2" t="s">
        <v>21397</v>
      </c>
      <c r="C8569" s="2" t="s">
        <v>26</v>
      </c>
      <c r="D8569" s="2" t="s">
        <v>27</v>
      </c>
      <c r="E8569" s="4">
        <v>-32853</v>
      </c>
      <c r="F8569" s="3" t="s">
        <v>516</v>
      </c>
      <c r="G8569" s="3" t="s">
        <v>451</v>
      </c>
      <c r="H8569" s="2" t="s">
        <v>74</v>
      </c>
      <c r="I8569" s="2" t="s">
        <v>21398</v>
      </c>
      <c r="J8569" s="3" t="str">
        <f>HYPERLINK("https://www.boe.es/gazeta/dias/1810/01/18/pdfs/GGB-1810-8.pdf#page=2","Abrir facsímil")</f>
        <v>Abrir facsímil</v>
      </c>
      <c r="K8569" s="3" t="s">
        <v>76</v>
      </c>
    </row>
    <row r="8570" spans="1:11" ht="42" customHeight="1">
      <c r="A8570" s="2" t="s">
        <v>21399</v>
      </c>
      <c r="B8570" s="2" t="s">
        <v>21400</v>
      </c>
      <c r="C8570" s="2" t="s">
        <v>88</v>
      </c>
      <c r="D8570" s="2" t="s">
        <v>27</v>
      </c>
      <c r="E8570" s="4">
        <v>-32763</v>
      </c>
      <c r="F8570" s="3" t="s">
        <v>1146</v>
      </c>
      <c r="G8570" s="3" t="s">
        <v>20</v>
      </c>
      <c r="H8570" s="2" t="s">
        <v>74</v>
      </c>
      <c r="I8570" s="2" t="s">
        <v>21401</v>
      </c>
      <c r="J8570" s="3" t="str">
        <f>HYPERLINK("https://www.boe.es/gazeta/dias/1810/04/18/pdfs/GMD-1810-108.pdf#page=4","Abrir facsímil")</f>
        <v>Abrir facsímil</v>
      </c>
      <c r="K8570" s="3" t="s">
        <v>76</v>
      </c>
    </row>
    <row r="8571" spans="1:11" ht="42" customHeight="1">
      <c r="A8571" s="2" t="s">
        <v>21402</v>
      </c>
      <c r="B8571" s="2" t="s">
        <v>21403</v>
      </c>
      <c r="C8571" s="2" t="s">
        <v>26</v>
      </c>
      <c r="D8571" s="2" t="s">
        <v>27</v>
      </c>
      <c r="E8571" s="4">
        <v>-32563</v>
      </c>
      <c r="F8571" s="3" t="s">
        <v>535</v>
      </c>
      <c r="G8571" s="3" t="s">
        <v>3597</v>
      </c>
      <c r="H8571" s="2" t="s">
        <v>74</v>
      </c>
      <c r="I8571" s="2" t="s">
        <v>21404</v>
      </c>
      <c r="J8571" s="3" t="str">
        <f>HYPERLINK("https://www.boe.es/gazeta/dias/1810/11/04/pdfs/GMD-1810-308.pdf#page=23","Abrir facsímil")</f>
        <v>Abrir facsímil</v>
      </c>
      <c r="K8571" s="3" t="s">
        <v>76</v>
      </c>
    </row>
    <row r="8572" spans="1:11" ht="42" customHeight="1">
      <c r="A8572" s="2" t="s">
        <v>21405</v>
      </c>
      <c r="B8572" s="2" t="s">
        <v>21406</v>
      </c>
      <c r="C8572" s="2" t="s">
        <v>26</v>
      </c>
      <c r="D8572" s="2" t="s">
        <v>27</v>
      </c>
      <c r="E8572" s="4">
        <v>-32563</v>
      </c>
      <c r="F8572" s="3" t="s">
        <v>535</v>
      </c>
      <c r="G8572" s="3" t="s">
        <v>210</v>
      </c>
      <c r="H8572" s="2" t="s">
        <v>74</v>
      </c>
      <c r="I8572" s="2" t="s">
        <v>21407</v>
      </c>
      <c r="J8572" s="3" t="str">
        <f>HYPERLINK("https://www.boe.es/gazeta/dias/1810/11/04/pdfs/GMD-1810-308.pdf#page=18","Abrir facsímil")</f>
        <v>Abrir facsímil</v>
      </c>
      <c r="K8572" s="3" t="s">
        <v>76</v>
      </c>
    </row>
    <row r="8573" spans="1:11" ht="42" customHeight="1">
      <c r="A8573" s="2" t="s">
        <v>21408</v>
      </c>
      <c r="B8573" s="2" t="s">
        <v>21408</v>
      </c>
      <c r="C8573" s="2" t="s">
        <v>17</v>
      </c>
      <c r="D8573" s="2" t="s">
        <v>18</v>
      </c>
      <c r="E8573" s="4">
        <v>-32756</v>
      </c>
      <c r="F8573" s="3" t="s">
        <v>203</v>
      </c>
      <c r="G8573" s="3" t="s">
        <v>99</v>
      </c>
      <c r="H8573" s="2" t="s">
        <v>74</v>
      </c>
      <c r="I8573" s="2" t="s">
        <v>21409</v>
      </c>
      <c r="J8573" s="3" t="str">
        <f>HYPERLINK("https://www.boe.es/gazeta/dias/1810/04/25/pdfs/GMD-1810-115.pdf#page=3","Abrir facsímil")</f>
        <v>Abrir facsímil</v>
      </c>
      <c r="K8573" s="3" t="s">
        <v>76</v>
      </c>
    </row>
    <row r="8574" spans="1:11" ht="42" customHeight="1">
      <c r="A8574" s="2" t="s">
        <v>21410</v>
      </c>
      <c r="B8574" s="2" t="s">
        <v>21411</v>
      </c>
      <c r="C8574" s="2" t="s">
        <v>33</v>
      </c>
      <c r="D8574" s="2" t="s">
        <v>27</v>
      </c>
      <c r="E8574" s="4">
        <v>-32698</v>
      </c>
      <c r="F8574" s="3" t="s">
        <v>2705</v>
      </c>
      <c r="G8574" s="3" t="s">
        <v>21181</v>
      </c>
      <c r="H8574" s="2" t="s">
        <v>74</v>
      </c>
      <c r="I8574" s="2" t="s">
        <v>21412</v>
      </c>
      <c r="J8574" s="3" t="str">
        <f>HYPERLINK("https://www.boe.es/gazeta/dias/1810/06/22/pdfs/GEI-1810-38.pdf#page=5","Abrir facsímil")</f>
        <v>Abrir facsímil</v>
      </c>
      <c r="K8574" s="3" t="s">
        <v>76</v>
      </c>
    </row>
    <row r="8575" spans="1:11" ht="42" customHeight="1">
      <c r="A8575" s="2" t="s">
        <v>21413</v>
      </c>
      <c r="B8575" s="2" t="s">
        <v>21414</v>
      </c>
      <c r="C8575" s="2" t="s">
        <v>17</v>
      </c>
      <c r="D8575" s="2" t="s">
        <v>27</v>
      </c>
      <c r="E8575" s="4">
        <v>-32618</v>
      </c>
      <c r="F8575" s="3" t="s">
        <v>1501</v>
      </c>
      <c r="G8575" s="3" t="s">
        <v>20</v>
      </c>
      <c r="H8575" s="2" t="s">
        <v>74</v>
      </c>
      <c r="I8575" s="2" t="s">
        <v>21415</v>
      </c>
      <c r="J8575" s="3" t="str">
        <f>HYPERLINK("https://www.boe.es/gazeta/dias/1810/09/10/pdfs/GMD-1810-253.pdf#page=4","Abrir facsímil")</f>
        <v>Abrir facsímil</v>
      </c>
      <c r="K8575" s="3" t="s">
        <v>76</v>
      </c>
    </row>
    <row r="8576" spans="1:11" ht="42" customHeight="1">
      <c r="A8576" s="2" t="s">
        <v>21416</v>
      </c>
      <c r="B8576" s="2" t="s">
        <v>21417</v>
      </c>
      <c r="C8576" s="2" t="s">
        <v>26</v>
      </c>
      <c r="D8576" s="2" t="s">
        <v>27</v>
      </c>
      <c r="E8576" s="4">
        <v>-32711</v>
      </c>
      <c r="F8576" s="3" t="s">
        <v>1888</v>
      </c>
      <c r="G8576" s="3" t="s">
        <v>29</v>
      </c>
      <c r="H8576" s="2" t="s">
        <v>74</v>
      </c>
      <c r="I8576" s="2" t="s">
        <v>21418</v>
      </c>
      <c r="J8576" s="3" t="str">
        <f>HYPERLINK("https://www.boe.es/gazeta/dias/1810/06/09/pdfs/GMD-1810-160.pdf#page=4","Abrir facsímil")</f>
        <v>Abrir facsímil</v>
      </c>
      <c r="K8576" s="3" t="s">
        <v>76</v>
      </c>
    </row>
    <row r="8577" spans="1:11" ht="42" customHeight="1">
      <c r="A8577" s="2" t="s">
        <v>21419</v>
      </c>
      <c r="B8577" s="2" t="s">
        <v>21420</v>
      </c>
      <c r="C8577" s="2" t="s">
        <v>26</v>
      </c>
      <c r="D8577" s="2" t="s">
        <v>39</v>
      </c>
      <c r="E8577" s="4">
        <v>-32701</v>
      </c>
      <c r="F8577" s="3" t="s">
        <v>40</v>
      </c>
      <c r="G8577" s="3" t="s">
        <v>315</v>
      </c>
      <c r="H8577" s="2" t="s">
        <v>74</v>
      </c>
      <c r="I8577" s="2" t="s">
        <v>21421</v>
      </c>
      <c r="J8577" s="3" t="str">
        <f>HYPERLINK("https://www.boe.es/gazeta/dias/1810/06/19/pdfs/GMD-C-1810-170.pdf#page=2","Abrir facsímil")</f>
        <v>Abrir facsímil</v>
      </c>
      <c r="K8577" s="3" t="s">
        <v>76</v>
      </c>
    </row>
    <row r="8578" spans="1:11" ht="42" customHeight="1">
      <c r="A8578" s="2" t="s">
        <v>21422</v>
      </c>
      <c r="B8578" s="2" t="s">
        <v>21423</v>
      </c>
      <c r="C8578" s="2" t="s">
        <v>26</v>
      </c>
      <c r="D8578" s="2" t="s">
        <v>27</v>
      </c>
      <c r="E8578" s="4">
        <v>-32839</v>
      </c>
      <c r="F8578" s="3" t="s">
        <v>28</v>
      </c>
      <c r="G8578" s="3" t="s">
        <v>29</v>
      </c>
      <c r="H8578" s="2" t="s">
        <v>74</v>
      </c>
      <c r="I8578" s="2" t="s">
        <v>21424</v>
      </c>
      <c r="J8578" s="3" t="str">
        <f>HYPERLINK("https://www.boe.es/gazeta/dias/1810/02/01/pdfs/GMD-1810-32.pdf#page=3","Abrir facsímil")</f>
        <v>Abrir facsímil</v>
      </c>
      <c r="K8578" s="3" t="s">
        <v>76</v>
      </c>
    </row>
    <row r="8579" spans="1:11" ht="42" customHeight="1">
      <c r="A8579" s="2" t="s">
        <v>21422</v>
      </c>
      <c r="B8579" s="2" t="s">
        <v>21423</v>
      </c>
      <c r="C8579" s="2" t="s">
        <v>26</v>
      </c>
      <c r="D8579" s="2" t="s">
        <v>39</v>
      </c>
      <c r="E8579" s="4">
        <v>-32667</v>
      </c>
      <c r="F8579" s="3" t="s">
        <v>924</v>
      </c>
      <c r="G8579" s="3" t="s">
        <v>465</v>
      </c>
      <c r="H8579" s="2" t="s">
        <v>74</v>
      </c>
      <c r="I8579" s="2" t="s">
        <v>21425</v>
      </c>
      <c r="J8579" s="3" t="str">
        <f>HYPERLINK("https://www.boe.es/gazeta/dias/1810/07/23/pdfs/GMD-C-1810-204.pdf#page=2","Abrir facsímil")</f>
        <v>Abrir facsímil</v>
      </c>
      <c r="K8579" s="3" t="s">
        <v>76</v>
      </c>
    </row>
    <row r="8580" spans="1:11" ht="42" customHeight="1">
      <c r="A8580" s="2" t="s">
        <v>21426</v>
      </c>
      <c r="B8580" s="2" t="s">
        <v>21427</v>
      </c>
      <c r="C8580" s="2" t="s">
        <v>88</v>
      </c>
      <c r="D8580" s="2" t="s">
        <v>27</v>
      </c>
      <c r="E8580" s="4">
        <v>-32710</v>
      </c>
      <c r="F8580" s="3" t="s">
        <v>126</v>
      </c>
      <c r="G8580" s="3" t="s">
        <v>20</v>
      </c>
      <c r="H8580" s="2" t="s">
        <v>74</v>
      </c>
      <c r="I8580" s="2" t="s">
        <v>21428</v>
      </c>
      <c r="J8580" s="3" t="str">
        <f>HYPERLINK("https://www.boe.es/gazeta/dias/1810/06/10/pdfs/GMD-1810-161.pdf#page=4","Abrir facsímil")</f>
        <v>Abrir facsímil</v>
      </c>
      <c r="K8580" s="3" t="s">
        <v>76</v>
      </c>
    </row>
    <row r="8581" spans="1:11" ht="42" customHeight="1">
      <c r="A8581" s="2" t="s">
        <v>21426</v>
      </c>
      <c r="B8581" s="2" t="s">
        <v>21427</v>
      </c>
      <c r="C8581" s="2" t="s">
        <v>26</v>
      </c>
      <c r="D8581" s="2" t="s">
        <v>27</v>
      </c>
      <c r="E8581" s="4">
        <v>-32647</v>
      </c>
      <c r="F8581" s="3" t="s">
        <v>118</v>
      </c>
      <c r="G8581" s="3" t="s">
        <v>20</v>
      </c>
      <c r="H8581" s="2" t="s">
        <v>74</v>
      </c>
      <c r="I8581" s="2" t="s">
        <v>21429</v>
      </c>
      <c r="J8581" s="3" t="str">
        <f>HYPERLINK("https://www.boe.es/gazeta/dias/1810/08/12/pdfs/GMD-1810-224.pdf#page=4","Abrir facsímil")</f>
        <v>Abrir facsímil</v>
      </c>
      <c r="K8581" s="3" t="s">
        <v>76</v>
      </c>
    </row>
    <row r="8582" spans="1:11" ht="42" customHeight="1">
      <c r="A8582" s="2" t="s">
        <v>21430</v>
      </c>
      <c r="B8582" s="2" t="s">
        <v>21431</v>
      </c>
      <c r="C8582" s="2" t="s">
        <v>26</v>
      </c>
      <c r="D8582" s="2" t="s">
        <v>27</v>
      </c>
      <c r="E8582" s="4">
        <v>-32531</v>
      </c>
      <c r="F8582" s="3" t="s">
        <v>2023</v>
      </c>
      <c r="G8582" s="3" t="s">
        <v>29</v>
      </c>
      <c r="H8582" s="2" t="s">
        <v>74</v>
      </c>
      <c r="I8582" s="2" t="s">
        <v>21432</v>
      </c>
      <c r="J8582" s="3" t="str">
        <f>HYPERLINK("https://www.boe.es/gazeta/dias/1810/12/06/pdfs/GMD-1810-340.pdf#page=4","Abrir facsímil")</f>
        <v>Abrir facsímil</v>
      </c>
      <c r="K8582" s="3" t="s">
        <v>76</v>
      </c>
    </row>
    <row r="8583" spans="1:11" ht="42" customHeight="1">
      <c r="A8583" s="2" t="s">
        <v>21433</v>
      </c>
      <c r="B8583" s="2" t="s">
        <v>21434</v>
      </c>
      <c r="C8583" s="2" t="s">
        <v>26</v>
      </c>
      <c r="D8583" s="2" t="s">
        <v>39</v>
      </c>
      <c r="E8583" s="4">
        <v>-32702</v>
      </c>
      <c r="F8583" s="3" t="s">
        <v>179</v>
      </c>
      <c r="G8583" s="3" t="s">
        <v>180</v>
      </c>
      <c r="H8583" s="2" t="s">
        <v>74</v>
      </c>
      <c r="I8583" s="2" t="s">
        <v>21435</v>
      </c>
      <c r="J8583" s="3" t="str">
        <f>HYPERLINK("https://www.boe.es/gazeta/dias/1810/06/18/pdfs/GMD-C-1810-169.pdf#page=2","Abrir facsímil")</f>
        <v>Abrir facsímil</v>
      </c>
      <c r="K8583" s="3" t="s">
        <v>76</v>
      </c>
    </row>
    <row r="8584" spans="1:11" ht="42" customHeight="1">
      <c r="A8584" s="2" t="s">
        <v>21436</v>
      </c>
      <c r="B8584" s="2" t="s">
        <v>21437</v>
      </c>
      <c r="C8584" s="2" t="s">
        <v>26</v>
      </c>
      <c r="D8584" s="2" t="s">
        <v>27</v>
      </c>
      <c r="E8584" s="4">
        <v>-32756</v>
      </c>
      <c r="F8584" s="3" t="s">
        <v>203</v>
      </c>
      <c r="G8584" s="3" t="s">
        <v>180</v>
      </c>
      <c r="H8584" s="2" t="s">
        <v>74</v>
      </c>
      <c r="I8584" s="2" t="s">
        <v>21438</v>
      </c>
      <c r="J8584" s="3" t="str">
        <f>HYPERLINK("https://www.boe.es/gazeta/dias/1810/04/25/pdfs/GMD-1810-115.pdf#page=4","Abrir facsímil")</f>
        <v>Abrir facsímil</v>
      </c>
      <c r="K8584" s="3" t="s">
        <v>76</v>
      </c>
    </row>
    <row r="8585" spans="1:11" ht="42" customHeight="1">
      <c r="A8585" s="2" t="s">
        <v>21439</v>
      </c>
      <c r="B8585" s="2" t="s">
        <v>21440</v>
      </c>
      <c r="C8585" s="2" t="s">
        <v>88</v>
      </c>
      <c r="D8585" s="2" t="s">
        <v>117</v>
      </c>
      <c r="E8585" s="4">
        <v>-32853</v>
      </c>
      <c r="F8585" s="3" t="s">
        <v>516</v>
      </c>
      <c r="G8585" s="3" t="s">
        <v>451</v>
      </c>
      <c r="H8585" s="2" t="s">
        <v>74</v>
      </c>
      <c r="I8585" s="2" t="s">
        <v>21441</v>
      </c>
      <c r="J8585" s="3" t="str">
        <f>HYPERLINK("https://www.boe.es/gazeta/dias/1810/01/18/pdfs/GGB-1810-8.pdf#page=2","Abrir facsímil")</f>
        <v>Abrir facsímil</v>
      </c>
      <c r="K8585" s="3" t="s">
        <v>76</v>
      </c>
    </row>
    <row r="8586" spans="1:11" ht="42" customHeight="1">
      <c r="A8586" s="2" t="s">
        <v>21439</v>
      </c>
      <c r="B8586" s="2" t="s">
        <v>21440</v>
      </c>
      <c r="C8586" s="2" t="s">
        <v>26</v>
      </c>
      <c r="D8586" s="2" t="s">
        <v>18</v>
      </c>
      <c r="E8586" s="4">
        <v>-32775</v>
      </c>
      <c r="F8586" s="3" t="s">
        <v>553</v>
      </c>
      <c r="G8586" s="3" t="s">
        <v>9356</v>
      </c>
      <c r="H8586" s="2" t="s">
        <v>74</v>
      </c>
      <c r="I8586" s="2" t="s">
        <v>21442</v>
      </c>
      <c r="J8586" s="3" t="str">
        <f>HYPERLINK("https://www.boe.es/gazeta/dias/1810/04/06/pdfs/GEI-1810-12.pdf#page=10","Abrir facsímil")</f>
        <v>Abrir facsímil</v>
      </c>
      <c r="K8586" s="3" t="s">
        <v>76</v>
      </c>
    </row>
    <row r="8587" spans="1:11" ht="42" customHeight="1">
      <c r="A8587" s="2" t="s">
        <v>21443</v>
      </c>
      <c r="B8587" s="2" t="s">
        <v>21444</v>
      </c>
      <c r="C8587" s="2" t="s">
        <v>26</v>
      </c>
      <c r="D8587" s="2" t="s">
        <v>27</v>
      </c>
      <c r="E8587" s="4">
        <v>-32867</v>
      </c>
      <c r="F8587" s="3" t="s">
        <v>712</v>
      </c>
      <c r="G8587" s="3" t="s">
        <v>291</v>
      </c>
      <c r="H8587" s="2" t="s">
        <v>74</v>
      </c>
      <c r="I8587" s="2" t="s">
        <v>21445</v>
      </c>
      <c r="J8587" s="3" t="str">
        <f>HYPERLINK("https://www.boe.es/gazeta/dias/1810/01/04/pdfs/GGB-1810-2.pdf#page=8","Abrir facsímil")</f>
        <v>Abrir facsímil</v>
      </c>
      <c r="K8587" s="3" t="s">
        <v>76</v>
      </c>
    </row>
    <row r="8588" spans="1:11" ht="42" customHeight="1">
      <c r="A8588" s="2" t="s">
        <v>21446</v>
      </c>
      <c r="B8588" s="2" t="s">
        <v>21447</v>
      </c>
      <c r="C8588" s="2" t="s">
        <v>17</v>
      </c>
      <c r="D8588" s="2" t="s">
        <v>27</v>
      </c>
      <c r="E8588" s="4">
        <v>-32689</v>
      </c>
      <c r="F8588" s="3" t="s">
        <v>571</v>
      </c>
      <c r="G8588" s="3" t="s">
        <v>140</v>
      </c>
      <c r="H8588" s="2" t="s">
        <v>74</v>
      </c>
      <c r="I8588" s="2" t="s">
        <v>21448</v>
      </c>
      <c r="J8588" s="3" t="str">
        <f>HYPERLINK("https://www.boe.es/gazeta/dias/1810/07/01/pdfs/GMD-1810-182.pdf#page=4","Abrir facsímil")</f>
        <v>Abrir facsímil</v>
      </c>
      <c r="K8588" s="3" t="s">
        <v>76</v>
      </c>
    </row>
    <row r="8589" spans="1:11" ht="42" customHeight="1">
      <c r="A8589" s="2" t="s">
        <v>21449</v>
      </c>
      <c r="B8589" s="2" t="s">
        <v>21450</v>
      </c>
      <c r="C8589" s="2" t="s">
        <v>26</v>
      </c>
      <c r="D8589" s="2" t="s">
        <v>27</v>
      </c>
      <c r="E8589" s="4">
        <v>-32784</v>
      </c>
      <c r="F8589" s="3" t="s">
        <v>429</v>
      </c>
      <c r="G8589" s="3" t="s">
        <v>131</v>
      </c>
      <c r="H8589" s="2" t="s">
        <v>74</v>
      </c>
      <c r="I8589" s="2" t="s">
        <v>21451</v>
      </c>
      <c r="J8589" s="3" t="str">
        <f>HYPERLINK("https://www.boe.es/gazeta/dias/1810/03/28/pdfs/GMD-1810-87.pdf#page=3","Abrir facsímil")</f>
        <v>Abrir facsímil</v>
      </c>
      <c r="K8589" s="3" t="s">
        <v>76</v>
      </c>
    </row>
    <row r="8590" spans="1:11" ht="42" customHeight="1">
      <c r="A8590" s="2" t="s">
        <v>21452</v>
      </c>
      <c r="B8590" s="2" t="s">
        <v>21453</v>
      </c>
      <c r="C8590" s="2" t="s">
        <v>26</v>
      </c>
      <c r="D8590" s="2" t="s">
        <v>27</v>
      </c>
      <c r="E8590" s="4">
        <v>-32666</v>
      </c>
      <c r="F8590" s="3" t="s">
        <v>346</v>
      </c>
      <c r="G8590" s="3" t="s">
        <v>1408</v>
      </c>
      <c r="H8590" s="2" t="s">
        <v>74</v>
      </c>
      <c r="I8590" s="2" t="s">
        <v>21454</v>
      </c>
      <c r="J8590" s="3" t="str">
        <f>HYPERLINK("https://www.boe.es/gazeta/dias/1810/07/24/pdfs/GEI-1810-47.pdf#page=6","Abrir facsímil")</f>
        <v>Abrir facsímil</v>
      </c>
      <c r="K8590" s="3" t="s">
        <v>76</v>
      </c>
    </row>
    <row r="8591" spans="1:11" ht="42" customHeight="1">
      <c r="A8591" s="2" t="s">
        <v>21455</v>
      </c>
      <c r="B8591" s="2" t="s">
        <v>21456</v>
      </c>
      <c r="C8591" s="2" t="s">
        <v>26</v>
      </c>
      <c r="D8591" s="2" t="s">
        <v>27</v>
      </c>
      <c r="E8591" s="4">
        <v>-32834</v>
      </c>
      <c r="F8591" s="3" t="s">
        <v>2746</v>
      </c>
      <c r="G8591" s="3" t="s">
        <v>29</v>
      </c>
      <c r="H8591" s="2" t="s">
        <v>74</v>
      </c>
      <c r="I8591" s="2" t="s">
        <v>21457</v>
      </c>
      <c r="J8591" s="3" t="str">
        <f>HYPERLINK("https://www.boe.es/gazeta/dias/1810/02/06/pdfs/GMD-1810-37.pdf#page=2","Abrir facsímil")</f>
        <v>Abrir facsímil</v>
      </c>
      <c r="K8591" s="3" t="s">
        <v>76</v>
      </c>
    </row>
    <row r="8592" spans="1:11" ht="42" customHeight="1">
      <c r="A8592" s="2" t="s">
        <v>21458</v>
      </c>
      <c r="B8592" s="2" t="s">
        <v>21459</v>
      </c>
      <c r="C8592" s="2" t="s">
        <v>26</v>
      </c>
      <c r="D8592" s="2" t="s">
        <v>27</v>
      </c>
      <c r="E8592" s="4">
        <v>-32796</v>
      </c>
      <c r="F8592" s="3" t="s">
        <v>1129</v>
      </c>
      <c r="G8592" s="3" t="s">
        <v>679</v>
      </c>
      <c r="H8592" s="2" t="s">
        <v>74</v>
      </c>
      <c r="I8592" s="2" t="s">
        <v>21460</v>
      </c>
      <c r="J8592" s="3" t="str">
        <f>HYPERLINK("https://www.boe.es/gazeta/dias/1810/03/16/pdfs/GMD-1810-75.pdf#page=3","Abrir facsímil")</f>
        <v>Abrir facsímil</v>
      </c>
      <c r="K8592" s="3" t="s">
        <v>76</v>
      </c>
    </row>
    <row r="8593" spans="1:11" ht="42" customHeight="1">
      <c r="A8593" s="2" t="s">
        <v>21461</v>
      </c>
      <c r="B8593" s="2" t="s">
        <v>21462</v>
      </c>
      <c r="C8593" s="2" t="s">
        <v>33</v>
      </c>
      <c r="D8593" s="2" t="s">
        <v>27</v>
      </c>
      <c r="E8593" s="4">
        <v>-32783</v>
      </c>
      <c r="F8593" s="3" t="s">
        <v>896</v>
      </c>
      <c r="G8593" s="3" t="s">
        <v>1667</v>
      </c>
      <c r="H8593" s="2" t="s">
        <v>74</v>
      </c>
      <c r="I8593" s="2" t="s">
        <v>21463</v>
      </c>
      <c r="J8593" s="3" t="str">
        <f>HYPERLINK("https://www.boe.es/gazeta/dias/1810/03/29/pdfs/GMD-1810-88.pdf#page=2","Abrir facsímil")</f>
        <v>Abrir facsímil</v>
      </c>
      <c r="K8593" s="3" t="s">
        <v>76</v>
      </c>
    </row>
    <row r="8594" spans="1:11" ht="42" customHeight="1">
      <c r="A8594" s="2" t="s">
        <v>21464</v>
      </c>
      <c r="B8594" s="2" t="s">
        <v>21465</v>
      </c>
      <c r="C8594" s="2" t="s">
        <v>26</v>
      </c>
      <c r="D8594" s="2" t="s">
        <v>39</v>
      </c>
      <c r="E8594" s="4">
        <v>-32684</v>
      </c>
      <c r="F8594" s="3" t="s">
        <v>372</v>
      </c>
      <c r="G8594" s="3" t="s">
        <v>2049</v>
      </c>
      <c r="H8594" s="2" t="s">
        <v>21</v>
      </c>
      <c r="I8594" s="2" t="s">
        <v>21466</v>
      </c>
      <c r="J8594" s="3" t="str">
        <f>HYPERLINK("https://www.boe.es/gazeta/dias/1810/07/06/pdfs/GEI-D-1810-42.pdf#page=7","Abrir facsímil")</f>
        <v>Abrir facsímil</v>
      </c>
      <c r="K8594" s="3" t="s">
        <v>23</v>
      </c>
    </row>
    <row r="8595" spans="1:11" ht="42" customHeight="1">
      <c r="A8595" s="2" t="s">
        <v>21467</v>
      </c>
      <c r="B8595" s="2" t="s">
        <v>21468</v>
      </c>
      <c r="C8595" s="2" t="s">
        <v>26</v>
      </c>
      <c r="D8595" s="2" t="s">
        <v>39</v>
      </c>
      <c r="E8595" s="4">
        <v>-32642</v>
      </c>
      <c r="F8595" s="3" t="s">
        <v>2273</v>
      </c>
      <c r="G8595" s="3" t="s">
        <v>274</v>
      </c>
      <c r="H8595" s="2" t="s">
        <v>21</v>
      </c>
      <c r="I8595" s="2" t="s">
        <v>21469</v>
      </c>
      <c r="J8595" s="3" t="str">
        <f>HYPERLINK("https://www.boe.es/gazeta/dias/1810/08/17/pdfs/GEI-D-1810-57.pdf#page=8","Abrir facsímil")</f>
        <v>Abrir facsímil</v>
      </c>
      <c r="K8595" s="3" t="s">
        <v>23</v>
      </c>
    </row>
    <row r="8596" spans="1:11" ht="42" customHeight="1">
      <c r="A8596" s="2" t="s">
        <v>21470</v>
      </c>
      <c r="B8596" s="2" t="s">
        <v>21471</v>
      </c>
      <c r="C8596" s="2" t="s">
        <v>26</v>
      </c>
      <c r="D8596" s="2" t="s">
        <v>39</v>
      </c>
      <c r="E8596" s="4">
        <v>-32701</v>
      </c>
      <c r="F8596" s="3" t="s">
        <v>40</v>
      </c>
      <c r="G8596" s="3" t="s">
        <v>315</v>
      </c>
      <c r="H8596" s="2" t="s">
        <v>21</v>
      </c>
      <c r="I8596" s="2" t="s">
        <v>21472</v>
      </c>
      <c r="J8596" s="3" t="str">
        <f>HYPERLINK("https://www.boe.es/gazeta/dias/1810/06/19/pdfs/GMD-C-1810-170.pdf#page=2","Abrir facsímil")</f>
        <v>Abrir facsímil</v>
      </c>
      <c r="K8596" s="3" t="s">
        <v>23</v>
      </c>
    </row>
    <row r="8597" spans="1:11" ht="42" customHeight="1">
      <c r="A8597" s="2" t="s">
        <v>21473</v>
      </c>
      <c r="B8597" s="2" t="s">
        <v>21474</v>
      </c>
      <c r="C8597" s="2" t="s">
        <v>225</v>
      </c>
      <c r="D8597" s="2" t="s">
        <v>220</v>
      </c>
      <c r="E8597" s="4">
        <v>-32646</v>
      </c>
      <c r="F8597" s="3" t="s">
        <v>6939</v>
      </c>
      <c r="G8597" s="3" t="s">
        <v>29</v>
      </c>
      <c r="H8597" s="2" t="s">
        <v>21</v>
      </c>
      <c r="I8597" s="2" t="s">
        <v>21475</v>
      </c>
      <c r="J8597" s="3" t="str">
        <f>HYPERLINK("https://www.boe.es/gazeta/dias/1810/08/13/pdfs/GMD-1810-225.pdf#page=4","Abrir facsímil")</f>
        <v>Abrir facsímil</v>
      </c>
      <c r="K8597" s="3" t="s">
        <v>23</v>
      </c>
    </row>
    <row r="8598" spans="1:11" ht="42" customHeight="1">
      <c r="A8598" s="2" t="s">
        <v>21476</v>
      </c>
      <c r="B8598" s="2" t="s">
        <v>21477</v>
      </c>
      <c r="C8598" s="2" t="s">
        <v>26</v>
      </c>
      <c r="D8598" s="2" t="s">
        <v>27</v>
      </c>
      <c r="E8598" s="4">
        <v>-32761</v>
      </c>
      <c r="F8598" s="3" t="s">
        <v>2093</v>
      </c>
      <c r="G8598" s="3" t="s">
        <v>2094</v>
      </c>
      <c r="H8598" s="2" t="s">
        <v>21</v>
      </c>
      <c r="I8598" s="2" t="s">
        <v>21478</v>
      </c>
      <c r="J8598" s="3" t="str">
        <f>HYPERLINK("https://www.boe.es/gazeta/dias/1810/04/20/pdfs/GMD-1810-110.pdf#page=2","Abrir facsímil")</f>
        <v>Abrir facsímil</v>
      </c>
      <c r="K8598" s="3" t="s">
        <v>23</v>
      </c>
    </row>
    <row r="8599" spans="1:11" ht="42" customHeight="1">
      <c r="A8599" s="2" t="s">
        <v>21479</v>
      </c>
      <c r="B8599" s="2" t="s">
        <v>21480</v>
      </c>
      <c r="C8599" s="2" t="s">
        <v>26</v>
      </c>
      <c r="D8599" s="2" t="s">
        <v>27</v>
      </c>
      <c r="E8599" s="4">
        <v>-32741</v>
      </c>
      <c r="F8599" s="3" t="s">
        <v>98</v>
      </c>
      <c r="G8599" s="3" t="s">
        <v>90</v>
      </c>
      <c r="H8599" s="2" t="s">
        <v>21</v>
      </c>
      <c r="I8599" s="2" t="s">
        <v>21481</v>
      </c>
      <c r="J8599" s="3" t="str">
        <f>HYPERLINK("https://www.boe.es/gazeta/dias/1810/05/10/pdfs/GMD-1810-130.pdf#page=4","Abrir facsímil")</f>
        <v>Abrir facsímil</v>
      </c>
      <c r="K8599" s="3" t="s">
        <v>23</v>
      </c>
    </row>
    <row r="8600" spans="1:11" ht="42" customHeight="1">
      <c r="A8600" s="2" t="s">
        <v>21482</v>
      </c>
      <c r="B8600" s="2" t="s">
        <v>21483</v>
      </c>
      <c r="C8600" s="2" t="s">
        <v>26</v>
      </c>
      <c r="D8600" s="2" t="s">
        <v>27</v>
      </c>
      <c r="E8600" s="4">
        <v>-32688</v>
      </c>
      <c r="F8600" s="3" t="s">
        <v>997</v>
      </c>
      <c r="G8600" s="3" t="s">
        <v>749</v>
      </c>
      <c r="H8600" s="2" t="s">
        <v>21</v>
      </c>
      <c r="I8600" s="2" t="s">
        <v>21484</v>
      </c>
      <c r="J8600" s="3" t="str">
        <f>HYPERLINK("https://www.boe.es/gazeta/dias/1810/07/02/pdfs/GMD-1810-183.pdf#page=4","Abrir facsímil")</f>
        <v>Abrir facsímil</v>
      </c>
      <c r="K8600" s="3" t="s">
        <v>23</v>
      </c>
    </row>
    <row r="8601" spans="1:11" ht="42" customHeight="1">
      <c r="A8601" s="2" t="s">
        <v>21485</v>
      </c>
      <c r="B8601" s="2" t="s">
        <v>21486</v>
      </c>
      <c r="C8601" s="2" t="s">
        <v>33</v>
      </c>
      <c r="D8601" s="2" t="s">
        <v>27</v>
      </c>
      <c r="E8601" s="4">
        <v>-32761</v>
      </c>
      <c r="F8601" s="3" t="s">
        <v>811</v>
      </c>
      <c r="G8601" s="3" t="s">
        <v>140</v>
      </c>
      <c r="H8601" s="2" t="s">
        <v>21</v>
      </c>
      <c r="I8601" s="2" t="s">
        <v>21487</v>
      </c>
      <c r="J8601" s="3" t="str">
        <f>HYPERLINK("https://www.boe.es/gazeta/dias/1810/04/20/pdfs/GEI-1810-16.pdf#page=8","Abrir facsímil")</f>
        <v>Abrir facsímil</v>
      </c>
      <c r="K8601" s="3" t="s">
        <v>23</v>
      </c>
    </row>
    <row r="8602" spans="1:11" ht="42" customHeight="1">
      <c r="A8602" s="2" t="s">
        <v>21488</v>
      </c>
      <c r="B8602" s="2" t="s">
        <v>21489</v>
      </c>
      <c r="C8602" s="2" t="s">
        <v>26</v>
      </c>
      <c r="D8602" s="2" t="s">
        <v>39</v>
      </c>
      <c r="E8602" s="4">
        <v>-32701</v>
      </c>
      <c r="F8602" s="3" t="s">
        <v>40</v>
      </c>
      <c r="G8602" s="3" t="s">
        <v>315</v>
      </c>
      <c r="H8602" s="2" t="s">
        <v>21</v>
      </c>
      <c r="I8602" s="2" t="s">
        <v>21490</v>
      </c>
      <c r="J8602" s="3" t="str">
        <f>HYPERLINK("https://www.boe.es/gazeta/dias/1810/06/19/pdfs/GMD-C-1810-170.pdf#page=2","Abrir facsímil")</f>
        <v>Abrir facsímil</v>
      </c>
      <c r="K8602" s="3" t="s">
        <v>23</v>
      </c>
    </row>
    <row r="8603" spans="1:11" ht="42" customHeight="1">
      <c r="A8603" s="2" t="s">
        <v>21491</v>
      </c>
      <c r="B8603" s="2" t="s">
        <v>21492</v>
      </c>
      <c r="C8603" s="2" t="s">
        <v>26</v>
      </c>
      <c r="D8603" s="2" t="s">
        <v>27</v>
      </c>
      <c r="E8603" s="4">
        <v>-32569</v>
      </c>
      <c r="F8603" s="3" t="s">
        <v>421</v>
      </c>
      <c r="G8603" s="3" t="s">
        <v>20</v>
      </c>
      <c r="H8603" s="2" t="s">
        <v>21</v>
      </c>
      <c r="I8603" s="2" t="s">
        <v>21493</v>
      </c>
      <c r="J8603" s="3" t="str">
        <f>HYPERLINK("https://www.boe.es/gazeta/dias/1810/10/29/pdfs/GMD-1810-302.pdf#page=4","Abrir facsímil")</f>
        <v>Abrir facsímil</v>
      </c>
      <c r="K8603" s="3" t="s">
        <v>23</v>
      </c>
    </row>
    <row r="8604" spans="1:11" ht="42" customHeight="1">
      <c r="A8604" s="2" t="s">
        <v>21494</v>
      </c>
      <c r="B8604" s="2" t="s">
        <v>21495</v>
      </c>
      <c r="C8604" s="2" t="s">
        <v>17</v>
      </c>
      <c r="D8604" s="2" t="s">
        <v>27</v>
      </c>
      <c r="E8604" s="4">
        <v>-32562</v>
      </c>
      <c r="F8604" s="3" t="s">
        <v>1186</v>
      </c>
      <c r="G8604" s="3" t="s">
        <v>29</v>
      </c>
      <c r="H8604" s="2" t="s">
        <v>21</v>
      </c>
      <c r="I8604" s="2" t="s">
        <v>21496</v>
      </c>
      <c r="J8604" s="3" t="str">
        <f>HYPERLINK("https://www.boe.es/gazeta/dias/1810/11/05/pdfs/GMD-1810-309.pdf#page=2","Abrir facsímil")</f>
        <v>Abrir facsímil</v>
      </c>
      <c r="K8604" s="3" t="s">
        <v>23</v>
      </c>
    </row>
    <row r="8605" spans="1:11" ht="42" customHeight="1">
      <c r="A8605" s="2" t="s">
        <v>21497</v>
      </c>
      <c r="B8605" s="2" t="s">
        <v>21498</v>
      </c>
      <c r="C8605" s="2" t="s">
        <v>26</v>
      </c>
      <c r="D8605" s="2" t="s">
        <v>39</v>
      </c>
      <c r="E8605" s="4">
        <v>-32701</v>
      </c>
      <c r="F8605" s="3" t="s">
        <v>40</v>
      </c>
      <c r="G8605" s="3" t="s">
        <v>333</v>
      </c>
      <c r="H8605" s="2" t="s">
        <v>21</v>
      </c>
      <c r="I8605" s="2" t="s">
        <v>21499</v>
      </c>
      <c r="J8605" s="3" t="str">
        <f>HYPERLINK("https://www.boe.es/gazeta/dias/1810/06/19/pdfs/GMD-C-1810-170.pdf#page=4","Abrir facsímil")</f>
        <v>Abrir facsímil</v>
      </c>
      <c r="K8605" s="3" t="s">
        <v>23</v>
      </c>
    </row>
    <row r="8606" spans="1:11" ht="42" customHeight="1">
      <c r="A8606" s="2" t="s">
        <v>21497</v>
      </c>
      <c r="B8606" s="2" t="s">
        <v>21498</v>
      </c>
      <c r="C8606" s="2" t="s">
        <v>26</v>
      </c>
      <c r="D8606" s="2" t="s">
        <v>27</v>
      </c>
      <c r="E8606" s="4">
        <v>-32647</v>
      </c>
      <c r="F8606" s="3" t="s">
        <v>118</v>
      </c>
      <c r="G8606" s="3" t="s">
        <v>20</v>
      </c>
      <c r="H8606" s="2" t="s">
        <v>21</v>
      </c>
      <c r="I8606" s="2" t="s">
        <v>21500</v>
      </c>
      <c r="J8606" s="3" t="str">
        <f>HYPERLINK("https://www.boe.es/gazeta/dias/1810/08/12/pdfs/GMD-1810-224.pdf#page=4","Abrir facsímil")</f>
        <v>Abrir facsímil</v>
      </c>
      <c r="K8606" s="3" t="s">
        <v>23</v>
      </c>
    </row>
    <row r="8607" spans="1:11" ht="42" customHeight="1">
      <c r="A8607" s="2" t="s">
        <v>21501</v>
      </c>
      <c r="B8607" s="2" t="s">
        <v>21502</v>
      </c>
      <c r="C8607" s="2" t="s">
        <v>26</v>
      </c>
      <c r="D8607" s="2" t="s">
        <v>27</v>
      </c>
      <c r="E8607" s="4">
        <v>-32786</v>
      </c>
      <c r="F8607" s="3" t="s">
        <v>8042</v>
      </c>
      <c r="G8607" s="3" t="s">
        <v>90</v>
      </c>
      <c r="H8607" s="2" t="s">
        <v>21</v>
      </c>
      <c r="I8607" s="2" t="s">
        <v>21503</v>
      </c>
      <c r="J8607" s="3" t="str">
        <f>HYPERLINK("https://www.boe.es/gazeta/dias/1810/03/26/pdfs/GMD-1810-85.pdf#page=4","Abrir facsímil")</f>
        <v>Abrir facsímil</v>
      </c>
      <c r="K8607" s="3" t="s">
        <v>23</v>
      </c>
    </row>
    <row r="8608" spans="1:11" ht="42" customHeight="1">
      <c r="A8608" s="2" t="s">
        <v>21504</v>
      </c>
      <c r="B8608" s="2" t="s">
        <v>21505</v>
      </c>
      <c r="C8608" s="2" t="s">
        <v>17</v>
      </c>
      <c r="D8608" s="2" t="s">
        <v>18</v>
      </c>
      <c r="E8608" s="4">
        <v>-32734</v>
      </c>
      <c r="F8608" s="3" t="s">
        <v>19</v>
      </c>
      <c r="G8608" s="3" t="s">
        <v>20</v>
      </c>
      <c r="H8608" s="2" t="s">
        <v>21</v>
      </c>
      <c r="I8608" s="2" t="s">
        <v>21506</v>
      </c>
      <c r="J8608" s="3" t="str">
        <f>HYPERLINK("https://www.boe.es/gazeta/dias/1810/05/17/pdfs/GMD-1810-137.pdf#page=4","Abrir facsímil")</f>
        <v>Abrir facsímil</v>
      </c>
      <c r="K8608" s="3" t="s">
        <v>23</v>
      </c>
    </row>
    <row r="8609" spans="1:11" ht="42" customHeight="1">
      <c r="A8609" s="2" t="s">
        <v>21507</v>
      </c>
      <c r="B8609" s="2" t="s">
        <v>21508</v>
      </c>
      <c r="C8609" s="2" t="s">
        <v>26</v>
      </c>
      <c r="D8609" s="2" t="s">
        <v>39</v>
      </c>
      <c r="E8609" s="4">
        <v>-32701</v>
      </c>
      <c r="F8609" s="3" t="s">
        <v>40</v>
      </c>
      <c r="G8609" s="3" t="s">
        <v>315</v>
      </c>
      <c r="H8609" s="2" t="s">
        <v>21</v>
      </c>
      <c r="I8609" s="2" t="s">
        <v>21509</v>
      </c>
      <c r="J8609" s="3" t="str">
        <f>HYPERLINK("https://www.boe.es/gazeta/dias/1810/06/19/pdfs/GMD-C-1810-170.pdf#page=2","Abrir facsímil")</f>
        <v>Abrir facsímil</v>
      </c>
      <c r="K8609" s="3" t="s">
        <v>23</v>
      </c>
    </row>
    <row r="8610" spans="1:11" ht="42" customHeight="1">
      <c r="A8610" s="2" t="s">
        <v>21510</v>
      </c>
      <c r="B8610" s="2" t="s">
        <v>21511</v>
      </c>
      <c r="C8610" s="2" t="s">
        <v>26</v>
      </c>
      <c r="D8610" s="2" t="s">
        <v>18</v>
      </c>
      <c r="E8610" s="4">
        <v>-32562</v>
      </c>
      <c r="F8610" s="3" t="s">
        <v>1186</v>
      </c>
      <c r="G8610" s="3" t="s">
        <v>29</v>
      </c>
      <c r="H8610" s="2" t="s">
        <v>21</v>
      </c>
      <c r="I8610" s="2" t="s">
        <v>21512</v>
      </c>
      <c r="J8610" s="3" t="str">
        <f>HYPERLINK("https://www.boe.es/gazeta/dias/1810/11/05/pdfs/GMD-1810-309.pdf#page=2","Abrir facsímil")</f>
        <v>Abrir facsímil</v>
      </c>
      <c r="K8610" s="3" t="s">
        <v>23</v>
      </c>
    </row>
    <row r="8611" spans="1:11" ht="42" customHeight="1">
      <c r="A8611" s="2" t="s">
        <v>21513</v>
      </c>
      <c r="B8611" s="2" t="s">
        <v>21514</v>
      </c>
      <c r="C8611" s="2" t="s">
        <v>225</v>
      </c>
      <c r="D8611" s="2" t="s">
        <v>27</v>
      </c>
      <c r="E8611" s="4">
        <v>-32673</v>
      </c>
      <c r="F8611" s="3" t="s">
        <v>2174</v>
      </c>
      <c r="G8611" s="3" t="s">
        <v>5512</v>
      </c>
      <c r="H8611" s="2" t="s">
        <v>21</v>
      </c>
      <c r="I8611" s="2" t="s">
        <v>21515</v>
      </c>
      <c r="J8611" s="3" t="str">
        <f>HYPERLINK("https://www.boe.es/gazeta/dias/1810/07/17/pdfs/GEI-1810-45.pdf#page=12","Abrir facsímil")</f>
        <v>Abrir facsímil</v>
      </c>
      <c r="K8611" s="3" t="s">
        <v>23</v>
      </c>
    </row>
    <row r="8612" spans="1:11" ht="42" customHeight="1">
      <c r="A8612" s="2" t="s">
        <v>21516</v>
      </c>
      <c r="B8612" s="2" t="s">
        <v>21517</v>
      </c>
      <c r="C8612" s="2" t="s">
        <v>26</v>
      </c>
      <c r="D8612" s="2" t="s">
        <v>18</v>
      </c>
      <c r="E8612" s="4">
        <v>-32764</v>
      </c>
      <c r="F8612" s="3" t="s">
        <v>640</v>
      </c>
      <c r="G8612" s="3" t="s">
        <v>1347</v>
      </c>
      <c r="H8612" s="2" t="s">
        <v>21</v>
      </c>
      <c r="I8612" s="2" t="s">
        <v>21518</v>
      </c>
      <c r="J8612" s="3" t="str">
        <f>HYPERLINK("https://www.boe.es/gazeta/dias/1810/04/17/pdfs/GEI-1810-15.pdf#page=7","Abrir facsímil")</f>
        <v>Abrir facsímil</v>
      </c>
      <c r="K8612" s="3" t="s">
        <v>23</v>
      </c>
    </row>
    <row r="8613" spans="1:11" ht="42" customHeight="1">
      <c r="A8613" s="2" t="s">
        <v>21519</v>
      </c>
      <c r="B8613" s="2" t="s">
        <v>21520</v>
      </c>
      <c r="C8613" s="2" t="s">
        <v>33</v>
      </c>
      <c r="D8613" s="2" t="s">
        <v>18</v>
      </c>
      <c r="E8613" s="4">
        <v>-32733</v>
      </c>
      <c r="F8613" s="3" t="s">
        <v>955</v>
      </c>
      <c r="G8613" s="3" t="s">
        <v>20</v>
      </c>
      <c r="H8613" s="2" t="s">
        <v>21</v>
      </c>
      <c r="I8613" s="2" t="s">
        <v>21521</v>
      </c>
      <c r="J8613" s="3" t="str">
        <f>HYPERLINK("https://www.boe.es/gazeta/dias/1810/05/18/pdfs/GEI-1810-27.pdf#page=4","Abrir facsímil")</f>
        <v>Abrir facsímil</v>
      </c>
      <c r="K8613" s="3" t="s">
        <v>23</v>
      </c>
    </row>
    <row r="8614" spans="1:11" ht="42" customHeight="1">
      <c r="A8614" s="2" t="s">
        <v>21522</v>
      </c>
      <c r="B8614" s="2" t="s">
        <v>21523</v>
      </c>
      <c r="C8614" s="2" t="s">
        <v>26</v>
      </c>
      <c r="D8614" s="2" t="s">
        <v>39</v>
      </c>
      <c r="E8614" s="4">
        <v>-32702</v>
      </c>
      <c r="F8614" s="3" t="s">
        <v>179</v>
      </c>
      <c r="G8614" s="3" t="s">
        <v>180</v>
      </c>
      <c r="H8614" s="2" t="s">
        <v>21</v>
      </c>
      <c r="I8614" s="2" t="s">
        <v>21524</v>
      </c>
      <c r="J8614" s="3" t="str">
        <f>HYPERLINK("https://www.boe.es/gazeta/dias/1810/06/18/pdfs/GMD-C-1810-169.pdf#page=2","Abrir facsímil")</f>
        <v>Abrir facsímil</v>
      </c>
      <c r="K8614" s="3" t="s">
        <v>23</v>
      </c>
    </row>
    <row r="8615" spans="1:11" ht="42" customHeight="1">
      <c r="A8615" s="2" t="s">
        <v>21525</v>
      </c>
      <c r="B8615" s="2" t="s">
        <v>21526</v>
      </c>
      <c r="C8615" s="2" t="s">
        <v>26</v>
      </c>
      <c r="D8615" s="2" t="s">
        <v>27</v>
      </c>
      <c r="E8615" s="4">
        <v>-32689</v>
      </c>
      <c r="F8615" s="3" t="s">
        <v>571</v>
      </c>
      <c r="G8615" s="3" t="s">
        <v>140</v>
      </c>
      <c r="H8615" s="2" t="s">
        <v>21</v>
      </c>
      <c r="I8615" s="2" t="s">
        <v>21527</v>
      </c>
      <c r="J8615" s="3" t="str">
        <f>HYPERLINK("https://www.boe.es/gazeta/dias/1810/07/01/pdfs/GMD-1810-182.pdf#page=4","Abrir facsímil")</f>
        <v>Abrir facsímil</v>
      </c>
      <c r="K8615" s="3" t="s">
        <v>23</v>
      </c>
    </row>
    <row r="8616" spans="1:11" ht="42" customHeight="1">
      <c r="A8616" s="2" t="s">
        <v>21528</v>
      </c>
      <c r="B8616" s="2" t="s">
        <v>21529</v>
      </c>
      <c r="C8616" s="2" t="s">
        <v>317</v>
      </c>
      <c r="D8616" s="2" t="s">
        <v>27</v>
      </c>
      <c r="E8616" s="4">
        <v>-32619</v>
      </c>
      <c r="F8616" s="3" t="s">
        <v>1270</v>
      </c>
      <c r="G8616" s="3" t="s">
        <v>1271</v>
      </c>
      <c r="H8616" s="2" t="s">
        <v>21</v>
      </c>
      <c r="I8616" s="2" t="s">
        <v>21530</v>
      </c>
      <c r="J8616" s="3" t="str">
        <f>HYPERLINK("https://www.boe.es/gazeta/dias/1810/09/09/pdfs/GMD-1810-252.pdf#page=4","Abrir facsímil")</f>
        <v>Abrir facsímil</v>
      </c>
      <c r="K8616" s="3" t="s">
        <v>23</v>
      </c>
    </row>
    <row r="8617" spans="1:11" ht="42" customHeight="1">
      <c r="A8617" s="2" t="s">
        <v>21531</v>
      </c>
      <c r="B8617" s="2" t="s">
        <v>21532</v>
      </c>
      <c r="C8617" s="2" t="s">
        <v>88</v>
      </c>
      <c r="D8617" s="2" t="s">
        <v>27</v>
      </c>
      <c r="E8617" s="4">
        <v>-32538</v>
      </c>
      <c r="F8617" s="3" t="s">
        <v>1949</v>
      </c>
      <c r="G8617" s="3" t="s">
        <v>213</v>
      </c>
      <c r="H8617" s="2" t="s">
        <v>21</v>
      </c>
      <c r="I8617" s="2" t="s">
        <v>21533</v>
      </c>
      <c r="J8617" s="3" t="str">
        <f>HYPERLINK("https://www.boe.es/gazeta/dias/1810/11/29/pdfs/GEI-1810-101.pdf#page=8","Abrir facsímil")</f>
        <v>Abrir facsímil</v>
      </c>
      <c r="K8617" s="3" t="s">
        <v>23</v>
      </c>
    </row>
    <row r="8618" spans="1:11" ht="42" customHeight="1">
      <c r="A8618" s="2" t="s">
        <v>21534</v>
      </c>
      <c r="B8618" s="2" t="s">
        <v>21535</v>
      </c>
      <c r="C8618" s="2" t="s">
        <v>26</v>
      </c>
      <c r="D8618" s="2" t="s">
        <v>27</v>
      </c>
      <c r="E8618" s="4">
        <v>-32599</v>
      </c>
      <c r="F8618" s="3" t="s">
        <v>6642</v>
      </c>
      <c r="G8618" s="3" t="s">
        <v>90</v>
      </c>
      <c r="H8618" s="2" t="s">
        <v>21</v>
      </c>
      <c r="I8618" s="2" t="s">
        <v>21536</v>
      </c>
      <c r="J8618" s="3" t="str">
        <f>HYPERLINK("https://www.boe.es/gazeta/dias/1810/09/29/pdfs/GEI-1810-75.pdf#page=6","Abrir facsímil")</f>
        <v>Abrir facsímil</v>
      </c>
      <c r="K8618" s="3" t="s">
        <v>23</v>
      </c>
    </row>
    <row r="8619" spans="1:11" ht="42" customHeight="1">
      <c r="A8619" s="2" t="s">
        <v>21537</v>
      </c>
      <c r="B8619" s="2" t="s">
        <v>21538</v>
      </c>
      <c r="C8619" s="2" t="s">
        <v>26</v>
      </c>
      <c r="D8619" s="2" t="s">
        <v>27</v>
      </c>
      <c r="E8619" s="4">
        <v>-32547</v>
      </c>
      <c r="F8619" s="3" t="s">
        <v>407</v>
      </c>
      <c r="G8619" s="3" t="s">
        <v>408</v>
      </c>
      <c r="H8619" s="2" t="s">
        <v>21</v>
      </c>
      <c r="I8619" s="2" t="s">
        <v>21539</v>
      </c>
      <c r="J8619" s="3" t="str">
        <f>HYPERLINK("https://www.boe.es/gazeta/dias/1810/11/20/pdfs/GEI-1810-97.pdf#page=8","Abrir facsímil")</f>
        <v>Abrir facsímil</v>
      </c>
      <c r="K8619" s="3" t="s">
        <v>23</v>
      </c>
    </row>
    <row r="8620" spans="1:11" ht="42" customHeight="1">
      <c r="A8620" s="2" t="s">
        <v>21540</v>
      </c>
      <c r="B8620" s="2" t="s">
        <v>21541</v>
      </c>
      <c r="C8620" s="2" t="s">
        <v>17</v>
      </c>
      <c r="D8620" s="2" t="s">
        <v>220</v>
      </c>
      <c r="E8620" s="4">
        <v>-32538</v>
      </c>
      <c r="F8620" s="3" t="s">
        <v>1949</v>
      </c>
      <c r="G8620" s="3" t="s">
        <v>8405</v>
      </c>
      <c r="H8620" s="2" t="s">
        <v>21</v>
      </c>
      <c r="I8620" s="2" t="s">
        <v>21542</v>
      </c>
      <c r="J8620" s="3" t="str">
        <f>HYPERLINK("https://www.boe.es/gazeta/dias/1810/11/29/pdfs/GEI-1810-101.pdf#page=6","Abrir facsímil")</f>
        <v>Abrir facsímil</v>
      </c>
      <c r="K8620" s="3" t="s">
        <v>23</v>
      </c>
    </row>
    <row r="8621" spans="1:11" ht="42" customHeight="1">
      <c r="A8621" s="2" t="s">
        <v>21543</v>
      </c>
      <c r="B8621" s="2" t="s">
        <v>21544</v>
      </c>
      <c r="C8621" s="2" t="s">
        <v>33</v>
      </c>
      <c r="D8621" s="2" t="s">
        <v>27</v>
      </c>
      <c r="E8621" s="4">
        <v>-32722</v>
      </c>
      <c r="F8621" s="3" t="s">
        <v>856</v>
      </c>
      <c r="G8621" s="3" t="s">
        <v>90</v>
      </c>
      <c r="H8621" s="2" t="s">
        <v>21</v>
      </c>
      <c r="I8621" s="2" t="s">
        <v>21545</v>
      </c>
      <c r="J8621" s="3" t="str">
        <f>HYPERLINK("https://www.boe.es/gazeta/dias/1810/05/29/pdfs/GEI-1810-31.pdf#page=7","Abrir facsímil")</f>
        <v>Abrir facsímil</v>
      </c>
      <c r="K8621" s="3" t="s">
        <v>23</v>
      </c>
    </row>
    <row r="8622" spans="1:11" ht="42" customHeight="1">
      <c r="A8622" s="2" t="s">
        <v>21546</v>
      </c>
      <c r="B8622" s="2" t="s">
        <v>21547</v>
      </c>
      <c r="C8622" s="2" t="s">
        <v>111</v>
      </c>
      <c r="D8622" s="2" t="s">
        <v>18</v>
      </c>
      <c r="E8622" s="4">
        <v>-32587</v>
      </c>
      <c r="F8622" s="3" t="s">
        <v>103</v>
      </c>
      <c r="G8622" s="3" t="s">
        <v>180</v>
      </c>
      <c r="H8622" s="2" t="s">
        <v>21</v>
      </c>
      <c r="I8622" s="2" t="s">
        <v>21548</v>
      </c>
      <c r="J8622" s="3" t="str">
        <f>HYPERLINK("https://www.boe.es/gazeta/dias/1810/10/11/pdfs/GEI-1810-80.pdf#page=8","Abrir facsímil")</f>
        <v>Abrir facsímil</v>
      </c>
      <c r="K8622" s="3" t="s">
        <v>23</v>
      </c>
    </row>
    <row r="8623" spans="1:11" ht="42" customHeight="1">
      <c r="A8623" s="2" t="s">
        <v>21549</v>
      </c>
      <c r="B8623" s="2" t="s">
        <v>21550</v>
      </c>
      <c r="C8623" s="2" t="s">
        <v>26</v>
      </c>
      <c r="D8623" s="2" t="s">
        <v>27</v>
      </c>
      <c r="E8623" s="4">
        <v>-32508</v>
      </c>
      <c r="F8623" s="3" t="s">
        <v>864</v>
      </c>
      <c r="G8623" s="3" t="s">
        <v>691</v>
      </c>
      <c r="H8623" s="2" t="s">
        <v>21</v>
      </c>
      <c r="I8623" s="2" t="s">
        <v>21551</v>
      </c>
      <c r="J8623" s="3" t="str">
        <f>HYPERLINK("https://www.boe.es/gazeta/dias/1810/12/29/pdfs/GEI-1810-114.pdf#page=8","Abrir facsímil")</f>
        <v>Abrir facsímil</v>
      </c>
      <c r="K8623" s="3" t="s">
        <v>23</v>
      </c>
    </row>
    <row r="8624" spans="1:11" ht="42" customHeight="1">
      <c r="A8624" s="2" t="s">
        <v>21552</v>
      </c>
      <c r="B8624" s="2" t="s">
        <v>21553</v>
      </c>
      <c r="C8624" s="2" t="s">
        <v>26</v>
      </c>
      <c r="D8624" s="2" t="s">
        <v>39</v>
      </c>
      <c r="E8624" s="4">
        <v>-32702</v>
      </c>
      <c r="F8624" s="3" t="s">
        <v>179</v>
      </c>
      <c r="G8624" s="3" t="s">
        <v>180</v>
      </c>
      <c r="H8624" s="2" t="s">
        <v>21</v>
      </c>
      <c r="I8624" s="2" t="s">
        <v>21554</v>
      </c>
      <c r="J8624" s="3" t="str">
        <f>HYPERLINK("https://www.boe.es/gazeta/dias/1810/06/18/pdfs/GMD-C-1810-169.pdf#page=2","Abrir facsímil")</f>
        <v>Abrir facsímil</v>
      </c>
      <c r="K8624" s="3" t="s">
        <v>23</v>
      </c>
    </row>
    <row r="8625" spans="1:11" ht="42" customHeight="1">
      <c r="A8625" s="2" t="s">
        <v>21555</v>
      </c>
      <c r="B8625" s="2" t="s">
        <v>21556</v>
      </c>
      <c r="C8625" s="2" t="s">
        <v>26</v>
      </c>
      <c r="D8625" s="2" t="s">
        <v>18</v>
      </c>
      <c r="E8625" s="4">
        <v>-32562</v>
      </c>
      <c r="F8625" s="3" t="s">
        <v>1186</v>
      </c>
      <c r="G8625" s="3" t="s">
        <v>29</v>
      </c>
      <c r="H8625" s="2" t="s">
        <v>21</v>
      </c>
      <c r="I8625" s="2" t="s">
        <v>21557</v>
      </c>
      <c r="J8625" s="3" t="str">
        <f>HYPERLINK("https://www.boe.es/gazeta/dias/1810/11/05/pdfs/GMD-1810-309.pdf#page=2","Abrir facsímil")</f>
        <v>Abrir facsímil</v>
      </c>
      <c r="K8625" s="3" t="s">
        <v>23</v>
      </c>
    </row>
    <row r="8626" spans="1:11" ht="42" customHeight="1">
      <c r="A8626" s="2" t="s">
        <v>21558</v>
      </c>
      <c r="B8626" s="2" t="s">
        <v>21559</v>
      </c>
      <c r="C8626" s="2" t="s">
        <v>225</v>
      </c>
      <c r="D8626" s="2" t="s">
        <v>27</v>
      </c>
      <c r="E8626" s="4">
        <v>-32707</v>
      </c>
      <c r="F8626" s="3" t="s">
        <v>1753</v>
      </c>
      <c r="G8626" s="3" t="s">
        <v>227</v>
      </c>
      <c r="H8626" s="2" t="s">
        <v>21</v>
      </c>
      <c r="I8626" s="2" t="s">
        <v>21560</v>
      </c>
      <c r="J8626" s="3" t="str">
        <f>HYPERLINK("https://www.boe.es/gazeta/dias/1810/06/13/pdfs/GMD-1810-164.pdf#page=4","Abrir facsímil")</f>
        <v>Abrir facsímil</v>
      </c>
      <c r="K8626" s="3" t="s">
        <v>23</v>
      </c>
    </row>
    <row r="8627" spans="1:11" ht="42" customHeight="1">
      <c r="A8627" s="2" t="s">
        <v>21561</v>
      </c>
      <c r="B8627" s="2" t="s">
        <v>21562</v>
      </c>
      <c r="C8627" s="2" t="s">
        <v>33</v>
      </c>
      <c r="D8627" s="2" t="s">
        <v>27</v>
      </c>
      <c r="E8627" s="4">
        <v>-32631</v>
      </c>
      <c r="F8627" s="3" t="s">
        <v>130</v>
      </c>
      <c r="G8627" s="3" t="s">
        <v>213</v>
      </c>
      <c r="H8627" s="2" t="s">
        <v>21</v>
      </c>
      <c r="I8627" s="2" t="s">
        <v>21563</v>
      </c>
      <c r="J8627" s="3" t="str">
        <f>HYPERLINK("https://www.boe.es/gazeta/dias/1810/08/28/pdfs/GEI-1810-60.pdf#page=2","Abrir facsímil")</f>
        <v>Abrir facsímil</v>
      </c>
      <c r="K8627" s="3" t="s">
        <v>23</v>
      </c>
    </row>
    <row r="8628" spans="1:11" ht="42" customHeight="1">
      <c r="A8628" s="2" t="s">
        <v>21564</v>
      </c>
      <c r="B8628" s="2" t="s">
        <v>21565</v>
      </c>
      <c r="C8628" s="2" t="s">
        <v>26</v>
      </c>
      <c r="D8628" s="2" t="s">
        <v>18</v>
      </c>
      <c r="E8628" s="4">
        <v>-32704</v>
      </c>
      <c r="F8628" s="3" t="s">
        <v>94</v>
      </c>
      <c r="G8628" s="3" t="s">
        <v>20</v>
      </c>
      <c r="H8628" s="2" t="s">
        <v>21</v>
      </c>
      <c r="I8628" s="2" t="s">
        <v>21566</v>
      </c>
      <c r="J8628" s="3" t="str">
        <f>HYPERLINK("https://www.boe.es/gazeta/dias/1810/06/16/pdfs/GMD-1810-167.pdf#page=4","Abrir facsímil")</f>
        <v>Abrir facsímil</v>
      </c>
      <c r="K8628" s="3" t="s">
        <v>23</v>
      </c>
    </row>
    <row r="8629" spans="1:11" ht="42" customHeight="1">
      <c r="A8629" s="2" t="s">
        <v>21567</v>
      </c>
      <c r="B8629" s="2" t="s">
        <v>21568</v>
      </c>
      <c r="C8629" s="2" t="s">
        <v>26</v>
      </c>
      <c r="D8629" s="2" t="s">
        <v>27</v>
      </c>
      <c r="E8629" s="4">
        <v>-32693</v>
      </c>
      <c r="F8629" s="3" t="s">
        <v>54</v>
      </c>
      <c r="G8629" s="3" t="s">
        <v>20</v>
      </c>
      <c r="H8629" s="2" t="s">
        <v>21</v>
      </c>
      <c r="I8629" s="2" t="s">
        <v>21569</v>
      </c>
      <c r="J8629" s="3" t="str">
        <f>HYPERLINK("https://www.boe.es/gazeta/dias/1810/06/27/pdfs/GMD-1810-178.pdf#page=4","Abrir facsímil")</f>
        <v>Abrir facsímil</v>
      </c>
      <c r="K8629" s="3" t="s">
        <v>23</v>
      </c>
    </row>
    <row r="8630" spans="1:11" ht="42" customHeight="1">
      <c r="A8630" s="2" t="s">
        <v>21570</v>
      </c>
      <c r="B8630" s="2" t="s">
        <v>21571</v>
      </c>
      <c r="C8630" s="2" t="s">
        <v>26</v>
      </c>
      <c r="D8630" s="2" t="s">
        <v>39</v>
      </c>
      <c r="E8630" s="4">
        <v>-32702</v>
      </c>
      <c r="F8630" s="3" t="s">
        <v>179</v>
      </c>
      <c r="G8630" s="3" t="s">
        <v>213</v>
      </c>
      <c r="H8630" s="2" t="s">
        <v>21</v>
      </c>
      <c r="I8630" s="2" t="s">
        <v>21572</v>
      </c>
      <c r="J8630" s="3" t="str">
        <f>HYPERLINK("https://www.boe.es/gazeta/dias/1810/06/18/pdfs/GMD-C-1810-169.pdf#page=4","Abrir facsímil")</f>
        <v>Abrir facsímil</v>
      </c>
      <c r="K8630" s="3" t="s">
        <v>23</v>
      </c>
    </row>
    <row r="8631" spans="1:11" ht="42" customHeight="1">
      <c r="A8631" s="2" t="s">
        <v>21573</v>
      </c>
      <c r="B8631" s="2" t="s">
        <v>21574</v>
      </c>
      <c r="C8631" s="2" t="s">
        <v>26</v>
      </c>
      <c r="D8631" s="2" t="s">
        <v>39</v>
      </c>
      <c r="E8631" s="4">
        <v>-32661</v>
      </c>
      <c r="F8631" s="3" t="s">
        <v>157</v>
      </c>
      <c r="G8631" s="3" t="s">
        <v>592</v>
      </c>
      <c r="H8631" s="2" t="s">
        <v>21</v>
      </c>
      <c r="I8631" s="2" t="s">
        <v>21575</v>
      </c>
      <c r="J8631" s="3" t="str">
        <f>HYPERLINK("https://www.boe.es/gazeta/dias/1810/07/29/pdfs/GMD-C-1810-210.pdf#page=2","Abrir facsímil")</f>
        <v>Abrir facsímil</v>
      </c>
      <c r="K8631" s="3" t="s">
        <v>23</v>
      </c>
    </row>
    <row r="8632" spans="1:11" ht="42" customHeight="1">
      <c r="A8632" s="2" t="s">
        <v>21576</v>
      </c>
      <c r="B8632" s="2" t="s">
        <v>21577</v>
      </c>
      <c r="C8632" s="2" t="s">
        <v>17</v>
      </c>
      <c r="D8632" s="2" t="s">
        <v>27</v>
      </c>
      <c r="E8632" s="4">
        <v>-32688</v>
      </c>
      <c r="F8632" s="3" t="s">
        <v>997</v>
      </c>
      <c r="G8632" s="3" t="s">
        <v>749</v>
      </c>
      <c r="H8632" s="2" t="s">
        <v>21</v>
      </c>
      <c r="I8632" s="2" t="s">
        <v>21578</v>
      </c>
      <c r="J8632" s="3" t="str">
        <f>HYPERLINK("https://www.boe.es/gazeta/dias/1810/07/02/pdfs/GMD-1810-183.pdf#page=4","Abrir facsímil")</f>
        <v>Abrir facsímil</v>
      </c>
      <c r="K8632" s="3" t="s">
        <v>23</v>
      </c>
    </row>
    <row r="8633" spans="1:11" ht="42" customHeight="1">
      <c r="A8633" s="2" t="s">
        <v>21579</v>
      </c>
      <c r="B8633" s="2" t="s">
        <v>21580</v>
      </c>
      <c r="C8633" s="2" t="s">
        <v>33</v>
      </c>
      <c r="D8633" s="2" t="s">
        <v>27</v>
      </c>
      <c r="E8633" s="4">
        <v>-32728</v>
      </c>
      <c r="F8633" s="3" t="s">
        <v>269</v>
      </c>
      <c r="G8633" s="3" t="s">
        <v>119</v>
      </c>
      <c r="H8633" s="2" t="s">
        <v>21</v>
      </c>
      <c r="I8633" s="2" t="s">
        <v>21581</v>
      </c>
      <c r="J8633" s="3" t="str">
        <f>HYPERLINK("https://www.boe.es/gazeta/dias/1810/05/23/pdfs/GMD-1810-143.pdf#page=3","Abrir facsímil")</f>
        <v>Abrir facsímil</v>
      </c>
      <c r="K8633" s="3" t="s">
        <v>23</v>
      </c>
    </row>
    <row r="8634" spans="1:11" ht="42" customHeight="1">
      <c r="A8634" s="2" t="s">
        <v>21582</v>
      </c>
      <c r="B8634" s="2" t="s">
        <v>21583</v>
      </c>
      <c r="C8634" s="2" t="s">
        <v>26</v>
      </c>
      <c r="D8634" s="2" t="s">
        <v>27</v>
      </c>
      <c r="E8634" s="4">
        <v>-32557</v>
      </c>
      <c r="F8634" s="3" t="s">
        <v>837</v>
      </c>
      <c r="G8634" s="3" t="s">
        <v>8451</v>
      </c>
      <c r="H8634" s="2" t="s">
        <v>21</v>
      </c>
      <c r="I8634" s="2" t="s">
        <v>21584</v>
      </c>
      <c r="J8634" s="3" t="str">
        <f>HYPERLINK("https://www.boe.es/gazeta/dias/1810/11/10/pdfs/GEI-1810-93.pdf#page=8","Abrir facsímil")</f>
        <v>Abrir facsímil</v>
      </c>
      <c r="K8634" s="3" t="s">
        <v>23</v>
      </c>
    </row>
    <row r="8635" spans="1:11" ht="42" customHeight="1">
      <c r="A8635" s="2" t="s">
        <v>21585</v>
      </c>
      <c r="B8635" s="2" t="s">
        <v>21586</v>
      </c>
      <c r="C8635" s="2" t="s">
        <v>88</v>
      </c>
      <c r="D8635" s="2" t="s">
        <v>117</v>
      </c>
      <c r="E8635" s="4">
        <v>-32732</v>
      </c>
      <c r="F8635" s="3" t="s">
        <v>545</v>
      </c>
      <c r="G8635" s="3" t="s">
        <v>140</v>
      </c>
      <c r="H8635" s="2" t="s">
        <v>21</v>
      </c>
      <c r="I8635" s="2" t="s">
        <v>21587</v>
      </c>
      <c r="J8635" s="3" t="str">
        <f>HYPERLINK("https://www.boe.es/gazeta/dias/1810/05/19/pdfs/GMD-1810-139.pdf#page=3","Abrir facsímil")</f>
        <v>Abrir facsímil</v>
      </c>
      <c r="K8635" s="3" t="s">
        <v>23</v>
      </c>
    </row>
    <row r="8636" spans="1:11" ht="42" customHeight="1">
      <c r="A8636" s="2" t="s">
        <v>21588</v>
      </c>
      <c r="B8636" s="2" t="s">
        <v>21589</v>
      </c>
      <c r="C8636" s="2" t="s">
        <v>88</v>
      </c>
      <c r="D8636" s="2" t="s">
        <v>117</v>
      </c>
      <c r="E8636" s="4">
        <v>-32743</v>
      </c>
      <c r="F8636" s="3" t="s">
        <v>2265</v>
      </c>
      <c r="G8636" s="3" t="s">
        <v>458</v>
      </c>
      <c r="H8636" s="2" t="s">
        <v>21</v>
      </c>
      <c r="I8636" s="2" t="s">
        <v>21590</v>
      </c>
      <c r="J8636" s="3" t="str">
        <f>HYPERLINK("https://www.boe.es/gazeta/dias/1810/05/08/pdfs/GEI-1810-22.pdf#page=7","Abrir facsímil")</f>
        <v>Abrir facsímil</v>
      </c>
      <c r="K8636" s="3" t="s">
        <v>23</v>
      </c>
    </row>
    <row r="8637" spans="1:11" ht="42" customHeight="1">
      <c r="A8637" s="2" t="s">
        <v>21591</v>
      </c>
      <c r="B8637" s="2" t="s">
        <v>21592</v>
      </c>
      <c r="C8637" s="2" t="s">
        <v>26</v>
      </c>
      <c r="D8637" s="2" t="s">
        <v>27</v>
      </c>
      <c r="E8637" s="4">
        <v>-32788</v>
      </c>
      <c r="F8637" s="3" t="s">
        <v>1254</v>
      </c>
      <c r="G8637" s="3" t="s">
        <v>90</v>
      </c>
      <c r="H8637" s="2" t="s">
        <v>21</v>
      </c>
      <c r="I8637" s="2" t="s">
        <v>21593</v>
      </c>
      <c r="J8637" s="3" t="str">
        <f>HYPERLINK("https://www.boe.es/gazeta/dias/1810/03/24/pdfs/GMD-1810-83.pdf#page=4","Abrir facsímil")</f>
        <v>Abrir facsímil</v>
      </c>
      <c r="K8637" s="3" t="s">
        <v>23</v>
      </c>
    </row>
    <row r="8638" spans="1:11" ht="42" customHeight="1">
      <c r="A8638" s="2" t="s">
        <v>21594</v>
      </c>
      <c r="B8638" s="2" t="s">
        <v>21595</v>
      </c>
      <c r="C8638" s="2" t="s">
        <v>225</v>
      </c>
      <c r="D8638" s="2" t="s">
        <v>27</v>
      </c>
      <c r="E8638" s="4">
        <v>-32764</v>
      </c>
      <c r="F8638" s="3" t="s">
        <v>640</v>
      </c>
      <c r="G8638" s="3" t="s">
        <v>641</v>
      </c>
      <c r="H8638" s="2" t="s">
        <v>21</v>
      </c>
      <c r="I8638" s="2" t="s">
        <v>21596</v>
      </c>
      <c r="J8638" s="3" t="str">
        <f>HYPERLINK("https://www.boe.es/gazeta/dias/1810/04/17/pdfs/GEI-1810-15.pdf#page=8","Abrir facsímil")</f>
        <v>Abrir facsímil</v>
      </c>
      <c r="K8638" s="3" t="s">
        <v>23</v>
      </c>
    </row>
    <row r="8639" spans="1:11" ht="42" customHeight="1">
      <c r="A8639" s="2" t="s">
        <v>21597</v>
      </c>
      <c r="B8639" s="2" t="s">
        <v>21598</v>
      </c>
      <c r="C8639" s="2" t="s">
        <v>26</v>
      </c>
      <c r="D8639" s="2" t="s">
        <v>27</v>
      </c>
      <c r="E8639" s="4">
        <v>-32764</v>
      </c>
      <c r="F8639" s="3" t="s">
        <v>640</v>
      </c>
      <c r="G8639" s="3" t="s">
        <v>1347</v>
      </c>
      <c r="H8639" s="2" t="s">
        <v>21</v>
      </c>
      <c r="I8639" s="2" t="s">
        <v>21599</v>
      </c>
      <c r="J8639" s="3" t="str">
        <f>HYPERLINK("https://www.boe.es/gazeta/dias/1810/04/17/pdfs/GEI-1810-15.pdf#page=7","Abrir facsímil")</f>
        <v>Abrir facsímil</v>
      </c>
      <c r="K8639" s="3" t="s">
        <v>23</v>
      </c>
    </row>
    <row r="8640" spans="1:11" ht="42" customHeight="1">
      <c r="A8640" s="2" t="s">
        <v>21600</v>
      </c>
      <c r="B8640" s="2" t="s">
        <v>21601</v>
      </c>
      <c r="C8640" s="2" t="s">
        <v>26</v>
      </c>
      <c r="D8640" s="2" t="s">
        <v>27</v>
      </c>
      <c r="E8640" s="4">
        <v>-32526</v>
      </c>
      <c r="F8640" s="3" t="s">
        <v>530</v>
      </c>
      <c r="G8640" s="3" t="s">
        <v>531</v>
      </c>
      <c r="H8640" s="2" t="s">
        <v>21</v>
      </c>
      <c r="I8640" s="2" t="s">
        <v>21602</v>
      </c>
      <c r="J8640" s="3" t="str">
        <f>HYPERLINK("https://www.boe.es/gazeta/dias/1810/12/11/pdfs/GEI-1810-106.pdf#page=2","Abrir facsímil")</f>
        <v>Abrir facsímil</v>
      </c>
      <c r="K8640" s="3" t="s">
        <v>23</v>
      </c>
    </row>
    <row r="8641" spans="1:11" ht="42" customHeight="1">
      <c r="A8641" s="2" t="s">
        <v>21603</v>
      </c>
      <c r="B8641" s="2" t="s">
        <v>21604</v>
      </c>
      <c r="C8641" s="2" t="s">
        <v>26</v>
      </c>
      <c r="D8641" s="2" t="s">
        <v>27</v>
      </c>
      <c r="E8641" s="4">
        <v>-32623</v>
      </c>
      <c r="F8641" s="3" t="s">
        <v>15821</v>
      </c>
      <c r="G8641" s="3" t="s">
        <v>227</v>
      </c>
      <c r="H8641" s="2" t="s">
        <v>21</v>
      </c>
      <c r="I8641" s="2" t="s">
        <v>21605</v>
      </c>
      <c r="J8641" s="3" t="str">
        <f>HYPERLINK("https://www.boe.es/gazeta/dias/1810/09/05/pdfs/GMD-1810-248.pdf#page=4","Abrir facsímil")</f>
        <v>Abrir facsímil</v>
      </c>
      <c r="K8641" s="3" t="s">
        <v>23</v>
      </c>
    </row>
    <row r="8642" spans="1:11" ht="42" customHeight="1">
      <c r="A8642" s="2" t="s">
        <v>21606</v>
      </c>
      <c r="B8642" s="2" t="s">
        <v>21607</v>
      </c>
      <c r="C8642" s="2" t="s">
        <v>26</v>
      </c>
      <c r="D8642" s="2" t="s">
        <v>27</v>
      </c>
      <c r="E8642" s="4">
        <v>-32604</v>
      </c>
      <c r="F8642" s="3" t="s">
        <v>2233</v>
      </c>
      <c r="G8642" s="3" t="s">
        <v>131</v>
      </c>
      <c r="H8642" s="2" t="s">
        <v>21</v>
      </c>
      <c r="I8642" s="2" t="s">
        <v>21608</v>
      </c>
      <c r="J8642" s="3" t="str">
        <f>HYPERLINK("https://www.boe.es/gazeta/dias/1810/09/24/pdfs/GMD-1810-267.pdf#page=3","Abrir facsímil")</f>
        <v>Abrir facsímil</v>
      </c>
      <c r="K8642" s="3" t="s">
        <v>23</v>
      </c>
    </row>
    <row r="8643" spans="1:11" ht="42" customHeight="1">
      <c r="A8643" s="2" t="s">
        <v>21609</v>
      </c>
      <c r="B8643" s="2" t="s">
        <v>21610</v>
      </c>
      <c r="C8643" s="2" t="s">
        <v>26</v>
      </c>
      <c r="D8643" s="2" t="s">
        <v>27</v>
      </c>
      <c r="E8643" s="4">
        <v>-32691</v>
      </c>
      <c r="F8643" s="3" t="s">
        <v>727</v>
      </c>
      <c r="G8643" s="3" t="s">
        <v>807</v>
      </c>
      <c r="H8643" s="2" t="s">
        <v>21</v>
      </c>
      <c r="I8643" s="2" t="s">
        <v>21611</v>
      </c>
      <c r="J8643" s="3" t="str">
        <f>HYPERLINK("https://www.boe.es/gazeta/dias/1810/06/29/pdfs/GMD-1810-180.pdf#page=3","Abrir facsímil")</f>
        <v>Abrir facsímil</v>
      </c>
      <c r="K8643" s="3" t="s">
        <v>23</v>
      </c>
    </row>
    <row r="8644" spans="1:11" ht="42" customHeight="1">
      <c r="A8644" s="2" t="s">
        <v>21612</v>
      </c>
      <c r="B8644" s="2" t="s">
        <v>21613</v>
      </c>
      <c r="C8644" s="2" t="s">
        <v>26</v>
      </c>
      <c r="D8644" s="2" t="s">
        <v>27</v>
      </c>
      <c r="E8644" s="4">
        <v>-32701</v>
      </c>
      <c r="F8644" s="3" t="s">
        <v>671</v>
      </c>
      <c r="G8644" s="3" t="s">
        <v>971</v>
      </c>
      <c r="H8644" s="2" t="s">
        <v>21</v>
      </c>
      <c r="I8644" s="2" t="s">
        <v>21614</v>
      </c>
      <c r="J8644" s="3" t="str">
        <f>HYPERLINK("https://www.boe.es/gazeta/dias/1810/06/19/pdfs/GEI-1810-37.pdf#page=8","Abrir facsímil")</f>
        <v>Abrir facsímil</v>
      </c>
      <c r="K8644" s="3" t="s">
        <v>23</v>
      </c>
    </row>
    <row r="8645" spans="1:11" ht="42" customHeight="1">
      <c r="A8645" s="2" t="s">
        <v>21615</v>
      </c>
      <c r="B8645" s="2" t="s">
        <v>21616</v>
      </c>
      <c r="C8645" s="2" t="s">
        <v>26</v>
      </c>
      <c r="D8645" s="2" t="s">
        <v>27</v>
      </c>
      <c r="E8645" s="4">
        <v>-32839</v>
      </c>
      <c r="F8645" s="3" t="s">
        <v>28</v>
      </c>
      <c r="G8645" s="3" t="s">
        <v>29</v>
      </c>
      <c r="H8645" s="2" t="s">
        <v>21</v>
      </c>
      <c r="I8645" s="2" t="s">
        <v>21617</v>
      </c>
      <c r="J8645" s="3" t="str">
        <f>HYPERLINK("https://www.boe.es/gazeta/dias/1810/02/01/pdfs/GMD-1810-32.pdf#page=2","Abrir facsímil")</f>
        <v>Abrir facsímil</v>
      </c>
      <c r="K8645" s="3" t="s">
        <v>23</v>
      </c>
    </row>
    <row r="8646" spans="1:11" ht="42" customHeight="1">
      <c r="A8646" s="2" t="s">
        <v>21618</v>
      </c>
      <c r="B8646" s="2" t="s">
        <v>21619</v>
      </c>
      <c r="C8646" s="2" t="s">
        <v>26</v>
      </c>
      <c r="D8646" s="2" t="s">
        <v>27</v>
      </c>
      <c r="E8646" s="4">
        <v>-32591</v>
      </c>
      <c r="F8646" s="3" t="s">
        <v>377</v>
      </c>
      <c r="G8646" s="3" t="s">
        <v>140</v>
      </c>
      <c r="H8646" s="2" t="s">
        <v>21</v>
      </c>
      <c r="I8646" s="2" t="s">
        <v>21620</v>
      </c>
      <c r="J8646" s="3" t="str">
        <f>HYPERLINK("https://www.boe.es/gazeta/dias/1810/10/07/pdfs/GMD-1810-280.pdf#page=4","Abrir facsímil")</f>
        <v>Abrir facsímil</v>
      </c>
      <c r="K8646" s="3" t="s">
        <v>23</v>
      </c>
    </row>
    <row r="8647" spans="1:11" ht="42" customHeight="1">
      <c r="A8647" s="2" t="s">
        <v>21621</v>
      </c>
      <c r="B8647" s="2" t="s">
        <v>21622</v>
      </c>
      <c r="C8647" s="2" t="s">
        <v>88</v>
      </c>
      <c r="D8647" s="2" t="s">
        <v>27</v>
      </c>
      <c r="E8647" s="4">
        <v>-32645</v>
      </c>
      <c r="F8647" s="3" t="s">
        <v>122</v>
      </c>
      <c r="G8647" s="3" t="s">
        <v>119</v>
      </c>
      <c r="H8647" s="2" t="s">
        <v>21</v>
      </c>
      <c r="I8647" s="2" t="s">
        <v>21623</v>
      </c>
      <c r="J8647" s="3" t="str">
        <f>HYPERLINK("https://www.boe.es/gazeta/dias/1810/08/14/pdfs/GEI-1810-56.pdf#page=14","Abrir facsímil")</f>
        <v>Abrir facsímil</v>
      </c>
      <c r="K8647" s="3" t="s">
        <v>23</v>
      </c>
    </row>
    <row r="8648" spans="1:11" ht="42" customHeight="1">
      <c r="A8648" s="2" t="s">
        <v>21624</v>
      </c>
      <c r="B8648" s="2" t="s">
        <v>21625</v>
      </c>
      <c r="C8648" s="2" t="s">
        <v>26</v>
      </c>
      <c r="D8648" s="2" t="s">
        <v>27</v>
      </c>
      <c r="E8648" s="4">
        <v>-32526</v>
      </c>
      <c r="F8648" s="3" t="s">
        <v>530</v>
      </c>
      <c r="G8648" s="3" t="s">
        <v>636</v>
      </c>
      <c r="H8648" s="2" t="s">
        <v>21</v>
      </c>
      <c r="I8648" s="2" t="s">
        <v>21626</v>
      </c>
      <c r="J8648" s="3" t="str">
        <f>HYPERLINK("https://www.boe.es/gazeta/dias/1810/12/11/pdfs/GEI-1810-106.pdf#page=3","Abrir facsímil")</f>
        <v>Abrir facsímil</v>
      </c>
      <c r="K8648" s="3" t="s">
        <v>23</v>
      </c>
    </row>
    <row r="8649" spans="1:11" ht="42" customHeight="1">
      <c r="A8649" s="2" t="s">
        <v>21627</v>
      </c>
      <c r="B8649" s="2" t="s">
        <v>21628</v>
      </c>
      <c r="C8649" s="2" t="s">
        <v>225</v>
      </c>
      <c r="D8649" s="2" t="s">
        <v>117</v>
      </c>
      <c r="E8649" s="4">
        <v>-32645</v>
      </c>
      <c r="F8649" s="3" t="s">
        <v>122</v>
      </c>
      <c r="G8649" s="3" t="s">
        <v>588</v>
      </c>
      <c r="H8649" s="2" t="s">
        <v>21</v>
      </c>
      <c r="I8649" s="2" t="s">
        <v>21629</v>
      </c>
      <c r="J8649" s="3" t="str">
        <f>HYPERLINK("https://www.boe.es/gazeta/dias/1810/08/14/pdfs/GEI-1810-56.pdf#page=15","Abrir facsímil")</f>
        <v>Abrir facsímil</v>
      </c>
      <c r="K8649" s="3" t="s">
        <v>23</v>
      </c>
    </row>
    <row r="8650" spans="1:11" ht="42" customHeight="1">
      <c r="A8650" s="2" t="s">
        <v>21630</v>
      </c>
      <c r="B8650" s="2" t="s">
        <v>21631</v>
      </c>
      <c r="C8650" s="2" t="s">
        <v>26</v>
      </c>
      <c r="D8650" s="2" t="s">
        <v>27</v>
      </c>
      <c r="E8650" s="4">
        <v>-32603</v>
      </c>
      <c r="F8650" s="3" t="s">
        <v>2163</v>
      </c>
      <c r="G8650" s="3" t="s">
        <v>29</v>
      </c>
      <c r="H8650" s="2" t="s">
        <v>21</v>
      </c>
      <c r="I8650" s="2" t="s">
        <v>21632</v>
      </c>
      <c r="J8650" s="3" t="str">
        <f>HYPERLINK("https://www.boe.es/gazeta/dias/1810/09/25/pdfs/GEI-1810-72.pdf#page=8","Abrir facsímil")</f>
        <v>Abrir facsímil</v>
      </c>
      <c r="K8650" s="3" t="s">
        <v>23</v>
      </c>
    </row>
    <row r="8651" spans="1:11" ht="42" customHeight="1">
      <c r="A8651" s="2" t="s">
        <v>21633</v>
      </c>
      <c r="B8651" s="2" t="s">
        <v>21634</v>
      </c>
      <c r="C8651" s="2" t="s">
        <v>88</v>
      </c>
      <c r="D8651" s="2" t="s">
        <v>117</v>
      </c>
      <c r="E8651" s="4">
        <v>-32545</v>
      </c>
      <c r="F8651" s="3" t="s">
        <v>165</v>
      </c>
      <c r="G8651" s="3" t="s">
        <v>65</v>
      </c>
      <c r="H8651" s="2" t="s">
        <v>21</v>
      </c>
      <c r="I8651" s="2" t="s">
        <v>21635</v>
      </c>
      <c r="J8651" s="3" t="str">
        <f>HYPERLINK("https://www.boe.es/gazeta/dias/1810/11/22/pdfs/GEI-1810-98.pdf#page=5","Abrir facsímil")</f>
        <v>Abrir facsímil</v>
      </c>
      <c r="K8651" s="3" t="s">
        <v>23</v>
      </c>
    </row>
    <row r="8652" spans="1:11" ht="42" customHeight="1">
      <c r="A8652" s="2" t="s">
        <v>21636</v>
      </c>
      <c r="B8652" s="2" t="s">
        <v>21637</v>
      </c>
      <c r="C8652" s="2" t="s">
        <v>26</v>
      </c>
      <c r="D8652" s="2" t="s">
        <v>27</v>
      </c>
      <c r="E8652" s="4">
        <v>-32729</v>
      </c>
      <c r="F8652" s="3" t="s">
        <v>174</v>
      </c>
      <c r="G8652" s="3" t="s">
        <v>2671</v>
      </c>
      <c r="H8652" s="2" t="s">
        <v>21</v>
      </c>
      <c r="I8652" s="2" t="s">
        <v>21638</v>
      </c>
      <c r="J8652" s="3" t="str">
        <f>HYPERLINK("https://www.boe.es/gazeta/dias/1810/05/22/pdfs/GEI-1810-28.pdf#page=6","Abrir facsímil")</f>
        <v>Abrir facsímil</v>
      </c>
      <c r="K8652" s="3" t="s">
        <v>23</v>
      </c>
    </row>
    <row r="8653" spans="1:11" ht="42" customHeight="1">
      <c r="A8653" s="2" t="s">
        <v>21639</v>
      </c>
      <c r="B8653" s="2" t="s">
        <v>21640</v>
      </c>
      <c r="C8653" s="2" t="s">
        <v>88</v>
      </c>
      <c r="D8653" s="2" t="s">
        <v>117</v>
      </c>
      <c r="E8653" s="4">
        <v>-32629</v>
      </c>
      <c r="F8653" s="3" t="s">
        <v>4320</v>
      </c>
      <c r="G8653" s="3" t="s">
        <v>12670</v>
      </c>
      <c r="H8653" s="2" t="s">
        <v>21</v>
      </c>
      <c r="I8653" s="2" t="s">
        <v>21641</v>
      </c>
      <c r="J8653" s="3" t="str">
        <f>HYPERLINK("https://www.boe.es/gazeta/dias/1810/08/30/pdfs/GEI-1810-61E.pdf#page=2","Abrir facsímil")</f>
        <v>Abrir facsímil</v>
      </c>
      <c r="K8653" s="3" t="s">
        <v>23</v>
      </c>
    </row>
    <row r="8654" spans="1:11" ht="42" customHeight="1">
      <c r="A8654" s="2" t="s">
        <v>21642</v>
      </c>
      <c r="B8654" s="2" t="s">
        <v>21643</v>
      </c>
      <c r="C8654" s="2" t="s">
        <v>26</v>
      </c>
      <c r="D8654" s="2" t="s">
        <v>27</v>
      </c>
      <c r="E8654" s="4">
        <v>-32771</v>
      </c>
      <c r="F8654" s="3" t="s">
        <v>543</v>
      </c>
      <c r="G8654" s="3" t="s">
        <v>65</v>
      </c>
      <c r="H8654" s="2" t="s">
        <v>21</v>
      </c>
      <c r="I8654" s="2" t="s">
        <v>21644</v>
      </c>
      <c r="J8654" s="3" t="str">
        <f>HYPERLINK("https://www.boe.es/gazeta/dias/1810/04/10/pdfs/GEI-1810-13.pdf#page=7","Abrir facsímil")</f>
        <v>Abrir facsímil</v>
      </c>
      <c r="K8654" s="3" t="s">
        <v>23</v>
      </c>
    </row>
    <row r="8655" spans="1:11" ht="42" customHeight="1">
      <c r="A8655" s="2" t="s">
        <v>21645</v>
      </c>
      <c r="B8655" s="2" t="s">
        <v>21646</v>
      </c>
      <c r="C8655" s="2" t="s">
        <v>88</v>
      </c>
      <c r="D8655" s="2" t="s">
        <v>39</v>
      </c>
      <c r="E8655" s="4">
        <v>-32684</v>
      </c>
      <c r="F8655" s="3" t="s">
        <v>372</v>
      </c>
      <c r="G8655" s="3" t="s">
        <v>2049</v>
      </c>
      <c r="H8655" s="2" t="s">
        <v>21</v>
      </c>
      <c r="I8655" s="2" t="s">
        <v>21647</v>
      </c>
      <c r="J8655" s="3" t="str">
        <f>HYPERLINK("https://www.boe.es/gazeta/dias/1810/07/06/pdfs/GEI-D-1810-42.pdf#page=7","Abrir facsímil")</f>
        <v>Abrir facsímil</v>
      </c>
      <c r="K8655" s="3" t="s">
        <v>23</v>
      </c>
    </row>
    <row r="8656" spans="1:11" ht="42" customHeight="1">
      <c r="A8656" s="2" t="s">
        <v>21648</v>
      </c>
      <c r="B8656" s="2" t="s">
        <v>21649</v>
      </c>
      <c r="C8656" s="2" t="s">
        <v>33</v>
      </c>
      <c r="D8656" s="2" t="s">
        <v>27</v>
      </c>
      <c r="E8656" s="4">
        <v>-32704</v>
      </c>
      <c r="F8656" s="3" t="s">
        <v>94</v>
      </c>
      <c r="G8656" s="3" t="s">
        <v>20</v>
      </c>
      <c r="H8656" s="2" t="s">
        <v>21</v>
      </c>
      <c r="I8656" s="2" t="s">
        <v>21650</v>
      </c>
      <c r="J8656" s="3" t="str">
        <f>HYPERLINK("https://www.boe.es/gazeta/dias/1810/06/16/pdfs/GMD-1810-167.pdf#page=4","Abrir facsímil")</f>
        <v>Abrir facsímil</v>
      </c>
      <c r="K8656" s="3" t="s">
        <v>23</v>
      </c>
    </row>
    <row r="8657" spans="1:11" ht="42" customHeight="1">
      <c r="A8657" s="2" t="s">
        <v>21651</v>
      </c>
      <c r="B8657" s="2" t="s">
        <v>21652</v>
      </c>
      <c r="C8657" s="2" t="s">
        <v>26</v>
      </c>
      <c r="D8657" s="2" t="s">
        <v>27</v>
      </c>
      <c r="E8657" s="4">
        <v>-32522</v>
      </c>
      <c r="F8657" s="3" t="s">
        <v>3137</v>
      </c>
      <c r="G8657" s="3" t="s">
        <v>7887</v>
      </c>
      <c r="H8657" s="2" t="s">
        <v>21</v>
      </c>
      <c r="I8657" s="2" t="s">
        <v>21653</v>
      </c>
      <c r="J8657" s="3" t="str">
        <f>HYPERLINK("https://www.boe.es/gazeta/dias/1810/12/15/pdfs/GEI-1810-108.pdf#page=6","Abrir facsímil")</f>
        <v>Abrir facsímil</v>
      </c>
      <c r="K8657" s="3" t="s">
        <v>23</v>
      </c>
    </row>
    <row r="8658" spans="1:11" ht="42" customHeight="1">
      <c r="A8658" s="2" t="s">
        <v>21654</v>
      </c>
      <c r="B8658" s="2" t="s">
        <v>21655</v>
      </c>
      <c r="C8658" s="2" t="s">
        <v>26</v>
      </c>
      <c r="D8658" s="2" t="s">
        <v>27</v>
      </c>
      <c r="E8658" s="4">
        <v>-32645</v>
      </c>
      <c r="F8658" s="3" t="s">
        <v>122</v>
      </c>
      <c r="G8658" s="3" t="s">
        <v>119</v>
      </c>
      <c r="H8658" s="2" t="s">
        <v>21</v>
      </c>
      <c r="I8658" s="2" t="s">
        <v>21656</v>
      </c>
      <c r="J8658" s="3" t="str">
        <f>HYPERLINK("https://www.boe.es/gazeta/dias/1810/08/14/pdfs/GEI-1810-56.pdf#page=14","Abrir facsímil")</f>
        <v>Abrir facsímil</v>
      </c>
      <c r="K8658" s="3" t="s">
        <v>23</v>
      </c>
    </row>
    <row r="8659" spans="1:11" ht="42" customHeight="1">
      <c r="A8659" s="2" t="s">
        <v>21657</v>
      </c>
      <c r="B8659" s="2" t="s">
        <v>21658</v>
      </c>
      <c r="C8659" s="2" t="s">
        <v>225</v>
      </c>
      <c r="D8659" s="2" t="s">
        <v>27</v>
      </c>
      <c r="E8659" s="4">
        <v>-32673</v>
      </c>
      <c r="F8659" s="3" t="s">
        <v>2174</v>
      </c>
      <c r="G8659" s="3" t="s">
        <v>140</v>
      </c>
      <c r="H8659" s="2" t="s">
        <v>21</v>
      </c>
      <c r="I8659" s="2" t="s">
        <v>21659</v>
      </c>
      <c r="J8659" s="3" t="str">
        <f>HYPERLINK("https://www.boe.es/gazeta/dias/1810/07/17/pdfs/GEI-1810-45.pdf#page=8","Abrir facsímil")</f>
        <v>Abrir facsímil</v>
      </c>
      <c r="K8659" s="3" t="s">
        <v>23</v>
      </c>
    </row>
    <row r="8660" spans="1:11" ht="42" customHeight="1">
      <c r="A8660" s="2" t="s">
        <v>21660</v>
      </c>
      <c r="B8660" s="2" t="s">
        <v>21661</v>
      </c>
      <c r="C8660" s="2" t="s">
        <v>88</v>
      </c>
      <c r="D8660" s="2" t="s">
        <v>27</v>
      </c>
      <c r="E8660" s="4">
        <v>-32784</v>
      </c>
      <c r="F8660" s="3" t="s">
        <v>429</v>
      </c>
      <c r="G8660" s="3" t="s">
        <v>131</v>
      </c>
      <c r="H8660" s="2" t="s">
        <v>21</v>
      </c>
      <c r="I8660" s="2" t="s">
        <v>21662</v>
      </c>
      <c r="J8660" s="3" t="str">
        <f>HYPERLINK("https://www.boe.es/gazeta/dias/1810/03/28/pdfs/GMD-1810-87.pdf#page=3","Abrir facsímil")</f>
        <v>Abrir facsímil</v>
      </c>
      <c r="K8660" s="3" t="s">
        <v>23</v>
      </c>
    </row>
    <row r="8661" spans="1:11" ht="42" customHeight="1">
      <c r="A8661" s="2" t="s">
        <v>21663</v>
      </c>
      <c r="B8661" s="2" t="s">
        <v>21664</v>
      </c>
      <c r="C8661" s="2" t="s">
        <v>26</v>
      </c>
      <c r="D8661" s="2" t="s">
        <v>27</v>
      </c>
      <c r="E8661" s="4">
        <v>-32645</v>
      </c>
      <c r="F8661" s="3" t="s">
        <v>122</v>
      </c>
      <c r="G8661" s="3" t="s">
        <v>119</v>
      </c>
      <c r="H8661" s="2" t="s">
        <v>21</v>
      </c>
      <c r="I8661" s="2" t="s">
        <v>21665</v>
      </c>
      <c r="J8661" s="3" t="str">
        <f>HYPERLINK("https://www.boe.es/gazeta/dias/1810/08/14/pdfs/GEI-1810-56.pdf#page=14","Abrir facsímil")</f>
        <v>Abrir facsímil</v>
      </c>
      <c r="K8661" s="3" t="s">
        <v>23</v>
      </c>
    </row>
    <row r="8662" spans="1:11" ht="42" customHeight="1">
      <c r="A8662" s="2" t="s">
        <v>21666</v>
      </c>
      <c r="B8662" s="2" t="s">
        <v>21667</v>
      </c>
      <c r="C8662" s="2" t="s">
        <v>26</v>
      </c>
      <c r="D8662" s="2" t="s">
        <v>27</v>
      </c>
      <c r="E8662" s="4">
        <v>-32837</v>
      </c>
      <c r="F8662" s="3" t="s">
        <v>196</v>
      </c>
      <c r="G8662" s="3" t="s">
        <v>213</v>
      </c>
      <c r="H8662" s="2" t="s">
        <v>21</v>
      </c>
      <c r="I8662" s="2" t="s">
        <v>21668</v>
      </c>
      <c r="J8662" s="3" t="str">
        <f>HYPERLINK("https://www.boe.es/gazeta/dias/1810/02/03/pdfs/GMD-1810-34.pdf#page=2","Abrir facsímil")</f>
        <v>Abrir facsímil</v>
      </c>
      <c r="K8662" s="3" t="s">
        <v>23</v>
      </c>
    </row>
    <row r="8663" spans="1:11" ht="42" customHeight="1">
      <c r="A8663" s="2" t="s">
        <v>21669</v>
      </c>
      <c r="B8663" s="2" t="s">
        <v>21670</v>
      </c>
      <c r="C8663" s="2" t="s">
        <v>26</v>
      </c>
      <c r="D8663" s="2" t="s">
        <v>27</v>
      </c>
      <c r="E8663" s="4">
        <v>-32845</v>
      </c>
      <c r="F8663" s="3" t="s">
        <v>1454</v>
      </c>
      <c r="G8663" s="3" t="s">
        <v>213</v>
      </c>
      <c r="H8663" s="2" t="s">
        <v>21</v>
      </c>
      <c r="I8663" s="2" t="s">
        <v>21671</v>
      </c>
      <c r="J8663" s="3" t="str">
        <f>HYPERLINK("https://www.boe.es/gazeta/dias/1810/01/26/pdfs/GMD-1810-26.pdf#page=4","Abrir facsímil")</f>
        <v>Abrir facsímil</v>
      </c>
      <c r="K8663" s="3" t="s">
        <v>23</v>
      </c>
    </row>
    <row r="8664" spans="1:11" ht="42" customHeight="1">
      <c r="A8664" s="2" t="s">
        <v>21672</v>
      </c>
      <c r="B8664" s="2" t="s">
        <v>21673</v>
      </c>
      <c r="C8664" s="2" t="s">
        <v>26</v>
      </c>
      <c r="D8664" s="2" t="s">
        <v>27</v>
      </c>
      <c r="E8664" s="4">
        <v>-32729</v>
      </c>
      <c r="F8664" s="3" t="s">
        <v>174</v>
      </c>
      <c r="G8664" s="3" t="s">
        <v>2671</v>
      </c>
      <c r="H8664" s="2" t="s">
        <v>21</v>
      </c>
      <c r="I8664" s="2" t="s">
        <v>21674</v>
      </c>
      <c r="J8664" s="3" t="str">
        <f>HYPERLINK("https://www.boe.es/gazeta/dias/1810/05/22/pdfs/GEI-1810-28.pdf#page=6","Abrir facsímil")</f>
        <v>Abrir facsímil</v>
      </c>
      <c r="K8664" s="3" t="s">
        <v>23</v>
      </c>
    </row>
    <row r="8665" spans="1:11" ht="42" customHeight="1">
      <c r="A8665" s="2" t="s">
        <v>21675</v>
      </c>
      <c r="B8665" s="2" t="s">
        <v>21676</v>
      </c>
      <c r="C8665" s="2" t="s">
        <v>88</v>
      </c>
      <c r="D8665" s="2" t="s">
        <v>27</v>
      </c>
      <c r="E8665" s="4">
        <v>-32845</v>
      </c>
      <c r="F8665" s="3" t="s">
        <v>1454</v>
      </c>
      <c r="G8665" s="3" t="s">
        <v>213</v>
      </c>
      <c r="H8665" s="2" t="s">
        <v>21</v>
      </c>
      <c r="I8665" s="2" t="s">
        <v>21677</v>
      </c>
      <c r="J8665" s="3" t="str">
        <f>HYPERLINK("https://www.boe.es/gazeta/dias/1810/01/26/pdfs/GMD-1810-26.pdf#page=4","Abrir facsímil")</f>
        <v>Abrir facsímil</v>
      </c>
      <c r="K8665" s="3" t="s">
        <v>23</v>
      </c>
    </row>
    <row r="8666" spans="1:11" ht="42" customHeight="1">
      <c r="A8666" s="2" t="s">
        <v>21678</v>
      </c>
      <c r="B8666" s="2" t="s">
        <v>21679</v>
      </c>
      <c r="C8666" s="2" t="s">
        <v>26</v>
      </c>
      <c r="D8666" s="2" t="s">
        <v>27</v>
      </c>
      <c r="E8666" s="4">
        <v>-32761</v>
      </c>
      <c r="F8666" s="3" t="s">
        <v>811</v>
      </c>
      <c r="G8666" s="3" t="s">
        <v>140</v>
      </c>
      <c r="H8666" s="2" t="s">
        <v>21</v>
      </c>
      <c r="I8666" s="2" t="s">
        <v>21680</v>
      </c>
      <c r="J8666" s="3" t="str">
        <f>HYPERLINK("https://www.boe.es/gazeta/dias/1810/04/20/pdfs/GEI-1810-16.pdf#page=8","Abrir facsímil")</f>
        <v>Abrir facsímil</v>
      </c>
      <c r="K8666" s="3" t="s">
        <v>23</v>
      </c>
    </row>
    <row r="8667" spans="1:11" ht="42" customHeight="1">
      <c r="A8667" s="2" t="s">
        <v>21681</v>
      </c>
      <c r="B8667" s="2" t="s">
        <v>21682</v>
      </c>
      <c r="C8667" s="2" t="s">
        <v>88</v>
      </c>
      <c r="D8667" s="2" t="s">
        <v>117</v>
      </c>
      <c r="E8667" s="4">
        <v>-32656</v>
      </c>
      <c r="F8667" s="3" t="s">
        <v>1909</v>
      </c>
      <c r="G8667" s="3" t="s">
        <v>227</v>
      </c>
      <c r="H8667" s="2" t="s">
        <v>21</v>
      </c>
      <c r="I8667" s="2" t="s">
        <v>21683</v>
      </c>
      <c r="J8667" s="3" t="str">
        <f>HYPERLINK("https://www.boe.es/gazeta/dias/1810/08/03/pdfs/GEI-1810-50.pdf#page=8","Abrir facsímil")</f>
        <v>Abrir facsímil</v>
      </c>
      <c r="K8667" s="3" t="s">
        <v>23</v>
      </c>
    </row>
    <row r="8668" spans="1:11" ht="42" customHeight="1">
      <c r="A8668" s="2" t="s">
        <v>21684</v>
      </c>
      <c r="B8668" s="2" t="s">
        <v>21685</v>
      </c>
      <c r="C8668" s="2" t="s">
        <v>88</v>
      </c>
      <c r="D8668" s="2" t="s">
        <v>27</v>
      </c>
      <c r="E8668" s="4">
        <v>-32649</v>
      </c>
      <c r="F8668" s="3" t="s">
        <v>190</v>
      </c>
      <c r="G8668" s="3" t="s">
        <v>191</v>
      </c>
      <c r="H8668" s="2" t="s">
        <v>21</v>
      </c>
      <c r="I8668" s="2" t="s">
        <v>21686</v>
      </c>
      <c r="J8668" s="3" t="str">
        <f>HYPERLINK("https://www.boe.es/gazeta/dias/1810/08/10/pdfs/GEI-1810-54.pdf#page=10","Abrir facsímil")</f>
        <v>Abrir facsímil</v>
      </c>
      <c r="K8668" s="3" t="s">
        <v>23</v>
      </c>
    </row>
    <row r="8669" spans="1:11" ht="42" customHeight="1">
      <c r="A8669" s="2" t="s">
        <v>21687</v>
      </c>
      <c r="B8669" s="2" t="s">
        <v>21688</v>
      </c>
      <c r="C8669" s="2" t="s">
        <v>88</v>
      </c>
      <c r="D8669" s="2" t="s">
        <v>117</v>
      </c>
      <c r="E8669" s="4">
        <v>-32789</v>
      </c>
      <c r="F8669" s="3" t="s">
        <v>1468</v>
      </c>
      <c r="G8669" s="3" t="s">
        <v>140</v>
      </c>
      <c r="H8669" s="2" t="s">
        <v>21</v>
      </c>
      <c r="I8669" s="2" t="s">
        <v>21689</v>
      </c>
      <c r="J8669" s="3" t="str">
        <f>HYPERLINK("https://www.boe.es/gazeta/dias/1810/03/23/pdfs/GEI-1810-5.pdf#page=8","Abrir facsímil")</f>
        <v>Abrir facsímil</v>
      </c>
      <c r="K8669" s="3" t="s">
        <v>23</v>
      </c>
    </row>
    <row r="8670" spans="1:11" ht="42" customHeight="1">
      <c r="A8670" s="2" t="s">
        <v>21690</v>
      </c>
      <c r="B8670" s="2" t="s">
        <v>21691</v>
      </c>
      <c r="C8670" s="2" t="s">
        <v>26</v>
      </c>
      <c r="D8670" s="2" t="s">
        <v>18</v>
      </c>
      <c r="E8670" s="4">
        <v>-32729</v>
      </c>
      <c r="F8670" s="3" t="s">
        <v>174</v>
      </c>
      <c r="G8670" s="3" t="s">
        <v>274</v>
      </c>
      <c r="H8670" s="2" t="s">
        <v>21</v>
      </c>
      <c r="I8670" s="2" t="s">
        <v>21692</v>
      </c>
      <c r="J8670" s="3" t="str">
        <f>HYPERLINK("https://www.boe.es/gazeta/dias/1810/05/22/pdfs/GEI-1810-28.pdf#page=8","Abrir facsímil")</f>
        <v>Abrir facsímil</v>
      </c>
      <c r="K8670" s="3" t="s">
        <v>23</v>
      </c>
    </row>
    <row r="8671" spans="1:11" ht="42" customHeight="1">
      <c r="A8671" s="2" t="s">
        <v>21693</v>
      </c>
      <c r="B8671" s="2" t="s">
        <v>21694</v>
      </c>
      <c r="C8671" s="2" t="s">
        <v>111</v>
      </c>
      <c r="D8671" s="2" t="s">
        <v>27</v>
      </c>
      <c r="E8671" s="4">
        <v>-32798</v>
      </c>
      <c r="F8671" s="3" t="s">
        <v>2002</v>
      </c>
      <c r="G8671" s="3" t="s">
        <v>90</v>
      </c>
      <c r="H8671" s="2" t="s">
        <v>21</v>
      </c>
      <c r="I8671" s="2" t="s">
        <v>21695</v>
      </c>
      <c r="J8671" s="3" t="str">
        <f>HYPERLINK("https://www.boe.es/gazeta/dias/1810/03/14/pdfs/GMD-1810-73.pdf#page=4","Abrir facsímil")</f>
        <v>Abrir facsímil</v>
      </c>
      <c r="K8671" s="3" t="s">
        <v>23</v>
      </c>
    </row>
    <row r="8672" spans="1:11" ht="42" customHeight="1">
      <c r="A8672" s="2" t="s">
        <v>21696</v>
      </c>
      <c r="B8672" s="2" t="s">
        <v>21697</v>
      </c>
      <c r="C8672" s="2" t="s">
        <v>88</v>
      </c>
      <c r="D8672" s="2" t="s">
        <v>117</v>
      </c>
      <c r="E8672" s="4">
        <v>-32666</v>
      </c>
      <c r="F8672" s="3" t="s">
        <v>1913</v>
      </c>
      <c r="G8672" s="3" t="s">
        <v>1914</v>
      </c>
      <c r="H8672" s="2" t="s">
        <v>21</v>
      </c>
      <c r="I8672" s="2" t="s">
        <v>21698</v>
      </c>
      <c r="J8672" s="3" t="str">
        <f>HYPERLINK("https://www.boe.es/gazeta/dias/1810/07/24/pdfs/GMD-1810-205.pdf#page=4","Abrir facsímil")</f>
        <v>Abrir facsímil</v>
      </c>
      <c r="K8672" s="3" t="s">
        <v>23</v>
      </c>
    </row>
    <row r="8673" spans="1:11" ht="42" customHeight="1">
      <c r="A8673" s="2" t="s">
        <v>21699</v>
      </c>
      <c r="B8673" s="2" t="s">
        <v>21700</v>
      </c>
      <c r="C8673" s="2" t="s">
        <v>88</v>
      </c>
      <c r="D8673" s="2" t="s">
        <v>27</v>
      </c>
      <c r="E8673" s="4">
        <v>-32603</v>
      </c>
      <c r="F8673" s="3" t="s">
        <v>2163</v>
      </c>
      <c r="G8673" s="3" t="s">
        <v>592</v>
      </c>
      <c r="H8673" s="2" t="s">
        <v>21</v>
      </c>
      <c r="I8673" s="2" t="s">
        <v>21701</v>
      </c>
      <c r="J8673" s="3" t="str">
        <f>HYPERLINK("https://www.boe.es/gazeta/dias/1810/09/25/pdfs/GEI-1810-72.pdf#page=4","Abrir facsímil")</f>
        <v>Abrir facsímil</v>
      </c>
      <c r="K8673" s="3" t="s">
        <v>23</v>
      </c>
    </row>
    <row r="8674" spans="1:11" ht="42" customHeight="1">
      <c r="A8674" s="2" t="s">
        <v>21702</v>
      </c>
      <c r="B8674" s="2" t="s">
        <v>21703</v>
      </c>
      <c r="C8674" s="2" t="s">
        <v>26</v>
      </c>
      <c r="D8674" s="2" t="s">
        <v>27</v>
      </c>
      <c r="E8674" s="4">
        <v>-32771</v>
      </c>
      <c r="F8674" s="3" t="s">
        <v>543</v>
      </c>
      <c r="G8674" s="3" t="s">
        <v>65</v>
      </c>
      <c r="H8674" s="2" t="s">
        <v>21</v>
      </c>
      <c r="I8674" s="2" t="s">
        <v>21704</v>
      </c>
      <c r="J8674" s="3" t="str">
        <f>HYPERLINK("https://www.boe.es/gazeta/dias/1810/04/10/pdfs/GEI-1810-13.pdf#page=7","Abrir facsímil")</f>
        <v>Abrir facsímil</v>
      </c>
      <c r="K8674" s="3" t="s">
        <v>23</v>
      </c>
    </row>
    <row r="8675" spans="1:11" ht="42" customHeight="1">
      <c r="A8675" s="2" t="s">
        <v>21705</v>
      </c>
      <c r="B8675" s="2" t="s">
        <v>21706</v>
      </c>
      <c r="C8675" s="2" t="s">
        <v>88</v>
      </c>
      <c r="D8675" s="2" t="s">
        <v>27</v>
      </c>
      <c r="E8675" s="4">
        <v>-32799</v>
      </c>
      <c r="F8675" s="3" t="s">
        <v>2252</v>
      </c>
      <c r="G8675" s="3" t="s">
        <v>99</v>
      </c>
      <c r="H8675" s="2" t="s">
        <v>21</v>
      </c>
      <c r="I8675" s="2" t="s">
        <v>21707</v>
      </c>
      <c r="J8675" s="3" t="str">
        <f>HYPERLINK("https://www.boe.es/gazeta/dias/1810/03/13/pdfs/GMD-1810-72.pdf#page=3","Abrir facsímil")</f>
        <v>Abrir facsímil</v>
      </c>
      <c r="K8675" s="3" t="s">
        <v>23</v>
      </c>
    </row>
    <row r="8676" spans="1:11" ht="42" customHeight="1">
      <c r="A8676" s="2" t="s">
        <v>21708</v>
      </c>
      <c r="B8676" s="2" t="s">
        <v>21709</v>
      </c>
      <c r="C8676" s="2" t="s">
        <v>88</v>
      </c>
      <c r="D8676" s="2" t="s">
        <v>27</v>
      </c>
      <c r="E8676" s="4">
        <v>-32645</v>
      </c>
      <c r="F8676" s="3" t="s">
        <v>122</v>
      </c>
      <c r="G8676" s="3" t="s">
        <v>119</v>
      </c>
      <c r="H8676" s="2" t="s">
        <v>21</v>
      </c>
      <c r="I8676" s="2" t="s">
        <v>21710</v>
      </c>
      <c r="J8676" s="3" t="str">
        <f>HYPERLINK("https://www.boe.es/gazeta/dias/1810/08/14/pdfs/GEI-1810-56.pdf#page=14","Abrir facsímil")</f>
        <v>Abrir facsímil</v>
      </c>
      <c r="K8676" s="3" t="s">
        <v>23</v>
      </c>
    </row>
    <row r="8677" spans="1:11" ht="42" customHeight="1">
      <c r="A8677" s="2" t="s">
        <v>21711</v>
      </c>
      <c r="B8677" s="2" t="s">
        <v>21712</v>
      </c>
      <c r="C8677" s="2" t="s">
        <v>26</v>
      </c>
      <c r="D8677" s="2" t="s">
        <v>27</v>
      </c>
      <c r="E8677" s="4">
        <v>-32599</v>
      </c>
      <c r="F8677" s="3" t="s">
        <v>6642</v>
      </c>
      <c r="G8677" s="3" t="s">
        <v>2514</v>
      </c>
      <c r="H8677" s="2" t="s">
        <v>21</v>
      </c>
      <c r="I8677" s="2" t="s">
        <v>21713</v>
      </c>
      <c r="J8677" s="3" t="str">
        <f>HYPERLINK("https://www.boe.es/gazeta/dias/1810/09/29/pdfs/GEI-1810-75.pdf#page=5","Abrir facsímil")</f>
        <v>Abrir facsímil</v>
      </c>
      <c r="K8677" s="3" t="s">
        <v>23</v>
      </c>
    </row>
    <row r="8678" spans="1:11" ht="42" customHeight="1">
      <c r="A8678" s="2" t="s">
        <v>21714</v>
      </c>
      <c r="B8678" s="2" t="s">
        <v>21715</v>
      </c>
      <c r="C8678" s="2" t="s">
        <v>88</v>
      </c>
      <c r="D8678" s="2" t="s">
        <v>27</v>
      </c>
      <c r="E8678" s="4">
        <v>-32610</v>
      </c>
      <c r="F8678" s="3" t="s">
        <v>4991</v>
      </c>
      <c r="G8678" s="3" t="s">
        <v>140</v>
      </c>
      <c r="H8678" s="2" t="s">
        <v>21</v>
      </c>
      <c r="I8678" s="2" t="s">
        <v>21716</v>
      </c>
      <c r="J8678" s="3" t="str">
        <f>HYPERLINK("https://www.boe.es/gazeta/dias/1810/09/18/pdfs/GEI-1810-69.pdf#page=8","Abrir facsímil")</f>
        <v>Abrir facsímil</v>
      </c>
      <c r="K8678" s="3" t="s">
        <v>23</v>
      </c>
    </row>
    <row r="8679" spans="1:11" ht="42" customHeight="1">
      <c r="A8679" s="2" t="s">
        <v>21717</v>
      </c>
      <c r="B8679" s="2" t="s">
        <v>21718</v>
      </c>
      <c r="C8679" s="2" t="s">
        <v>17</v>
      </c>
      <c r="D8679" s="2" t="s">
        <v>220</v>
      </c>
      <c r="E8679" s="4">
        <v>-32522</v>
      </c>
      <c r="F8679" s="3" t="s">
        <v>1168</v>
      </c>
      <c r="G8679" s="3" t="s">
        <v>90</v>
      </c>
      <c r="H8679" s="2" t="s">
        <v>21</v>
      </c>
      <c r="I8679" s="2" t="s">
        <v>21719</v>
      </c>
      <c r="J8679" s="3" t="str">
        <f>HYPERLINK("https://www.boe.es/gazeta/dias/1810/12/15/pdfs/GMD-1810-349.pdf#page=3","Abrir facsímil")</f>
        <v>Abrir facsímil</v>
      </c>
      <c r="K8679" s="3" t="s">
        <v>23</v>
      </c>
    </row>
    <row r="8680" spans="1:11" ht="42" customHeight="1">
      <c r="A8680" s="2" t="s">
        <v>21720</v>
      </c>
      <c r="B8680" s="2" t="s">
        <v>21721</v>
      </c>
      <c r="C8680" s="2" t="s">
        <v>88</v>
      </c>
      <c r="D8680" s="2" t="s">
        <v>27</v>
      </c>
      <c r="E8680" s="4">
        <v>-32663</v>
      </c>
      <c r="F8680" s="3" t="s">
        <v>1945</v>
      </c>
      <c r="G8680" s="3" t="s">
        <v>15274</v>
      </c>
      <c r="H8680" s="2" t="s">
        <v>21</v>
      </c>
      <c r="I8680" s="2" t="s">
        <v>21722</v>
      </c>
      <c r="J8680" s="3" t="str">
        <f>HYPERLINK("https://www.boe.es/gazeta/dias/1810/07/27/pdfs/GEI-1810-48.pdf#page=6","Abrir facsímil")</f>
        <v>Abrir facsímil</v>
      </c>
      <c r="K8680" s="3" t="s">
        <v>23</v>
      </c>
    </row>
    <row r="8681" spans="1:11" ht="42" customHeight="1">
      <c r="A8681" s="2" t="s">
        <v>21723</v>
      </c>
      <c r="B8681" s="2" t="s">
        <v>21724</v>
      </c>
      <c r="C8681" s="2" t="s">
        <v>111</v>
      </c>
      <c r="D8681" s="2" t="s">
        <v>27</v>
      </c>
      <c r="E8681" s="4">
        <v>-32522</v>
      </c>
      <c r="F8681" s="3" t="s">
        <v>3137</v>
      </c>
      <c r="G8681" s="3" t="s">
        <v>465</v>
      </c>
      <c r="H8681" s="2" t="s">
        <v>21</v>
      </c>
      <c r="I8681" s="2" t="s">
        <v>21725</v>
      </c>
      <c r="J8681" s="3" t="str">
        <f>HYPERLINK("https://www.boe.es/gazeta/dias/1810/12/15/pdfs/GEI-1810-108.pdf#page=3","Abrir facsímil")</f>
        <v>Abrir facsímil</v>
      </c>
      <c r="K8681" s="3" t="s">
        <v>23</v>
      </c>
    </row>
    <row r="8682" spans="1:11" ht="42" customHeight="1">
      <c r="A8682" s="2" t="s">
        <v>21726</v>
      </c>
      <c r="B8682" s="2" t="s">
        <v>21727</v>
      </c>
      <c r="C8682" s="2" t="s">
        <v>26</v>
      </c>
      <c r="D8682" s="2" t="s">
        <v>27</v>
      </c>
      <c r="E8682" s="4">
        <v>-32666</v>
      </c>
      <c r="F8682" s="3" t="s">
        <v>1913</v>
      </c>
      <c r="G8682" s="3" t="s">
        <v>1914</v>
      </c>
      <c r="H8682" s="2" t="s">
        <v>21</v>
      </c>
      <c r="I8682" s="2" t="s">
        <v>21728</v>
      </c>
      <c r="J8682" s="3" t="str">
        <f>HYPERLINK("https://www.boe.es/gazeta/dias/1810/07/24/pdfs/GMD-1810-205.pdf#page=4","Abrir facsímil")</f>
        <v>Abrir facsímil</v>
      </c>
      <c r="K8682" s="3" t="s">
        <v>23</v>
      </c>
    </row>
    <row r="8683" spans="1:11" ht="42" customHeight="1">
      <c r="A8683" s="2" t="s">
        <v>21729</v>
      </c>
      <c r="B8683" s="2" t="s">
        <v>21730</v>
      </c>
      <c r="C8683" s="2" t="s">
        <v>88</v>
      </c>
      <c r="D8683" s="2" t="s">
        <v>58</v>
      </c>
      <c r="E8683" s="4">
        <v>-32651</v>
      </c>
      <c r="F8683" s="3" t="s">
        <v>59</v>
      </c>
      <c r="G8683" s="3" t="s">
        <v>60</v>
      </c>
      <c r="H8683" s="2" t="s">
        <v>21</v>
      </c>
      <c r="I8683" s="2" t="s">
        <v>21731</v>
      </c>
      <c r="J8683" s="3" t="str">
        <f>HYPERLINK("https://www.boe.es/gazeta/dias/1810/08/08/pdfs/GEI-1810-53E.pdf#page=3","Abrir facsímil")</f>
        <v>Abrir facsímil</v>
      </c>
      <c r="K8683" s="3" t="s">
        <v>23</v>
      </c>
    </row>
    <row r="8684" spans="1:11" ht="42" customHeight="1">
      <c r="A8684" s="2" t="s">
        <v>21732</v>
      </c>
      <c r="B8684" s="2" t="s">
        <v>21733</v>
      </c>
      <c r="C8684" s="2" t="s">
        <v>88</v>
      </c>
      <c r="D8684" s="2" t="s">
        <v>27</v>
      </c>
      <c r="E8684" s="4">
        <v>-32666</v>
      </c>
      <c r="F8684" s="3" t="s">
        <v>346</v>
      </c>
      <c r="G8684" s="3" t="s">
        <v>21092</v>
      </c>
      <c r="H8684" s="2" t="s">
        <v>21</v>
      </c>
      <c r="I8684" s="2" t="s">
        <v>21734</v>
      </c>
      <c r="J8684" s="3" t="str">
        <f>HYPERLINK("https://www.boe.es/gazeta/dias/1810/07/24/pdfs/GEI-1810-47.pdf#page=4","Abrir facsímil")</f>
        <v>Abrir facsímil</v>
      </c>
      <c r="K8684" s="3" t="s">
        <v>23</v>
      </c>
    </row>
    <row r="8685" spans="1:11" ht="42" customHeight="1">
      <c r="A8685" s="2" t="s">
        <v>21735</v>
      </c>
      <c r="B8685" s="2" t="s">
        <v>21736</v>
      </c>
      <c r="C8685" s="2" t="s">
        <v>33</v>
      </c>
      <c r="D8685" s="2" t="s">
        <v>27</v>
      </c>
      <c r="E8685" s="4">
        <v>-32820</v>
      </c>
      <c r="F8685" s="3" t="s">
        <v>226</v>
      </c>
      <c r="G8685" s="3" t="s">
        <v>356</v>
      </c>
      <c r="H8685" s="2" t="s">
        <v>21</v>
      </c>
      <c r="I8685" s="2" t="s">
        <v>21737</v>
      </c>
      <c r="J8685" s="3" t="str">
        <f>HYPERLINK("https://www.boe.es/gazeta/dias/1810/02/20/pdfs/GMD-1810-51.pdf#page=3","Abrir facsímil")</f>
        <v>Abrir facsímil</v>
      </c>
      <c r="K8685" s="3" t="s">
        <v>23</v>
      </c>
    </row>
    <row r="8686" spans="1:11" ht="42" customHeight="1">
      <c r="A8686" s="2" t="s">
        <v>21738</v>
      </c>
      <c r="B8686" s="2" t="s">
        <v>21739</v>
      </c>
      <c r="C8686" s="2" t="s">
        <v>26</v>
      </c>
      <c r="D8686" s="2" t="s">
        <v>27</v>
      </c>
      <c r="E8686" s="4">
        <v>-32543</v>
      </c>
      <c r="F8686" s="3" t="s">
        <v>69</v>
      </c>
      <c r="G8686" s="3" t="s">
        <v>70</v>
      </c>
      <c r="H8686" s="2" t="s">
        <v>21</v>
      </c>
      <c r="I8686" s="2" t="s">
        <v>21740</v>
      </c>
      <c r="J8686" s="3" t="str">
        <f>HYPERLINK("https://www.boe.es/gazeta/dias/1810/11/24/pdfs/GEI-1810-99.pdf#page=8","Abrir facsímil")</f>
        <v>Abrir facsímil</v>
      </c>
      <c r="K8686" s="3" t="s">
        <v>23</v>
      </c>
    </row>
    <row r="8687" spans="1:11" ht="42" customHeight="1">
      <c r="A8687" s="2" t="s">
        <v>21741</v>
      </c>
      <c r="B8687" s="2" t="s">
        <v>21742</v>
      </c>
      <c r="C8687" s="2" t="s">
        <v>88</v>
      </c>
      <c r="D8687" s="2" t="s">
        <v>27</v>
      </c>
      <c r="E8687" s="4">
        <v>-32729</v>
      </c>
      <c r="F8687" s="3" t="s">
        <v>174</v>
      </c>
      <c r="G8687" s="3" t="s">
        <v>2671</v>
      </c>
      <c r="H8687" s="2" t="s">
        <v>21</v>
      </c>
      <c r="I8687" s="2" t="s">
        <v>21743</v>
      </c>
      <c r="J8687" s="3" t="str">
        <f>HYPERLINK("https://www.boe.es/gazeta/dias/1810/05/22/pdfs/GEI-1810-28.pdf#page=6","Abrir facsímil")</f>
        <v>Abrir facsímil</v>
      </c>
      <c r="K8687" s="3" t="s">
        <v>23</v>
      </c>
    </row>
    <row r="8688" spans="1:11" ht="42" customHeight="1">
      <c r="A8688" s="2" t="s">
        <v>21744</v>
      </c>
      <c r="B8688" s="2" t="s">
        <v>21745</v>
      </c>
      <c r="C8688" s="2" t="s">
        <v>17</v>
      </c>
      <c r="D8688" s="2" t="s">
        <v>220</v>
      </c>
      <c r="E8688" s="4">
        <v>-32713</v>
      </c>
      <c r="F8688" s="3" t="s">
        <v>959</v>
      </c>
      <c r="G8688" s="3" t="s">
        <v>960</v>
      </c>
      <c r="H8688" s="2" t="s">
        <v>21</v>
      </c>
      <c r="I8688" s="2" t="s">
        <v>21746</v>
      </c>
      <c r="J8688" s="3" t="str">
        <f>HYPERLINK("https://www.boe.es/gazeta/dias/1810/06/07/pdfs/GMD-1810-158.pdf#page=4","Abrir facsímil")</f>
        <v>Abrir facsímil</v>
      </c>
      <c r="K8688" s="3" t="s">
        <v>23</v>
      </c>
    </row>
    <row r="8689" spans="1:11" ht="42" customHeight="1">
      <c r="A8689" s="2" t="s">
        <v>21747</v>
      </c>
      <c r="B8689" s="2" t="s">
        <v>21748</v>
      </c>
      <c r="C8689" s="2" t="s">
        <v>88</v>
      </c>
      <c r="D8689" s="2" t="s">
        <v>27</v>
      </c>
      <c r="E8689" s="4">
        <v>-32645</v>
      </c>
      <c r="F8689" s="3" t="s">
        <v>122</v>
      </c>
      <c r="G8689" s="3" t="s">
        <v>119</v>
      </c>
      <c r="H8689" s="2" t="s">
        <v>21</v>
      </c>
      <c r="I8689" s="2" t="s">
        <v>21749</v>
      </c>
      <c r="J8689" s="3" t="str">
        <f>HYPERLINK("https://www.boe.es/gazeta/dias/1810/08/14/pdfs/GEI-1810-56.pdf#page=14","Abrir facsímil")</f>
        <v>Abrir facsímil</v>
      </c>
      <c r="K8689" s="3" t="s">
        <v>23</v>
      </c>
    </row>
    <row r="8690" spans="1:11" ht="42" customHeight="1">
      <c r="A8690" s="2" t="s">
        <v>21750</v>
      </c>
      <c r="B8690" s="2" t="s">
        <v>21751</v>
      </c>
      <c r="C8690" s="2" t="s">
        <v>26</v>
      </c>
      <c r="D8690" s="2" t="s">
        <v>27</v>
      </c>
      <c r="E8690" s="4">
        <v>-32756</v>
      </c>
      <c r="F8690" s="3" t="s">
        <v>203</v>
      </c>
      <c r="G8690" s="3" t="s">
        <v>180</v>
      </c>
      <c r="H8690" s="2" t="s">
        <v>21</v>
      </c>
      <c r="I8690" s="2" t="s">
        <v>21752</v>
      </c>
      <c r="J8690" s="3" t="str">
        <f>HYPERLINK("https://www.boe.es/gazeta/dias/1810/04/25/pdfs/GMD-1810-115.pdf#page=4","Abrir facsímil")</f>
        <v>Abrir facsímil</v>
      </c>
      <c r="K8690" s="3" t="s">
        <v>23</v>
      </c>
    </row>
    <row r="8691" spans="1:11" ht="42" customHeight="1">
      <c r="A8691" s="2" t="s">
        <v>21753</v>
      </c>
      <c r="B8691" s="2" t="s">
        <v>21754</v>
      </c>
      <c r="C8691" s="2" t="s">
        <v>26</v>
      </c>
      <c r="D8691" s="2" t="s">
        <v>39</v>
      </c>
      <c r="E8691" s="4">
        <v>-32701</v>
      </c>
      <c r="F8691" s="3" t="s">
        <v>40</v>
      </c>
      <c r="G8691" s="3" t="s">
        <v>41</v>
      </c>
      <c r="H8691" s="2" t="s">
        <v>21</v>
      </c>
      <c r="I8691" s="2" t="s">
        <v>21755</v>
      </c>
      <c r="J8691" s="3" t="str">
        <f>HYPERLINK("https://www.boe.es/gazeta/dias/1810/06/19/pdfs/GMD-C-1810-170.pdf#page=3","Abrir facsímil")</f>
        <v>Abrir facsímil</v>
      </c>
      <c r="K8691" s="3" t="s">
        <v>23</v>
      </c>
    </row>
    <row r="8692" spans="1:11" ht="42" customHeight="1">
      <c r="A8692" s="2" t="s">
        <v>21756</v>
      </c>
      <c r="B8692" s="2" t="s">
        <v>21757</v>
      </c>
      <c r="C8692" s="2" t="s">
        <v>26</v>
      </c>
      <c r="D8692" s="2" t="s">
        <v>27</v>
      </c>
      <c r="E8692" s="4">
        <v>-32756</v>
      </c>
      <c r="F8692" s="3" t="s">
        <v>203</v>
      </c>
      <c r="G8692" s="3" t="s">
        <v>180</v>
      </c>
      <c r="H8692" s="2" t="s">
        <v>21</v>
      </c>
      <c r="I8692" s="2" t="s">
        <v>21758</v>
      </c>
      <c r="J8692" s="3" t="str">
        <f>HYPERLINK("https://www.boe.es/gazeta/dias/1810/04/25/pdfs/GMD-1810-115.pdf#page=4","Abrir facsímil")</f>
        <v>Abrir facsímil</v>
      </c>
      <c r="K8692" s="3" t="s">
        <v>23</v>
      </c>
    </row>
    <row r="8693" spans="1:11" ht="42" customHeight="1">
      <c r="A8693" s="2" t="s">
        <v>21759</v>
      </c>
      <c r="B8693" s="2" t="s">
        <v>21760</v>
      </c>
      <c r="C8693" s="2" t="s">
        <v>225</v>
      </c>
      <c r="D8693" s="2" t="s">
        <v>18</v>
      </c>
      <c r="E8693" s="4">
        <v>-32766</v>
      </c>
      <c r="F8693" s="3" t="s">
        <v>492</v>
      </c>
      <c r="G8693" s="3" t="s">
        <v>493</v>
      </c>
      <c r="H8693" s="2" t="s">
        <v>21</v>
      </c>
      <c r="I8693" s="2" t="s">
        <v>21761</v>
      </c>
      <c r="J8693" s="3" t="str">
        <f>HYPERLINK("https://www.boe.es/gazeta/dias/1810/04/15/pdfs/GMD-1810-105.pdf#page=4","Abrir facsímil")</f>
        <v>Abrir facsímil</v>
      </c>
      <c r="K8693" s="3" t="s">
        <v>23</v>
      </c>
    </row>
    <row r="8694" spans="1:11" ht="42" customHeight="1">
      <c r="A8694" s="2" t="s">
        <v>21762</v>
      </c>
      <c r="B8694" s="2" t="s">
        <v>21763</v>
      </c>
      <c r="C8694" s="2" t="s">
        <v>17</v>
      </c>
      <c r="D8694" s="2" t="s">
        <v>27</v>
      </c>
      <c r="E8694" s="4">
        <v>-32695</v>
      </c>
      <c r="F8694" s="3" t="s">
        <v>1646</v>
      </c>
      <c r="G8694" s="3" t="s">
        <v>29</v>
      </c>
      <c r="H8694" s="2" t="s">
        <v>21</v>
      </c>
      <c r="I8694" s="2" t="s">
        <v>21764</v>
      </c>
      <c r="J8694" s="3" t="str">
        <f>HYPERLINK("https://www.boe.es/gazeta/dias/1810/06/25/pdfs/GMD-1810-176.pdf#page=4","Abrir facsímil")</f>
        <v>Abrir facsímil</v>
      </c>
      <c r="K8694" s="3" t="s">
        <v>23</v>
      </c>
    </row>
    <row r="8695" spans="1:11" ht="42" customHeight="1">
      <c r="A8695" s="2" t="s">
        <v>21765</v>
      </c>
      <c r="B8695" s="2" t="s">
        <v>21766</v>
      </c>
      <c r="C8695" s="2" t="s">
        <v>26</v>
      </c>
      <c r="D8695" s="2" t="s">
        <v>27</v>
      </c>
      <c r="E8695" s="4">
        <v>-32716</v>
      </c>
      <c r="F8695" s="3" t="s">
        <v>624</v>
      </c>
      <c r="G8695" s="3" t="s">
        <v>140</v>
      </c>
      <c r="H8695" s="2" t="s">
        <v>21</v>
      </c>
      <c r="I8695" s="2" t="s">
        <v>21767</v>
      </c>
      <c r="J8695" s="3" t="str">
        <f>HYPERLINK("https://www.boe.es/gazeta/dias/1810/06/04/pdfs/GMD-1810-155.pdf#page=4","Abrir facsímil")</f>
        <v>Abrir facsímil</v>
      </c>
      <c r="K8695" s="3" t="s">
        <v>23</v>
      </c>
    </row>
    <row r="8696" spans="1:11" ht="42" customHeight="1">
      <c r="A8696" s="2" t="s">
        <v>21768</v>
      </c>
      <c r="B8696" s="2" t="s">
        <v>21769</v>
      </c>
      <c r="C8696" s="2" t="s">
        <v>88</v>
      </c>
      <c r="D8696" s="2" t="s">
        <v>27</v>
      </c>
      <c r="E8696" s="4">
        <v>-32732</v>
      </c>
      <c r="F8696" s="3" t="s">
        <v>545</v>
      </c>
      <c r="G8696" s="3" t="s">
        <v>90</v>
      </c>
      <c r="H8696" s="2" t="s">
        <v>21</v>
      </c>
      <c r="I8696" s="2" t="s">
        <v>21770</v>
      </c>
      <c r="J8696" s="3" t="str">
        <f>HYPERLINK("https://www.boe.es/gazeta/dias/1810/05/19/pdfs/GMD-1810-139.pdf#page=4","Abrir facsímil")</f>
        <v>Abrir facsímil</v>
      </c>
      <c r="K8696" s="3" t="s">
        <v>23</v>
      </c>
    </row>
    <row r="8697" spans="1:11" ht="42" customHeight="1">
      <c r="A8697" s="2" t="s">
        <v>21771</v>
      </c>
      <c r="B8697" s="2" t="s">
        <v>21772</v>
      </c>
      <c r="C8697" s="2" t="s">
        <v>225</v>
      </c>
      <c r="D8697" s="2" t="s">
        <v>27</v>
      </c>
      <c r="E8697" s="4">
        <v>-32729</v>
      </c>
      <c r="F8697" s="3" t="s">
        <v>174</v>
      </c>
      <c r="G8697" s="3" t="s">
        <v>70</v>
      </c>
      <c r="H8697" s="2" t="s">
        <v>21</v>
      </c>
      <c r="I8697" s="2" t="s">
        <v>21773</v>
      </c>
      <c r="J8697" s="3" t="str">
        <f>HYPERLINK("https://www.boe.es/gazeta/dias/1810/05/22/pdfs/GEI-1810-28.pdf#page=7","Abrir facsímil")</f>
        <v>Abrir facsímil</v>
      </c>
      <c r="K8697" s="3" t="s">
        <v>23</v>
      </c>
    </row>
    <row r="8698" spans="1:11" ht="42" customHeight="1">
      <c r="A8698" s="2" t="s">
        <v>21774</v>
      </c>
      <c r="B8698" s="2" t="s">
        <v>21775</v>
      </c>
      <c r="C8698" s="2" t="s">
        <v>26</v>
      </c>
      <c r="D8698" s="2" t="s">
        <v>27</v>
      </c>
      <c r="E8698" s="4">
        <v>-32508</v>
      </c>
      <c r="F8698" s="3" t="s">
        <v>864</v>
      </c>
      <c r="G8698" s="3" t="s">
        <v>691</v>
      </c>
      <c r="H8698" s="2" t="s">
        <v>21</v>
      </c>
      <c r="I8698" s="2" t="s">
        <v>21776</v>
      </c>
      <c r="J8698" s="3" t="str">
        <f>HYPERLINK("https://www.boe.es/gazeta/dias/1810/12/29/pdfs/GEI-1810-114.pdf#page=8","Abrir facsímil")</f>
        <v>Abrir facsímil</v>
      </c>
      <c r="K8698" s="3" t="s">
        <v>23</v>
      </c>
    </row>
    <row r="8699" spans="1:11" ht="42" customHeight="1">
      <c r="A8699" s="2" t="s">
        <v>21777</v>
      </c>
      <c r="B8699" s="2" t="s">
        <v>21778</v>
      </c>
      <c r="C8699" s="2" t="s">
        <v>88</v>
      </c>
      <c r="D8699" s="2" t="s">
        <v>117</v>
      </c>
      <c r="E8699" s="4">
        <v>-32645</v>
      </c>
      <c r="F8699" s="3" t="s">
        <v>122</v>
      </c>
      <c r="G8699" s="3" t="s">
        <v>588</v>
      </c>
      <c r="H8699" s="2" t="s">
        <v>21</v>
      </c>
      <c r="I8699" s="2" t="s">
        <v>21779</v>
      </c>
      <c r="J8699" s="3" t="str">
        <f>HYPERLINK("https://www.boe.es/gazeta/dias/1810/08/14/pdfs/GEI-1810-56.pdf#page=15","Abrir facsímil")</f>
        <v>Abrir facsímil</v>
      </c>
      <c r="K8699" s="3" t="s">
        <v>23</v>
      </c>
    </row>
    <row r="8700" spans="1:11" ht="42" customHeight="1">
      <c r="A8700" s="2" t="s">
        <v>21780</v>
      </c>
      <c r="B8700" s="2" t="s">
        <v>21781</v>
      </c>
      <c r="C8700" s="2" t="s">
        <v>88</v>
      </c>
      <c r="D8700" s="2" t="s">
        <v>27</v>
      </c>
      <c r="E8700" s="4">
        <v>-32517</v>
      </c>
      <c r="F8700" s="3" t="s">
        <v>566</v>
      </c>
      <c r="G8700" s="3" t="s">
        <v>2186</v>
      </c>
      <c r="H8700" s="2" t="s">
        <v>21</v>
      </c>
      <c r="I8700" s="2" t="s">
        <v>21782</v>
      </c>
      <c r="J8700" s="3" t="str">
        <f>HYPERLINK("https://www.boe.es/gazeta/dias/1810/12/20/pdfs/GEI-1810-110.pdf#page=6","Abrir facsímil")</f>
        <v>Abrir facsímil</v>
      </c>
      <c r="K8700" s="3" t="s">
        <v>23</v>
      </c>
    </row>
    <row r="8701" spans="1:11" ht="42" customHeight="1">
      <c r="A8701" s="2" t="s">
        <v>21783</v>
      </c>
      <c r="B8701" s="2" t="s">
        <v>21784</v>
      </c>
      <c r="C8701" s="2" t="s">
        <v>88</v>
      </c>
      <c r="D8701" s="2" t="s">
        <v>117</v>
      </c>
      <c r="E8701" s="4">
        <v>-32729</v>
      </c>
      <c r="F8701" s="3" t="s">
        <v>174</v>
      </c>
      <c r="G8701" s="3" t="s">
        <v>70</v>
      </c>
      <c r="H8701" s="2" t="s">
        <v>21</v>
      </c>
      <c r="I8701" s="2" t="s">
        <v>21785</v>
      </c>
      <c r="J8701" s="3" t="str">
        <f>HYPERLINK("https://www.boe.es/gazeta/dias/1810/05/22/pdfs/GEI-1810-28.pdf#page=7","Abrir facsímil")</f>
        <v>Abrir facsímil</v>
      </c>
      <c r="K8701" s="3" t="s">
        <v>23</v>
      </c>
    </row>
    <row r="8702" spans="1:11" ht="42" customHeight="1">
      <c r="A8702" s="2" t="s">
        <v>21786</v>
      </c>
      <c r="B8702" s="2" t="s">
        <v>21787</v>
      </c>
      <c r="C8702" s="2" t="s">
        <v>225</v>
      </c>
      <c r="D8702" s="2" t="s">
        <v>27</v>
      </c>
      <c r="E8702" s="4">
        <v>-32860</v>
      </c>
      <c r="F8702" s="3" t="s">
        <v>3662</v>
      </c>
      <c r="G8702" s="3" t="s">
        <v>1540</v>
      </c>
      <c r="H8702" s="2" t="s">
        <v>21</v>
      </c>
      <c r="I8702" s="2" t="s">
        <v>21788</v>
      </c>
      <c r="J8702" s="3" t="str">
        <f>HYPERLINK("https://www.boe.es/gazeta/dias/1810/01/11/pdfs/GMD-1810-11.pdf#page=2","Abrir facsímil")</f>
        <v>Abrir facsímil</v>
      </c>
      <c r="K8702" s="3" t="s">
        <v>23</v>
      </c>
    </row>
    <row r="8703" spans="1:11" ht="42" customHeight="1">
      <c r="A8703" s="2" t="s">
        <v>21789</v>
      </c>
      <c r="B8703" s="2" t="s">
        <v>21790</v>
      </c>
      <c r="C8703" s="2" t="s">
        <v>26</v>
      </c>
      <c r="D8703" s="2" t="s">
        <v>27</v>
      </c>
      <c r="E8703" s="4">
        <v>-32645</v>
      </c>
      <c r="F8703" s="3" t="s">
        <v>122</v>
      </c>
      <c r="G8703" s="3" t="s">
        <v>119</v>
      </c>
      <c r="H8703" s="2" t="s">
        <v>21</v>
      </c>
      <c r="I8703" s="2" t="s">
        <v>21791</v>
      </c>
      <c r="J8703" s="3" t="str">
        <f>HYPERLINK("https://www.boe.es/gazeta/dias/1810/08/14/pdfs/GEI-1810-56.pdf#page=14","Abrir facsímil")</f>
        <v>Abrir facsímil</v>
      </c>
      <c r="K8703" s="3" t="s">
        <v>23</v>
      </c>
    </row>
    <row r="8704" spans="1:11" ht="42" customHeight="1">
      <c r="A8704" s="2" t="s">
        <v>21792</v>
      </c>
      <c r="B8704" s="2" t="s">
        <v>21793</v>
      </c>
      <c r="C8704" s="2" t="s">
        <v>26</v>
      </c>
      <c r="D8704" s="2" t="s">
        <v>27</v>
      </c>
      <c r="E8704" s="4">
        <v>-32729</v>
      </c>
      <c r="F8704" s="3" t="s">
        <v>174</v>
      </c>
      <c r="G8704" s="3" t="s">
        <v>70</v>
      </c>
      <c r="H8704" s="2" t="s">
        <v>21</v>
      </c>
      <c r="I8704" s="2" t="s">
        <v>21794</v>
      </c>
      <c r="J8704" s="3" t="str">
        <f>HYPERLINK("https://www.boe.es/gazeta/dias/1810/05/22/pdfs/GEI-1810-28.pdf#page=7","Abrir facsímil")</f>
        <v>Abrir facsímil</v>
      </c>
      <c r="K8704" s="3" t="s">
        <v>23</v>
      </c>
    </row>
    <row r="8705" spans="1:11" ht="42" customHeight="1">
      <c r="A8705" s="2" t="s">
        <v>21795</v>
      </c>
      <c r="B8705" s="2" t="s">
        <v>21796</v>
      </c>
      <c r="C8705" s="2" t="s">
        <v>33</v>
      </c>
      <c r="D8705" s="2" t="s">
        <v>27</v>
      </c>
      <c r="E8705" s="4">
        <v>-32733</v>
      </c>
      <c r="F8705" s="3" t="s">
        <v>955</v>
      </c>
      <c r="G8705" s="3" t="s">
        <v>20</v>
      </c>
      <c r="H8705" s="2" t="s">
        <v>21</v>
      </c>
      <c r="I8705" s="2" t="s">
        <v>21797</v>
      </c>
      <c r="J8705" s="3" t="str">
        <f>HYPERLINK("https://www.boe.es/gazeta/dias/1810/05/18/pdfs/GEI-1810-27.pdf#page=4","Abrir facsímil")</f>
        <v>Abrir facsímil</v>
      </c>
      <c r="K8705" s="3" t="s">
        <v>23</v>
      </c>
    </row>
    <row r="8706" spans="1:11" ht="42" customHeight="1">
      <c r="A8706" s="2" t="s">
        <v>21798</v>
      </c>
      <c r="B8706" s="2" t="s">
        <v>21799</v>
      </c>
      <c r="C8706" s="2" t="s">
        <v>26</v>
      </c>
      <c r="D8706" s="2" t="s">
        <v>27</v>
      </c>
      <c r="E8706" s="4">
        <v>-32631</v>
      </c>
      <c r="F8706" s="3" t="s">
        <v>497</v>
      </c>
      <c r="G8706" s="3" t="s">
        <v>498</v>
      </c>
      <c r="H8706" s="2" t="s">
        <v>21</v>
      </c>
      <c r="I8706" s="2" t="s">
        <v>21800</v>
      </c>
      <c r="J8706" s="3" t="str">
        <f>HYPERLINK("https://www.boe.es/gazeta/dias/1810/08/28/pdfs/GMD-1810-240.pdf#page=2","Abrir facsímil")</f>
        <v>Abrir facsímil</v>
      </c>
      <c r="K8706" s="3" t="s">
        <v>23</v>
      </c>
    </row>
    <row r="8707" spans="1:11" ht="42" customHeight="1">
      <c r="A8707" s="2" t="s">
        <v>21801</v>
      </c>
      <c r="B8707" s="2" t="s">
        <v>21802</v>
      </c>
      <c r="C8707" s="2" t="s">
        <v>317</v>
      </c>
      <c r="D8707" s="2" t="s">
        <v>27</v>
      </c>
      <c r="E8707" s="4">
        <v>-32666</v>
      </c>
      <c r="F8707" s="3" t="s">
        <v>346</v>
      </c>
      <c r="G8707" s="3" t="s">
        <v>21092</v>
      </c>
      <c r="H8707" s="2" t="s">
        <v>21</v>
      </c>
      <c r="I8707" s="2" t="s">
        <v>21803</v>
      </c>
      <c r="J8707" s="3" t="str">
        <f>HYPERLINK("https://www.boe.es/gazeta/dias/1810/07/24/pdfs/GEI-1810-47.pdf#page=4","Abrir facsímil")</f>
        <v>Abrir facsímil</v>
      </c>
      <c r="K8707" s="3" t="s">
        <v>23</v>
      </c>
    </row>
    <row r="8708" spans="1:11" ht="42" customHeight="1">
      <c r="A8708" s="2" t="s">
        <v>21804</v>
      </c>
      <c r="B8708" s="2" t="s">
        <v>21805</v>
      </c>
      <c r="C8708" s="2" t="s">
        <v>88</v>
      </c>
      <c r="D8708" s="2" t="s">
        <v>117</v>
      </c>
      <c r="E8708" s="4">
        <v>-32705</v>
      </c>
      <c r="F8708" s="3" t="s">
        <v>1158</v>
      </c>
      <c r="G8708" s="3" t="s">
        <v>1711</v>
      </c>
      <c r="H8708" s="2" t="s">
        <v>21</v>
      </c>
      <c r="I8708" s="2" t="s">
        <v>21806</v>
      </c>
      <c r="J8708" s="3" t="str">
        <f>HYPERLINK("https://www.boe.es/gazeta/dias/1810/06/15/pdfs/GMD-1810-166.pdf#page=4","Abrir facsímil")</f>
        <v>Abrir facsímil</v>
      </c>
      <c r="K8708" s="3" t="s">
        <v>23</v>
      </c>
    </row>
    <row r="8709" spans="1:11" ht="42" customHeight="1">
      <c r="A8709" s="2" t="s">
        <v>21807</v>
      </c>
      <c r="B8709" s="2" t="s">
        <v>21808</v>
      </c>
      <c r="C8709" s="2" t="s">
        <v>88</v>
      </c>
      <c r="D8709" s="2" t="s">
        <v>27</v>
      </c>
      <c r="E8709" s="4">
        <v>-32545</v>
      </c>
      <c r="F8709" s="3" t="s">
        <v>165</v>
      </c>
      <c r="G8709" s="3" t="s">
        <v>1516</v>
      </c>
      <c r="H8709" s="2" t="s">
        <v>21</v>
      </c>
      <c r="I8709" s="2" t="s">
        <v>21809</v>
      </c>
      <c r="J8709" s="3" t="str">
        <f>HYPERLINK("https://www.boe.es/gazeta/dias/1810/11/22/pdfs/GEI-1810-98.pdf#page=7","Abrir facsímil")</f>
        <v>Abrir facsímil</v>
      </c>
      <c r="K8709" s="3" t="s">
        <v>23</v>
      </c>
    </row>
    <row r="8710" spans="1:11" ht="42" customHeight="1">
      <c r="A8710" s="2" t="s">
        <v>21810</v>
      </c>
      <c r="B8710" s="2" t="s">
        <v>21811</v>
      </c>
      <c r="C8710" s="2" t="s">
        <v>225</v>
      </c>
      <c r="D8710" s="2" t="s">
        <v>27</v>
      </c>
      <c r="E8710" s="4">
        <v>-32673</v>
      </c>
      <c r="F8710" s="3" t="s">
        <v>2174</v>
      </c>
      <c r="G8710" s="3" t="s">
        <v>5512</v>
      </c>
      <c r="H8710" s="2" t="s">
        <v>21</v>
      </c>
      <c r="I8710" s="2" t="s">
        <v>21812</v>
      </c>
      <c r="J8710" s="3" t="str">
        <f>HYPERLINK("https://www.boe.es/gazeta/dias/1810/07/17/pdfs/GEI-1810-45.pdf#page=12","Abrir facsímil")</f>
        <v>Abrir facsímil</v>
      </c>
      <c r="K8710" s="3" t="s">
        <v>23</v>
      </c>
    </row>
    <row r="8711" spans="1:11" ht="42" customHeight="1">
      <c r="A8711" s="2" t="s">
        <v>21813</v>
      </c>
      <c r="B8711" s="2" t="s">
        <v>21814</v>
      </c>
      <c r="C8711" s="2" t="s">
        <v>26</v>
      </c>
      <c r="D8711" s="2" t="s">
        <v>27</v>
      </c>
      <c r="E8711" s="4">
        <v>-32802</v>
      </c>
      <c r="F8711" s="3" t="s">
        <v>1075</v>
      </c>
      <c r="G8711" s="3" t="s">
        <v>213</v>
      </c>
      <c r="H8711" s="2" t="s">
        <v>21</v>
      </c>
      <c r="I8711" s="2" t="s">
        <v>21815</v>
      </c>
      <c r="J8711" s="3" t="str">
        <f>HYPERLINK("https://www.boe.es/gazeta/dias/1810/03/10/pdfs/GMD-1810-69.pdf#page=4","Abrir facsímil")</f>
        <v>Abrir facsímil</v>
      </c>
      <c r="K8711" s="3" t="s">
        <v>23</v>
      </c>
    </row>
    <row r="8712" spans="1:11" ht="42" customHeight="1">
      <c r="A8712" s="2" t="s">
        <v>21816</v>
      </c>
      <c r="B8712" s="2" t="s">
        <v>21817</v>
      </c>
      <c r="C8712" s="2" t="s">
        <v>88</v>
      </c>
      <c r="D8712" s="2" t="s">
        <v>27</v>
      </c>
      <c r="E8712" s="4">
        <v>-32802</v>
      </c>
      <c r="F8712" s="3" t="s">
        <v>1075</v>
      </c>
      <c r="G8712" s="3" t="s">
        <v>213</v>
      </c>
      <c r="H8712" s="2" t="s">
        <v>21</v>
      </c>
      <c r="I8712" s="2" t="s">
        <v>21818</v>
      </c>
      <c r="J8712" s="3" t="str">
        <f>HYPERLINK("https://www.boe.es/gazeta/dias/1810/03/10/pdfs/GMD-1810-69.pdf#page=4","Abrir facsímil")</f>
        <v>Abrir facsímil</v>
      </c>
      <c r="K8712" s="3" t="s">
        <v>23</v>
      </c>
    </row>
    <row r="8713" spans="1:11" ht="42" customHeight="1">
      <c r="A8713" s="2" t="s">
        <v>21819</v>
      </c>
      <c r="B8713" s="2" t="s">
        <v>21820</v>
      </c>
      <c r="C8713" s="2" t="s">
        <v>88</v>
      </c>
      <c r="D8713" s="2" t="s">
        <v>58</v>
      </c>
      <c r="E8713" s="4">
        <v>-32651</v>
      </c>
      <c r="F8713" s="3" t="s">
        <v>59</v>
      </c>
      <c r="G8713" s="3" t="s">
        <v>5204</v>
      </c>
      <c r="H8713" s="2" t="s">
        <v>21</v>
      </c>
      <c r="I8713" s="2" t="s">
        <v>21821</v>
      </c>
      <c r="J8713" s="3" t="str">
        <f>HYPERLINK("https://www.boe.es/gazeta/dias/1810/08/08/pdfs/GEI-1810-53E.pdf#page=10","Abrir facsímil")</f>
        <v>Abrir facsímil</v>
      </c>
      <c r="K8713" s="3" t="s">
        <v>23</v>
      </c>
    </row>
    <row r="8714" spans="1:11" ht="42" customHeight="1">
      <c r="A8714" s="2" t="s">
        <v>21822</v>
      </c>
      <c r="B8714" s="2" t="s">
        <v>21823</v>
      </c>
      <c r="C8714" s="2" t="s">
        <v>88</v>
      </c>
      <c r="D8714" s="2" t="s">
        <v>117</v>
      </c>
      <c r="E8714" s="4">
        <v>-32719</v>
      </c>
      <c r="F8714" s="3" t="s">
        <v>5543</v>
      </c>
      <c r="G8714" s="3" t="s">
        <v>4502</v>
      </c>
      <c r="H8714" s="2" t="s">
        <v>21</v>
      </c>
      <c r="I8714" s="2" t="s">
        <v>21824</v>
      </c>
      <c r="J8714" s="3" t="str">
        <f>HYPERLINK("https://www.boe.es/gazeta/dias/1810/06/01/pdfs/GEI-1810-32.pdf#page=5","Abrir facsímil")</f>
        <v>Abrir facsímil</v>
      </c>
      <c r="K8714" s="3" t="s">
        <v>23</v>
      </c>
    </row>
    <row r="8715" spans="1:11" ht="42" customHeight="1">
      <c r="A8715" s="2" t="s">
        <v>21825</v>
      </c>
      <c r="B8715" s="2" t="s">
        <v>21826</v>
      </c>
      <c r="C8715" s="2" t="s">
        <v>26</v>
      </c>
      <c r="D8715" s="2" t="s">
        <v>27</v>
      </c>
      <c r="E8715" s="4">
        <v>-32557</v>
      </c>
      <c r="F8715" s="3" t="s">
        <v>837</v>
      </c>
      <c r="G8715" s="3" t="s">
        <v>2073</v>
      </c>
      <c r="H8715" s="2" t="s">
        <v>21</v>
      </c>
      <c r="I8715" s="2" t="s">
        <v>21827</v>
      </c>
      <c r="J8715" s="3" t="str">
        <f>HYPERLINK("https://www.boe.es/gazeta/dias/1810/11/10/pdfs/GEI-1810-93.pdf#page=7","Abrir facsímil")</f>
        <v>Abrir facsímil</v>
      </c>
      <c r="K8715" s="3" t="s">
        <v>23</v>
      </c>
    </row>
    <row r="8716" spans="1:11" ht="42" customHeight="1">
      <c r="A8716" s="2" t="s">
        <v>21828</v>
      </c>
      <c r="B8716" s="2" t="s">
        <v>21829</v>
      </c>
      <c r="C8716" s="2" t="s">
        <v>88</v>
      </c>
      <c r="D8716" s="2" t="s">
        <v>27</v>
      </c>
      <c r="E8716" s="4">
        <v>-32545</v>
      </c>
      <c r="F8716" s="3" t="s">
        <v>165</v>
      </c>
      <c r="G8716" s="3" t="s">
        <v>166</v>
      </c>
      <c r="H8716" s="2" t="s">
        <v>21</v>
      </c>
      <c r="I8716" s="2" t="s">
        <v>21830</v>
      </c>
      <c r="J8716" s="3" t="str">
        <f>HYPERLINK("https://www.boe.es/gazeta/dias/1810/11/22/pdfs/GEI-1810-98.pdf#page=8","Abrir facsímil")</f>
        <v>Abrir facsímil</v>
      </c>
      <c r="K8716" s="3" t="s">
        <v>23</v>
      </c>
    </row>
    <row r="8717" spans="1:11" ht="42" customHeight="1">
      <c r="A8717" s="2" t="s">
        <v>21831</v>
      </c>
      <c r="B8717" s="2" t="s">
        <v>21832</v>
      </c>
      <c r="C8717" s="2" t="s">
        <v>26</v>
      </c>
      <c r="D8717" s="2" t="s">
        <v>27</v>
      </c>
      <c r="E8717" s="4">
        <v>-32533</v>
      </c>
      <c r="F8717" s="3" t="s">
        <v>1357</v>
      </c>
      <c r="G8717" s="3" t="s">
        <v>1894</v>
      </c>
      <c r="H8717" s="2" t="s">
        <v>21</v>
      </c>
      <c r="I8717" s="2" t="s">
        <v>21833</v>
      </c>
      <c r="J8717" s="3" t="str">
        <f>HYPERLINK("https://www.boe.es/gazeta/dias/1810/12/04/pdfs/GEI-1810-103.pdf#page=7","Abrir facsímil")</f>
        <v>Abrir facsímil</v>
      </c>
      <c r="K8717" s="3" t="s">
        <v>23</v>
      </c>
    </row>
    <row r="8718" spans="1:11" ht="42" customHeight="1">
      <c r="A8718" s="2" t="s">
        <v>21834</v>
      </c>
      <c r="B8718" s="2" t="s">
        <v>21835</v>
      </c>
      <c r="C8718" s="2" t="s">
        <v>26</v>
      </c>
      <c r="D8718" s="2" t="s">
        <v>27</v>
      </c>
      <c r="E8718" s="4">
        <v>-32529</v>
      </c>
      <c r="F8718" s="3" t="s">
        <v>112</v>
      </c>
      <c r="G8718" s="3" t="s">
        <v>5925</v>
      </c>
      <c r="H8718" s="2" t="s">
        <v>21</v>
      </c>
      <c r="I8718" s="2" t="s">
        <v>21836</v>
      </c>
      <c r="J8718" s="3" t="str">
        <f>HYPERLINK("https://www.boe.es/gazeta/dias/1810/12/08/pdfs/GEI-1810-105.pdf#page=3","Abrir facsímil")</f>
        <v>Abrir facsímil</v>
      </c>
      <c r="K8718" s="3" t="s">
        <v>23</v>
      </c>
    </row>
    <row r="8719" spans="1:11" ht="42" customHeight="1">
      <c r="A8719" s="2" t="s">
        <v>21837</v>
      </c>
      <c r="B8719" s="2" t="s">
        <v>21838</v>
      </c>
      <c r="C8719" s="2" t="s">
        <v>26</v>
      </c>
      <c r="D8719" s="2" t="s">
        <v>27</v>
      </c>
      <c r="E8719" s="4">
        <v>-32768</v>
      </c>
      <c r="F8719" s="3" t="s">
        <v>1930</v>
      </c>
      <c r="G8719" s="3" t="s">
        <v>21839</v>
      </c>
      <c r="H8719" s="2" t="s">
        <v>21</v>
      </c>
      <c r="I8719" s="2" t="s">
        <v>21840</v>
      </c>
      <c r="J8719" s="3" t="str">
        <f>HYPERLINK("https://www.boe.es/gazeta/dias/1810/04/13/pdfs/GEI-1810-14.pdf#page=9","Abrir facsímil")</f>
        <v>Abrir facsímil</v>
      </c>
      <c r="K8719" s="3" t="s">
        <v>23</v>
      </c>
    </row>
    <row r="8720" spans="1:11" ht="42" customHeight="1">
      <c r="A8720" s="2" t="s">
        <v>21841</v>
      </c>
      <c r="B8720" s="2" t="s">
        <v>21842</v>
      </c>
      <c r="C8720" s="2" t="s">
        <v>88</v>
      </c>
      <c r="D8720" s="2" t="s">
        <v>18</v>
      </c>
      <c r="E8720" s="4">
        <v>-32533</v>
      </c>
      <c r="F8720" s="3" t="s">
        <v>1357</v>
      </c>
      <c r="G8720" s="3" t="s">
        <v>1894</v>
      </c>
      <c r="H8720" s="2" t="s">
        <v>21</v>
      </c>
      <c r="I8720" s="2" t="s">
        <v>21843</v>
      </c>
      <c r="J8720" s="3" t="str">
        <f>HYPERLINK("https://www.boe.es/gazeta/dias/1810/12/04/pdfs/GEI-1810-103.pdf#page=7","Abrir facsímil")</f>
        <v>Abrir facsímil</v>
      </c>
      <c r="K8720" s="3" t="s">
        <v>23</v>
      </c>
    </row>
    <row r="8721" spans="1:11" ht="42" customHeight="1">
      <c r="A8721" s="2" t="s">
        <v>21844</v>
      </c>
      <c r="B8721" s="2" t="s">
        <v>21845</v>
      </c>
      <c r="C8721" s="2" t="s">
        <v>225</v>
      </c>
      <c r="D8721" s="2" t="s">
        <v>27</v>
      </c>
      <c r="E8721" s="4">
        <v>-32729</v>
      </c>
      <c r="F8721" s="3" t="s">
        <v>174</v>
      </c>
      <c r="G8721" s="3" t="s">
        <v>70</v>
      </c>
      <c r="H8721" s="2" t="s">
        <v>21</v>
      </c>
      <c r="I8721" s="2" t="s">
        <v>21846</v>
      </c>
      <c r="J8721" s="3" t="str">
        <f>HYPERLINK("https://www.boe.es/gazeta/dias/1810/05/22/pdfs/GEI-1810-28.pdf#page=7","Abrir facsímil")</f>
        <v>Abrir facsímil</v>
      </c>
      <c r="K8721" s="3" t="s">
        <v>23</v>
      </c>
    </row>
    <row r="8722" spans="1:11" ht="42" customHeight="1">
      <c r="A8722" s="2" t="s">
        <v>21847</v>
      </c>
      <c r="B8722" s="2" t="s">
        <v>21848</v>
      </c>
      <c r="C8722" s="2" t="s">
        <v>26</v>
      </c>
      <c r="D8722" s="2" t="s">
        <v>39</v>
      </c>
      <c r="E8722" s="4">
        <v>-32684</v>
      </c>
      <c r="F8722" s="3" t="s">
        <v>372</v>
      </c>
      <c r="G8722" s="3" t="s">
        <v>2049</v>
      </c>
      <c r="H8722" s="2" t="s">
        <v>21</v>
      </c>
      <c r="I8722" s="2" t="s">
        <v>21849</v>
      </c>
      <c r="J8722" s="3" t="str">
        <f>HYPERLINK("https://www.boe.es/gazeta/dias/1810/07/06/pdfs/GEI-D-1810-42.pdf#page=7","Abrir facsímil")</f>
        <v>Abrir facsímil</v>
      </c>
      <c r="K8722" s="3" t="s">
        <v>23</v>
      </c>
    </row>
    <row r="8723" spans="1:11" ht="42" customHeight="1">
      <c r="A8723" s="2" t="s">
        <v>21850</v>
      </c>
      <c r="B8723" s="2" t="s">
        <v>21851</v>
      </c>
      <c r="C8723" s="2" t="s">
        <v>88</v>
      </c>
      <c r="D8723" s="2" t="s">
        <v>27</v>
      </c>
      <c r="E8723" s="4">
        <v>-32722</v>
      </c>
      <c r="F8723" s="3" t="s">
        <v>856</v>
      </c>
      <c r="G8723" s="3" t="s">
        <v>2077</v>
      </c>
      <c r="H8723" s="2" t="s">
        <v>21</v>
      </c>
      <c r="I8723" s="2" t="s">
        <v>21852</v>
      </c>
      <c r="J8723" s="3" t="str">
        <f>HYPERLINK("https://www.boe.es/gazeta/dias/1810/05/29/pdfs/GEI-1810-31.pdf#page=10","Abrir facsímil")</f>
        <v>Abrir facsímil</v>
      </c>
      <c r="K8723" s="3" t="s">
        <v>23</v>
      </c>
    </row>
    <row r="8724" spans="1:11" ht="42" customHeight="1">
      <c r="A8724" s="2" t="s">
        <v>21853</v>
      </c>
      <c r="B8724" s="2" t="s">
        <v>21854</v>
      </c>
      <c r="C8724" s="2" t="s">
        <v>88</v>
      </c>
      <c r="D8724" s="2" t="s">
        <v>27</v>
      </c>
      <c r="E8724" s="4">
        <v>-32684</v>
      </c>
      <c r="F8724" s="3" t="s">
        <v>1373</v>
      </c>
      <c r="G8724" s="3" t="s">
        <v>227</v>
      </c>
      <c r="H8724" s="2" t="s">
        <v>21</v>
      </c>
      <c r="I8724" s="2" t="s">
        <v>21855</v>
      </c>
      <c r="J8724" s="3" t="str">
        <f>HYPERLINK("https://www.boe.es/gazeta/dias/1810/07/06/pdfs/GEI-1810-42.pdf#page=1","Abrir facsímil")</f>
        <v>Abrir facsímil</v>
      </c>
      <c r="K8724" s="3" t="s">
        <v>23</v>
      </c>
    </row>
    <row r="8725" spans="1:11" ht="42" customHeight="1">
      <c r="A8725" s="2" t="s">
        <v>21856</v>
      </c>
      <c r="B8725" s="2" t="s">
        <v>21857</v>
      </c>
      <c r="C8725" s="2" t="s">
        <v>88</v>
      </c>
      <c r="D8725" s="2" t="s">
        <v>117</v>
      </c>
      <c r="E8725" s="4">
        <v>-32729</v>
      </c>
      <c r="F8725" s="3" t="s">
        <v>174</v>
      </c>
      <c r="G8725" s="3" t="s">
        <v>70</v>
      </c>
      <c r="H8725" s="2" t="s">
        <v>21</v>
      </c>
      <c r="I8725" s="2" t="s">
        <v>21858</v>
      </c>
      <c r="J8725" s="3" t="str">
        <f>HYPERLINK("https://www.boe.es/gazeta/dias/1810/05/22/pdfs/GEI-1810-28.pdf#page=7","Abrir facsímil")</f>
        <v>Abrir facsímil</v>
      </c>
      <c r="K8725" s="3" t="s">
        <v>23</v>
      </c>
    </row>
    <row r="8726" spans="1:11" ht="42" customHeight="1">
      <c r="A8726" s="2" t="s">
        <v>21859</v>
      </c>
      <c r="B8726" s="2" t="s">
        <v>21860</v>
      </c>
      <c r="C8726" s="2" t="s">
        <v>88</v>
      </c>
      <c r="D8726" s="2" t="s">
        <v>117</v>
      </c>
      <c r="E8726" s="4">
        <v>-32631</v>
      </c>
      <c r="F8726" s="3" t="s">
        <v>497</v>
      </c>
      <c r="G8726" s="3" t="s">
        <v>498</v>
      </c>
      <c r="H8726" s="2" t="s">
        <v>21</v>
      </c>
      <c r="I8726" s="2" t="s">
        <v>21861</v>
      </c>
      <c r="J8726" s="3" t="str">
        <f>HYPERLINK("https://www.boe.es/gazeta/dias/1810/08/28/pdfs/GMD-1810-240.pdf#page=2","Abrir facsímil")</f>
        <v>Abrir facsímil</v>
      </c>
      <c r="K8726" s="3" t="s">
        <v>23</v>
      </c>
    </row>
    <row r="8727" spans="1:11" ht="42" customHeight="1">
      <c r="A8727" s="2" t="s">
        <v>21862</v>
      </c>
      <c r="B8727" s="2" t="s">
        <v>21863</v>
      </c>
      <c r="C8727" s="2" t="s">
        <v>26</v>
      </c>
      <c r="D8727" s="2" t="s">
        <v>27</v>
      </c>
      <c r="E8727" s="4">
        <v>-32803</v>
      </c>
      <c r="F8727" s="3" t="s">
        <v>4052</v>
      </c>
      <c r="G8727" s="3" t="s">
        <v>695</v>
      </c>
      <c r="H8727" s="2" t="s">
        <v>21</v>
      </c>
      <c r="I8727" s="2" t="s">
        <v>21864</v>
      </c>
      <c r="J8727" s="3" t="str">
        <f>HYPERLINK("https://www.boe.es/gazeta/dias/1810/03/09/pdfs/GMD-1810-68.pdf#page=4","Abrir facsímil")</f>
        <v>Abrir facsímil</v>
      </c>
      <c r="K8727" s="3" t="s">
        <v>23</v>
      </c>
    </row>
    <row r="8728" spans="1:11" ht="42" customHeight="1">
      <c r="A8728" s="2" t="s">
        <v>21865</v>
      </c>
      <c r="B8728" s="2" t="s">
        <v>21866</v>
      </c>
      <c r="C8728" s="2" t="s">
        <v>26</v>
      </c>
      <c r="D8728" s="2" t="s">
        <v>27</v>
      </c>
      <c r="E8728" s="4">
        <v>-32772</v>
      </c>
      <c r="F8728" s="3" t="s">
        <v>398</v>
      </c>
      <c r="G8728" s="3" t="s">
        <v>227</v>
      </c>
      <c r="H8728" s="2" t="s">
        <v>21</v>
      </c>
      <c r="I8728" s="2" t="s">
        <v>21867</v>
      </c>
      <c r="J8728" s="3" t="str">
        <f>HYPERLINK("https://www.boe.es/gazeta/dias/1810/04/09/pdfs/GMD-1810-99.pdf#page=4","Abrir facsímil")</f>
        <v>Abrir facsímil</v>
      </c>
      <c r="K8728" s="3" t="s">
        <v>23</v>
      </c>
    </row>
    <row r="8729" spans="1:11" ht="42" customHeight="1">
      <c r="A8729" s="2" t="s">
        <v>21868</v>
      </c>
      <c r="B8729" s="2" t="s">
        <v>21869</v>
      </c>
      <c r="C8729" s="2" t="s">
        <v>26</v>
      </c>
      <c r="D8729" s="2" t="s">
        <v>27</v>
      </c>
      <c r="E8729" s="4">
        <v>-32798</v>
      </c>
      <c r="F8729" s="3" t="s">
        <v>2002</v>
      </c>
      <c r="G8729" s="3" t="s">
        <v>90</v>
      </c>
      <c r="H8729" s="2" t="s">
        <v>21</v>
      </c>
      <c r="I8729" s="2" t="s">
        <v>21870</v>
      </c>
      <c r="J8729" s="3" t="str">
        <f>HYPERLINK("https://www.boe.es/gazeta/dias/1810/03/14/pdfs/GMD-1810-73.pdf#page=4","Abrir facsímil")</f>
        <v>Abrir facsímil</v>
      </c>
      <c r="K8729" s="3" t="s">
        <v>23</v>
      </c>
    </row>
    <row r="8730" spans="1:11" ht="42" customHeight="1">
      <c r="A8730" s="2" t="s">
        <v>21871</v>
      </c>
      <c r="B8730" s="2" t="s">
        <v>21872</v>
      </c>
      <c r="C8730" s="2" t="s">
        <v>225</v>
      </c>
      <c r="D8730" s="2" t="s">
        <v>117</v>
      </c>
      <c r="E8730" s="4">
        <v>-32774</v>
      </c>
      <c r="F8730" s="3" t="s">
        <v>10556</v>
      </c>
      <c r="G8730" s="3" t="s">
        <v>20</v>
      </c>
      <c r="H8730" s="2" t="s">
        <v>21</v>
      </c>
      <c r="I8730" s="2" t="s">
        <v>21873</v>
      </c>
      <c r="J8730" s="3" t="str">
        <f>HYPERLINK("https://www.boe.es/gazeta/dias/1810/04/07/pdfs/GMD-1810-97.pdf#page=4","Abrir facsímil")</f>
        <v>Abrir facsímil</v>
      </c>
      <c r="K8730" s="3" t="s">
        <v>23</v>
      </c>
    </row>
    <row r="8731" spans="1:11" ht="42" customHeight="1">
      <c r="A8731" s="2" t="s">
        <v>21874</v>
      </c>
      <c r="B8731" s="2" t="s">
        <v>21875</v>
      </c>
      <c r="C8731" s="2" t="s">
        <v>225</v>
      </c>
      <c r="D8731" s="2" t="s">
        <v>27</v>
      </c>
      <c r="E8731" s="4">
        <v>-32658</v>
      </c>
      <c r="F8731" s="3" t="s">
        <v>1224</v>
      </c>
      <c r="G8731" s="3" t="s">
        <v>140</v>
      </c>
      <c r="H8731" s="2" t="s">
        <v>21</v>
      </c>
      <c r="I8731" s="2" t="s">
        <v>21876</v>
      </c>
      <c r="J8731" s="3" t="str">
        <f>HYPERLINK("https://www.boe.es/gazeta/dias/1810/08/01/pdfs/GMD-1810-213.pdf#page=4","Abrir facsímil")</f>
        <v>Abrir facsímil</v>
      </c>
      <c r="K8731" s="3" t="s">
        <v>23</v>
      </c>
    </row>
    <row r="8732" spans="1:11" ht="42" customHeight="1">
      <c r="A8732" s="2" t="s">
        <v>21877</v>
      </c>
      <c r="B8732" s="2" t="s">
        <v>21878</v>
      </c>
      <c r="C8732" s="2" t="s">
        <v>17</v>
      </c>
      <c r="D8732" s="2" t="s">
        <v>39</v>
      </c>
      <c r="E8732" s="4">
        <v>-32701</v>
      </c>
      <c r="F8732" s="3" t="s">
        <v>40</v>
      </c>
      <c r="G8732" s="3" t="s">
        <v>333</v>
      </c>
      <c r="H8732" s="2" t="s">
        <v>21</v>
      </c>
      <c r="I8732" s="2" t="s">
        <v>21879</v>
      </c>
      <c r="J8732" s="3" t="str">
        <f>HYPERLINK("https://www.boe.es/gazeta/dias/1810/06/19/pdfs/GMD-C-1810-170.pdf#page=4","Abrir facsímil")</f>
        <v>Abrir facsímil</v>
      </c>
      <c r="K8732" s="3" t="s">
        <v>23</v>
      </c>
    </row>
    <row r="8733" spans="1:11" ht="42" customHeight="1">
      <c r="A8733" s="2" t="s">
        <v>21880</v>
      </c>
      <c r="B8733" s="2" t="s">
        <v>21881</v>
      </c>
      <c r="C8733" s="2" t="s">
        <v>26</v>
      </c>
      <c r="D8733" s="2" t="s">
        <v>27</v>
      </c>
      <c r="E8733" s="4">
        <v>-32716</v>
      </c>
      <c r="F8733" s="3" t="s">
        <v>624</v>
      </c>
      <c r="G8733" s="3" t="s">
        <v>140</v>
      </c>
      <c r="H8733" s="2" t="s">
        <v>21</v>
      </c>
      <c r="I8733" s="2" t="s">
        <v>21882</v>
      </c>
      <c r="J8733" s="3" t="str">
        <f>HYPERLINK("https://www.boe.es/gazeta/dias/1810/06/04/pdfs/GMD-1810-155.pdf#page=4","Abrir facsímil")</f>
        <v>Abrir facsímil</v>
      </c>
      <c r="K8733" s="3" t="s">
        <v>23</v>
      </c>
    </row>
    <row r="8734" spans="1:11" ht="42" customHeight="1">
      <c r="A8734" s="2" t="s">
        <v>21883</v>
      </c>
      <c r="B8734" s="2" t="s">
        <v>21884</v>
      </c>
      <c r="C8734" s="2" t="s">
        <v>111</v>
      </c>
      <c r="D8734" s="2" t="s">
        <v>220</v>
      </c>
      <c r="E8734" s="4">
        <v>-32839</v>
      </c>
      <c r="F8734" s="3" t="s">
        <v>28</v>
      </c>
      <c r="G8734" s="3" t="s">
        <v>140</v>
      </c>
      <c r="H8734" s="2" t="s">
        <v>21</v>
      </c>
      <c r="I8734" s="2" t="s">
        <v>21885</v>
      </c>
      <c r="J8734" s="3" t="str">
        <f>HYPERLINK("https://www.boe.es/gazeta/dias/1810/02/01/pdfs/GMD-1810-32.pdf#page=4","Abrir facsímil")</f>
        <v>Abrir facsímil</v>
      </c>
      <c r="K8734" s="3" t="s">
        <v>23</v>
      </c>
    </row>
    <row r="8735" spans="1:11" ht="42" customHeight="1">
      <c r="A8735" s="2" t="s">
        <v>21886</v>
      </c>
      <c r="B8735" s="2" t="s">
        <v>21887</v>
      </c>
      <c r="C8735" s="2" t="s">
        <v>88</v>
      </c>
      <c r="D8735" s="2" t="s">
        <v>117</v>
      </c>
      <c r="E8735" s="4">
        <v>-32713</v>
      </c>
      <c r="F8735" s="3" t="s">
        <v>959</v>
      </c>
      <c r="G8735" s="3" t="s">
        <v>960</v>
      </c>
      <c r="H8735" s="2" t="s">
        <v>21</v>
      </c>
      <c r="I8735" s="2" t="s">
        <v>21888</v>
      </c>
      <c r="J8735" s="3" t="str">
        <f>HYPERLINK("https://www.boe.es/gazeta/dias/1810/06/07/pdfs/GMD-1810-158.pdf#page=4","Abrir facsímil")</f>
        <v>Abrir facsímil</v>
      </c>
      <c r="K8735" s="3" t="s">
        <v>23</v>
      </c>
    </row>
    <row r="8736" spans="1:11" ht="42" customHeight="1">
      <c r="A8736" s="2" t="s">
        <v>21889</v>
      </c>
      <c r="B8736" s="2" t="s">
        <v>21890</v>
      </c>
      <c r="C8736" s="2" t="s">
        <v>88</v>
      </c>
      <c r="D8736" s="2" t="s">
        <v>18</v>
      </c>
      <c r="E8736" s="4">
        <v>-32839</v>
      </c>
      <c r="F8736" s="3" t="s">
        <v>28</v>
      </c>
      <c r="G8736" s="3" t="s">
        <v>140</v>
      </c>
      <c r="H8736" s="2" t="s">
        <v>21</v>
      </c>
      <c r="I8736" s="2" t="s">
        <v>21891</v>
      </c>
      <c r="J8736" s="3" t="str">
        <f>HYPERLINK("https://www.boe.es/gazeta/dias/1810/02/01/pdfs/GMD-1810-32.pdf#page=4","Abrir facsímil")</f>
        <v>Abrir facsímil</v>
      </c>
      <c r="K8736" s="3" t="s">
        <v>23</v>
      </c>
    </row>
    <row r="8737" spans="1:11" ht="42" customHeight="1">
      <c r="A8737" s="2" t="s">
        <v>21892</v>
      </c>
      <c r="B8737" s="2" t="s">
        <v>21893</v>
      </c>
      <c r="C8737" s="2" t="s">
        <v>26</v>
      </c>
      <c r="D8737" s="2" t="s">
        <v>39</v>
      </c>
      <c r="E8737" s="4">
        <v>-32661</v>
      </c>
      <c r="F8737" s="3" t="s">
        <v>157</v>
      </c>
      <c r="G8737" s="3" t="s">
        <v>592</v>
      </c>
      <c r="H8737" s="2" t="s">
        <v>21</v>
      </c>
      <c r="I8737" s="2" t="s">
        <v>21894</v>
      </c>
      <c r="J8737" s="3" t="str">
        <f>HYPERLINK("https://www.boe.es/gazeta/dias/1810/07/29/pdfs/GMD-C-1810-210.pdf#page=2","Abrir facsímil")</f>
        <v>Abrir facsímil</v>
      </c>
      <c r="K8737" s="3" t="s">
        <v>23</v>
      </c>
    </row>
    <row r="8738" spans="1:11" ht="42" customHeight="1">
      <c r="A8738" s="2" t="s">
        <v>21895</v>
      </c>
      <c r="B8738" s="2" t="s">
        <v>21896</v>
      </c>
      <c r="C8738" s="2" t="s">
        <v>225</v>
      </c>
      <c r="D8738" s="2" t="s">
        <v>27</v>
      </c>
      <c r="E8738" s="4">
        <v>-32519</v>
      </c>
      <c r="F8738" s="3" t="s">
        <v>2299</v>
      </c>
      <c r="G8738" s="3" t="s">
        <v>14920</v>
      </c>
      <c r="H8738" s="2" t="s">
        <v>21</v>
      </c>
      <c r="I8738" s="2" t="s">
        <v>21897</v>
      </c>
      <c r="J8738" s="3" t="str">
        <f>HYPERLINK("https://www.boe.es/gazeta/dias/1810/12/18/pdfs/GEI-1810-109.pdf#page=3","Abrir facsímil")</f>
        <v>Abrir facsímil</v>
      </c>
      <c r="K8738" s="3" t="s">
        <v>23</v>
      </c>
    </row>
    <row r="8739" spans="1:11" ht="42" customHeight="1">
      <c r="A8739" s="2" t="s">
        <v>21898</v>
      </c>
      <c r="B8739" s="2" t="s">
        <v>21899</v>
      </c>
      <c r="C8739" s="2" t="s">
        <v>26</v>
      </c>
      <c r="D8739" s="2" t="s">
        <v>27</v>
      </c>
      <c r="E8739" s="4">
        <v>-32688</v>
      </c>
      <c r="F8739" s="3" t="s">
        <v>997</v>
      </c>
      <c r="G8739" s="3" t="s">
        <v>749</v>
      </c>
      <c r="H8739" s="2" t="s">
        <v>21</v>
      </c>
      <c r="I8739" s="2" t="s">
        <v>21900</v>
      </c>
      <c r="J8739" s="3" t="str">
        <f>HYPERLINK("https://www.boe.es/gazeta/dias/1810/07/02/pdfs/GMD-1810-183.pdf#page=4","Abrir facsímil")</f>
        <v>Abrir facsímil</v>
      </c>
      <c r="K8739" s="3" t="s">
        <v>23</v>
      </c>
    </row>
    <row r="8740" spans="1:11" ht="42" customHeight="1">
      <c r="A8740" s="2" t="s">
        <v>21901</v>
      </c>
      <c r="B8740" s="2" t="s">
        <v>21902</v>
      </c>
      <c r="C8740" s="2" t="s">
        <v>26</v>
      </c>
      <c r="D8740" s="2" t="s">
        <v>27</v>
      </c>
      <c r="E8740" s="4">
        <v>-32804</v>
      </c>
      <c r="F8740" s="3" t="s">
        <v>583</v>
      </c>
      <c r="G8740" s="3" t="s">
        <v>6307</v>
      </c>
      <c r="H8740" s="2" t="s">
        <v>21</v>
      </c>
      <c r="I8740" s="2" t="s">
        <v>21903</v>
      </c>
      <c r="J8740" s="3" t="str">
        <f>HYPERLINK("https://www.boe.es/gazeta/dias/1810/03/08/pdfs/GMD-1810-67.pdf#page=4","Abrir facsímil")</f>
        <v>Abrir facsímil</v>
      </c>
      <c r="K8740" s="3" t="s">
        <v>23</v>
      </c>
    </row>
    <row r="8741" spans="1:11" ht="42" customHeight="1">
      <c r="A8741" s="2" t="s">
        <v>21904</v>
      </c>
      <c r="B8741" s="2" t="s">
        <v>21905</v>
      </c>
      <c r="C8741" s="2" t="s">
        <v>33</v>
      </c>
      <c r="D8741" s="2" t="s">
        <v>27</v>
      </c>
      <c r="E8741" s="4">
        <v>-32756</v>
      </c>
      <c r="F8741" s="3" t="s">
        <v>203</v>
      </c>
      <c r="G8741" s="3" t="s">
        <v>180</v>
      </c>
      <c r="H8741" s="2" t="s">
        <v>21</v>
      </c>
      <c r="I8741" s="2" t="s">
        <v>21906</v>
      </c>
      <c r="J8741" s="3" t="str">
        <f>HYPERLINK("https://www.boe.es/gazeta/dias/1810/04/25/pdfs/GMD-1810-115.pdf#page=4","Abrir facsímil")</f>
        <v>Abrir facsímil</v>
      </c>
      <c r="K8741" s="3" t="s">
        <v>23</v>
      </c>
    </row>
    <row r="8742" spans="1:11" ht="42" customHeight="1">
      <c r="A8742" s="2" t="s">
        <v>21907</v>
      </c>
      <c r="B8742" s="2" t="s">
        <v>21908</v>
      </c>
      <c r="C8742" s="2" t="s">
        <v>88</v>
      </c>
      <c r="D8742" s="2" t="s">
        <v>117</v>
      </c>
      <c r="E8742" s="4">
        <v>-32684</v>
      </c>
      <c r="F8742" s="3" t="s">
        <v>1373</v>
      </c>
      <c r="G8742" s="3" t="s">
        <v>227</v>
      </c>
      <c r="H8742" s="2" t="s">
        <v>21</v>
      </c>
      <c r="I8742" s="2" t="s">
        <v>21909</v>
      </c>
      <c r="J8742" s="3" t="str">
        <f>HYPERLINK("https://www.boe.es/gazeta/dias/1810/07/06/pdfs/GEI-1810-42.pdf#page=1","Abrir facsímil")</f>
        <v>Abrir facsímil</v>
      </c>
      <c r="K8742" s="3" t="s">
        <v>23</v>
      </c>
    </row>
    <row r="8743" spans="1:11" ht="42" customHeight="1">
      <c r="A8743" s="2" t="s">
        <v>21910</v>
      </c>
      <c r="B8743" s="2" t="s">
        <v>21911</v>
      </c>
      <c r="C8743" s="2" t="s">
        <v>88</v>
      </c>
      <c r="D8743" s="2" t="s">
        <v>27</v>
      </c>
      <c r="E8743" s="4">
        <v>-32732</v>
      </c>
      <c r="F8743" s="3" t="s">
        <v>545</v>
      </c>
      <c r="G8743" s="3" t="s">
        <v>90</v>
      </c>
      <c r="H8743" s="2" t="s">
        <v>21</v>
      </c>
      <c r="I8743" s="2" t="s">
        <v>21912</v>
      </c>
      <c r="J8743" s="3" t="str">
        <f>HYPERLINK("https://www.boe.es/gazeta/dias/1810/05/19/pdfs/GMD-1810-139.pdf#page=4","Abrir facsímil")</f>
        <v>Abrir facsímil</v>
      </c>
      <c r="K8743" s="3" t="s">
        <v>23</v>
      </c>
    </row>
    <row r="8744" spans="1:11" ht="42" customHeight="1">
      <c r="A8744" s="2" t="s">
        <v>21913</v>
      </c>
      <c r="B8744" s="2" t="s">
        <v>21914</v>
      </c>
      <c r="C8744" s="2" t="s">
        <v>88</v>
      </c>
      <c r="D8744" s="2" t="s">
        <v>27</v>
      </c>
      <c r="E8744" s="4">
        <v>-32524</v>
      </c>
      <c r="F8744" s="3" t="s">
        <v>281</v>
      </c>
      <c r="G8744" s="3" t="s">
        <v>180</v>
      </c>
      <c r="H8744" s="2" t="s">
        <v>21</v>
      </c>
      <c r="I8744" s="2" t="s">
        <v>21915</v>
      </c>
      <c r="J8744" s="3" t="str">
        <f>HYPERLINK("https://www.boe.es/gazeta/dias/1810/12/13/pdfs/GEI-1810-107.pdf#page=6","Abrir facsímil")</f>
        <v>Abrir facsímil</v>
      </c>
      <c r="K8744" s="3" t="s">
        <v>23</v>
      </c>
    </row>
    <row r="8745" spans="1:11" ht="42" customHeight="1">
      <c r="A8745" s="2" t="s">
        <v>21916</v>
      </c>
      <c r="B8745" s="2" t="s">
        <v>21917</v>
      </c>
      <c r="C8745" s="2" t="s">
        <v>26</v>
      </c>
      <c r="D8745" s="2" t="s">
        <v>27</v>
      </c>
      <c r="E8745" s="4">
        <v>-32545</v>
      </c>
      <c r="F8745" s="3" t="s">
        <v>165</v>
      </c>
      <c r="G8745" s="3" t="s">
        <v>691</v>
      </c>
      <c r="H8745" s="2" t="s">
        <v>21</v>
      </c>
      <c r="I8745" s="2" t="s">
        <v>21918</v>
      </c>
      <c r="J8745" s="3" t="str">
        <f>HYPERLINK("https://www.boe.es/gazeta/dias/1810/11/22/pdfs/GEI-1810-98.pdf#page=6","Abrir facsímil")</f>
        <v>Abrir facsímil</v>
      </c>
      <c r="K8745" s="3" t="s">
        <v>23</v>
      </c>
    </row>
    <row r="8746" spans="1:11" ht="42" customHeight="1">
      <c r="A8746" s="2" t="s">
        <v>21919</v>
      </c>
      <c r="B8746" s="2" t="s">
        <v>21920</v>
      </c>
      <c r="C8746" s="2" t="s">
        <v>33</v>
      </c>
      <c r="D8746" s="2" t="s">
        <v>39</v>
      </c>
      <c r="E8746" s="4">
        <v>-32642</v>
      </c>
      <c r="F8746" s="3" t="s">
        <v>2273</v>
      </c>
      <c r="G8746" s="3" t="s">
        <v>8558</v>
      </c>
      <c r="H8746" s="2" t="s">
        <v>21</v>
      </c>
      <c r="I8746" s="2" t="s">
        <v>21921</v>
      </c>
      <c r="J8746" s="3" t="str">
        <f>HYPERLINK("https://www.boe.es/gazeta/dias/1810/08/17/pdfs/GEI-D-1810-57.pdf#page=3","Abrir facsímil")</f>
        <v>Abrir facsímil</v>
      </c>
      <c r="K8746" s="3" t="s">
        <v>23</v>
      </c>
    </row>
    <row r="8747" spans="1:11" ht="42" customHeight="1">
      <c r="A8747" s="2" t="s">
        <v>21922</v>
      </c>
      <c r="B8747" s="2" t="s">
        <v>21923</v>
      </c>
      <c r="C8747" s="2" t="s">
        <v>26</v>
      </c>
      <c r="D8747" s="2" t="s">
        <v>27</v>
      </c>
      <c r="E8747" s="4">
        <v>-32545</v>
      </c>
      <c r="F8747" s="3" t="s">
        <v>165</v>
      </c>
      <c r="G8747" s="3" t="s">
        <v>65</v>
      </c>
      <c r="H8747" s="2" t="s">
        <v>21</v>
      </c>
      <c r="I8747" s="2" t="s">
        <v>21924</v>
      </c>
      <c r="J8747" s="3" t="str">
        <f>HYPERLINK("https://www.boe.es/gazeta/dias/1810/11/22/pdfs/GEI-1810-98.pdf#page=5","Abrir facsímil")</f>
        <v>Abrir facsímil</v>
      </c>
      <c r="K8747" s="3" t="s">
        <v>23</v>
      </c>
    </row>
    <row r="8748" spans="1:11" ht="42" customHeight="1">
      <c r="A8748" s="2" t="s">
        <v>21925</v>
      </c>
      <c r="B8748" s="2" t="s">
        <v>21926</v>
      </c>
      <c r="C8748" s="2" t="s">
        <v>33</v>
      </c>
      <c r="D8748" s="2" t="s">
        <v>39</v>
      </c>
      <c r="E8748" s="4">
        <v>-32642</v>
      </c>
      <c r="F8748" s="3" t="s">
        <v>2273</v>
      </c>
      <c r="G8748" s="3" t="s">
        <v>8558</v>
      </c>
      <c r="H8748" s="2" t="s">
        <v>21</v>
      </c>
      <c r="I8748" s="2" t="s">
        <v>21927</v>
      </c>
      <c r="J8748" s="3" t="str">
        <f>HYPERLINK("https://www.boe.es/gazeta/dias/1810/08/17/pdfs/GEI-D-1810-57.pdf#page=3","Abrir facsímil")</f>
        <v>Abrir facsímil</v>
      </c>
      <c r="K8748" s="3" t="s">
        <v>23</v>
      </c>
    </row>
    <row r="8749" spans="1:11" ht="42" customHeight="1">
      <c r="A8749" s="2" t="s">
        <v>21928</v>
      </c>
      <c r="B8749" s="2" t="s">
        <v>21929</v>
      </c>
      <c r="C8749" s="2" t="s">
        <v>88</v>
      </c>
      <c r="D8749" s="2" t="s">
        <v>117</v>
      </c>
      <c r="E8749" s="4">
        <v>-32771</v>
      </c>
      <c r="F8749" s="3" t="s">
        <v>543</v>
      </c>
      <c r="G8749" s="3" t="s">
        <v>65</v>
      </c>
      <c r="H8749" s="2" t="s">
        <v>21</v>
      </c>
      <c r="I8749" s="2" t="s">
        <v>21930</v>
      </c>
      <c r="J8749" s="3" t="str">
        <f>HYPERLINK("https://www.boe.es/gazeta/dias/1810/04/10/pdfs/GEI-1810-13.pdf#page=7","Abrir facsímil")</f>
        <v>Abrir facsímil</v>
      </c>
      <c r="K8749" s="3" t="s">
        <v>23</v>
      </c>
    </row>
    <row r="8750" spans="1:11" ht="42" customHeight="1">
      <c r="A8750" s="2" t="s">
        <v>21931</v>
      </c>
      <c r="B8750" s="2" t="s">
        <v>21932</v>
      </c>
      <c r="C8750" s="2" t="s">
        <v>225</v>
      </c>
      <c r="D8750" s="2" t="s">
        <v>27</v>
      </c>
      <c r="E8750" s="4">
        <v>-32698</v>
      </c>
      <c r="F8750" s="3" t="s">
        <v>2705</v>
      </c>
      <c r="G8750" s="3" t="s">
        <v>2706</v>
      </c>
      <c r="H8750" s="2" t="s">
        <v>21</v>
      </c>
      <c r="I8750" s="2" t="s">
        <v>21933</v>
      </c>
      <c r="J8750" s="3" t="str">
        <f>HYPERLINK("https://www.boe.es/gazeta/dias/1810/06/22/pdfs/GEI-1810-38.pdf#page=8","Abrir facsímil")</f>
        <v>Abrir facsímil</v>
      </c>
      <c r="K8750" s="3" t="s">
        <v>23</v>
      </c>
    </row>
    <row r="8751" spans="1:11" ht="42" customHeight="1">
      <c r="A8751" s="2" t="s">
        <v>21934</v>
      </c>
      <c r="B8751" s="2" t="s">
        <v>21935</v>
      </c>
      <c r="C8751" s="2" t="s">
        <v>26</v>
      </c>
      <c r="D8751" s="2" t="s">
        <v>39</v>
      </c>
      <c r="E8751" s="4">
        <v>-32701</v>
      </c>
      <c r="F8751" s="3" t="s">
        <v>40</v>
      </c>
      <c r="G8751" s="3" t="s">
        <v>170</v>
      </c>
      <c r="H8751" s="2" t="s">
        <v>21</v>
      </c>
      <c r="I8751" s="2" t="s">
        <v>21936</v>
      </c>
      <c r="J8751" s="3" t="str">
        <f>HYPERLINK("https://www.boe.es/gazeta/dias/1810/06/19/pdfs/GMD-C-1810-170.pdf#page=1","Abrir facsímil")</f>
        <v>Abrir facsímil</v>
      </c>
      <c r="K8751" s="3" t="s">
        <v>23</v>
      </c>
    </row>
    <row r="8752" spans="1:11" ht="42" customHeight="1">
      <c r="A8752" s="2" t="s">
        <v>21937</v>
      </c>
      <c r="B8752" s="2" t="s">
        <v>21938</v>
      </c>
      <c r="C8752" s="2" t="s">
        <v>26</v>
      </c>
      <c r="D8752" s="2" t="s">
        <v>27</v>
      </c>
      <c r="E8752" s="4">
        <v>-32802</v>
      </c>
      <c r="F8752" s="3" t="s">
        <v>1075</v>
      </c>
      <c r="G8752" s="3" t="s">
        <v>90</v>
      </c>
      <c r="H8752" s="2" t="s">
        <v>21</v>
      </c>
      <c r="I8752" s="2" t="s">
        <v>21939</v>
      </c>
      <c r="J8752" s="3" t="str">
        <f>HYPERLINK("https://www.boe.es/gazeta/dias/1810/03/10/pdfs/GMD-1810-69.pdf#page=3","Abrir facsímil")</f>
        <v>Abrir facsímil</v>
      </c>
      <c r="K8752" s="3" t="s">
        <v>23</v>
      </c>
    </row>
    <row r="8753" spans="1:11" ht="42" customHeight="1">
      <c r="A8753" s="2" t="s">
        <v>21940</v>
      </c>
      <c r="B8753" s="2" t="s">
        <v>21941</v>
      </c>
      <c r="C8753" s="2" t="s">
        <v>33</v>
      </c>
      <c r="D8753" s="2" t="s">
        <v>27</v>
      </c>
      <c r="E8753" s="4">
        <v>-32869</v>
      </c>
      <c r="F8753" s="3" t="s">
        <v>5318</v>
      </c>
      <c r="G8753" s="3" t="s">
        <v>227</v>
      </c>
      <c r="H8753" s="2" t="s">
        <v>21</v>
      </c>
      <c r="I8753" s="2" t="s">
        <v>21942</v>
      </c>
      <c r="J8753" s="3" t="str">
        <f>HYPERLINK("https://www.boe.es/gazeta/dias/1810/01/02/pdfs/GGB-1810-1.pdf#page=6","Abrir facsímil")</f>
        <v>Abrir facsímil</v>
      </c>
      <c r="K8753" s="3" t="s">
        <v>23</v>
      </c>
    </row>
    <row r="8754" spans="1:11" ht="42" customHeight="1">
      <c r="A8754" s="2" t="s">
        <v>21943</v>
      </c>
      <c r="B8754" s="2" t="s">
        <v>21944</v>
      </c>
      <c r="C8754" s="2" t="s">
        <v>111</v>
      </c>
      <c r="D8754" s="2" t="s">
        <v>18</v>
      </c>
      <c r="E8754" s="4">
        <v>-32545</v>
      </c>
      <c r="F8754" s="3" t="s">
        <v>165</v>
      </c>
      <c r="G8754" s="3" t="s">
        <v>166</v>
      </c>
      <c r="H8754" s="2" t="s">
        <v>21</v>
      </c>
      <c r="I8754" s="2" t="s">
        <v>21945</v>
      </c>
      <c r="J8754" s="3" t="str">
        <f>HYPERLINK("https://www.boe.es/gazeta/dias/1810/11/22/pdfs/GEI-1810-98.pdf#page=8","Abrir facsímil")</f>
        <v>Abrir facsímil</v>
      </c>
      <c r="K8754" s="3" t="s">
        <v>23</v>
      </c>
    </row>
    <row r="8755" spans="1:11" ht="42" customHeight="1">
      <c r="A8755" s="2" t="s">
        <v>21946</v>
      </c>
      <c r="B8755" s="2" t="s">
        <v>21947</v>
      </c>
      <c r="C8755" s="2" t="s">
        <v>195</v>
      </c>
      <c r="D8755" s="2" t="s">
        <v>220</v>
      </c>
      <c r="E8755" s="4">
        <v>-32713</v>
      </c>
      <c r="F8755" s="3" t="s">
        <v>959</v>
      </c>
      <c r="G8755" s="3" t="s">
        <v>960</v>
      </c>
      <c r="H8755" s="2" t="s">
        <v>21</v>
      </c>
      <c r="I8755" s="2" t="s">
        <v>21948</v>
      </c>
      <c r="J8755" s="3" t="str">
        <f>HYPERLINK("https://www.boe.es/gazeta/dias/1810/06/07/pdfs/GMD-1810-158.pdf#page=4","Abrir facsímil")</f>
        <v>Abrir facsímil</v>
      </c>
      <c r="K8755" s="3" t="s">
        <v>23</v>
      </c>
    </row>
    <row r="8756" spans="1:11" ht="42" customHeight="1">
      <c r="A8756" s="2" t="s">
        <v>21949</v>
      </c>
      <c r="B8756" s="2" t="s">
        <v>21950</v>
      </c>
      <c r="C8756" s="2" t="s">
        <v>26</v>
      </c>
      <c r="D8756" s="2" t="s">
        <v>27</v>
      </c>
      <c r="E8756" s="4">
        <v>-32545</v>
      </c>
      <c r="F8756" s="3" t="s">
        <v>165</v>
      </c>
      <c r="G8756" s="3" t="s">
        <v>691</v>
      </c>
      <c r="H8756" s="2" t="s">
        <v>21</v>
      </c>
      <c r="I8756" s="2" t="s">
        <v>21951</v>
      </c>
      <c r="J8756" s="3" t="str">
        <f>HYPERLINK("https://www.boe.es/gazeta/dias/1810/11/22/pdfs/GEI-1810-98.pdf#page=6","Abrir facsímil")</f>
        <v>Abrir facsímil</v>
      </c>
      <c r="K8756" s="3" t="s">
        <v>23</v>
      </c>
    </row>
    <row r="8757" spans="1:11" ht="42" customHeight="1">
      <c r="A8757" s="2" t="s">
        <v>21952</v>
      </c>
      <c r="B8757" s="2" t="s">
        <v>21953</v>
      </c>
      <c r="C8757" s="2" t="s">
        <v>88</v>
      </c>
      <c r="D8757" s="2" t="s">
        <v>27</v>
      </c>
      <c r="E8757" s="4">
        <v>-32645</v>
      </c>
      <c r="F8757" s="3" t="s">
        <v>122</v>
      </c>
      <c r="G8757" s="3" t="s">
        <v>119</v>
      </c>
      <c r="H8757" s="2" t="s">
        <v>21</v>
      </c>
      <c r="I8757" s="2" t="s">
        <v>21954</v>
      </c>
      <c r="J8757" s="3" t="str">
        <f>HYPERLINK("https://www.boe.es/gazeta/dias/1810/08/14/pdfs/GEI-1810-56.pdf#page=14","Abrir facsímil")</f>
        <v>Abrir facsímil</v>
      </c>
      <c r="K8757" s="3" t="s">
        <v>23</v>
      </c>
    </row>
    <row r="8758" spans="1:11" ht="42" customHeight="1">
      <c r="A8758" s="2" t="s">
        <v>21955</v>
      </c>
      <c r="B8758" s="2" t="s">
        <v>21956</v>
      </c>
      <c r="C8758" s="2" t="s">
        <v>88</v>
      </c>
      <c r="D8758" s="2" t="s">
        <v>220</v>
      </c>
      <c r="E8758" s="4">
        <v>-32716</v>
      </c>
      <c r="F8758" s="3" t="s">
        <v>624</v>
      </c>
      <c r="G8758" s="3" t="s">
        <v>140</v>
      </c>
      <c r="H8758" s="2" t="s">
        <v>21</v>
      </c>
      <c r="I8758" s="2" t="s">
        <v>21957</v>
      </c>
      <c r="J8758" s="3" t="str">
        <f>HYPERLINK("https://www.boe.es/gazeta/dias/1810/06/04/pdfs/GMD-1810-155.pdf#page=4","Abrir facsímil")</f>
        <v>Abrir facsímil</v>
      </c>
      <c r="K8758" s="3" t="s">
        <v>23</v>
      </c>
    </row>
    <row r="8759" spans="1:11" ht="42" customHeight="1">
      <c r="A8759" s="2" t="s">
        <v>21958</v>
      </c>
      <c r="B8759" s="2" t="s">
        <v>21959</v>
      </c>
      <c r="C8759" s="2" t="s">
        <v>88</v>
      </c>
      <c r="D8759" s="2" t="s">
        <v>27</v>
      </c>
      <c r="E8759" s="4">
        <v>-32784</v>
      </c>
      <c r="F8759" s="3" t="s">
        <v>429</v>
      </c>
      <c r="G8759" s="3" t="s">
        <v>1821</v>
      </c>
      <c r="H8759" s="2" t="s">
        <v>21</v>
      </c>
      <c r="I8759" s="2" t="s">
        <v>21960</v>
      </c>
      <c r="J8759" s="3" t="str">
        <f>HYPERLINK("https://www.boe.es/gazeta/dias/1810/03/28/pdfs/GMD-1810-87.pdf#page=4","Abrir facsímil")</f>
        <v>Abrir facsímil</v>
      </c>
      <c r="K8759" s="3" t="s">
        <v>23</v>
      </c>
    </row>
    <row r="8760" spans="1:11" ht="42" customHeight="1">
      <c r="A8760" s="2" t="s">
        <v>21961</v>
      </c>
      <c r="B8760" s="2" t="s">
        <v>21962</v>
      </c>
      <c r="C8760" s="2" t="s">
        <v>225</v>
      </c>
      <c r="D8760" s="2" t="s">
        <v>117</v>
      </c>
      <c r="E8760" s="4">
        <v>-32729</v>
      </c>
      <c r="F8760" s="3" t="s">
        <v>174</v>
      </c>
      <c r="G8760" s="3" t="s">
        <v>70</v>
      </c>
      <c r="H8760" s="2" t="s">
        <v>21</v>
      </c>
      <c r="I8760" s="2" t="s">
        <v>21963</v>
      </c>
      <c r="J8760" s="3" t="str">
        <f>HYPERLINK("https://www.boe.es/gazeta/dias/1810/05/22/pdfs/GEI-1810-28.pdf#page=7","Abrir facsímil")</f>
        <v>Abrir facsímil</v>
      </c>
      <c r="K8760" s="3" t="s">
        <v>23</v>
      </c>
    </row>
    <row r="8761" spans="1:11" ht="42" customHeight="1">
      <c r="A8761" s="2" t="s">
        <v>21964</v>
      </c>
      <c r="B8761" s="2" t="s">
        <v>21965</v>
      </c>
      <c r="C8761" s="2" t="s">
        <v>88</v>
      </c>
      <c r="D8761" s="2" t="s">
        <v>117</v>
      </c>
      <c r="E8761" s="4">
        <v>-32550</v>
      </c>
      <c r="F8761" s="3" t="s">
        <v>1472</v>
      </c>
      <c r="G8761" s="3" t="s">
        <v>3210</v>
      </c>
      <c r="H8761" s="2" t="s">
        <v>21</v>
      </c>
      <c r="I8761" s="2" t="s">
        <v>21966</v>
      </c>
      <c r="J8761" s="3" t="str">
        <f>HYPERLINK("https://www.boe.es/gazeta/dias/1810/11/17/pdfs/GEI-1810-96.pdf#page=7","Abrir facsímil")</f>
        <v>Abrir facsímil</v>
      </c>
      <c r="K8761" s="3" t="s">
        <v>23</v>
      </c>
    </row>
    <row r="8762" spans="1:11" ht="42" customHeight="1">
      <c r="A8762" s="2" t="s">
        <v>21967</v>
      </c>
      <c r="B8762" s="2" t="s">
        <v>21968</v>
      </c>
      <c r="C8762" s="2" t="s">
        <v>17</v>
      </c>
      <c r="D8762" s="2" t="s">
        <v>27</v>
      </c>
      <c r="E8762" s="4">
        <v>-32741</v>
      </c>
      <c r="F8762" s="3" t="s">
        <v>98</v>
      </c>
      <c r="G8762" s="3" t="s">
        <v>90</v>
      </c>
      <c r="H8762" s="2" t="s">
        <v>21</v>
      </c>
      <c r="I8762" s="2" t="s">
        <v>21969</v>
      </c>
      <c r="J8762" s="3" t="str">
        <f>HYPERLINK("https://www.boe.es/gazeta/dias/1810/05/10/pdfs/GMD-1810-130.pdf#page=4","Abrir facsímil")</f>
        <v>Abrir facsímil</v>
      </c>
      <c r="K8762" s="3" t="s">
        <v>23</v>
      </c>
    </row>
    <row r="8763" spans="1:11" ht="42" customHeight="1">
      <c r="A8763" s="2" t="s">
        <v>21970</v>
      </c>
      <c r="B8763" s="2" t="s">
        <v>21971</v>
      </c>
      <c r="C8763" s="2" t="s">
        <v>225</v>
      </c>
      <c r="D8763" s="2" t="s">
        <v>117</v>
      </c>
      <c r="E8763" s="4">
        <v>-32642</v>
      </c>
      <c r="F8763" s="3" t="s">
        <v>2273</v>
      </c>
      <c r="G8763" s="3" t="s">
        <v>274</v>
      </c>
      <c r="H8763" s="2" t="s">
        <v>21</v>
      </c>
      <c r="I8763" s="2" t="s">
        <v>21972</v>
      </c>
      <c r="J8763" s="3" t="str">
        <f>HYPERLINK("https://www.boe.es/gazeta/dias/1810/08/17/pdfs/GEI-D-1810-57.pdf#page=8","Abrir facsímil")</f>
        <v>Abrir facsímil</v>
      </c>
      <c r="K8763" s="3" t="s">
        <v>23</v>
      </c>
    </row>
    <row r="8764" spans="1:11" ht="42" customHeight="1">
      <c r="A8764" s="2" t="s">
        <v>21973</v>
      </c>
      <c r="B8764" s="2" t="s">
        <v>21974</v>
      </c>
      <c r="C8764" s="2" t="s">
        <v>225</v>
      </c>
      <c r="D8764" s="2" t="s">
        <v>27</v>
      </c>
      <c r="E8764" s="4">
        <v>-32698</v>
      </c>
      <c r="F8764" s="3" t="s">
        <v>2705</v>
      </c>
      <c r="G8764" s="3" t="s">
        <v>2706</v>
      </c>
      <c r="H8764" s="2" t="s">
        <v>21</v>
      </c>
      <c r="I8764" s="2" t="s">
        <v>21975</v>
      </c>
      <c r="J8764" s="3" t="str">
        <f>HYPERLINK("https://www.boe.es/gazeta/dias/1810/06/22/pdfs/GEI-1810-38.pdf#page=8","Abrir facsímil")</f>
        <v>Abrir facsímil</v>
      </c>
      <c r="K8764" s="3" t="s">
        <v>23</v>
      </c>
    </row>
    <row r="8765" spans="1:11" ht="42" customHeight="1">
      <c r="A8765" s="2" t="s">
        <v>21976</v>
      </c>
      <c r="B8765" s="2" t="s">
        <v>21977</v>
      </c>
      <c r="C8765" s="2" t="s">
        <v>111</v>
      </c>
      <c r="D8765" s="2" t="s">
        <v>18</v>
      </c>
      <c r="E8765" s="4">
        <v>-32719</v>
      </c>
      <c r="F8765" s="3" t="s">
        <v>5543</v>
      </c>
      <c r="G8765" s="3" t="s">
        <v>1616</v>
      </c>
      <c r="H8765" s="2" t="s">
        <v>21</v>
      </c>
      <c r="I8765" s="2" t="s">
        <v>21978</v>
      </c>
      <c r="J8765" s="3" t="str">
        <f>HYPERLINK("https://www.boe.es/gazeta/dias/1810/06/01/pdfs/GEI-1810-32.pdf#page=8","Abrir facsímil")</f>
        <v>Abrir facsímil</v>
      </c>
      <c r="K8765" s="3" t="s">
        <v>23</v>
      </c>
    </row>
    <row r="8766" spans="1:11" ht="42" customHeight="1">
      <c r="A8766" s="2" t="s">
        <v>21979</v>
      </c>
      <c r="B8766" s="2" t="s">
        <v>21980</v>
      </c>
      <c r="C8766" s="2" t="s">
        <v>33</v>
      </c>
      <c r="D8766" s="2" t="s">
        <v>39</v>
      </c>
      <c r="E8766" s="4">
        <v>-32645</v>
      </c>
      <c r="F8766" s="3" t="s">
        <v>2492</v>
      </c>
      <c r="G8766" s="3" t="s">
        <v>20</v>
      </c>
      <c r="H8766" s="2" t="s">
        <v>21</v>
      </c>
      <c r="I8766" s="2" t="s">
        <v>21981</v>
      </c>
      <c r="J8766" s="3" t="str">
        <f>HYPERLINK("https://www.boe.es/gazeta/dias/1810/08/14/pdfs/GEI-D-1810-56.pdf#page=4","Abrir facsímil")</f>
        <v>Abrir facsímil</v>
      </c>
      <c r="K8766" s="3" t="s">
        <v>23</v>
      </c>
    </row>
    <row r="8767" spans="1:11" ht="42" customHeight="1">
      <c r="A8767" s="2" t="s">
        <v>21982</v>
      </c>
      <c r="B8767" s="2" t="s">
        <v>21983</v>
      </c>
      <c r="C8767" s="2" t="s">
        <v>26</v>
      </c>
      <c r="D8767" s="2" t="s">
        <v>39</v>
      </c>
      <c r="E8767" s="4">
        <v>-32642</v>
      </c>
      <c r="F8767" s="3" t="s">
        <v>2273</v>
      </c>
      <c r="G8767" s="3" t="s">
        <v>274</v>
      </c>
      <c r="H8767" s="2" t="s">
        <v>21</v>
      </c>
      <c r="I8767" s="2" t="s">
        <v>21984</v>
      </c>
      <c r="J8767" s="3" t="str">
        <f>HYPERLINK("https://www.boe.es/gazeta/dias/1810/08/17/pdfs/GEI-D-1810-57.pdf#page=8","Abrir facsímil")</f>
        <v>Abrir facsímil</v>
      </c>
      <c r="K8767" s="3" t="s">
        <v>23</v>
      </c>
    </row>
    <row r="8768" spans="1:11" ht="42" customHeight="1">
      <c r="A8768" s="2" t="s">
        <v>21985</v>
      </c>
      <c r="B8768" s="2" t="s">
        <v>21986</v>
      </c>
      <c r="C8768" s="2" t="s">
        <v>26</v>
      </c>
      <c r="D8768" s="2" t="s">
        <v>27</v>
      </c>
      <c r="E8768" s="4">
        <v>-32645</v>
      </c>
      <c r="F8768" s="3" t="s">
        <v>122</v>
      </c>
      <c r="G8768" s="3" t="s">
        <v>119</v>
      </c>
      <c r="H8768" s="2" t="s">
        <v>21</v>
      </c>
      <c r="I8768" s="2" t="s">
        <v>21987</v>
      </c>
      <c r="J8768" s="3" t="str">
        <f>HYPERLINK("https://www.boe.es/gazeta/dias/1810/08/14/pdfs/GEI-1810-56.pdf#page=14","Abrir facsímil")</f>
        <v>Abrir facsímil</v>
      </c>
      <c r="K8768" s="3" t="s">
        <v>23</v>
      </c>
    </row>
    <row r="8769" spans="1:11" ht="42" customHeight="1">
      <c r="A8769" s="2" t="s">
        <v>21988</v>
      </c>
      <c r="B8769" s="2" t="s">
        <v>21989</v>
      </c>
      <c r="C8769" s="2" t="s">
        <v>195</v>
      </c>
      <c r="D8769" s="2" t="s">
        <v>27</v>
      </c>
      <c r="E8769" s="4">
        <v>-32562</v>
      </c>
      <c r="F8769" s="3" t="s">
        <v>1186</v>
      </c>
      <c r="G8769" s="3" t="s">
        <v>90</v>
      </c>
      <c r="H8769" s="2" t="s">
        <v>21</v>
      </c>
      <c r="I8769" s="2" t="s">
        <v>21990</v>
      </c>
      <c r="J8769" s="3" t="str">
        <f>HYPERLINK("https://www.boe.es/gazeta/dias/1810/11/05/pdfs/GMD-1810-309.pdf#page=3","Abrir facsímil")</f>
        <v>Abrir facsímil</v>
      </c>
      <c r="K8769" s="3" t="s">
        <v>23</v>
      </c>
    </row>
    <row r="8770" spans="1:11" ht="42" customHeight="1">
      <c r="A8770" s="2" t="s">
        <v>21991</v>
      </c>
      <c r="B8770" s="2" t="s">
        <v>21992</v>
      </c>
      <c r="C8770" s="2" t="s">
        <v>26</v>
      </c>
      <c r="D8770" s="2" t="s">
        <v>27</v>
      </c>
      <c r="E8770" s="4">
        <v>-32799</v>
      </c>
      <c r="F8770" s="3" t="s">
        <v>2252</v>
      </c>
      <c r="G8770" s="3" t="s">
        <v>2253</v>
      </c>
      <c r="H8770" s="2" t="s">
        <v>21</v>
      </c>
      <c r="I8770" s="2" t="s">
        <v>21993</v>
      </c>
      <c r="J8770" s="3" t="str">
        <f>HYPERLINK("https://www.boe.es/gazeta/dias/1810/03/13/pdfs/GMD-1810-72.pdf#page=4","Abrir facsímil")</f>
        <v>Abrir facsímil</v>
      </c>
      <c r="K8770" s="3" t="s">
        <v>23</v>
      </c>
    </row>
    <row r="8771" spans="1:11" ht="42" customHeight="1">
      <c r="A8771" s="2" t="s">
        <v>21994</v>
      </c>
      <c r="B8771" s="2" t="s">
        <v>21995</v>
      </c>
      <c r="C8771" s="2" t="s">
        <v>26</v>
      </c>
      <c r="D8771" s="2" t="s">
        <v>27</v>
      </c>
      <c r="E8771" s="4">
        <v>-32833</v>
      </c>
      <c r="F8771" s="3" t="s">
        <v>1836</v>
      </c>
      <c r="G8771" s="3" t="s">
        <v>29</v>
      </c>
      <c r="H8771" s="2" t="s">
        <v>21</v>
      </c>
      <c r="I8771" s="2" t="s">
        <v>21996</v>
      </c>
      <c r="J8771" s="3" t="str">
        <f>HYPERLINK("https://www.boe.es/gazeta/dias/1810/02/07/pdfs/GMD-1810-38.pdf#page=4","Abrir facsímil")</f>
        <v>Abrir facsímil</v>
      </c>
      <c r="K8771" s="3" t="s">
        <v>23</v>
      </c>
    </row>
    <row r="8772" spans="1:11" ht="42" customHeight="1">
      <c r="A8772" s="2" t="s">
        <v>21997</v>
      </c>
      <c r="B8772" s="2" t="s">
        <v>21998</v>
      </c>
      <c r="C8772" s="2" t="s">
        <v>33</v>
      </c>
      <c r="D8772" s="2" t="s">
        <v>58</v>
      </c>
      <c r="E8772" s="4">
        <v>-32749</v>
      </c>
      <c r="F8772" s="3" t="s">
        <v>2451</v>
      </c>
      <c r="G8772" s="3" t="s">
        <v>113</v>
      </c>
      <c r="H8772" s="2" t="s">
        <v>21</v>
      </c>
      <c r="I8772" s="2" t="s">
        <v>21999</v>
      </c>
      <c r="J8772" s="3" t="str">
        <f>HYPERLINK("https://www.boe.es/gazeta/dias/1810/05/02/pdfs/GEI-1810-20E.pdf#page=5","Abrir facsímil")</f>
        <v>Abrir facsímil</v>
      </c>
      <c r="K8772" s="3" t="s">
        <v>23</v>
      </c>
    </row>
    <row r="8773" spans="1:11" ht="42" customHeight="1">
      <c r="A8773" s="2" t="s">
        <v>22000</v>
      </c>
      <c r="B8773" s="2" t="s">
        <v>22001</v>
      </c>
      <c r="C8773" s="2" t="s">
        <v>88</v>
      </c>
      <c r="D8773" s="2" t="s">
        <v>27</v>
      </c>
      <c r="E8773" s="4">
        <v>-32722</v>
      </c>
      <c r="F8773" s="3" t="s">
        <v>856</v>
      </c>
      <c r="G8773" s="3" t="s">
        <v>857</v>
      </c>
      <c r="H8773" s="2" t="s">
        <v>21</v>
      </c>
      <c r="I8773" s="2" t="s">
        <v>22002</v>
      </c>
      <c r="J8773" s="3" t="str">
        <f>HYPERLINK("https://www.boe.es/gazeta/dias/1810/05/29/pdfs/GEI-1810-31.pdf#page=11","Abrir facsímil")</f>
        <v>Abrir facsímil</v>
      </c>
      <c r="K8773" s="3" t="s">
        <v>23</v>
      </c>
    </row>
    <row r="8774" spans="1:11" ht="42" customHeight="1">
      <c r="A8774" s="2" t="s">
        <v>22003</v>
      </c>
      <c r="B8774" s="2" t="s">
        <v>22004</v>
      </c>
      <c r="C8774" s="2" t="s">
        <v>26</v>
      </c>
      <c r="D8774" s="2" t="s">
        <v>27</v>
      </c>
      <c r="E8774" s="4">
        <v>-32645</v>
      </c>
      <c r="F8774" s="3" t="s">
        <v>122</v>
      </c>
      <c r="G8774" s="3" t="s">
        <v>588</v>
      </c>
      <c r="H8774" s="2" t="s">
        <v>21</v>
      </c>
      <c r="I8774" s="2" t="s">
        <v>22005</v>
      </c>
      <c r="J8774" s="3" t="str">
        <f>HYPERLINK("https://www.boe.es/gazeta/dias/1810/08/14/pdfs/GEI-1810-56.pdf#page=15","Abrir facsímil")</f>
        <v>Abrir facsímil</v>
      </c>
      <c r="K8774" s="3" t="s">
        <v>23</v>
      </c>
    </row>
    <row r="8775" spans="1:11" ht="42" customHeight="1">
      <c r="A8775" s="2" t="s">
        <v>22006</v>
      </c>
      <c r="B8775" s="2" t="s">
        <v>22007</v>
      </c>
      <c r="C8775" s="2" t="s">
        <v>88</v>
      </c>
      <c r="D8775" s="2" t="s">
        <v>117</v>
      </c>
      <c r="E8775" s="4">
        <v>-32848</v>
      </c>
      <c r="F8775" s="3" t="s">
        <v>558</v>
      </c>
      <c r="G8775" s="3" t="s">
        <v>1590</v>
      </c>
      <c r="H8775" s="2" t="s">
        <v>21</v>
      </c>
      <c r="I8775" s="2" t="s">
        <v>22008</v>
      </c>
      <c r="J8775" s="3" t="str">
        <f>HYPERLINK("https://www.boe.es/gazeta/dias/1810/01/23/pdfs/GGB-1810-10.pdf#page=8","Abrir facsímil")</f>
        <v>Abrir facsímil</v>
      </c>
      <c r="K8775" s="3" t="s">
        <v>23</v>
      </c>
    </row>
    <row r="8776" spans="1:11" ht="42" customHeight="1">
      <c r="A8776" s="2" t="s">
        <v>22009</v>
      </c>
      <c r="B8776" s="2" t="s">
        <v>22010</v>
      </c>
      <c r="C8776" s="2" t="s">
        <v>88</v>
      </c>
      <c r="D8776" s="2" t="s">
        <v>117</v>
      </c>
      <c r="E8776" s="4">
        <v>-32666</v>
      </c>
      <c r="F8776" s="3" t="s">
        <v>1913</v>
      </c>
      <c r="G8776" s="3" t="s">
        <v>1914</v>
      </c>
      <c r="H8776" s="2" t="s">
        <v>21</v>
      </c>
      <c r="I8776" s="2" t="s">
        <v>22011</v>
      </c>
      <c r="J8776" s="3" t="str">
        <f>HYPERLINK("https://www.boe.es/gazeta/dias/1810/07/24/pdfs/GMD-1810-205.pdf#page=4","Abrir facsímil")</f>
        <v>Abrir facsímil</v>
      </c>
      <c r="K8776" s="3" t="s">
        <v>23</v>
      </c>
    </row>
    <row r="8777" spans="1:11" ht="42" customHeight="1">
      <c r="A8777" s="2" t="s">
        <v>22012</v>
      </c>
      <c r="B8777" s="2" t="s">
        <v>22013</v>
      </c>
      <c r="C8777" s="2" t="s">
        <v>26</v>
      </c>
      <c r="D8777" s="2" t="s">
        <v>27</v>
      </c>
      <c r="E8777" s="4">
        <v>-32729</v>
      </c>
      <c r="F8777" s="3" t="s">
        <v>174</v>
      </c>
      <c r="G8777" s="3" t="s">
        <v>70</v>
      </c>
      <c r="H8777" s="2" t="s">
        <v>21</v>
      </c>
      <c r="I8777" s="2" t="s">
        <v>22014</v>
      </c>
      <c r="J8777" s="3" t="str">
        <f>HYPERLINK("https://www.boe.es/gazeta/dias/1810/05/22/pdfs/GEI-1810-28.pdf#page=7","Abrir facsímil")</f>
        <v>Abrir facsímil</v>
      </c>
      <c r="K8777" s="3" t="s">
        <v>23</v>
      </c>
    </row>
    <row r="8778" spans="1:11" ht="42" customHeight="1">
      <c r="A8778" s="2" t="s">
        <v>22015</v>
      </c>
      <c r="B8778" s="2" t="s">
        <v>22016</v>
      </c>
      <c r="C8778" s="2" t="s">
        <v>26</v>
      </c>
      <c r="D8778" s="2" t="s">
        <v>27</v>
      </c>
      <c r="E8778" s="4">
        <v>-32729</v>
      </c>
      <c r="F8778" s="3" t="s">
        <v>174</v>
      </c>
      <c r="G8778" s="3" t="s">
        <v>70</v>
      </c>
      <c r="H8778" s="2" t="s">
        <v>21</v>
      </c>
      <c r="I8778" s="2" t="s">
        <v>22017</v>
      </c>
      <c r="J8778" s="3" t="str">
        <f>HYPERLINK("https://www.boe.es/gazeta/dias/1810/05/22/pdfs/GEI-1810-28.pdf#page=7","Abrir facsímil")</f>
        <v>Abrir facsímil</v>
      </c>
      <c r="K8778" s="3" t="s">
        <v>23</v>
      </c>
    </row>
    <row r="8779" spans="1:11" ht="42" customHeight="1">
      <c r="A8779" s="2" t="s">
        <v>22018</v>
      </c>
      <c r="B8779" s="2" t="s">
        <v>22019</v>
      </c>
      <c r="C8779" s="2" t="s">
        <v>26</v>
      </c>
      <c r="D8779" s="2" t="s">
        <v>27</v>
      </c>
      <c r="E8779" s="4">
        <v>-32642</v>
      </c>
      <c r="F8779" s="3" t="s">
        <v>657</v>
      </c>
      <c r="G8779" s="3" t="s">
        <v>29</v>
      </c>
      <c r="H8779" s="2" t="s">
        <v>21</v>
      </c>
      <c r="I8779" s="2" t="s">
        <v>22020</v>
      </c>
      <c r="J8779" s="3" t="str">
        <f>HYPERLINK("https://www.boe.es/gazeta/dias/1810/08/17/pdfs/GEI-1810-57.pdf#page=4","Abrir facsímil")</f>
        <v>Abrir facsímil</v>
      </c>
      <c r="K8779" s="3" t="s">
        <v>23</v>
      </c>
    </row>
    <row r="8780" spans="1:11" ht="42" customHeight="1">
      <c r="A8780" s="2" t="s">
        <v>22021</v>
      </c>
      <c r="B8780" s="2" t="s">
        <v>22022</v>
      </c>
      <c r="C8780" s="2" t="s">
        <v>88</v>
      </c>
      <c r="D8780" s="2" t="s">
        <v>117</v>
      </c>
      <c r="E8780" s="4">
        <v>-32645</v>
      </c>
      <c r="F8780" s="3" t="s">
        <v>122</v>
      </c>
      <c r="G8780" s="3" t="s">
        <v>119</v>
      </c>
      <c r="H8780" s="2" t="s">
        <v>21</v>
      </c>
      <c r="I8780" s="2" t="s">
        <v>22023</v>
      </c>
      <c r="J8780" s="3" t="str">
        <f>HYPERLINK("https://www.boe.es/gazeta/dias/1810/08/14/pdfs/GEI-1810-56.pdf#page=14","Abrir facsímil")</f>
        <v>Abrir facsímil</v>
      </c>
      <c r="K8780" s="3" t="s">
        <v>23</v>
      </c>
    </row>
    <row r="8781" spans="1:11" ht="42" customHeight="1">
      <c r="A8781" s="2" t="s">
        <v>22024</v>
      </c>
      <c r="B8781" s="2" t="s">
        <v>22025</v>
      </c>
      <c r="C8781" s="2" t="s">
        <v>317</v>
      </c>
      <c r="D8781" s="2" t="s">
        <v>27</v>
      </c>
      <c r="E8781" s="4">
        <v>-32537</v>
      </c>
      <c r="F8781" s="3" t="s">
        <v>1091</v>
      </c>
      <c r="G8781" s="3" t="s">
        <v>20</v>
      </c>
      <c r="H8781" s="2" t="s">
        <v>21</v>
      </c>
      <c r="I8781" s="2" t="s">
        <v>22026</v>
      </c>
      <c r="J8781" s="3" t="str">
        <f>HYPERLINK("https://www.boe.es/gazeta/dias/1810/11/30/pdfs/GMD-1810-334.pdf#page=4","Abrir facsímil")</f>
        <v>Abrir facsímil</v>
      </c>
      <c r="K8781" s="3" t="s">
        <v>23</v>
      </c>
    </row>
    <row r="8782" spans="1:11" ht="42" customHeight="1">
      <c r="A8782" s="2" t="s">
        <v>22027</v>
      </c>
      <c r="B8782" s="2" t="s">
        <v>22028</v>
      </c>
      <c r="C8782" s="2" t="s">
        <v>26</v>
      </c>
      <c r="D8782" s="2" t="s">
        <v>27</v>
      </c>
      <c r="E8782" s="4">
        <v>-32729</v>
      </c>
      <c r="F8782" s="3" t="s">
        <v>174</v>
      </c>
      <c r="G8782" s="3" t="s">
        <v>70</v>
      </c>
      <c r="H8782" s="2" t="s">
        <v>21</v>
      </c>
      <c r="I8782" s="2" t="s">
        <v>22029</v>
      </c>
      <c r="J8782" s="3" t="str">
        <f>HYPERLINK("https://www.boe.es/gazeta/dias/1810/05/22/pdfs/GEI-1810-28.pdf#page=7","Abrir facsímil")</f>
        <v>Abrir facsímil</v>
      </c>
      <c r="K8782" s="3" t="s">
        <v>23</v>
      </c>
    </row>
    <row r="8783" spans="1:11" ht="42" customHeight="1">
      <c r="A8783" s="2" t="s">
        <v>22030</v>
      </c>
      <c r="B8783" s="2" t="s">
        <v>22031</v>
      </c>
      <c r="C8783" s="2" t="s">
        <v>225</v>
      </c>
      <c r="D8783" s="2" t="s">
        <v>27</v>
      </c>
      <c r="E8783" s="4">
        <v>-32729</v>
      </c>
      <c r="F8783" s="3" t="s">
        <v>174</v>
      </c>
      <c r="G8783" s="3" t="s">
        <v>70</v>
      </c>
      <c r="H8783" s="2" t="s">
        <v>21</v>
      </c>
      <c r="I8783" s="2" t="s">
        <v>22032</v>
      </c>
      <c r="J8783" s="3" t="str">
        <f>HYPERLINK("https://www.boe.es/gazeta/dias/1810/05/22/pdfs/GEI-1810-28.pdf#page=7","Abrir facsímil")</f>
        <v>Abrir facsímil</v>
      </c>
      <c r="K8783" s="3" t="s">
        <v>23</v>
      </c>
    </row>
    <row r="8784" spans="1:11" ht="42" customHeight="1">
      <c r="A8784" s="2" t="s">
        <v>22033</v>
      </c>
      <c r="B8784" s="2" t="s">
        <v>22034</v>
      </c>
      <c r="C8784" s="2" t="s">
        <v>88</v>
      </c>
      <c r="D8784" s="2" t="s">
        <v>27</v>
      </c>
      <c r="E8784" s="4">
        <v>-32510</v>
      </c>
      <c r="F8784" s="3" t="s">
        <v>1955</v>
      </c>
      <c r="G8784" s="3" t="s">
        <v>140</v>
      </c>
      <c r="H8784" s="2" t="s">
        <v>21</v>
      </c>
      <c r="I8784" s="2" t="s">
        <v>22035</v>
      </c>
      <c r="J8784" s="3" t="str">
        <f>HYPERLINK("https://www.boe.es/gazeta/dias/1810/12/27/pdfs/GEI-1810-113.pdf#page=8","Abrir facsímil")</f>
        <v>Abrir facsímil</v>
      </c>
      <c r="K8784" s="3" t="s">
        <v>23</v>
      </c>
    </row>
    <row r="8785" spans="1:11" ht="42" customHeight="1">
      <c r="A8785" s="2" t="s">
        <v>22036</v>
      </c>
      <c r="B8785" s="2" t="s">
        <v>22037</v>
      </c>
      <c r="C8785" s="2" t="s">
        <v>88</v>
      </c>
      <c r="D8785" s="2" t="s">
        <v>27</v>
      </c>
      <c r="E8785" s="4">
        <v>-32649</v>
      </c>
      <c r="F8785" s="3" t="s">
        <v>190</v>
      </c>
      <c r="G8785" s="3" t="s">
        <v>191</v>
      </c>
      <c r="H8785" s="2" t="s">
        <v>21</v>
      </c>
      <c r="I8785" s="2" t="s">
        <v>22038</v>
      </c>
      <c r="J8785" s="3" t="str">
        <f>HYPERLINK("https://www.boe.es/gazeta/dias/1810/08/10/pdfs/GEI-1810-54.pdf#page=10","Abrir facsímil")</f>
        <v>Abrir facsímil</v>
      </c>
      <c r="K8785" s="3" t="s">
        <v>23</v>
      </c>
    </row>
    <row r="8786" spans="1:11" ht="42" customHeight="1">
      <c r="A8786" s="2" t="s">
        <v>22039</v>
      </c>
      <c r="B8786" s="2" t="s">
        <v>22040</v>
      </c>
      <c r="C8786" s="2" t="s">
        <v>225</v>
      </c>
      <c r="D8786" s="2" t="s">
        <v>27</v>
      </c>
      <c r="E8786" s="4">
        <v>-32658</v>
      </c>
      <c r="F8786" s="3" t="s">
        <v>1224</v>
      </c>
      <c r="G8786" s="3" t="s">
        <v>140</v>
      </c>
      <c r="H8786" s="2" t="s">
        <v>21</v>
      </c>
      <c r="I8786" s="2" t="s">
        <v>22041</v>
      </c>
      <c r="J8786" s="3" t="str">
        <f>HYPERLINK("https://www.boe.es/gazeta/dias/1810/08/01/pdfs/GMD-1810-213.pdf#page=4","Abrir facsímil")</f>
        <v>Abrir facsímil</v>
      </c>
      <c r="K8786" s="3" t="s">
        <v>23</v>
      </c>
    </row>
    <row r="8787" spans="1:11" ht="42" customHeight="1">
      <c r="A8787" s="2" t="s">
        <v>22042</v>
      </c>
      <c r="B8787" s="2" t="s">
        <v>22043</v>
      </c>
      <c r="C8787" s="2" t="s">
        <v>88</v>
      </c>
      <c r="D8787" s="2" t="s">
        <v>117</v>
      </c>
      <c r="E8787" s="4">
        <v>-32680</v>
      </c>
      <c r="F8787" s="3" t="s">
        <v>519</v>
      </c>
      <c r="G8787" s="3" t="s">
        <v>104</v>
      </c>
      <c r="H8787" s="2" t="s">
        <v>21</v>
      </c>
      <c r="I8787" s="2" t="s">
        <v>22044</v>
      </c>
      <c r="J8787" s="3" t="str">
        <f>HYPERLINK("https://www.boe.es/gazeta/dias/1810/07/10/pdfs/GEI-1810-43.pdf#page=8","Abrir facsímil")</f>
        <v>Abrir facsímil</v>
      </c>
      <c r="K8787" s="3" t="s">
        <v>23</v>
      </c>
    </row>
    <row r="8788" spans="1:11" ht="42" customHeight="1">
      <c r="A8788" s="2" t="s">
        <v>22045</v>
      </c>
      <c r="B8788" s="2" t="s">
        <v>22046</v>
      </c>
      <c r="C8788" s="2" t="s">
        <v>33</v>
      </c>
      <c r="D8788" s="2" t="s">
        <v>27</v>
      </c>
      <c r="E8788" s="4">
        <v>-32755</v>
      </c>
      <c r="F8788" s="3" t="s">
        <v>1641</v>
      </c>
      <c r="G8788" s="3" t="s">
        <v>2420</v>
      </c>
      <c r="H8788" s="2" t="s">
        <v>21</v>
      </c>
      <c r="I8788" s="2" t="s">
        <v>22047</v>
      </c>
      <c r="J8788" s="3" t="str">
        <f>HYPERLINK("https://www.boe.es/gazeta/dias/1810/04/26/pdfs/GMD-1810-116.pdf#page=4","Abrir facsímil")</f>
        <v>Abrir facsímil</v>
      </c>
      <c r="K8788" s="3" t="s">
        <v>23</v>
      </c>
    </row>
    <row r="8789" spans="1:11" ht="42" customHeight="1">
      <c r="A8789" s="2" t="s">
        <v>22048</v>
      </c>
      <c r="B8789" s="2" t="s">
        <v>22049</v>
      </c>
      <c r="C8789" s="2" t="s">
        <v>26</v>
      </c>
      <c r="D8789" s="2" t="s">
        <v>27</v>
      </c>
      <c r="E8789" s="4">
        <v>-32698</v>
      </c>
      <c r="F8789" s="3" t="s">
        <v>2705</v>
      </c>
      <c r="G8789" s="3" t="s">
        <v>2706</v>
      </c>
      <c r="H8789" s="2" t="s">
        <v>21</v>
      </c>
      <c r="I8789" s="2" t="s">
        <v>22050</v>
      </c>
      <c r="J8789" s="3" t="str">
        <f>HYPERLINK("https://www.boe.es/gazeta/dias/1810/06/22/pdfs/GEI-1810-38.pdf#page=8","Abrir facsímil")</f>
        <v>Abrir facsímil</v>
      </c>
      <c r="K8789" s="3" t="s">
        <v>23</v>
      </c>
    </row>
    <row r="8790" spans="1:11" ht="42" customHeight="1">
      <c r="A8790" s="2" t="s">
        <v>22051</v>
      </c>
      <c r="B8790" s="2" t="s">
        <v>22052</v>
      </c>
      <c r="C8790" s="2" t="s">
        <v>88</v>
      </c>
      <c r="D8790" s="2" t="s">
        <v>117</v>
      </c>
      <c r="E8790" s="4">
        <v>-32704</v>
      </c>
      <c r="F8790" s="3" t="s">
        <v>94</v>
      </c>
      <c r="G8790" s="3" t="s">
        <v>20</v>
      </c>
      <c r="H8790" s="2" t="s">
        <v>21</v>
      </c>
      <c r="I8790" s="2" t="s">
        <v>22053</v>
      </c>
      <c r="J8790" s="3" t="str">
        <f>HYPERLINK("https://www.boe.es/gazeta/dias/1810/06/16/pdfs/GMD-1810-167.pdf#page=4","Abrir facsímil")</f>
        <v>Abrir facsímil</v>
      </c>
      <c r="K8790" s="3" t="s">
        <v>23</v>
      </c>
    </row>
    <row r="8791" spans="1:11" ht="42" customHeight="1">
      <c r="A8791" s="2" t="s">
        <v>22054</v>
      </c>
      <c r="B8791" s="2" t="s">
        <v>22055</v>
      </c>
      <c r="C8791" s="2" t="s">
        <v>26</v>
      </c>
      <c r="D8791" s="2" t="s">
        <v>27</v>
      </c>
      <c r="E8791" s="4">
        <v>-32728</v>
      </c>
      <c r="F8791" s="3" t="s">
        <v>269</v>
      </c>
      <c r="G8791" s="3" t="s">
        <v>70</v>
      </c>
      <c r="H8791" s="2" t="s">
        <v>21</v>
      </c>
      <c r="I8791" s="2" t="s">
        <v>22056</v>
      </c>
      <c r="J8791" s="3" t="str">
        <f>HYPERLINK("https://www.boe.es/gazeta/dias/1810/05/23/pdfs/GMD-1810-143.pdf#page=4","Abrir facsímil")</f>
        <v>Abrir facsímil</v>
      </c>
      <c r="K8791" s="3" t="s">
        <v>23</v>
      </c>
    </row>
    <row r="8792" spans="1:11" ht="42" customHeight="1">
      <c r="A8792" s="2" t="s">
        <v>22057</v>
      </c>
      <c r="B8792" s="2" t="s">
        <v>22058</v>
      </c>
      <c r="C8792" s="2" t="s">
        <v>225</v>
      </c>
      <c r="D8792" s="2" t="s">
        <v>27</v>
      </c>
      <c r="E8792" s="4">
        <v>-32684</v>
      </c>
      <c r="F8792" s="3" t="s">
        <v>1373</v>
      </c>
      <c r="G8792" s="3" t="s">
        <v>3538</v>
      </c>
      <c r="H8792" s="2" t="s">
        <v>21</v>
      </c>
      <c r="I8792" s="2" t="s">
        <v>22059</v>
      </c>
      <c r="J8792" s="3" t="str">
        <f>HYPERLINK("https://www.boe.es/gazeta/dias/1810/07/06/pdfs/GEI-1810-42.pdf#page=2","Abrir facsímil")</f>
        <v>Abrir facsímil</v>
      </c>
      <c r="K8792" s="3" t="s">
        <v>23</v>
      </c>
    </row>
    <row r="8793" spans="1:11" ht="42" customHeight="1">
      <c r="A8793" s="2" t="s">
        <v>22060</v>
      </c>
      <c r="B8793" s="2" t="s">
        <v>22061</v>
      </c>
      <c r="C8793" s="2" t="s">
        <v>26</v>
      </c>
      <c r="D8793" s="2" t="s">
        <v>18</v>
      </c>
      <c r="E8793" s="4">
        <v>-32839</v>
      </c>
      <c r="F8793" s="3" t="s">
        <v>28</v>
      </c>
      <c r="G8793" s="3" t="s">
        <v>140</v>
      </c>
      <c r="H8793" s="2" t="s">
        <v>21</v>
      </c>
      <c r="I8793" s="2" t="s">
        <v>22062</v>
      </c>
      <c r="J8793" s="3" t="str">
        <f>HYPERLINK("https://www.boe.es/gazeta/dias/1810/02/01/pdfs/GMD-1810-32.pdf#page=4","Abrir facsímil")</f>
        <v>Abrir facsímil</v>
      </c>
      <c r="K8793" s="3" t="s">
        <v>23</v>
      </c>
    </row>
    <row r="8794" spans="1:11" ht="42" customHeight="1">
      <c r="A8794" s="2" t="s">
        <v>22063</v>
      </c>
      <c r="B8794" s="2" t="s">
        <v>22064</v>
      </c>
      <c r="C8794" s="2" t="s">
        <v>88</v>
      </c>
      <c r="D8794" s="2" t="s">
        <v>27</v>
      </c>
      <c r="E8794" s="4">
        <v>-32783</v>
      </c>
      <c r="F8794" s="3" t="s">
        <v>896</v>
      </c>
      <c r="G8794" s="3" t="s">
        <v>20</v>
      </c>
      <c r="H8794" s="2" t="s">
        <v>21</v>
      </c>
      <c r="I8794" s="2" t="s">
        <v>22065</v>
      </c>
      <c r="J8794" s="3" t="str">
        <f>HYPERLINK("https://www.boe.es/gazeta/dias/1810/03/29/pdfs/GMD-1810-88.pdf#page=4","Abrir facsímil")</f>
        <v>Abrir facsímil</v>
      </c>
      <c r="K8794" s="3" t="s">
        <v>23</v>
      </c>
    </row>
    <row r="8795" spans="1:11" ht="42" customHeight="1">
      <c r="A8795" s="2" t="s">
        <v>22066</v>
      </c>
      <c r="B8795" s="2" t="s">
        <v>22067</v>
      </c>
      <c r="C8795" s="2" t="s">
        <v>88</v>
      </c>
      <c r="D8795" s="2" t="s">
        <v>27</v>
      </c>
      <c r="E8795" s="4">
        <v>-32566</v>
      </c>
      <c r="F8795" s="3" t="s">
        <v>649</v>
      </c>
      <c r="G8795" s="3" t="s">
        <v>11080</v>
      </c>
      <c r="H8795" s="2" t="s">
        <v>21</v>
      </c>
      <c r="I8795" s="2" t="s">
        <v>22068</v>
      </c>
      <c r="J8795" s="3" t="str">
        <f>HYPERLINK("https://www.boe.es/gazeta/dias/1810/11/01/pdfs/GEI-1810-89.pdf#page=8","Abrir facsímil")</f>
        <v>Abrir facsímil</v>
      </c>
      <c r="K8795" s="3" t="s">
        <v>23</v>
      </c>
    </row>
    <row r="8796" spans="1:11" ht="42" customHeight="1">
      <c r="A8796" s="2" t="s">
        <v>22069</v>
      </c>
      <c r="B8796" s="2" t="s">
        <v>22070</v>
      </c>
      <c r="C8796" s="2" t="s">
        <v>88</v>
      </c>
      <c r="D8796" s="2" t="s">
        <v>27</v>
      </c>
      <c r="E8796" s="4">
        <v>-32614</v>
      </c>
      <c r="F8796" s="3" t="s">
        <v>1083</v>
      </c>
      <c r="G8796" s="3" t="s">
        <v>227</v>
      </c>
      <c r="H8796" s="2" t="s">
        <v>21</v>
      </c>
      <c r="I8796" s="2" t="s">
        <v>22071</v>
      </c>
      <c r="J8796" s="3" t="str">
        <f>HYPERLINK("https://www.boe.es/gazeta/dias/1810/09/14/pdfs/GEI-1810-67.pdf#page=6","Abrir facsímil")</f>
        <v>Abrir facsímil</v>
      </c>
      <c r="K8796" s="3" t="s">
        <v>23</v>
      </c>
    </row>
    <row r="8797" spans="1:11" ht="42" customHeight="1">
      <c r="A8797" s="2" t="s">
        <v>22072</v>
      </c>
      <c r="B8797" s="2" t="s">
        <v>22073</v>
      </c>
      <c r="C8797" s="2" t="s">
        <v>88</v>
      </c>
      <c r="D8797" s="2" t="s">
        <v>117</v>
      </c>
      <c r="E8797" s="4">
        <v>-32642</v>
      </c>
      <c r="F8797" s="3" t="s">
        <v>2273</v>
      </c>
      <c r="G8797" s="3" t="s">
        <v>191</v>
      </c>
      <c r="H8797" s="2" t="s">
        <v>21</v>
      </c>
      <c r="I8797" s="2" t="s">
        <v>22074</v>
      </c>
      <c r="J8797" s="3" t="str">
        <f>HYPERLINK("https://www.boe.es/gazeta/dias/1810/08/17/pdfs/GEI-D-1810-57.pdf#page=5","Abrir facsímil")</f>
        <v>Abrir facsímil</v>
      </c>
      <c r="K8797" s="3" t="s">
        <v>23</v>
      </c>
    </row>
    <row r="8798" spans="1:11" ht="42" customHeight="1">
      <c r="A8798" s="2" t="s">
        <v>22075</v>
      </c>
      <c r="B8798" s="2" t="s">
        <v>22076</v>
      </c>
      <c r="C8798" s="2" t="s">
        <v>26</v>
      </c>
      <c r="D8798" s="2" t="s">
        <v>27</v>
      </c>
      <c r="E8798" s="4">
        <v>-32853</v>
      </c>
      <c r="F8798" s="3" t="s">
        <v>12771</v>
      </c>
      <c r="G8798" s="3" t="s">
        <v>1894</v>
      </c>
      <c r="H8798" s="2" t="s">
        <v>21</v>
      </c>
      <c r="I8798" s="2" t="s">
        <v>22077</v>
      </c>
      <c r="J8798" s="3" t="str">
        <f>HYPERLINK("https://www.boe.es/gazeta/dias/1810/01/18/pdfs/GMD-1810-18.pdf#page=4","Abrir facsímil")</f>
        <v>Abrir facsímil</v>
      </c>
      <c r="K8798" s="3" t="s">
        <v>23</v>
      </c>
    </row>
    <row r="8799" spans="1:11" ht="42" customHeight="1">
      <c r="A8799" s="2" t="s">
        <v>22078</v>
      </c>
      <c r="B8799" s="2" t="s">
        <v>22079</v>
      </c>
      <c r="C8799" s="2" t="s">
        <v>26</v>
      </c>
      <c r="D8799" s="2" t="s">
        <v>27</v>
      </c>
      <c r="E8799" s="4">
        <v>-32809</v>
      </c>
      <c r="F8799" s="3" t="s">
        <v>1873</v>
      </c>
      <c r="G8799" s="3" t="s">
        <v>735</v>
      </c>
      <c r="H8799" s="2" t="s">
        <v>21</v>
      </c>
      <c r="I8799" s="2" t="s">
        <v>22080</v>
      </c>
      <c r="J8799" s="3" t="str">
        <f>HYPERLINK("https://www.boe.es/gazeta/dias/1810/03/03/pdfs/GMD-1810-62.pdf#page=4","Abrir facsímil")</f>
        <v>Abrir facsímil</v>
      </c>
      <c r="K8799" s="3" t="s">
        <v>23</v>
      </c>
    </row>
    <row r="8800" spans="1:11" ht="42" customHeight="1">
      <c r="A8800" s="2" t="s">
        <v>22081</v>
      </c>
      <c r="B8800" s="2" t="s">
        <v>22082</v>
      </c>
      <c r="C8800" s="2" t="s">
        <v>225</v>
      </c>
      <c r="D8800" s="2" t="s">
        <v>18</v>
      </c>
      <c r="E8800" s="4">
        <v>-32733</v>
      </c>
      <c r="F8800" s="3" t="s">
        <v>955</v>
      </c>
      <c r="G8800" s="3" t="s">
        <v>5433</v>
      </c>
      <c r="H8800" s="2" t="s">
        <v>21</v>
      </c>
      <c r="I8800" s="2" t="s">
        <v>22083</v>
      </c>
      <c r="J8800" s="3" t="str">
        <f>HYPERLINK("https://www.boe.es/gazeta/dias/1810/05/18/pdfs/GEI-1810-27.pdf#page=3","Abrir facsímil")</f>
        <v>Abrir facsímil</v>
      </c>
      <c r="K8800" s="3" t="s">
        <v>23</v>
      </c>
    </row>
    <row r="8801" spans="1:11" ht="42" customHeight="1">
      <c r="A8801" s="2" t="s">
        <v>22084</v>
      </c>
      <c r="B8801" s="2" t="s">
        <v>22085</v>
      </c>
      <c r="C8801" s="2" t="s">
        <v>33</v>
      </c>
      <c r="D8801" s="2" t="s">
        <v>27</v>
      </c>
      <c r="E8801" s="4">
        <v>-32720</v>
      </c>
      <c r="F8801" s="3" t="s">
        <v>3377</v>
      </c>
      <c r="G8801" s="3" t="s">
        <v>3378</v>
      </c>
      <c r="H8801" s="2" t="s">
        <v>21</v>
      </c>
      <c r="I8801" s="2" t="s">
        <v>22086</v>
      </c>
      <c r="J8801" s="3" t="str">
        <f>HYPERLINK("https://www.boe.es/gazeta/dias/1810/05/31/pdfs/GMD-1810-151.pdf#page=4","Abrir facsímil")</f>
        <v>Abrir facsímil</v>
      </c>
      <c r="K8801" s="3" t="s">
        <v>23</v>
      </c>
    </row>
    <row r="8802" spans="1:11" ht="42" customHeight="1">
      <c r="A8802" s="2" t="s">
        <v>22087</v>
      </c>
      <c r="B8802" s="2" t="s">
        <v>22088</v>
      </c>
      <c r="C8802" s="2" t="s">
        <v>88</v>
      </c>
      <c r="D8802" s="2" t="s">
        <v>27</v>
      </c>
      <c r="E8802" s="4">
        <v>-32562</v>
      </c>
      <c r="F8802" s="3" t="s">
        <v>1186</v>
      </c>
      <c r="G8802" s="3" t="s">
        <v>90</v>
      </c>
      <c r="H8802" s="2" t="s">
        <v>21</v>
      </c>
      <c r="I8802" s="2" t="s">
        <v>22089</v>
      </c>
      <c r="J8802" s="3" t="str">
        <f>HYPERLINK("https://www.boe.es/gazeta/dias/1810/11/05/pdfs/GMD-1810-309.pdf#page=3","Abrir facsímil")</f>
        <v>Abrir facsímil</v>
      </c>
      <c r="K8802" s="3" t="s">
        <v>23</v>
      </c>
    </row>
    <row r="8803" spans="1:11" ht="42" customHeight="1">
      <c r="A8803" s="2" t="s">
        <v>22090</v>
      </c>
      <c r="B8803" s="2" t="s">
        <v>22091</v>
      </c>
      <c r="C8803" s="2" t="s">
        <v>26</v>
      </c>
      <c r="D8803" s="2" t="s">
        <v>27</v>
      </c>
      <c r="E8803" s="4">
        <v>-32735</v>
      </c>
      <c r="F8803" s="3" t="s">
        <v>612</v>
      </c>
      <c r="G8803" s="3" t="s">
        <v>359</v>
      </c>
      <c r="H8803" s="2" t="s">
        <v>21</v>
      </c>
      <c r="I8803" s="2" t="s">
        <v>22092</v>
      </c>
      <c r="J8803" s="3" t="str">
        <f>HYPERLINK("https://www.boe.es/gazeta/dias/1810/05/16/pdfs/GMD-1810-136.pdf#page=3","Abrir facsímil")</f>
        <v>Abrir facsímil</v>
      </c>
      <c r="K8803" s="3" t="s">
        <v>23</v>
      </c>
    </row>
    <row r="8804" spans="1:11" ht="42" customHeight="1">
      <c r="A8804" s="2" t="s">
        <v>22093</v>
      </c>
      <c r="B8804" s="2" t="s">
        <v>22094</v>
      </c>
      <c r="C8804" s="2" t="s">
        <v>88</v>
      </c>
      <c r="D8804" s="2" t="s">
        <v>27</v>
      </c>
      <c r="E8804" s="4">
        <v>-32720</v>
      </c>
      <c r="F8804" s="3" t="s">
        <v>3377</v>
      </c>
      <c r="G8804" s="3" t="s">
        <v>3378</v>
      </c>
      <c r="H8804" s="2" t="s">
        <v>21</v>
      </c>
      <c r="I8804" s="2" t="s">
        <v>22095</v>
      </c>
      <c r="J8804" s="3" t="str">
        <f>HYPERLINK("https://www.boe.es/gazeta/dias/1810/05/31/pdfs/GMD-1810-151.pdf#page=4","Abrir facsímil")</f>
        <v>Abrir facsímil</v>
      </c>
      <c r="K8804" s="3" t="s">
        <v>23</v>
      </c>
    </row>
    <row r="8805" spans="1:11" ht="42" customHeight="1">
      <c r="A8805" s="2" t="s">
        <v>22096</v>
      </c>
      <c r="B8805" s="2" t="s">
        <v>22097</v>
      </c>
      <c r="C8805" s="2" t="s">
        <v>111</v>
      </c>
      <c r="D8805" s="2" t="s">
        <v>27</v>
      </c>
      <c r="E8805" s="4">
        <v>-32866</v>
      </c>
      <c r="F8805" s="3" t="s">
        <v>6818</v>
      </c>
      <c r="G8805" s="3" t="s">
        <v>213</v>
      </c>
      <c r="H8805" s="2" t="s">
        <v>21</v>
      </c>
      <c r="I8805" s="2" t="s">
        <v>22098</v>
      </c>
      <c r="J8805" s="3" t="str">
        <f>HYPERLINK("https://www.boe.es/gazeta/dias/1810/01/05/pdfs/GMD-1810-5.pdf#page=2","Abrir facsímil")</f>
        <v>Abrir facsímil</v>
      </c>
      <c r="K8805" s="3" t="s">
        <v>23</v>
      </c>
    </row>
    <row r="8806" spans="1:11" ht="42" customHeight="1">
      <c r="A8806" s="2" t="s">
        <v>22099</v>
      </c>
      <c r="B8806" s="2" t="s">
        <v>22100</v>
      </c>
      <c r="C8806" s="2" t="s">
        <v>88</v>
      </c>
      <c r="D8806" s="2" t="s">
        <v>117</v>
      </c>
      <c r="E8806" s="4">
        <v>-32631</v>
      </c>
      <c r="F8806" s="3" t="s">
        <v>497</v>
      </c>
      <c r="G8806" s="3" t="s">
        <v>498</v>
      </c>
      <c r="H8806" s="2" t="s">
        <v>21</v>
      </c>
      <c r="I8806" s="2" t="s">
        <v>22101</v>
      </c>
      <c r="J8806" s="3" t="str">
        <f>HYPERLINK("https://www.boe.es/gazeta/dias/1810/08/28/pdfs/GMD-1810-240.pdf#page=2","Abrir facsímil")</f>
        <v>Abrir facsímil</v>
      </c>
      <c r="K8806" s="3" t="s">
        <v>23</v>
      </c>
    </row>
    <row r="8807" spans="1:11" ht="42" customHeight="1">
      <c r="A8807" s="2" t="s">
        <v>22102</v>
      </c>
      <c r="B8807" s="2" t="s">
        <v>22103</v>
      </c>
      <c r="C8807" s="2" t="s">
        <v>17</v>
      </c>
      <c r="D8807" s="2" t="s">
        <v>27</v>
      </c>
      <c r="E8807" s="4">
        <v>-32667</v>
      </c>
      <c r="F8807" s="3" t="s">
        <v>381</v>
      </c>
      <c r="G8807" s="3" t="s">
        <v>2928</v>
      </c>
      <c r="H8807" s="2" t="s">
        <v>21</v>
      </c>
      <c r="I8807" s="2" t="s">
        <v>22104</v>
      </c>
      <c r="J8807" s="3" t="str">
        <f>HYPERLINK("https://www.boe.es/gazeta/dias/1810/07/23/pdfs/GMD-1810-204.pdf#page=3","Abrir facsímil")</f>
        <v>Abrir facsímil</v>
      </c>
      <c r="K8807" s="3" t="s">
        <v>23</v>
      </c>
    </row>
    <row r="8808" spans="1:11" ht="42" customHeight="1">
      <c r="A8808" s="2" t="s">
        <v>22105</v>
      </c>
      <c r="B8808" s="2" t="s">
        <v>22106</v>
      </c>
      <c r="C8808" s="2" t="s">
        <v>88</v>
      </c>
      <c r="D8808" s="2" t="s">
        <v>27</v>
      </c>
      <c r="E8808" s="4">
        <v>-32591</v>
      </c>
      <c r="F8808" s="3" t="s">
        <v>377</v>
      </c>
      <c r="G8808" s="3" t="s">
        <v>136</v>
      </c>
      <c r="H8808" s="2" t="s">
        <v>21</v>
      </c>
      <c r="I8808" s="2" t="s">
        <v>22107</v>
      </c>
      <c r="J8808" s="3" t="str">
        <f>HYPERLINK("https://www.boe.es/gazeta/dias/1810/10/07/pdfs/GMD-1810-280.pdf#page=3","Abrir facsímil")</f>
        <v>Abrir facsímil</v>
      </c>
      <c r="K8808" s="3" t="s">
        <v>23</v>
      </c>
    </row>
    <row r="8809" spans="1:11" ht="42" customHeight="1">
      <c r="A8809" s="2" t="s">
        <v>22108</v>
      </c>
      <c r="B8809" s="2" t="s">
        <v>22109</v>
      </c>
      <c r="C8809" s="2" t="s">
        <v>26</v>
      </c>
      <c r="D8809" s="2" t="s">
        <v>27</v>
      </c>
      <c r="E8809" s="4">
        <v>-32692</v>
      </c>
      <c r="F8809" s="3" t="s">
        <v>3698</v>
      </c>
      <c r="G8809" s="3" t="s">
        <v>140</v>
      </c>
      <c r="H8809" s="2" t="s">
        <v>21</v>
      </c>
      <c r="I8809" s="2" t="s">
        <v>22110</v>
      </c>
      <c r="J8809" s="3" t="str">
        <f>HYPERLINK("https://www.boe.es/gazeta/dias/1810/06/28/pdfs/GMD-1810-179.pdf#page=4","Abrir facsímil")</f>
        <v>Abrir facsímil</v>
      </c>
      <c r="K8809" s="3" t="s">
        <v>23</v>
      </c>
    </row>
    <row r="8810" spans="1:11" ht="42" customHeight="1">
      <c r="A8810" s="2" t="s">
        <v>22111</v>
      </c>
      <c r="B8810" s="2" t="s">
        <v>22112</v>
      </c>
      <c r="C8810" s="2" t="s">
        <v>26</v>
      </c>
      <c r="D8810" s="2" t="s">
        <v>27</v>
      </c>
      <c r="E8810" s="4">
        <v>-32675</v>
      </c>
      <c r="F8810" s="3" t="s">
        <v>729</v>
      </c>
      <c r="G8810" s="3" t="s">
        <v>7071</v>
      </c>
      <c r="H8810" s="2" t="s">
        <v>21</v>
      </c>
      <c r="I8810" s="2" t="s">
        <v>22113</v>
      </c>
      <c r="J8810" s="3" t="str">
        <f>HYPERLINK("https://www.boe.es/gazeta/dias/1810/07/15/pdfs/GMD-1810-196.pdf#page=4","Abrir facsímil")</f>
        <v>Abrir facsímil</v>
      </c>
      <c r="K8810" s="3" t="s">
        <v>23</v>
      </c>
    </row>
    <row r="8811" spans="1:11" ht="42" customHeight="1">
      <c r="A8811" s="2" t="s">
        <v>22114</v>
      </c>
      <c r="B8811" s="2" t="s">
        <v>22115</v>
      </c>
      <c r="C8811" s="2" t="s">
        <v>26</v>
      </c>
      <c r="D8811" s="2" t="s">
        <v>27</v>
      </c>
      <c r="E8811" s="4">
        <v>-32829</v>
      </c>
      <c r="F8811" s="3" t="s">
        <v>1126</v>
      </c>
      <c r="G8811" s="3" t="s">
        <v>29</v>
      </c>
      <c r="H8811" s="2" t="s">
        <v>21</v>
      </c>
      <c r="I8811" s="2" t="s">
        <v>22116</v>
      </c>
      <c r="J8811" s="3" t="str">
        <f>HYPERLINK("https://www.boe.es/gazeta/dias/1810/02/11/pdfs/GMD-1810-42.pdf#page=2","Abrir facsímil")</f>
        <v>Abrir facsímil</v>
      </c>
      <c r="K8811" s="3" t="s">
        <v>23</v>
      </c>
    </row>
    <row r="8812" spans="1:11" ht="42" customHeight="1">
      <c r="A8812" s="2" t="s">
        <v>22117</v>
      </c>
      <c r="B8812" s="2" t="s">
        <v>22118</v>
      </c>
      <c r="C8812" s="2" t="s">
        <v>26</v>
      </c>
      <c r="D8812" s="2" t="s">
        <v>27</v>
      </c>
      <c r="E8812" s="4">
        <v>-32820</v>
      </c>
      <c r="F8812" s="3" t="s">
        <v>226</v>
      </c>
      <c r="G8812" s="3" t="s">
        <v>356</v>
      </c>
      <c r="H8812" s="2" t="s">
        <v>21</v>
      </c>
      <c r="I8812" s="2" t="s">
        <v>22119</v>
      </c>
      <c r="J8812" s="3" t="str">
        <f>HYPERLINK("https://www.boe.es/gazeta/dias/1810/02/20/pdfs/GMD-1810-51.pdf#page=3","Abrir facsímil")</f>
        <v>Abrir facsímil</v>
      </c>
      <c r="K8812" s="3" t="s">
        <v>23</v>
      </c>
    </row>
    <row r="8813" spans="1:11" ht="42" customHeight="1">
      <c r="A8813" s="2" t="s">
        <v>22120</v>
      </c>
      <c r="B8813" s="2" t="s">
        <v>22121</v>
      </c>
      <c r="C8813" s="2" t="s">
        <v>225</v>
      </c>
      <c r="D8813" s="2" t="s">
        <v>117</v>
      </c>
      <c r="E8813" s="4">
        <v>-32729</v>
      </c>
      <c r="F8813" s="3" t="s">
        <v>174</v>
      </c>
      <c r="G8813" s="3" t="s">
        <v>70</v>
      </c>
      <c r="H8813" s="2" t="s">
        <v>21</v>
      </c>
      <c r="I8813" s="2" t="s">
        <v>22122</v>
      </c>
      <c r="J8813" s="3" t="str">
        <f>HYPERLINK("https://www.boe.es/gazeta/dias/1810/05/22/pdfs/GEI-1810-28.pdf#page=7","Abrir facsímil")</f>
        <v>Abrir facsímil</v>
      </c>
      <c r="K8813" s="3" t="s">
        <v>23</v>
      </c>
    </row>
    <row r="8814" spans="1:11" ht="42" customHeight="1">
      <c r="A8814" s="2" t="s">
        <v>22123</v>
      </c>
      <c r="B8814" s="2" t="s">
        <v>22124</v>
      </c>
      <c r="C8814" s="2" t="s">
        <v>930</v>
      </c>
      <c r="D8814" s="2" t="s">
        <v>27</v>
      </c>
      <c r="E8814" s="4">
        <v>-32614</v>
      </c>
      <c r="F8814" s="3" t="s">
        <v>1083</v>
      </c>
      <c r="G8814" s="3" t="s">
        <v>227</v>
      </c>
      <c r="H8814" s="2" t="s">
        <v>21</v>
      </c>
      <c r="I8814" s="2" t="s">
        <v>22125</v>
      </c>
      <c r="J8814" s="3" t="str">
        <f>HYPERLINK("https://www.boe.es/gazeta/dias/1810/09/14/pdfs/GEI-1810-67.pdf#page=6","Abrir facsímil")</f>
        <v>Abrir facsímil</v>
      </c>
      <c r="K8814" s="3" t="s">
        <v>23</v>
      </c>
    </row>
    <row r="8815" spans="1:11" ht="42" customHeight="1">
      <c r="A8815" s="2" t="s">
        <v>22126</v>
      </c>
      <c r="B8815" s="2" t="s">
        <v>22127</v>
      </c>
      <c r="C8815" s="2" t="s">
        <v>26</v>
      </c>
      <c r="D8815" s="2" t="s">
        <v>18</v>
      </c>
      <c r="E8815" s="4">
        <v>-32529</v>
      </c>
      <c r="F8815" s="3" t="s">
        <v>112</v>
      </c>
      <c r="G8815" s="3" t="s">
        <v>113</v>
      </c>
      <c r="H8815" s="2" t="s">
        <v>21</v>
      </c>
      <c r="I8815" s="2" t="s">
        <v>22128</v>
      </c>
      <c r="J8815" s="3" t="str">
        <f>HYPERLINK("https://www.boe.es/gazeta/dias/1810/12/08/pdfs/GEI-1810-105.pdf#page=8","Abrir facsímil")</f>
        <v>Abrir facsímil</v>
      </c>
      <c r="K8815" s="3" t="s">
        <v>23</v>
      </c>
    </row>
    <row r="8816" spans="1:11" ht="42" customHeight="1">
      <c r="A8816" s="2" t="s">
        <v>22129</v>
      </c>
      <c r="B8816" s="2" t="s">
        <v>22130</v>
      </c>
      <c r="C8816" s="2" t="s">
        <v>88</v>
      </c>
      <c r="D8816" s="2" t="s">
        <v>27</v>
      </c>
      <c r="E8816" s="4">
        <v>-32562</v>
      </c>
      <c r="F8816" s="3" t="s">
        <v>1186</v>
      </c>
      <c r="G8816" s="3" t="s">
        <v>29</v>
      </c>
      <c r="H8816" s="2" t="s">
        <v>21</v>
      </c>
      <c r="I8816" s="2" t="s">
        <v>22131</v>
      </c>
      <c r="J8816" s="3" t="str">
        <f>HYPERLINK("https://www.boe.es/gazeta/dias/1810/11/05/pdfs/GMD-1810-309.pdf#page=2","Abrir facsímil")</f>
        <v>Abrir facsímil</v>
      </c>
      <c r="K8816" s="3" t="s">
        <v>23</v>
      </c>
    </row>
    <row r="8817" spans="1:11" ht="42" customHeight="1">
      <c r="A8817" s="2" t="s">
        <v>22132</v>
      </c>
      <c r="B8817" s="2" t="s">
        <v>22133</v>
      </c>
      <c r="C8817" s="2" t="s">
        <v>26</v>
      </c>
      <c r="D8817" s="2" t="s">
        <v>39</v>
      </c>
      <c r="E8817" s="4">
        <v>-32701</v>
      </c>
      <c r="F8817" s="3" t="s">
        <v>40</v>
      </c>
      <c r="G8817" s="3" t="s">
        <v>315</v>
      </c>
      <c r="H8817" s="2" t="s">
        <v>21</v>
      </c>
      <c r="I8817" s="2" t="s">
        <v>22134</v>
      </c>
      <c r="J8817" s="3" t="str">
        <f>HYPERLINK("https://www.boe.es/gazeta/dias/1810/06/19/pdfs/GMD-C-1810-170.pdf#page=2","Abrir facsímil")</f>
        <v>Abrir facsímil</v>
      </c>
      <c r="K8817" s="3" t="s">
        <v>23</v>
      </c>
    </row>
    <row r="8818" spans="1:11" ht="42" customHeight="1">
      <c r="A8818" s="2" t="s">
        <v>22135</v>
      </c>
      <c r="B8818" s="2" t="s">
        <v>22136</v>
      </c>
      <c r="C8818" s="2" t="s">
        <v>26</v>
      </c>
      <c r="D8818" s="2" t="s">
        <v>27</v>
      </c>
      <c r="E8818" s="4">
        <v>-32526</v>
      </c>
      <c r="F8818" s="3" t="s">
        <v>530</v>
      </c>
      <c r="G8818" s="3" t="s">
        <v>531</v>
      </c>
      <c r="H8818" s="2" t="s">
        <v>21</v>
      </c>
      <c r="I8818" s="2" t="s">
        <v>22137</v>
      </c>
      <c r="J8818" s="3" t="str">
        <f>HYPERLINK("https://www.boe.es/gazeta/dias/1810/12/11/pdfs/GEI-1810-106.pdf#page=2","Abrir facsímil")</f>
        <v>Abrir facsímil</v>
      </c>
      <c r="K8818" s="3" t="s">
        <v>23</v>
      </c>
    </row>
    <row r="8819" spans="1:11" ht="42" customHeight="1">
      <c r="A8819" s="2" t="s">
        <v>22138</v>
      </c>
      <c r="B8819" s="2" t="s">
        <v>22139</v>
      </c>
      <c r="C8819" s="2" t="s">
        <v>317</v>
      </c>
      <c r="D8819" s="2" t="s">
        <v>27</v>
      </c>
      <c r="E8819" s="4">
        <v>-32568</v>
      </c>
      <c r="F8819" s="3" t="s">
        <v>1233</v>
      </c>
      <c r="G8819" s="3" t="s">
        <v>140</v>
      </c>
      <c r="H8819" s="2" t="s">
        <v>21</v>
      </c>
      <c r="I8819" s="2" t="s">
        <v>22140</v>
      </c>
      <c r="J8819" s="3" t="str">
        <f>HYPERLINK("https://www.boe.es/gazeta/dias/1810/10/30/pdfs/GMD-1810-303.pdf#page=4","Abrir facsímil")</f>
        <v>Abrir facsímil</v>
      </c>
      <c r="K8819" s="3" t="s">
        <v>23</v>
      </c>
    </row>
    <row r="8820" spans="1:11" ht="42" customHeight="1">
      <c r="A8820" s="2" t="s">
        <v>22141</v>
      </c>
      <c r="B8820" s="2" t="s">
        <v>22142</v>
      </c>
      <c r="C8820" s="2" t="s">
        <v>26</v>
      </c>
      <c r="D8820" s="2" t="s">
        <v>27</v>
      </c>
      <c r="E8820" s="4">
        <v>-32506</v>
      </c>
      <c r="F8820" s="3" t="s">
        <v>7076</v>
      </c>
      <c r="G8820" s="3" t="s">
        <v>2739</v>
      </c>
      <c r="H8820" s="2" t="s">
        <v>21</v>
      </c>
      <c r="I8820" s="2" t="s">
        <v>22143</v>
      </c>
      <c r="J8820" s="3" t="str">
        <f>HYPERLINK("https://www.boe.es/gazeta/dias/1810/12/31/pdfs/GMD-1810-365.pdf#page=4","Abrir facsímil")</f>
        <v>Abrir facsímil</v>
      </c>
      <c r="K8820" s="3" t="s">
        <v>23</v>
      </c>
    </row>
    <row r="8821" spans="1:11" ht="42" customHeight="1">
      <c r="A8821" s="2" t="s">
        <v>22144</v>
      </c>
      <c r="B8821" s="2" t="s">
        <v>22145</v>
      </c>
      <c r="C8821" s="2" t="s">
        <v>33</v>
      </c>
      <c r="D8821" s="2" t="s">
        <v>18</v>
      </c>
      <c r="E8821" s="4">
        <v>-32733</v>
      </c>
      <c r="F8821" s="3" t="s">
        <v>955</v>
      </c>
      <c r="G8821" s="3" t="s">
        <v>20</v>
      </c>
      <c r="H8821" s="2" t="s">
        <v>21</v>
      </c>
      <c r="I8821" s="2" t="s">
        <v>22146</v>
      </c>
      <c r="J8821" s="3" t="str">
        <f>HYPERLINK("https://www.boe.es/gazeta/dias/1810/05/18/pdfs/GEI-1810-27.pdf#page=4","Abrir facsímil")</f>
        <v>Abrir facsímil</v>
      </c>
      <c r="K8821" s="3" t="s">
        <v>23</v>
      </c>
    </row>
    <row r="8822" spans="1:11" ht="42" customHeight="1">
      <c r="A8822" s="2" t="s">
        <v>22147</v>
      </c>
      <c r="B8822" s="2" t="s">
        <v>22148</v>
      </c>
      <c r="C8822" s="2" t="s">
        <v>33</v>
      </c>
      <c r="D8822" s="2" t="s">
        <v>18</v>
      </c>
      <c r="E8822" s="4">
        <v>-32734</v>
      </c>
      <c r="F8822" s="3" t="s">
        <v>19</v>
      </c>
      <c r="G8822" s="3" t="s">
        <v>20</v>
      </c>
      <c r="H8822" s="2" t="s">
        <v>21</v>
      </c>
      <c r="I8822" s="2" t="s">
        <v>22149</v>
      </c>
      <c r="J8822" s="3" t="str">
        <f>HYPERLINK("https://www.boe.es/gazeta/dias/1810/05/17/pdfs/GMD-1810-137.pdf#page=4","Abrir facsímil")</f>
        <v>Abrir facsímil</v>
      </c>
      <c r="K8822" s="3" t="s">
        <v>23</v>
      </c>
    </row>
    <row r="8823" spans="1:11" ht="42" customHeight="1">
      <c r="A8823" s="2" t="s">
        <v>22150</v>
      </c>
      <c r="B8823" s="2" t="s">
        <v>22151</v>
      </c>
      <c r="C8823" s="2" t="s">
        <v>26</v>
      </c>
      <c r="D8823" s="2" t="s">
        <v>18</v>
      </c>
      <c r="E8823" s="4">
        <v>-32738</v>
      </c>
      <c r="F8823" s="3" t="s">
        <v>321</v>
      </c>
      <c r="G8823" s="3" t="s">
        <v>140</v>
      </c>
      <c r="H8823" s="2" t="s">
        <v>21</v>
      </c>
      <c r="I8823" s="2" t="s">
        <v>22152</v>
      </c>
      <c r="J8823" s="3" t="str">
        <f>HYPERLINK("https://www.boe.es/gazeta/dias/1810/05/13/pdfs/GMD-1810-133.pdf#page=4","Abrir facsímil")</f>
        <v>Abrir facsímil</v>
      </c>
      <c r="K8823" s="3" t="s">
        <v>23</v>
      </c>
    </row>
    <row r="8824" spans="1:11" ht="42" customHeight="1">
      <c r="A8824" s="2" t="s">
        <v>22153</v>
      </c>
      <c r="B8824" s="2" t="s">
        <v>22154</v>
      </c>
      <c r="C8824" s="2" t="s">
        <v>26</v>
      </c>
      <c r="D8824" s="2" t="s">
        <v>27</v>
      </c>
      <c r="E8824" s="4">
        <v>-32526</v>
      </c>
      <c r="F8824" s="3" t="s">
        <v>530</v>
      </c>
      <c r="G8824" s="3" t="s">
        <v>531</v>
      </c>
      <c r="H8824" s="2" t="s">
        <v>21</v>
      </c>
      <c r="I8824" s="2" t="s">
        <v>22155</v>
      </c>
      <c r="J8824" s="3" t="str">
        <f>HYPERLINK("https://www.boe.es/gazeta/dias/1810/12/11/pdfs/GEI-1810-106.pdf#page=2","Abrir facsímil")</f>
        <v>Abrir facsímil</v>
      </c>
      <c r="K8824" s="3" t="s">
        <v>23</v>
      </c>
    </row>
    <row r="8825" spans="1:11" ht="42" customHeight="1">
      <c r="A8825" s="2" t="s">
        <v>22156</v>
      </c>
      <c r="B8825" s="2" t="s">
        <v>22157</v>
      </c>
      <c r="C8825" s="2" t="s">
        <v>88</v>
      </c>
      <c r="D8825" s="2" t="s">
        <v>117</v>
      </c>
      <c r="E8825" s="4">
        <v>-32617</v>
      </c>
      <c r="F8825" s="3" t="s">
        <v>1459</v>
      </c>
      <c r="G8825" s="3" t="s">
        <v>17127</v>
      </c>
      <c r="H8825" s="2" t="s">
        <v>21</v>
      </c>
      <c r="I8825" s="2" t="s">
        <v>22158</v>
      </c>
      <c r="J8825" s="3" t="str">
        <f>HYPERLINK("https://www.boe.es/gazeta/dias/1810/09/11/pdfs/GEI-1810-66.pdf#page=1","Abrir facsímil")</f>
        <v>Abrir facsímil</v>
      </c>
      <c r="K8825" s="3" t="s">
        <v>23</v>
      </c>
    </row>
    <row r="8826" spans="1:11" ht="42" customHeight="1">
      <c r="A8826" s="2" t="s">
        <v>22159</v>
      </c>
      <c r="B8826" s="2" t="s">
        <v>22160</v>
      </c>
      <c r="C8826" s="2" t="s">
        <v>26</v>
      </c>
      <c r="D8826" s="2" t="s">
        <v>27</v>
      </c>
      <c r="E8826" s="4">
        <v>-32647</v>
      </c>
      <c r="F8826" s="3" t="s">
        <v>118</v>
      </c>
      <c r="G8826" s="3" t="s">
        <v>20</v>
      </c>
      <c r="H8826" s="2" t="s">
        <v>21</v>
      </c>
      <c r="I8826" s="2" t="s">
        <v>22161</v>
      </c>
      <c r="J8826" s="3" t="str">
        <f>HYPERLINK("https://www.boe.es/gazeta/dias/1810/08/12/pdfs/GMD-1810-224.pdf#page=4","Abrir facsímil")</f>
        <v>Abrir facsímil</v>
      </c>
      <c r="K8826" s="3" t="s">
        <v>23</v>
      </c>
    </row>
    <row r="8827" spans="1:11" ht="42" customHeight="1">
      <c r="A8827" s="2" t="s">
        <v>22162</v>
      </c>
      <c r="B8827" s="2" t="s">
        <v>22163</v>
      </c>
      <c r="C8827" s="2" t="s">
        <v>88</v>
      </c>
      <c r="D8827" s="2" t="s">
        <v>18</v>
      </c>
      <c r="E8827" s="4">
        <v>-32728</v>
      </c>
      <c r="F8827" s="3" t="s">
        <v>269</v>
      </c>
      <c r="G8827" s="3" t="s">
        <v>119</v>
      </c>
      <c r="H8827" s="2" t="s">
        <v>21</v>
      </c>
      <c r="I8827" s="2" t="s">
        <v>22164</v>
      </c>
      <c r="J8827" s="3" t="str">
        <f>HYPERLINK("https://www.boe.es/gazeta/dias/1810/05/23/pdfs/GMD-1810-143.pdf#page=3","Abrir facsímil")</f>
        <v>Abrir facsímil</v>
      </c>
      <c r="K8827" s="3" t="s">
        <v>23</v>
      </c>
    </row>
    <row r="8828" spans="1:11" ht="42" customHeight="1">
      <c r="A8828" s="2" t="s">
        <v>22165</v>
      </c>
      <c r="B8828" s="2" t="s">
        <v>22166</v>
      </c>
      <c r="C8828" s="2" t="s">
        <v>17</v>
      </c>
      <c r="D8828" s="2" t="s">
        <v>27</v>
      </c>
      <c r="E8828" s="4">
        <v>-32688</v>
      </c>
      <c r="F8828" s="3" t="s">
        <v>997</v>
      </c>
      <c r="G8828" s="3" t="s">
        <v>749</v>
      </c>
      <c r="H8828" s="2" t="s">
        <v>21</v>
      </c>
      <c r="I8828" s="2" t="s">
        <v>22167</v>
      </c>
      <c r="J8828" s="3" t="str">
        <f>HYPERLINK("https://www.boe.es/gazeta/dias/1810/07/02/pdfs/GMD-1810-183.pdf#page=4","Abrir facsímil")</f>
        <v>Abrir facsímil</v>
      </c>
      <c r="K8828" s="3" t="s">
        <v>23</v>
      </c>
    </row>
    <row r="8829" spans="1:11" ht="42" customHeight="1">
      <c r="A8829" s="2" t="s">
        <v>22168</v>
      </c>
      <c r="B8829" s="2" t="s">
        <v>22169</v>
      </c>
      <c r="C8829" s="2" t="s">
        <v>26</v>
      </c>
      <c r="D8829" s="2" t="s">
        <v>39</v>
      </c>
      <c r="E8829" s="4">
        <v>-32701</v>
      </c>
      <c r="F8829" s="3" t="s">
        <v>40</v>
      </c>
      <c r="G8829" s="3" t="s">
        <v>315</v>
      </c>
      <c r="H8829" s="2" t="s">
        <v>21</v>
      </c>
      <c r="I8829" s="2" t="s">
        <v>22170</v>
      </c>
      <c r="J8829" s="3" t="str">
        <f>HYPERLINK("https://www.boe.es/gazeta/dias/1810/06/19/pdfs/GMD-C-1810-170.pdf#page=2","Abrir facsímil")</f>
        <v>Abrir facsímil</v>
      </c>
      <c r="K8829" s="3" t="s">
        <v>23</v>
      </c>
    </row>
    <row r="8830" spans="1:11" ht="42" customHeight="1">
      <c r="A8830" s="2" t="s">
        <v>22168</v>
      </c>
      <c r="B8830" s="2" t="s">
        <v>22169</v>
      </c>
      <c r="C8830" s="2" t="s">
        <v>26</v>
      </c>
      <c r="D8830" s="2" t="s">
        <v>18</v>
      </c>
      <c r="E8830" s="4">
        <v>-32701</v>
      </c>
      <c r="F8830" s="3" t="s">
        <v>40</v>
      </c>
      <c r="G8830" s="3" t="s">
        <v>333</v>
      </c>
      <c r="H8830" s="2" t="s">
        <v>21</v>
      </c>
      <c r="I8830" s="2" t="s">
        <v>22171</v>
      </c>
      <c r="J8830" s="3" t="str">
        <f>HYPERLINK("https://www.boe.es/gazeta/dias/1810/06/19/pdfs/GMD-C-1810-170.pdf#page=4","Abrir facsímil")</f>
        <v>Abrir facsímil</v>
      </c>
      <c r="K8830" s="3" t="s">
        <v>23</v>
      </c>
    </row>
    <row r="8831" spans="1:11" ht="42" customHeight="1">
      <c r="A8831" s="2" t="s">
        <v>22172</v>
      </c>
      <c r="B8831" s="2" t="s">
        <v>22173</v>
      </c>
      <c r="C8831" s="2" t="s">
        <v>26</v>
      </c>
      <c r="D8831" s="2" t="s">
        <v>39</v>
      </c>
      <c r="E8831" s="4">
        <v>-32701</v>
      </c>
      <c r="F8831" s="3" t="s">
        <v>40</v>
      </c>
      <c r="G8831" s="3" t="s">
        <v>333</v>
      </c>
      <c r="H8831" s="2" t="s">
        <v>21</v>
      </c>
      <c r="I8831" s="2" t="s">
        <v>22174</v>
      </c>
      <c r="J8831" s="3" t="str">
        <f>HYPERLINK("https://www.boe.es/gazeta/dias/1810/06/19/pdfs/GMD-C-1810-170.pdf#page=4","Abrir facsímil")</f>
        <v>Abrir facsímil</v>
      </c>
      <c r="K8831" s="3" t="s">
        <v>23</v>
      </c>
    </row>
    <row r="8832" spans="1:11" ht="42" customHeight="1">
      <c r="A8832" s="2" t="s">
        <v>22175</v>
      </c>
      <c r="B8832" s="2" t="s">
        <v>22176</v>
      </c>
      <c r="C8832" s="2" t="s">
        <v>26</v>
      </c>
      <c r="D8832" s="2" t="s">
        <v>18</v>
      </c>
      <c r="E8832" s="4">
        <v>-32601</v>
      </c>
      <c r="F8832" s="3" t="s">
        <v>392</v>
      </c>
      <c r="G8832" s="3" t="s">
        <v>35</v>
      </c>
      <c r="H8832" s="2" t="s">
        <v>21</v>
      </c>
      <c r="I8832" s="2" t="s">
        <v>22177</v>
      </c>
      <c r="J8832" s="3" t="str">
        <f>HYPERLINK("https://www.boe.es/gazeta/dias/1810/09/27/pdfs/GEI-1810-74E.pdf#page=2","Abrir facsímil")</f>
        <v>Abrir facsímil</v>
      </c>
      <c r="K8832" s="3" t="s">
        <v>23</v>
      </c>
    </row>
    <row r="8833" spans="1:11" ht="42" customHeight="1">
      <c r="A8833" s="2" t="s">
        <v>22178</v>
      </c>
      <c r="B8833" s="2" t="s">
        <v>22179</v>
      </c>
      <c r="C8833" s="2" t="s">
        <v>26</v>
      </c>
      <c r="D8833" s="2" t="s">
        <v>27</v>
      </c>
      <c r="E8833" s="4">
        <v>-32867</v>
      </c>
      <c r="F8833" s="3" t="s">
        <v>712</v>
      </c>
      <c r="G8833" s="3" t="s">
        <v>291</v>
      </c>
      <c r="H8833" s="2" t="s">
        <v>21</v>
      </c>
      <c r="I8833" s="2" t="s">
        <v>22180</v>
      </c>
      <c r="J8833" s="3" t="str">
        <f>HYPERLINK("https://www.boe.es/gazeta/dias/1810/01/04/pdfs/GGB-1810-2.pdf#page=8","Abrir facsímil")</f>
        <v>Abrir facsímil</v>
      </c>
      <c r="K8833" s="3" t="s">
        <v>23</v>
      </c>
    </row>
    <row r="8834" spans="1:11" ht="42" customHeight="1">
      <c r="A8834" s="2" t="s">
        <v>22181</v>
      </c>
      <c r="B8834" s="2" t="s">
        <v>22182</v>
      </c>
      <c r="C8834" s="2" t="s">
        <v>88</v>
      </c>
      <c r="D8834" s="2" t="s">
        <v>27</v>
      </c>
      <c r="E8834" s="4">
        <v>-32744</v>
      </c>
      <c r="F8834" s="3" t="s">
        <v>1570</v>
      </c>
      <c r="G8834" s="3" t="s">
        <v>136</v>
      </c>
      <c r="H8834" s="2" t="s">
        <v>21</v>
      </c>
      <c r="I8834" s="2" t="s">
        <v>22183</v>
      </c>
      <c r="J8834" s="3" t="str">
        <f>HYPERLINK("https://www.boe.es/gazeta/dias/1810/05/07/pdfs/GMD-1810-127.pdf#page=4","Abrir facsímil")</f>
        <v>Abrir facsímil</v>
      </c>
      <c r="K8834" s="3" t="s">
        <v>23</v>
      </c>
    </row>
    <row r="8835" spans="1:11" ht="42" customHeight="1">
      <c r="A8835" s="2" t="s">
        <v>22181</v>
      </c>
      <c r="B8835" s="2" t="s">
        <v>22182</v>
      </c>
      <c r="C8835" s="2" t="s">
        <v>26</v>
      </c>
      <c r="D8835" s="2" t="s">
        <v>18</v>
      </c>
      <c r="E8835" s="4">
        <v>-32708</v>
      </c>
      <c r="F8835" s="3" t="s">
        <v>1601</v>
      </c>
      <c r="G8835" s="3" t="s">
        <v>7921</v>
      </c>
      <c r="H8835" s="2" t="s">
        <v>21</v>
      </c>
      <c r="I8835" s="2" t="s">
        <v>22184</v>
      </c>
      <c r="J8835" s="3" t="str">
        <f>HYPERLINK("https://www.boe.es/gazeta/dias/1810/06/12/pdfs/GEI-D-1810-35.pdf#page=4","Abrir facsímil")</f>
        <v>Abrir facsímil</v>
      </c>
      <c r="K8835" s="3" t="s">
        <v>23</v>
      </c>
    </row>
    <row r="8836" spans="1:11" ht="42" customHeight="1">
      <c r="A8836" s="2" t="s">
        <v>22185</v>
      </c>
      <c r="B8836" s="2" t="s">
        <v>22186</v>
      </c>
      <c r="C8836" s="2" t="s">
        <v>26</v>
      </c>
      <c r="D8836" s="2" t="s">
        <v>27</v>
      </c>
      <c r="E8836" s="4">
        <v>-32568</v>
      </c>
      <c r="F8836" s="3" t="s">
        <v>683</v>
      </c>
      <c r="G8836" s="3" t="s">
        <v>465</v>
      </c>
      <c r="H8836" s="2" t="s">
        <v>21</v>
      </c>
      <c r="I8836" s="2" t="s">
        <v>22187</v>
      </c>
      <c r="J8836" s="3" t="str">
        <f>HYPERLINK("https://www.boe.es/gazeta/dias/1810/10/30/pdfs/GEI-1810-88.pdf#page=8","Abrir facsímil")</f>
        <v>Abrir facsímil</v>
      </c>
      <c r="K8836" s="3" t="s">
        <v>23</v>
      </c>
    </row>
    <row r="8837" spans="1:11" ht="42" customHeight="1">
      <c r="A8837" s="2" t="s">
        <v>22188</v>
      </c>
      <c r="B8837" s="2" t="s">
        <v>22189</v>
      </c>
      <c r="C8837" s="2" t="s">
        <v>26</v>
      </c>
      <c r="D8837" s="2" t="s">
        <v>27</v>
      </c>
      <c r="E8837" s="4">
        <v>-32842</v>
      </c>
      <c r="F8837" s="3" t="s">
        <v>1291</v>
      </c>
      <c r="G8837" s="3" t="s">
        <v>70</v>
      </c>
      <c r="H8837" s="2" t="s">
        <v>21</v>
      </c>
      <c r="I8837" s="2" t="s">
        <v>22190</v>
      </c>
      <c r="J8837" s="3" t="str">
        <f>HYPERLINK("https://www.boe.es/gazeta/dias/1810/01/29/pdfs/GMD-1810-29.pdf#page=4","Abrir facsímil")</f>
        <v>Abrir facsímil</v>
      </c>
      <c r="K8837" s="3" t="s">
        <v>23</v>
      </c>
    </row>
    <row r="8838" spans="1:11" ht="42" customHeight="1">
      <c r="A8838" s="2" t="s">
        <v>22191</v>
      </c>
      <c r="B8838" s="2" t="s">
        <v>22192</v>
      </c>
      <c r="C8838" s="2" t="s">
        <v>26</v>
      </c>
      <c r="D8838" s="2" t="s">
        <v>27</v>
      </c>
      <c r="E8838" s="4">
        <v>-32645</v>
      </c>
      <c r="F8838" s="3" t="s">
        <v>122</v>
      </c>
      <c r="G8838" s="3" t="s">
        <v>140</v>
      </c>
      <c r="H8838" s="2" t="s">
        <v>21</v>
      </c>
      <c r="I8838" s="2" t="s">
        <v>22193</v>
      </c>
      <c r="J8838" s="3" t="str">
        <f>HYPERLINK("https://www.boe.es/gazeta/dias/1810/08/14/pdfs/GEI-1810-56.pdf#page=6","Abrir facsímil")</f>
        <v>Abrir facsímil</v>
      </c>
      <c r="K8838" s="3" t="s">
        <v>23</v>
      </c>
    </row>
    <row r="8839" spans="1:11" ht="42" customHeight="1">
      <c r="A8839" s="2" t="s">
        <v>22194</v>
      </c>
      <c r="B8839" s="2" t="s">
        <v>22195</v>
      </c>
      <c r="C8839" s="2" t="s">
        <v>26</v>
      </c>
      <c r="D8839" s="2" t="s">
        <v>27</v>
      </c>
      <c r="E8839" s="4">
        <v>-32543</v>
      </c>
      <c r="F8839" s="3" t="s">
        <v>69</v>
      </c>
      <c r="G8839" s="3" t="s">
        <v>8237</v>
      </c>
      <c r="H8839" s="2" t="s">
        <v>21</v>
      </c>
      <c r="I8839" s="2" t="s">
        <v>22196</v>
      </c>
      <c r="J8839" s="3" t="str">
        <f>HYPERLINK("https://www.boe.es/gazeta/dias/1810/11/24/pdfs/GEI-1810-99.pdf#page=4","Abrir facsímil")</f>
        <v>Abrir facsímil</v>
      </c>
      <c r="K8839" s="3" t="s">
        <v>23</v>
      </c>
    </row>
    <row r="8840" spans="1:11" ht="42" customHeight="1">
      <c r="A8840" s="2" t="s">
        <v>22197</v>
      </c>
      <c r="B8840" s="2" t="s">
        <v>22198</v>
      </c>
      <c r="C8840" s="2" t="s">
        <v>88</v>
      </c>
      <c r="D8840" s="2" t="s">
        <v>220</v>
      </c>
      <c r="E8840" s="4">
        <v>-32657</v>
      </c>
      <c r="F8840" s="3" t="s">
        <v>7977</v>
      </c>
      <c r="G8840" s="3" t="s">
        <v>465</v>
      </c>
      <c r="H8840" s="2" t="s">
        <v>21</v>
      </c>
      <c r="I8840" s="2" t="s">
        <v>22199</v>
      </c>
      <c r="J8840" s="3" t="str">
        <f>HYPERLINK("https://www.boe.es/gazeta/dias/1810/08/02/pdfs/GMD-1810-214.pdf#page=3","Abrir facsímil")</f>
        <v>Abrir facsímil</v>
      </c>
      <c r="K8840" s="3" t="s">
        <v>23</v>
      </c>
    </row>
    <row r="8841" spans="1:11" ht="42" customHeight="1">
      <c r="A8841" s="2" t="s">
        <v>22200</v>
      </c>
      <c r="B8841" s="2" t="s">
        <v>22201</v>
      </c>
      <c r="C8841" s="2" t="s">
        <v>88</v>
      </c>
      <c r="D8841" s="2" t="s">
        <v>117</v>
      </c>
      <c r="E8841" s="4">
        <v>-32704</v>
      </c>
      <c r="F8841" s="3" t="s">
        <v>94</v>
      </c>
      <c r="G8841" s="3" t="s">
        <v>20</v>
      </c>
      <c r="H8841" s="2" t="s">
        <v>21</v>
      </c>
      <c r="I8841" s="2" t="s">
        <v>22202</v>
      </c>
      <c r="J8841" s="3" t="str">
        <f>HYPERLINK("https://www.boe.es/gazeta/dias/1810/06/16/pdfs/GMD-1810-167.pdf#page=4","Abrir facsímil")</f>
        <v>Abrir facsímil</v>
      </c>
      <c r="K8841" s="3" t="s">
        <v>23</v>
      </c>
    </row>
    <row r="8842" spans="1:11" ht="42" customHeight="1">
      <c r="A8842" s="2" t="s">
        <v>22203</v>
      </c>
      <c r="B8842" s="2" t="s">
        <v>22204</v>
      </c>
      <c r="C8842" s="2" t="s">
        <v>225</v>
      </c>
      <c r="D8842" s="2" t="s">
        <v>39</v>
      </c>
      <c r="E8842" s="4">
        <v>-32642</v>
      </c>
      <c r="F8842" s="3" t="s">
        <v>2273</v>
      </c>
      <c r="G8842" s="3" t="s">
        <v>274</v>
      </c>
      <c r="H8842" s="2" t="s">
        <v>21</v>
      </c>
      <c r="I8842" s="2" t="s">
        <v>22205</v>
      </c>
      <c r="J8842" s="3" t="str">
        <f>HYPERLINK("https://www.boe.es/gazeta/dias/1810/08/17/pdfs/GEI-D-1810-57.pdf#page=8","Abrir facsímil")</f>
        <v>Abrir facsímil</v>
      </c>
      <c r="K8842" s="3" t="s">
        <v>23</v>
      </c>
    </row>
    <row r="8843" spans="1:11" ht="42" customHeight="1">
      <c r="A8843" s="2" t="s">
        <v>22206</v>
      </c>
      <c r="B8843" s="2" t="s">
        <v>22207</v>
      </c>
      <c r="C8843" s="2" t="s">
        <v>33</v>
      </c>
      <c r="D8843" s="2" t="s">
        <v>27</v>
      </c>
      <c r="E8843" s="4">
        <v>-32522</v>
      </c>
      <c r="F8843" s="3" t="s">
        <v>1168</v>
      </c>
      <c r="G8843" s="3" t="s">
        <v>90</v>
      </c>
      <c r="H8843" s="2" t="s">
        <v>21</v>
      </c>
      <c r="I8843" s="2" t="s">
        <v>22208</v>
      </c>
      <c r="J8843" s="3" t="str">
        <f>HYPERLINK("https://www.boe.es/gazeta/dias/1810/12/15/pdfs/GMD-1810-349.pdf#page=3","Abrir facsímil")</f>
        <v>Abrir facsímil</v>
      </c>
      <c r="K8843" s="3" t="s">
        <v>23</v>
      </c>
    </row>
    <row r="8844" spans="1:11" ht="42" customHeight="1">
      <c r="A8844" s="2" t="s">
        <v>22209</v>
      </c>
      <c r="B8844" s="2" t="s">
        <v>22210</v>
      </c>
      <c r="C8844" s="2" t="s">
        <v>111</v>
      </c>
      <c r="D8844" s="2" t="s">
        <v>27</v>
      </c>
      <c r="E8844" s="4">
        <v>-32592</v>
      </c>
      <c r="F8844" s="3" t="s">
        <v>771</v>
      </c>
      <c r="G8844" s="3" t="s">
        <v>668</v>
      </c>
      <c r="H8844" s="2" t="s">
        <v>21</v>
      </c>
      <c r="I8844" s="2" t="s">
        <v>22211</v>
      </c>
      <c r="J8844" s="3" t="str">
        <f>HYPERLINK("https://www.boe.es/gazeta/dias/1810/10/06/pdfs/GEI-1810-78.pdf#page=5","Abrir facsímil")</f>
        <v>Abrir facsímil</v>
      </c>
      <c r="K8844" s="3" t="s">
        <v>23</v>
      </c>
    </row>
    <row r="8845" spans="1:11" ht="42" customHeight="1">
      <c r="A8845" s="2" t="s">
        <v>22212</v>
      </c>
      <c r="B8845" s="2" t="s">
        <v>22213</v>
      </c>
      <c r="C8845" s="2" t="s">
        <v>88</v>
      </c>
      <c r="D8845" s="2" t="s">
        <v>27</v>
      </c>
      <c r="E8845" s="4">
        <v>-32775</v>
      </c>
      <c r="F8845" s="3" t="s">
        <v>308</v>
      </c>
      <c r="G8845" s="3" t="s">
        <v>140</v>
      </c>
      <c r="H8845" s="2" t="s">
        <v>21</v>
      </c>
      <c r="I8845" s="2" t="s">
        <v>22214</v>
      </c>
      <c r="J8845" s="3" t="str">
        <f>HYPERLINK("https://www.boe.es/gazeta/dias/1810/04/06/pdfs/GMD-1810-96.pdf#page=3","Abrir facsímil")</f>
        <v>Abrir facsímil</v>
      </c>
      <c r="K8845" s="3" t="s">
        <v>23</v>
      </c>
    </row>
    <row r="8846" spans="1:11" ht="42" customHeight="1">
      <c r="A8846" s="2" t="s">
        <v>22215</v>
      </c>
      <c r="B8846" s="2" t="s">
        <v>22216</v>
      </c>
      <c r="C8846" s="2" t="s">
        <v>17</v>
      </c>
      <c r="D8846" s="2" t="s">
        <v>27</v>
      </c>
      <c r="E8846" s="4">
        <v>-32860</v>
      </c>
      <c r="F8846" s="3" t="s">
        <v>504</v>
      </c>
      <c r="G8846" s="3" t="s">
        <v>1691</v>
      </c>
      <c r="H8846" s="2" t="s">
        <v>21</v>
      </c>
      <c r="I8846" s="2" t="s">
        <v>22217</v>
      </c>
      <c r="J8846" s="3" t="str">
        <f>HYPERLINK("https://www.boe.es/gazeta/dias/1810/01/11/pdfs/GGB-1810-5.pdf#page=3","Abrir facsímil")</f>
        <v>Abrir facsímil</v>
      </c>
      <c r="K8846" s="3" t="s">
        <v>23</v>
      </c>
    </row>
    <row r="8847" spans="1:11" ht="42" customHeight="1">
      <c r="A8847" s="2" t="s">
        <v>22218</v>
      </c>
      <c r="B8847" s="2" t="s">
        <v>22219</v>
      </c>
      <c r="C8847" s="2" t="s">
        <v>26</v>
      </c>
      <c r="D8847" s="2" t="s">
        <v>27</v>
      </c>
      <c r="E8847" s="4">
        <v>-32839</v>
      </c>
      <c r="F8847" s="3" t="s">
        <v>28</v>
      </c>
      <c r="G8847" s="3" t="s">
        <v>29</v>
      </c>
      <c r="H8847" s="2" t="s">
        <v>21</v>
      </c>
      <c r="I8847" s="2" t="s">
        <v>22220</v>
      </c>
      <c r="J8847" s="3" t="str">
        <f>HYPERLINK("https://www.boe.es/gazeta/dias/1810/02/01/pdfs/GMD-1810-32.pdf#page=2","Abrir facsímil")</f>
        <v>Abrir facsímil</v>
      </c>
      <c r="K8847" s="3" t="s">
        <v>23</v>
      </c>
    </row>
    <row r="8848" spans="1:11" ht="42" customHeight="1">
      <c r="A8848" s="2" t="s">
        <v>22221</v>
      </c>
      <c r="B8848" s="2" t="s">
        <v>22222</v>
      </c>
      <c r="C8848" s="2" t="s">
        <v>195</v>
      </c>
      <c r="D8848" s="2" t="s">
        <v>27</v>
      </c>
      <c r="E8848" s="4">
        <v>-32756</v>
      </c>
      <c r="F8848" s="3" t="s">
        <v>203</v>
      </c>
      <c r="G8848" s="3" t="s">
        <v>180</v>
      </c>
      <c r="H8848" s="2" t="s">
        <v>21</v>
      </c>
      <c r="I8848" s="2" t="s">
        <v>22223</v>
      </c>
      <c r="J8848" s="3" t="str">
        <f>HYPERLINK("https://www.boe.es/gazeta/dias/1810/04/25/pdfs/GMD-1810-115.pdf#page=4","Abrir facsímil")</f>
        <v>Abrir facsímil</v>
      </c>
      <c r="K8848" s="3" t="s">
        <v>23</v>
      </c>
    </row>
    <row r="8849" spans="1:11" ht="42" customHeight="1">
      <c r="A8849" s="2" t="s">
        <v>22224</v>
      </c>
      <c r="B8849" s="2" t="s">
        <v>22225</v>
      </c>
      <c r="C8849" s="2" t="s">
        <v>26</v>
      </c>
      <c r="D8849" s="2" t="s">
        <v>27</v>
      </c>
      <c r="E8849" s="4">
        <v>-32526</v>
      </c>
      <c r="F8849" s="3" t="s">
        <v>530</v>
      </c>
      <c r="G8849" s="3" t="s">
        <v>531</v>
      </c>
      <c r="H8849" s="2" t="s">
        <v>21</v>
      </c>
      <c r="I8849" s="2" t="s">
        <v>22226</v>
      </c>
      <c r="J8849" s="3" t="str">
        <f>HYPERLINK("https://www.boe.es/gazeta/dias/1810/12/11/pdfs/GEI-1810-106.pdf#page=2","Abrir facsímil")</f>
        <v>Abrir facsímil</v>
      </c>
      <c r="K8849" s="3" t="s">
        <v>23</v>
      </c>
    </row>
    <row r="8850" spans="1:11" ht="42" customHeight="1">
      <c r="A8850" s="2" t="s">
        <v>22227</v>
      </c>
      <c r="B8850" s="2" t="s">
        <v>22228</v>
      </c>
      <c r="C8850" s="2" t="s">
        <v>17</v>
      </c>
      <c r="D8850" s="2" t="s">
        <v>27</v>
      </c>
      <c r="E8850" s="4">
        <v>-32670</v>
      </c>
      <c r="F8850" s="3" t="s">
        <v>1942</v>
      </c>
      <c r="G8850" s="3" t="s">
        <v>22229</v>
      </c>
      <c r="H8850" s="2" t="s">
        <v>21</v>
      </c>
      <c r="I8850" s="2" t="s">
        <v>22230</v>
      </c>
      <c r="J8850" s="3" t="str">
        <f>HYPERLINK("https://www.boe.es/gazeta/dias/1810/07/20/pdfs/GEI-1810-46.pdf#page=7","Abrir facsímil")</f>
        <v>Abrir facsímil</v>
      </c>
      <c r="K8850" s="3" t="s">
        <v>23</v>
      </c>
    </row>
    <row r="8851" spans="1:11" ht="42" customHeight="1">
      <c r="A8851" s="2" t="s">
        <v>22231</v>
      </c>
      <c r="B8851" s="2" t="s">
        <v>22232</v>
      </c>
      <c r="C8851" s="2" t="s">
        <v>225</v>
      </c>
      <c r="D8851" s="2" t="s">
        <v>117</v>
      </c>
      <c r="E8851" s="4">
        <v>-32807</v>
      </c>
      <c r="F8851" s="3" t="s">
        <v>1338</v>
      </c>
      <c r="G8851" s="3" t="s">
        <v>4502</v>
      </c>
      <c r="H8851" s="2" t="s">
        <v>21</v>
      </c>
      <c r="I8851" s="2" t="s">
        <v>22233</v>
      </c>
      <c r="J8851" s="3" t="str">
        <f>HYPERLINK("https://www.boe.es/gazeta/dias/1810/03/05/pdfs/GMD-1810-64.pdf#page=2","Abrir facsímil")</f>
        <v>Abrir facsímil</v>
      </c>
      <c r="K8851" s="3" t="s">
        <v>23</v>
      </c>
    </row>
    <row r="8852" spans="1:11" ht="42" customHeight="1">
      <c r="A8852" s="2" t="s">
        <v>22234</v>
      </c>
      <c r="B8852" s="2" t="s">
        <v>22235</v>
      </c>
      <c r="C8852" s="2" t="s">
        <v>26</v>
      </c>
      <c r="D8852" s="2" t="s">
        <v>39</v>
      </c>
      <c r="E8852" s="4">
        <v>-32702</v>
      </c>
      <c r="F8852" s="3" t="s">
        <v>179</v>
      </c>
      <c r="G8852" s="3" t="s">
        <v>180</v>
      </c>
      <c r="H8852" s="2" t="s">
        <v>21</v>
      </c>
      <c r="I8852" s="2" t="s">
        <v>22236</v>
      </c>
      <c r="J8852" s="3" t="str">
        <f>HYPERLINK("https://www.boe.es/gazeta/dias/1810/06/18/pdfs/GMD-C-1810-169.pdf#page=2","Abrir facsímil")</f>
        <v>Abrir facsímil</v>
      </c>
      <c r="K8852" s="3" t="s">
        <v>23</v>
      </c>
    </row>
    <row r="8853" spans="1:11" ht="42" customHeight="1">
      <c r="A8853" s="2" t="s">
        <v>22237</v>
      </c>
      <c r="B8853" s="2" t="s">
        <v>22238</v>
      </c>
      <c r="C8853" s="2" t="s">
        <v>26</v>
      </c>
      <c r="D8853" s="2" t="s">
        <v>39</v>
      </c>
      <c r="E8853" s="4">
        <v>-32701</v>
      </c>
      <c r="F8853" s="3" t="s">
        <v>40</v>
      </c>
      <c r="G8853" s="3" t="s">
        <v>315</v>
      </c>
      <c r="H8853" s="2" t="s">
        <v>21</v>
      </c>
      <c r="I8853" s="2" t="s">
        <v>22239</v>
      </c>
      <c r="J8853" s="3" t="str">
        <f>HYPERLINK("https://www.boe.es/gazeta/dias/1810/06/19/pdfs/GMD-C-1810-170.pdf#page=2","Abrir facsímil")</f>
        <v>Abrir facsímil</v>
      </c>
      <c r="K8853" s="3" t="s">
        <v>23</v>
      </c>
    </row>
    <row r="8854" spans="1:11" ht="42" customHeight="1">
      <c r="A8854" s="2" t="s">
        <v>22240</v>
      </c>
      <c r="B8854" s="2" t="s">
        <v>22241</v>
      </c>
      <c r="C8854" s="2" t="s">
        <v>17</v>
      </c>
      <c r="D8854" s="2" t="s">
        <v>27</v>
      </c>
      <c r="E8854" s="4">
        <v>-32791</v>
      </c>
      <c r="F8854" s="3" t="s">
        <v>4314</v>
      </c>
      <c r="G8854" s="3" t="s">
        <v>1985</v>
      </c>
      <c r="H8854" s="2" t="s">
        <v>21</v>
      </c>
      <c r="I8854" s="2" t="s">
        <v>22242</v>
      </c>
      <c r="J8854" s="3" t="str">
        <f>HYPERLINK("https://www.boe.es/gazeta/dias/1810/03/21/pdfs/GMD-1810-80.pdf#page=4","Abrir facsímil")</f>
        <v>Abrir facsímil</v>
      </c>
      <c r="K8854" s="3" t="s">
        <v>23</v>
      </c>
    </row>
    <row r="8855" spans="1:11" ht="42" customHeight="1">
      <c r="A8855" s="2" t="s">
        <v>22243</v>
      </c>
      <c r="B8855" s="2" t="s">
        <v>22244</v>
      </c>
      <c r="C8855" s="2" t="s">
        <v>26</v>
      </c>
      <c r="D8855" s="2" t="s">
        <v>27</v>
      </c>
      <c r="E8855" s="4">
        <v>-32522</v>
      </c>
      <c r="F8855" s="3" t="s">
        <v>1168</v>
      </c>
      <c r="G8855" s="3" t="s">
        <v>277</v>
      </c>
      <c r="H8855" s="2" t="s">
        <v>21</v>
      </c>
      <c r="I8855" s="2" t="s">
        <v>22245</v>
      </c>
      <c r="J8855" s="3" t="str">
        <f>HYPERLINK("https://www.boe.es/gazeta/dias/1810/12/15/pdfs/GMD-1810-349.pdf#page=4","Abrir facsímil")</f>
        <v>Abrir facsímil</v>
      </c>
      <c r="K8855" s="3" t="s">
        <v>23</v>
      </c>
    </row>
    <row r="8856" spans="1:11" ht="42" customHeight="1">
      <c r="A8856" s="2" t="s">
        <v>22246</v>
      </c>
      <c r="B8856" s="2" t="s">
        <v>22247</v>
      </c>
      <c r="C8856" s="2" t="s">
        <v>26</v>
      </c>
      <c r="D8856" s="2" t="s">
        <v>27</v>
      </c>
      <c r="E8856" s="4">
        <v>-32614</v>
      </c>
      <c r="F8856" s="3" t="s">
        <v>403</v>
      </c>
      <c r="G8856" s="3" t="s">
        <v>227</v>
      </c>
      <c r="H8856" s="2" t="s">
        <v>21</v>
      </c>
      <c r="I8856" s="2" t="s">
        <v>22248</v>
      </c>
      <c r="J8856" s="3" t="str">
        <f>HYPERLINK("https://www.boe.es/gazeta/dias/1810/09/14/pdfs/GMD-1810-257.pdf#page=3","Abrir facsímil")</f>
        <v>Abrir facsímil</v>
      </c>
      <c r="K8856" s="3" t="s">
        <v>23</v>
      </c>
    </row>
    <row r="8857" spans="1:11" ht="42" customHeight="1">
      <c r="A8857" s="2" t="s">
        <v>22249</v>
      </c>
      <c r="B8857" s="2" t="s">
        <v>22250</v>
      </c>
      <c r="C8857" s="2" t="s">
        <v>26</v>
      </c>
      <c r="D8857" s="2" t="s">
        <v>27</v>
      </c>
      <c r="E8857" s="4">
        <v>-32669</v>
      </c>
      <c r="F8857" s="3" t="s">
        <v>217</v>
      </c>
      <c r="G8857" s="3" t="s">
        <v>20</v>
      </c>
      <c r="H8857" s="2" t="s">
        <v>21</v>
      </c>
      <c r="I8857" s="2" t="s">
        <v>22251</v>
      </c>
      <c r="J8857" s="3" t="str">
        <f>HYPERLINK("https://www.boe.es/gazeta/dias/1810/07/21/pdfs/GMD-1810-202.pdf#page=4","Abrir facsímil")</f>
        <v>Abrir facsímil</v>
      </c>
      <c r="K8857" s="3" t="s">
        <v>23</v>
      </c>
    </row>
    <row r="8858" spans="1:11" ht="42" customHeight="1">
      <c r="A8858" s="2" t="s">
        <v>22252</v>
      </c>
      <c r="B8858" s="2" t="s">
        <v>22253</v>
      </c>
      <c r="C8858" s="2" t="s">
        <v>26</v>
      </c>
      <c r="D8858" s="2" t="s">
        <v>58</v>
      </c>
      <c r="E8858" s="4">
        <v>-32601</v>
      </c>
      <c r="F8858" s="3" t="s">
        <v>392</v>
      </c>
      <c r="G8858" s="3" t="s">
        <v>35</v>
      </c>
      <c r="H8858" s="2" t="s">
        <v>21</v>
      </c>
      <c r="I8858" s="2" t="s">
        <v>22254</v>
      </c>
      <c r="J8858" s="3" t="str">
        <f>HYPERLINK("https://www.boe.es/gazeta/dias/1810/09/27/pdfs/GEI-1810-74E.pdf#page=2","Abrir facsímil")</f>
        <v>Abrir facsímil</v>
      </c>
      <c r="K8858" s="3" t="s">
        <v>23</v>
      </c>
    </row>
    <row r="8859" spans="1:11" ht="42" customHeight="1">
      <c r="A8859" s="2" t="s">
        <v>22255</v>
      </c>
      <c r="B8859" s="2" t="s">
        <v>22256</v>
      </c>
      <c r="C8859" s="2" t="s">
        <v>195</v>
      </c>
      <c r="D8859" s="2" t="s">
        <v>27</v>
      </c>
      <c r="E8859" s="4">
        <v>-32710</v>
      </c>
      <c r="F8859" s="3" t="s">
        <v>126</v>
      </c>
      <c r="G8859" s="3" t="s">
        <v>180</v>
      </c>
      <c r="H8859" s="2" t="s">
        <v>21</v>
      </c>
      <c r="I8859" s="2" t="s">
        <v>22257</v>
      </c>
      <c r="J8859" s="3" t="str">
        <f>HYPERLINK("https://www.boe.es/gazeta/dias/1810/06/10/pdfs/GMD-1810-161.pdf#page=1","Abrir facsímil")</f>
        <v>Abrir facsímil</v>
      </c>
      <c r="K8859" s="3" t="s">
        <v>23</v>
      </c>
    </row>
    <row r="8860" spans="1:11" ht="42" customHeight="1">
      <c r="A8860" s="2" t="s">
        <v>22258</v>
      </c>
      <c r="B8860" s="2" t="s">
        <v>22259</v>
      </c>
      <c r="C8860" s="2" t="s">
        <v>195</v>
      </c>
      <c r="D8860" s="2" t="s">
        <v>18</v>
      </c>
      <c r="E8860" s="4">
        <v>-32708</v>
      </c>
      <c r="F8860" s="3" t="s">
        <v>1601</v>
      </c>
      <c r="G8860" s="3" t="s">
        <v>22260</v>
      </c>
      <c r="H8860" s="2" t="s">
        <v>21</v>
      </c>
      <c r="I8860" s="2" t="s">
        <v>22261</v>
      </c>
      <c r="J8860" s="3" t="str">
        <f>HYPERLINK("https://www.boe.es/gazeta/dias/1810/06/12/pdfs/GEI-D-1810-35.pdf#page=2","Abrir facsímil")</f>
        <v>Abrir facsímil</v>
      </c>
      <c r="K8860" s="3" t="s">
        <v>23</v>
      </c>
    </row>
    <row r="8861" spans="1:11" ht="42" customHeight="1">
      <c r="A8861" s="2" t="s">
        <v>22262</v>
      </c>
      <c r="B8861" s="2" t="s">
        <v>22263</v>
      </c>
      <c r="C8861" s="2" t="s">
        <v>26</v>
      </c>
      <c r="D8861" s="2" t="s">
        <v>18</v>
      </c>
      <c r="E8861" s="4">
        <v>-32601</v>
      </c>
      <c r="F8861" s="3" t="s">
        <v>392</v>
      </c>
      <c r="G8861" s="3" t="s">
        <v>35</v>
      </c>
      <c r="H8861" s="2" t="s">
        <v>21</v>
      </c>
      <c r="I8861" s="2" t="s">
        <v>22264</v>
      </c>
      <c r="J8861" s="3" t="str">
        <f>HYPERLINK("https://www.boe.es/gazeta/dias/1810/09/27/pdfs/GEI-1810-74E.pdf#page=2","Abrir facsímil")</f>
        <v>Abrir facsímil</v>
      </c>
      <c r="K8861" s="3" t="s">
        <v>23</v>
      </c>
    </row>
    <row r="8862" spans="1:11" ht="42" customHeight="1">
      <c r="A8862" s="2" t="s">
        <v>22265</v>
      </c>
      <c r="B8862" s="2" t="s">
        <v>22266</v>
      </c>
      <c r="C8862" s="2" t="s">
        <v>26</v>
      </c>
      <c r="D8862" s="2" t="s">
        <v>27</v>
      </c>
      <c r="E8862" s="4">
        <v>-32839</v>
      </c>
      <c r="F8862" s="3" t="s">
        <v>28</v>
      </c>
      <c r="G8862" s="3" t="s">
        <v>29</v>
      </c>
      <c r="H8862" s="2" t="s">
        <v>21</v>
      </c>
      <c r="I8862" s="2" t="s">
        <v>22267</v>
      </c>
      <c r="J8862" s="3" t="str">
        <f>HYPERLINK("https://www.boe.es/gazeta/dias/1810/02/01/pdfs/GMD-1810-32.pdf#page=3","Abrir facsímil")</f>
        <v>Abrir facsímil</v>
      </c>
      <c r="K8862" s="3" t="s">
        <v>23</v>
      </c>
    </row>
    <row r="8863" spans="1:11" ht="42" customHeight="1">
      <c r="A8863" s="2" t="s">
        <v>22268</v>
      </c>
      <c r="B8863" s="2" t="s">
        <v>22269</v>
      </c>
      <c r="C8863" s="2" t="s">
        <v>26</v>
      </c>
      <c r="D8863" s="2" t="s">
        <v>27</v>
      </c>
      <c r="E8863" s="4">
        <v>-32801</v>
      </c>
      <c r="F8863" s="3" t="s">
        <v>11837</v>
      </c>
      <c r="G8863" s="3" t="s">
        <v>29</v>
      </c>
      <c r="H8863" s="2" t="s">
        <v>21</v>
      </c>
      <c r="I8863" s="2" t="s">
        <v>22270</v>
      </c>
      <c r="J8863" s="3" t="str">
        <f>HYPERLINK("https://www.boe.es/gazeta/dias/1810/03/11/pdfs/GMD-1810-70.pdf#page=4","Abrir facsímil")</f>
        <v>Abrir facsímil</v>
      </c>
      <c r="K8863" s="3" t="s">
        <v>23</v>
      </c>
    </row>
    <row r="8864" spans="1:11" ht="42" customHeight="1">
      <c r="A8864" s="2" t="s">
        <v>22271</v>
      </c>
      <c r="B8864" s="2" t="s">
        <v>22272</v>
      </c>
      <c r="C8864" s="2" t="s">
        <v>225</v>
      </c>
      <c r="D8864" s="2" t="s">
        <v>27</v>
      </c>
      <c r="E8864" s="4">
        <v>-32756</v>
      </c>
      <c r="F8864" s="3" t="s">
        <v>203</v>
      </c>
      <c r="G8864" s="3" t="s">
        <v>99</v>
      </c>
      <c r="H8864" s="2" t="s">
        <v>21</v>
      </c>
      <c r="I8864" s="2" t="s">
        <v>22273</v>
      </c>
      <c r="J8864" s="3" t="str">
        <f>HYPERLINK("https://www.boe.es/gazeta/dias/1810/04/25/pdfs/GMD-1810-115.pdf#page=3","Abrir facsímil")</f>
        <v>Abrir facsímil</v>
      </c>
      <c r="K8864" s="3" t="s">
        <v>23</v>
      </c>
    </row>
    <row r="8865" spans="1:11" ht="42" customHeight="1">
      <c r="A8865" s="2" t="s">
        <v>22274</v>
      </c>
      <c r="B8865" s="2" t="s">
        <v>22275</v>
      </c>
      <c r="C8865" s="2" t="s">
        <v>88</v>
      </c>
      <c r="D8865" s="2" t="s">
        <v>117</v>
      </c>
      <c r="E8865" s="4">
        <v>-32729</v>
      </c>
      <c r="F8865" s="3" t="s">
        <v>174</v>
      </c>
      <c r="G8865" s="3" t="s">
        <v>70</v>
      </c>
      <c r="H8865" s="2" t="s">
        <v>21</v>
      </c>
      <c r="I8865" s="2" t="s">
        <v>22276</v>
      </c>
      <c r="J8865" s="3" t="str">
        <f>HYPERLINK("https://www.boe.es/gazeta/dias/1810/05/22/pdfs/GEI-1810-28.pdf#page=7","Abrir facsímil")</f>
        <v>Abrir facsímil</v>
      </c>
      <c r="K8865" s="3" t="s">
        <v>23</v>
      </c>
    </row>
    <row r="8866" spans="1:11" ht="42" customHeight="1">
      <c r="A8866" s="2" t="s">
        <v>22277</v>
      </c>
      <c r="B8866" s="2" t="s">
        <v>22278</v>
      </c>
      <c r="C8866" s="2" t="s">
        <v>225</v>
      </c>
      <c r="D8866" s="2" t="s">
        <v>18</v>
      </c>
      <c r="E8866" s="4">
        <v>-32726</v>
      </c>
      <c r="F8866" s="3" t="s">
        <v>1850</v>
      </c>
      <c r="G8866" s="3" t="s">
        <v>22279</v>
      </c>
      <c r="H8866" s="2" t="s">
        <v>21</v>
      </c>
      <c r="I8866" s="2" t="s">
        <v>22280</v>
      </c>
      <c r="J8866" s="3" t="str">
        <f>HYPERLINK("https://www.boe.es/gazeta/dias/1810/05/25/pdfs/GEI-1810-30.pdf#page=8","Abrir facsímil")</f>
        <v>Abrir facsímil</v>
      </c>
      <c r="K8866" s="3" t="s">
        <v>23</v>
      </c>
    </row>
    <row r="8867" spans="1:11" ht="42" customHeight="1">
      <c r="A8867" s="2" t="s">
        <v>22281</v>
      </c>
      <c r="B8867" s="2" t="s">
        <v>22282</v>
      </c>
      <c r="C8867" s="2" t="s">
        <v>88</v>
      </c>
      <c r="D8867" s="2" t="s">
        <v>18</v>
      </c>
      <c r="E8867" s="4">
        <v>-32713</v>
      </c>
      <c r="F8867" s="3" t="s">
        <v>959</v>
      </c>
      <c r="G8867" s="3" t="s">
        <v>960</v>
      </c>
      <c r="H8867" s="2" t="s">
        <v>21</v>
      </c>
      <c r="I8867" s="2" t="s">
        <v>22283</v>
      </c>
      <c r="J8867" s="3" t="str">
        <f>HYPERLINK("https://www.boe.es/gazeta/dias/1810/06/07/pdfs/GMD-1810-158.pdf#page=4","Abrir facsímil")</f>
        <v>Abrir facsímil</v>
      </c>
      <c r="K8867" s="3" t="s">
        <v>23</v>
      </c>
    </row>
    <row r="8868" spans="1:11" ht="42" customHeight="1">
      <c r="A8868" s="2" t="s">
        <v>22284</v>
      </c>
      <c r="B8868" s="2" t="s">
        <v>22285</v>
      </c>
      <c r="C8868" s="2" t="s">
        <v>88</v>
      </c>
      <c r="D8868" s="2" t="s">
        <v>117</v>
      </c>
      <c r="E8868" s="4">
        <v>-32647</v>
      </c>
      <c r="F8868" s="3" t="s">
        <v>118</v>
      </c>
      <c r="G8868" s="3" t="s">
        <v>119</v>
      </c>
      <c r="H8868" s="2" t="s">
        <v>21</v>
      </c>
      <c r="I8868" s="2" t="s">
        <v>22286</v>
      </c>
      <c r="J8868" s="3" t="str">
        <f>HYPERLINK("https://www.boe.es/gazeta/dias/1810/08/12/pdfs/GMD-1810-224.pdf#page=3","Abrir facsímil")</f>
        <v>Abrir facsímil</v>
      </c>
      <c r="K8868" s="3" t="s">
        <v>23</v>
      </c>
    </row>
    <row r="8869" spans="1:11" ht="42" customHeight="1">
      <c r="A8869" s="2" t="s">
        <v>22287</v>
      </c>
      <c r="B8869" s="2" t="s">
        <v>22288</v>
      </c>
      <c r="C8869" s="2" t="s">
        <v>317</v>
      </c>
      <c r="D8869" s="2" t="s">
        <v>117</v>
      </c>
      <c r="E8869" s="4">
        <v>-32732</v>
      </c>
      <c r="F8869" s="3" t="s">
        <v>545</v>
      </c>
      <c r="G8869" s="3" t="s">
        <v>140</v>
      </c>
      <c r="H8869" s="2" t="s">
        <v>21</v>
      </c>
      <c r="I8869" s="2" t="s">
        <v>22289</v>
      </c>
      <c r="J8869" s="3" t="str">
        <f>HYPERLINK("https://www.boe.es/gazeta/dias/1810/05/19/pdfs/GMD-1810-139.pdf#page=3","Abrir facsímil")</f>
        <v>Abrir facsímil</v>
      </c>
      <c r="K8869" s="3" t="s">
        <v>23</v>
      </c>
    </row>
    <row r="8870" spans="1:11" ht="42" customHeight="1">
      <c r="A8870" s="2" t="s">
        <v>22290</v>
      </c>
      <c r="B8870" s="2" t="s">
        <v>22291</v>
      </c>
      <c r="C8870" s="2" t="s">
        <v>26</v>
      </c>
      <c r="D8870" s="2" t="s">
        <v>27</v>
      </c>
      <c r="E8870" s="4">
        <v>-32799</v>
      </c>
      <c r="F8870" s="3" t="s">
        <v>2252</v>
      </c>
      <c r="G8870" s="3" t="s">
        <v>2253</v>
      </c>
      <c r="H8870" s="2" t="s">
        <v>21</v>
      </c>
      <c r="I8870" s="2" t="s">
        <v>22292</v>
      </c>
      <c r="J8870" s="3" t="str">
        <f>HYPERLINK("https://www.boe.es/gazeta/dias/1810/03/13/pdfs/GMD-1810-72.pdf#page=4","Abrir facsímil")</f>
        <v>Abrir facsímil</v>
      </c>
      <c r="K8870" s="3" t="s">
        <v>23</v>
      </c>
    </row>
    <row r="8871" spans="1:11" ht="42" customHeight="1">
      <c r="A8871" s="2" t="s">
        <v>22293</v>
      </c>
      <c r="B8871" s="2" t="s">
        <v>22294</v>
      </c>
      <c r="C8871" s="2" t="s">
        <v>88</v>
      </c>
      <c r="D8871" s="2" t="s">
        <v>27</v>
      </c>
      <c r="E8871" s="4">
        <v>-32651</v>
      </c>
      <c r="F8871" s="3" t="s">
        <v>10927</v>
      </c>
      <c r="G8871" s="3" t="s">
        <v>29</v>
      </c>
      <c r="H8871" s="2" t="s">
        <v>21</v>
      </c>
      <c r="I8871" s="2" t="s">
        <v>22295</v>
      </c>
      <c r="J8871" s="3" t="str">
        <f>HYPERLINK("https://www.boe.es/gazeta/dias/1810/08/08/pdfs/GMD-1810-220.pdf#page=2","Abrir facsímil")</f>
        <v>Abrir facsímil</v>
      </c>
      <c r="K8871" s="3" t="s">
        <v>23</v>
      </c>
    </row>
    <row r="8872" spans="1:11" ht="42" customHeight="1">
      <c r="A8872" s="2" t="s">
        <v>22296</v>
      </c>
      <c r="B8872" s="2" t="s">
        <v>22297</v>
      </c>
      <c r="C8872" s="2" t="s">
        <v>26</v>
      </c>
      <c r="D8872" s="2" t="s">
        <v>27</v>
      </c>
      <c r="E8872" s="4">
        <v>-32575</v>
      </c>
      <c r="F8872" s="3" t="s">
        <v>135</v>
      </c>
      <c r="G8872" s="3" t="s">
        <v>140</v>
      </c>
      <c r="H8872" s="2" t="s">
        <v>21</v>
      </c>
      <c r="I8872" s="2" t="s">
        <v>22298</v>
      </c>
      <c r="J8872" s="3" t="str">
        <f>HYPERLINK("https://www.boe.es/gazeta/dias/1810/10/23/pdfs/GEI-1810-85.pdf#page=10","Abrir facsímil")</f>
        <v>Abrir facsímil</v>
      </c>
      <c r="K8872" s="3" t="s">
        <v>23</v>
      </c>
    </row>
    <row r="8873" spans="1:11" ht="42" customHeight="1">
      <c r="A8873" s="2" t="s">
        <v>22299</v>
      </c>
      <c r="B8873" s="2" t="s">
        <v>22300</v>
      </c>
      <c r="C8873" s="2" t="s">
        <v>33</v>
      </c>
      <c r="D8873" s="2" t="s">
        <v>27</v>
      </c>
      <c r="E8873" s="4">
        <v>-32707</v>
      </c>
      <c r="F8873" s="3" t="s">
        <v>1753</v>
      </c>
      <c r="G8873" s="3" t="s">
        <v>227</v>
      </c>
      <c r="H8873" s="2" t="s">
        <v>21</v>
      </c>
      <c r="I8873" s="2" t="s">
        <v>22301</v>
      </c>
      <c r="J8873" s="3" t="str">
        <f>HYPERLINK("https://www.boe.es/gazeta/dias/1810/06/13/pdfs/GMD-1810-164.pdf#page=4","Abrir facsímil")</f>
        <v>Abrir facsímil</v>
      </c>
      <c r="K8873" s="3" t="s">
        <v>23</v>
      </c>
    </row>
    <row r="8874" spans="1:11" ht="42" customHeight="1">
      <c r="A8874" s="2" t="s">
        <v>22302</v>
      </c>
      <c r="B8874" s="2" t="s">
        <v>22303</v>
      </c>
      <c r="C8874" s="2" t="s">
        <v>88</v>
      </c>
      <c r="D8874" s="2" t="s">
        <v>27</v>
      </c>
      <c r="E8874" s="4">
        <v>-32710</v>
      </c>
      <c r="F8874" s="3" t="s">
        <v>126</v>
      </c>
      <c r="G8874" s="3" t="s">
        <v>184</v>
      </c>
      <c r="H8874" s="2" t="s">
        <v>21</v>
      </c>
      <c r="I8874" s="2" t="s">
        <v>22304</v>
      </c>
      <c r="J8874" s="3" t="str">
        <f>HYPERLINK("https://www.boe.es/gazeta/dias/1810/06/10/pdfs/GMD-1810-161.pdf#page=3","Abrir facsímil")</f>
        <v>Abrir facsímil</v>
      </c>
      <c r="K8874" s="3" t="s">
        <v>23</v>
      </c>
    </row>
    <row r="8875" spans="1:11" ht="42" customHeight="1">
      <c r="A8875" s="2" t="s">
        <v>22305</v>
      </c>
      <c r="B8875" s="2" t="s">
        <v>22306</v>
      </c>
      <c r="C8875" s="2" t="s">
        <v>88</v>
      </c>
      <c r="D8875" s="2" t="s">
        <v>27</v>
      </c>
      <c r="E8875" s="4">
        <v>-32829</v>
      </c>
      <c r="F8875" s="3" t="s">
        <v>1126</v>
      </c>
      <c r="G8875" s="3" t="s">
        <v>29</v>
      </c>
      <c r="H8875" s="2" t="s">
        <v>21</v>
      </c>
      <c r="I8875" s="2" t="s">
        <v>22307</v>
      </c>
      <c r="J8875" s="3" t="str">
        <f>HYPERLINK("https://www.boe.es/gazeta/dias/1810/02/11/pdfs/GMD-1810-42.pdf#page=2","Abrir facsímil")</f>
        <v>Abrir facsímil</v>
      </c>
      <c r="K8875" s="3" t="s">
        <v>23</v>
      </c>
    </row>
    <row r="8876" spans="1:11" ht="42" customHeight="1">
      <c r="A8876" s="2" t="s">
        <v>22308</v>
      </c>
      <c r="B8876" s="2" t="s">
        <v>22309</v>
      </c>
      <c r="C8876" s="2" t="s">
        <v>26</v>
      </c>
      <c r="D8876" s="2" t="s">
        <v>27</v>
      </c>
      <c r="E8876" s="4">
        <v>-32666</v>
      </c>
      <c r="F8876" s="3" t="s">
        <v>346</v>
      </c>
      <c r="G8876" s="3" t="s">
        <v>1408</v>
      </c>
      <c r="H8876" s="2" t="s">
        <v>21</v>
      </c>
      <c r="I8876" s="2" t="s">
        <v>22310</v>
      </c>
      <c r="J8876" s="3" t="str">
        <f>HYPERLINK("https://www.boe.es/gazeta/dias/1810/07/24/pdfs/GEI-1810-47.pdf#page=6","Abrir facsímil")</f>
        <v>Abrir facsímil</v>
      </c>
      <c r="K8876" s="3" t="s">
        <v>23</v>
      </c>
    </row>
    <row r="8877" spans="1:11" ht="42" customHeight="1">
      <c r="A8877" s="2" t="s">
        <v>22311</v>
      </c>
      <c r="B8877" s="2" t="s">
        <v>22312</v>
      </c>
      <c r="C8877" s="2" t="s">
        <v>26</v>
      </c>
      <c r="D8877" s="2" t="s">
        <v>27</v>
      </c>
      <c r="E8877" s="4">
        <v>-32587</v>
      </c>
      <c r="F8877" s="3" t="s">
        <v>103</v>
      </c>
      <c r="G8877" s="3" t="s">
        <v>1691</v>
      </c>
      <c r="H8877" s="2" t="s">
        <v>21</v>
      </c>
      <c r="I8877" s="2" t="s">
        <v>22313</v>
      </c>
      <c r="J8877" s="3" t="str">
        <f>HYPERLINK("https://www.boe.es/gazeta/dias/1810/10/11/pdfs/GEI-1810-80.pdf#page=2","Abrir facsímil")</f>
        <v>Abrir facsímil</v>
      </c>
      <c r="K8877" s="3" t="s">
        <v>23</v>
      </c>
    </row>
    <row r="8878" spans="1:11" ht="42" customHeight="1">
      <c r="A8878" s="2" t="s">
        <v>22311</v>
      </c>
      <c r="B8878" s="2" t="s">
        <v>22312</v>
      </c>
      <c r="C8878" s="2" t="s">
        <v>26</v>
      </c>
      <c r="D8878" s="2" t="s">
        <v>27</v>
      </c>
      <c r="E8878" s="4">
        <v>-32517</v>
      </c>
      <c r="F8878" s="3" t="s">
        <v>566</v>
      </c>
      <c r="G8878" s="3" t="s">
        <v>8520</v>
      </c>
      <c r="H8878" s="2" t="s">
        <v>21</v>
      </c>
      <c r="I8878" s="2" t="s">
        <v>22314</v>
      </c>
      <c r="J8878" s="3" t="str">
        <f>HYPERLINK("https://www.boe.es/gazeta/dias/1810/12/20/pdfs/GEI-1810-110.pdf#page=4","Abrir facsímil")</f>
        <v>Abrir facsímil</v>
      </c>
      <c r="K8878" s="3" t="s">
        <v>23</v>
      </c>
    </row>
    <row r="8879" spans="1:11" ht="42" customHeight="1">
      <c r="A8879" s="2" t="s">
        <v>22315</v>
      </c>
      <c r="B8879" s="2" t="s">
        <v>22316</v>
      </c>
      <c r="C8879" s="2" t="s">
        <v>26</v>
      </c>
      <c r="D8879" s="2" t="s">
        <v>27</v>
      </c>
      <c r="E8879" s="4">
        <v>-32528</v>
      </c>
      <c r="F8879" s="3" t="s">
        <v>3058</v>
      </c>
      <c r="G8879" s="3" t="s">
        <v>359</v>
      </c>
      <c r="H8879" s="2" t="s">
        <v>21</v>
      </c>
      <c r="I8879" s="2" t="s">
        <v>22317</v>
      </c>
      <c r="J8879" s="3" t="str">
        <f>HYPERLINK("https://www.boe.es/gazeta/dias/1810/12/09/pdfs/GMD-1810-343.pdf#page=3","Abrir facsímil")</f>
        <v>Abrir facsímil</v>
      </c>
      <c r="K8879" s="3" t="s">
        <v>23</v>
      </c>
    </row>
    <row r="8880" spans="1:11" ht="42" customHeight="1">
      <c r="A8880" s="2" t="s">
        <v>22318</v>
      </c>
      <c r="B8880" s="2" t="s">
        <v>22319</v>
      </c>
      <c r="C8880" s="2" t="s">
        <v>26</v>
      </c>
      <c r="D8880" s="2" t="s">
        <v>27</v>
      </c>
      <c r="E8880" s="4">
        <v>-32729</v>
      </c>
      <c r="F8880" s="3" t="s">
        <v>174</v>
      </c>
      <c r="G8880" s="3" t="s">
        <v>151</v>
      </c>
      <c r="H8880" s="2" t="s">
        <v>21</v>
      </c>
      <c r="I8880" s="2" t="s">
        <v>22320</v>
      </c>
      <c r="J8880" s="3" t="str">
        <f>HYPERLINK("https://www.boe.es/gazeta/dias/1810/05/22/pdfs/GEI-1810-28.pdf#page=12","Abrir facsímil")</f>
        <v>Abrir facsímil</v>
      </c>
      <c r="K8880" s="3" t="s">
        <v>23</v>
      </c>
    </row>
    <row r="8881" spans="1:11" ht="42" customHeight="1">
      <c r="A8881" s="2" t="s">
        <v>22321</v>
      </c>
      <c r="B8881" s="2" t="s">
        <v>22322</v>
      </c>
      <c r="C8881" s="2" t="s">
        <v>225</v>
      </c>
      <c r="D8881" s="2" t="s">
        <v>27</v>
      </c>
      <c r="E8881" s="4">
        <v>-32764</v>
      </c>
      <c r="F8881" s="3" t="s">
        <v>640</v>
      </c>
      <c r="G8881" s="3" t="s">
        <v>641</v>
      </c>
      <c r="H8881" s="2" t="s">
        <v>21</v>
      </c>
      <c r="I8881" s="2" t="s">
        <v>22323</v>
      </c>
      <c r="J8881" s="3" t="str">
        <f>HYPERLINK("https://www.boe.es/gazeta/dias/1810/04/17/pdfs/GEI-1810-15.pdf#page=8","Abrir facsímil")</f>
        <v>Abrir facsímil</v>
      </c>
      <c r="K8881" s="3" t="s">
        <v>23</v>
      </c>
    </row>
    <row r="8882" spans="1:11" ht="42" customHeight="1">
      <c r="A8882" s="2" t="s">
        <v>22324</v>
      </c>
      <c r="B8882" s="2" t="s">
        <v>22325</v>
      </c>
      <c r="C8882" s="2" t="s">
        <v>225</v>
      </c>
      <c r="D8882" s="2" t="s">
        <v>27</v>
      </c>
      <c r="E8882" s="4">
        <v>-32858</v>
      </c>
      <c r="F8882" s="3" t="s">
        <v>4182</v>
      </c>
      <c r="G8882" s="3" t="s">
        <v>252</v>
      </c>
      <c r="H8882" s="2" t="s">
        <v>21</v>
      </c>
      <c r="I8882" s="2" t="s">
        <v>22326</v>
      </c>
      <c r="J8882" s="3" t="str">
        <f>HYPERLINK("https://www.boe.es/gazeta/dias/1810/01/13/pdfs/GGB-1810-6.pdf#page=6","Abrir facsímil")</f>
        <v>Abrir facsímil</v>
      </c>
      <c r="K8882" s="3" t="s">
        <v>23</v>
      </c>
    </row>
    <row r="8883" spans="1:11" ht="42" customHeight="1">
      <c r="A8883" s="2" t="s">
        <v>22327</v>
      </c>
      <c r="B8883" s="2" t="s">
        <v>22328</v>
      </c>
      <c r="C8883" s="2" t="s">
        <v>26</v>
      </c>
      <c r="D8883" s="2" t="s">
        <v>39</v>
      </c>
      <c r="E8883" s="4">
        <v>-32661</v>
      </c>
      <c r="F8883" s="3" t="s">
        <v>157</v>
      </c>
      <c r="G8883" s="3" t="s">
        <v>158</v>
      </c>
      <c r="H8883" s="2" t="s">
        <v>21</v>
      </c>
      <c r="I8883" s="2" t="s">
        <v>22329</v>
      </c>
      <c r="J8883" s="3" t="str">
        <f>HYPERLINK("https://www.boe.es/gazeta/dias/1810/07/29/pdfs/GMD-C-1810-210.pdf#page=1","Abrir facsímil")</f>
        <v>Abrir facsímil</v>
      </c>
      <c r="K8883" s="3" t="s">
        <v>23</v>
      </c>
    </row>
    <row r="8884" spans="1:11" ht="42" customHeight="1">
      <c r="A8884" s="2" t="s">
        <v>22330</v>
      </c>
      <c r="B8884" s="2" t="s">
        <v>22331</v>
      </c>
      <c r="C8884" s="2" t="s">
        <v>17</v>
      </c>
      <c r="D8884" s="2" t="s">
        <v>27</v>
      </c>
      <c r="E8884" s="4">
        <v>-32562</v>
      </c>
      <c r="F8884" s="3" t="s">
        <v>1186</v>
      </c>
      <c r="G8884" s="3" t="s">
        <v>29</v>
      </c>
      <c r="H8884" s="2" t="s">
        <v>21</v>
      </c>
      <c r="I8884" s="2" t="s">
        <v>22332</v>
      </c>
      <c r="J8884" s="3" t="str">
        <f>HYPERLINK("https://www.boe.es/gazeta/dias/1810/11/05/pdfs/GMD-1810-309.pdf#page=2","Abrir facsímil")</f>
        <v>Abrir facsímil</v>
      </c>
      <c r="K8884" s="3" t="s">
        <v>23</v>
      </c>
    </row>
    <row r="8885" spans="1:11" ht="42" customHeight="1">
      <c r="A8885" s="2" t="s">
        <v>22333</v>
      </c>
      <c r="B8885" s="2" t="s">
        <v>22334</v>
      </c>
      <c r="C8885" s="2" t="s">
        <v>26</v>
      </c>
      <c r="D8885" s="2" t="s">
        <v>27</v>
      </c>
      <c r="E8885" s="4">
        <v>-32756</v>
      </c>
      <c r="F8885" s="3" t="s">
        <v>203</v>
      </c>
      <c r="G8885" s="3" t="s">
        <v>180</v>
      </c>
      <c r="H8885" s="2" t="s">
        <v>21</v>
      </c>
      <c r="I8885" s="2" t="s">
        <v>22335</v>
      </c>
      <c r="J8885" s="3" t="str">
        <f>HYPERLINK("https://www.boe.es/gazeta/dias/1810/04/25/pdfs/GMD-1810-115.pdf#page=4","Abrir facsímil")</f>
        <v>Abrir facsímil</v>
      </c>
      <c r="K8885" s="3" t="s">
        <v>23</v>
      </c>
    </row>
    <row r="8886" spans="1:11" ht="42" customHeight="1">
      <c r="A8886" s="2" t="s">
        <v>22336</v>
      </c>
      <c r="B8886" s="2" t="s">
        <v>22337</v>
      </c>
      <c r="C8886" s="2" t="s">
        <v>26</v>
      </c>
      <c r="D8886" s="2" t="s">
        <v>27</v>
      </c>
      <c r="E8886" s="4">
        <v>-32562</v>
      </c>
      <c r="F8886" s="3" t="s">
        <v>1186</v>
      </c>
      <c r="G8886" s="3" t="s">
        <v>29</v>
      </c>
      <c r="H8886" s="2" t="s">
        <v>21</v>
      </c>
      <c r="I8886" s="2" t="s">
        <v>22338</v>
      </c>
      <c r="J8886" s="3" t="str">
        <f>HYPERLINK("https://www.boe.es/gazeta/dias/1810/11/05/pdfs/GMD-1810-309.pdf#page=2","Abrir facsímil")</f>
        <v>Abrir facsímil</v>
      </c>
      <c r="K8886" s="3" t="s">
        <v>23</v>
      </c>
    </row>
    <row r="8887" spans="1:11" ht="42" customHeight="1">
      <c r="A8887" s="2" t="s">
        <v>22339</v>
      </c>
      <c r="B8887" s="2" t="s">
        <v>22340</v>
      </c>
      <c r="C8887" s="2" t="s">
        <v>88</v>
      </c>
      <c r="D8887" s="2" t="s">
        <v>117</v>
      </c>
      <c r="E8887" s="4">
        <v>-32795</v>
      </c>
      <c r="F8887" s="3" t="s">
        <v>690</v>
      </c>
      <c r="G8887" s="3" t="s">
        <v>213</v>
      </c>
      <c r="H8887" s="2" t="s">
        <v>21</v>
      </c>
      <c r="I8887" s="2" t="s">
        <v>22341</v>
      </c>
      <c r="J8887" s="3" t="str">
        <f>HYPERLINK("https://www.boe.es/gazeta/dias/1810/03/17/pdfs/GMD-1810-76.pdf#page=4","Abrir facsímil")</f>
        <v>Abrir facsímil</v>
      </c>
      <c r="K8887" s="3" t="s">
        <v>23</v>
      </c>
    </row>
    <row r="8888" spans="1:11" ht="42" customHeight="1">
      <c r="A8888" s="2" t="s">
        <v>22342</v>
      </c>
      <c r="B8888" s="2" t="s">
        <v>22343</v>
      </c>
      <c r="C8888" s="2" t="s">
        <v>26</v>
      </c>
      <c r="D8888" s="2" t="s">
        <v>39</v>
      </c>
      <c r="E8888" s="4">
        <v>-32701</v>
      </c>
      <c r="F8888" s="3" t="s">
        <v>40</v>
      </c>
      <c r="G8888" s="3" t="s">
        <v>333</v>
      </c>
      <c r="H8888" s="2" t="s">
        <v>21</v>
      </c>
      <c r="I8888" s="2" t="s">
        <v>22344</v>
      </c>
      <c r="J8888" s="3" t="str">
        <f>HYPERLINK("https://www.boe.es/gazeta/dias/1810/06/19/pdfs/GMD-C-1810-170.pdf#page=4","Abrir facsímil")</f>
        <v>Abrir facsímil</v>
      </c>
      <c r="K8888" s="3" t="s">
        <v>23</v>
      </c>
    </row>
    <row r="8889" spans="1:11" ht="42" customHeight="1">
      <c r="A8889" s="2" t="s">
        <v>22342</v>
      </c>
      <c r="B8889" s="2" t="s">
        <v>22343</v>
      </c>
      <c r="C8889" s="2" t="s">
        <v>33</v>
      </c>
      <c r="D8889" s="2" t="s">
        <v>27</v>
      </c>
      <c r="E8889" s="4">
        <v>-32687</v>
      </c>
      <c r="F8889" s="3" t="s">
        <v>221</v>
      </c>
      <c r="G8889" s="3" t="s">
        <v>20</v>
      </c>
      <c r="H8889" s="2" t="s">
        <v>21</v>
      </c>
      <c r="I8889" s="2" t="s">
        <v>22345</v>
      </c>
      <c r="J8889" s="3" t="str">
        <f>HYPERLINK("https://www.boe.es/gazeta/dias/1810/07/03/pdfs/GMD-1810-184.pdf#page=4","Abrir facsímil")</f>
        <v>Abrir facsímil</v>
      </c>
      <c r="K8889" s="3" t="s">
        <v>23</v>
      </c>
    </row>
    <row r="8890" spans="1:11" ht="42" customHeight="1">
      <c r="A8890" s="2" t="s">
        <v>22346</v>
      </c>
      <c r="B8890" s="2" t="s">
        <v>22347</v>
      </c>
      <c r="C8890" s="2" t="s">
        <v>26</v>
      </c>
      <c r="D8890" s="2" t="s">
        <v>18</v>
      </c>
      <c r="E8890" s="4">
        <v>-32691</v>
      </c>
      <c r="F8890" s="3" t="s">
        <v>3021</v>
      </c>
      <c r="G8890" s="3" t="s">
        <v>10063</v>
      </c>
      <c r="H8890" s="2" t="s">
        <v>21</v>
      </c>
      <c r="I8890" s="2" t="s">
        <v>22348</v>
      </c>
      <c r="J8890" s="3" t="str">
        <f>HYPERLINK("https://www.boe.es/gazeta/dias/1810/06/29/pdfs/GEI-1810-40.pdf#page=8","Abrir facsímil")</f>
        <v>Abrir facsímil</v>
      </c>
      <c r="K8890" s="3" t="s">
        <v>23</v>
      </c>
    </row>
    <row r="8891" spans="1:11" ht="42" customHeight="1">
      <c r="A8891" s="2" t="s">
        <v>22349</v>
      </c>
      <c r="B8891" s="2" t="s">
        <v>22350</v>
      </c>
      <c r="C8891" s="2" t="s">
        <v>26</v>
      </c>
      <c r="D8891" s="2" t="s">
        <v>27</v>
      </c>
      <c r="E8891" s="4">
        <v>-32710</v>
      </c>
      <c r="F8891" s="3" t="s">
        <v>126</v>
      </c>
      <c r="G8891" s="3" t="s">
        <v>35</v>
      </c>
      <c r="H8891" s="2" t="s">
        <v>21</v>
      </c>
      <c r="I8891" s="2" t="s">
        <v>22351</v>
      </c>
      <c r="J8891" s="3" t="str">
        <f>HYPERLINK("https://www.boe.es/gazeta/dias/1810/06/10/pdfs/GMD-1810-161.pdf#page=2","Abrir facsímil")</f>
        <v>Abrir facsímil</v>
      </c>
      <c r="K8891" s="3" t="s">
        <v>23</v>
      </c>
    </row>
    <row r="8892" spans="1:11" ht="42" customHeight="1">
      <c r="A8892" s="2" t="s">
        <v>22352</v>
      </c>
      <c r="B8892" s="2" t="s">
        <v>22353</v>
      </c>
      <c r="C8892" s="2" t="s">
        <v>26</v>
      </c>
      <c r="D8892" s="2" t="s">
        <v>27</v>
      </c>
      <c r="E8892" s="4">
        <v>-32867</v>
      </c>
      <c r="F8892" s="3" t="s">
        <v>712</v>
      </c>
      <c r="G8892" s="3" t="s">
        <v>291</v>
      </c>
      <c r="H8892" s="2" t="s">
        <v>21</v>
      </c>
      <c r="I8892" s="2" t="s">
        <v>22354</v>
      </c>
      <c r="J8892" s="3" t="str">
        <f>HYPERLINK("https://www.boe.es/gazeta/dias/1810/01/04/pdfs/GGB-1810-2.pdf#page=8","Abrir facsímil")</f>
        <v>Abrir facsímil</v>
      </c>
      <c r="K8892" s="3" t="s">
        <v>23</v>
      </c>
    </row>
    <row r="8893" spans="1:11" ht="42" customHeight="1">
      <c r="A8893" s="2" t="s">
        <v>22355</v>
      </c>
      <c r="B8893" s="2" t="s">
        <v>22356</v>
      </c>
      <c r="C8893" s="2" t="s">
        <v>17</v>
      </c>
      <c r="D8893" s="2" t="s">
        <v>27</v>
      </c>
      <c r="E8893" s="4">
        <v>-32863</v>
      </c>
      <c r="F8893" s="3" t="s">
        <v>2391</v>
      </c>
      <c r="G8893" s="3" t="s">
        <v>180</v>
      </c>
      <c r="H8893" s="2" t="s">
        <v>21</v>
      </c>
      <c r="I8893" s="2" t="s">
        <v>22357</v>
      </c>
      <c r="J8893" s="3" t="str">
        <f>HYPERLINK("https://www.boe.es/gazeta/dias/1810/01/08/pdfs/GMD-1810-8.pdf#page=3","Abrir facsímil")</f>
        <v>Abrir facsímil</v>
      </c>
      <c r="K8893" s="3" t="s">
        <v>23</v>
      </c>
    </row>
    <row r="8894" spans="1:11" ht="42" customHeight="1">
      <c r="A8894" s="2" t="s">
        <v>22358</v>
      </c>
      <c r="B8894" s="2" t="s">
        <v>22359</v>
      </c>
      <c r="C8894" s="2" t="s">
        <v>26</v>
      </c>
      <c r="D8894" s="2" t="s">
        <v>27</v>
      </c>
      <c r="E8894" s="4">
        <v>-32863</v>
      </c>
      <c r="F8894" s="3" t="s">
        <v>2391</v>
      </c>
      <c r="G8894" s="3" t="s">
        <v>180</v>
      </c>
      <c r="H8894" s="2" t="s">
        <v>21</v>
      </c>
      <c r="I8894" s="2" t="s">
        <v>22360</v>
      </c>
      <c r="J8894" s="3" t="str">
        <f>HYPERLINK("https://www.boe.es/gazeta/dias/1810/01/08/pdfs/GMD-1810-8.pdf#page=3","Abrir facsímil")</f>
        <v>Abrir facsímil</v>
      </c>
      <c r="K8894" s="3" t="s">
        <v>23</v>
      </c>
    </row>
    <row r="8895" spans="1:11" ht="42" customHeight="1">
      <c r="A8895" s="2" t="s">
        <v>22361</v>
      </c>
      <c r="B8895" s="2" t="s">
        <v>22362</v>
      </c>
      <c r="C8895" s="2" t="s">
        <v>88</v>
      </c>
      <c r="D8895" s="2" t="s">
        <v>117</v>
      </c>
      <c r="E8895" s="4">
        <v>-32729</v>
      </c>
      <c r="F8895" s="3" t="s">
        <v>174</v>
      </c>
      <c r="G8895" s="3" t="s">
        <v>175</v>
      </c>
      <c r="H8895" s="2" t="s">
        <v>21</v>
      </c>
      <c r="I8895" s="2" t="s">
        <v>22363</v>
      </c>
      <c r="J8895" s="3" t="str">
        <f>HYPERLINK("https://www.boe.es/gazeta/dias/1810/05/22/pdfs/GEI-1810-28.pdf#page=10","Abrir facsímil")</f>
        <v>Abrir facsímil</v>
      </c>
      <c r="K8895" s="3" t="s">
        <v>23</v>
      </c>
    </row>
    <row r="8896" spans="1:11" ht="42" customHeight="1">
      <c r="A8896" s="2" t="s">
        <v>22364</v>
      </c>
      <c r="B8896" s="2" t="s">
        <v>22365</v>
      </c>
      <c r="C8896" s="2" t="s">
        <v>111</v>
      </c>
      <c r="D8896" s="2" t="s">
        <v>27</v>
      </c>
      <c r="E8896" s="4">
        <v>-32712</v>
      </c>
      <c r="F8896" s="3" t="s">
        <v>667</v>
      </c>
      <c r="G8896" s="3" t="s">
        <v>22366</v>
      </c>
      <c r="H8896" s="2" t="s">
        <v>21</v>
      </c>
      <c r="I8896" s="2" t="s">
        <v>22367</v>
      </c>
      <c r="J8896" s="3" t="str">
        <f>HYPERLINK("https://www.boe.es/gazeta/dias/1810/06/08/pdfs/GEI-1810-34.pdf#page=8","Abrir facsímil")</f>
        <v>Abrir facsímil</v>
      </c>
      <c r="K8896" s="3" t="s">
        <v>23</v>
      </c>
    </row>
    <row r="8897" spans="1:11" ht="42" customHeight="1">
      <c r="A8897" s="2" t="s">
        <v>22368</v>
      </c>
      <c r="B8897" s="2" t="s">
        <v>22369</v>
      </c>
      <c r="C8897" s="2" t="s">
        <v>26</v>
      </c>
      <c r="D8897" s="2" t="s">
        <v>39</v>
      </c>
      <c r="E8897" s="4">
        <v>-32661</v>
      </c>
      <c r="F8897" s="3" t="s">
        <v>157</v>
      </c>
      <c r="G8897" s="3" t="s">
        <v>158</v>
      </c>
      <c r="H8897" s="2" t="s">
        <v>21</v>
      </c>
      <c r="I8897" s="2" t="s">
        <v>22370</v>
      </c>
      <c r="J8897" s="3" t="str">
        <f>HYPERLINK("https://www.boe.es/gazeta/dias/1810/07/29/pdfs/GMD-C-1810-210.pdf#page=1","Abrir facsímil")</f>
        <v>Abrir facsímil</v>
      </c>
      <c r="K8897" s="3" t="s">
        <v>23</v>
      </c>
    </row>
    <row r="8898" spans="1:11" ht="42" customHeight="1">
      <c r="A8898" s="2" t="s">
        <v>22371</v>
      </c>
      <c r="B8898" s="2" t="s">
        <v>22372</v>
      </c>
      <c r="C8898" s="2" t="s">
        <v>26</v>
      </c>
      <c r="D8898" s="2" t="s">
        <v>18</v>
      </c>
      <c r="E8898" s="4">
        <v>-32739</v>
      </c>
      <c r="F8898" s="3" t="s">
        <v>724</v>
      </c>
      <c r="G8898" s="3" t="s">
        <v>20</v>
      </c>
      <c r="H8898" s="2" t="s">
        <v>21</v>
      </c>
      <c r="I8898" s="2" t="s">
        <v>22373</v>
      </c>
      <c r="J8898" s="3" t="str">
        <f>HYPERLINK("https://www.boe.es/gazeta/dias/1810/05/12/pdfs/GMD-1810-132.pdf#page=4","Abrir facsímil")</f>
        <v>Abrir facsímil</v>
      </c>
      <c r="K8898" s="3" t="s">
        <v>23</v>
      </c>
    </row>
    <row r="8899" spans="1:11" ht="42" customHeight="1">
      <c r="A8899" s="2" t="s">
        <v>22371</v>
      </c>
      <c r="B8899" s="2" t="s">
        <v>22372</v>
      </c>
      <c r="C8899" s="2" t="s">
        <v>225</v>
      </c>
      <c r="D8899" s="2" t="s">
        <v>27</v>
      </c>
      <c r="E8899" s="4">
        <v>-32730</v>
      </c>
      <c r="F8899" s="3" t="s">
        <v>50</v>
      </c>
      <c r="G8899" s="3" t="s">
        <v>20</v>
      </c>
      <c r="H8899" s="2" t="s">
        <v>21</v>
      </c>
      <c r="I8899" s="2" t="s">
        <v>22374</v>
      </c>
      <c r="J8899" s="3" t="str">
        <f>HYPERLINK("https://www.boe.es/gazeta/dias/1810/05/21/pdfs/GMD-1810-141.pdf#page=4","Abrir facsímil")</f>
        <v>Abrir facsímil</v>
      </c>
      <c r="K8899" s="3" t="s">
        <v>23</v>
      </c>
    </row>
    <row r="8900" spans="1:11" ht="42" customHeight="1">
      <c r="A8900" s="2" t="s">
        <v>22375</v>
      </c>
      <c r="B8900" s="2" t="s">
        <v>22376</v>
      </c>
      <c r="C8900" s="2" t="s">
        <v>26</v>
      </c>
      <c r="D8900" s="2" t="s">
        <v>27</v>
      </c>
      <c r="E8900" s="4">
        <v>-32781</v>
      </c>
      <c r="F8900" s="3" t="s">
        <v>5673</v>
      </c>
      <c r="G8900" s="3" t="s">
        <v>99</v>
      </c>
      <c r="H8900" s="2" t="s">
        <v>21</v>
      </c>
      <c r="I8900" s="2" t="s">
        <v>22377</v>
      </c>
      <c r="J8900" s="3" t="str">
        <f>HYPERLINK("https://www.boe.es/gazeta/dias/1810/03/31/pdfs/GMD-1810-90.pdf#page=3","Abrir facsímil")</f>
        <v>Abrir facsímil</v>
      </c>
      <c r="K8900" s="3" t="s">
        <v>23</v>
      </c>
    </row>
    <row r="8901" spans="1:11" ht="42" customHeight="1">
      <c r="A8901" s="2" t="s">
        <v>22378</v>
      </c>
      <c r="B8901" s="2" t="s">
        <v>22379</v>
      </c>
      <c r="C8901" s="2" t="s">
        <v>26</v>
      </c>
      <c r="D8901" s="2" t="s">
        <v>39</v>
      </c>
      <c r="E8901" s="4">
        <v>-32702</v>
      </c>
      <c r="F8901" s="3" t="s">
        <v>179</v>
      </c>
      <c r="G8901" s="3" t="s">
        <v>119</v>
      </c>
      <c r="H8901" s="2" t="s">
        <v>21</v>
      </c>
      <c r="I8901" s="2" t="s">
        <v>22380</v>
      </c>
      <c r="J8901" s="3" t="str">
        <f>HYPERLINK("https://www.boe.es/gazeta/dias/1810/06/18/pdfs/GMD-C-1810-169.pdf#page=1","Abrir facsímil")</f>
        <v>Abrir facsímil</v>
      </c>
      <c r="K8901" s="3" t="s">
        <v>23</v>
      </c>
    </row>
    <row r="8902" spans="1:11" ht="42" customHeight="1">
      <c r="A8902" s="2" t="s">
        <v>22381</v>
      </c>
      <c r="B8902" s="2" t="s">
        <v>22382</v>
      </c>
      <c r="C8902" s="2" t="s">
        <v>26</v>
      </c>
      <c r="D8902" s="2" t="s">
        <v>39</v>
      </c>
      <c r="E8902" s="4">
        <v>-32599</v>
      </c>
      <c r="F8902" s="3" t="s">
        <v>662</v>
      </c>
      <c r="G8902" s="3" t="s">
        <v>104</v>
      </c>
      <c r="H8902" s="2" t="s">
        <v>21</v>
      </c>
      <c r="I8902" s="2" t="s">
        <v>22383</v>
      </c>
      <c r="J8902" s="3" t="str">
        <f>HYPERLINK("https://www.boe.es/gazeta/dias/1810/09/29/pdfs/GMD-C-1810-272.pdf#page=3","Abrir facsímil")</f>
        <v>Abrir facsímil</v>
      </c>
      <c r="K8902" s="3" t="s">
        <v>23</v>
      </c>
    </row>
    <row r="8903" spans="1:11" ht="42" customHeight="1">
      <c r="A8903" s="2" t="s">
        <v>22384</v>
      </c>
      <c r="B8903" s="2" t="s">
        <v>22385</v>
      </c>
      <c r="C8903" s="2" t="s">
        <v>26</v>
      </c>
      <c r="D8903" s="2" t="s">
        <v>39</v>
      </c>
      <c r="E8903" s="4">
        <v>-32702</v>
      </c>
      <c r="F8903" s="3" t="s">
        <v>179</v>
      </c>
      <c r="G8903" s="3" t="s">
        <v>517</v>
      </c>
      <c r="H8903" s="2" t="s">
        <v>21</v>
      </c>
      <c r="I8903" s="2" t="s">
        <v>22386</v>
      </c>
      <c r="J8903" s="3" t="str">
        <f>HYPERLINK("https://www.boe.es/gazeta/dias/1810/06/18/pdfs/GMD-C-1810-169.pdf#page=3","Abrir facsímil")</f>
        <v>Abrir facsímil</v>
      </c>
      <c r="K8903" s="3" t="s">
        <v>23</v>
      </c>
    </row>
    <row r="8904" spans="1:11" ht="42" customHeight="1">
      <c r="A8904" s="2" t="s">
        <v>22387</v>
      </c>
      <c r="B8904" s="2" t="s">
        <v>22388</v>
      </c>
      <c r="C8904" s="2" t="s">
        <v>26</v>
      </c>
      <c r="D8904" s="2" t="s">
        <v>39</v>
      </c>
      <c r="E8904" s="4">
        <v>-32702</v>
      </c>
      <c r="F8904" s="3" t="s">
        <v>179</v>
      </c>
      <c r="G8904" s="3" t="s">
        <v>213</v>
      </c>
      <c r="H8904" s="2" t="s">
        <v>21</v>
      </c>
      <c r="I8904" s="2" t="s">
        <v>22389</v>
      </c>
      <c r="J8904" s="3" t="str">
        <f>HYPERLINK("https://www.boe.es/gazeta/dias/1810/06/18/pdfs/GMD-C-1810-169.pdf#page=4","Abrir facsímil")</f>
        <v>Abrir facsímil</v>
      </c>
      <c r="K8904" s="3" t="s">
        <v>23</v>
      </c>
    </row>
    <row r="8905" spans="1:11" ht="42" customHeight="1">
      <c r="A8905" s="2" t="s">
        <v>22390</v>
      </c>
      <c r="B8905" s="2" t="s">
        <v>22391</v>
      </c>
      <c r="C8905" s="2" t="s">
        <v>26</v>
      </c>
      <c r="D8905" s="2" t="s">
        <v>27</v>
      </c>
      <c r="E8905" s="4">
        <v>-32575</v>
      </c>
      <c r="F8905" s="3" t="s">
        <v>135</v>
      </c>
      <c r="G8905" s="3" t="s">
        <v>136</v>
      </c>
      <c r="H8905" s="2" t="s">
        <v>21</v>
      </c>
      <c r="I8905" s="2" t="s">
        <v>22392</v>
      </c>
      <c r="J8905" s="3" t="str">
        <f>HYPERLINK("https://www.boe.es/gazeta/dias/1810/10/23/pdfs/GEI-1810-85.pdf#page=11","Abrir facsímil")</f>
        <v>Abrir facsímil</v>
      </c>
      <c r="K8905" s="3" t="s">
        <v>23</v>
      </c>
    </row>
    <row r="8906" spans="1:11" ht="42" customHeight="1">
      <c r="A8906" s="2" t="s">
        <v>22393</v>
      </c>
      <c r="B8906" s="2" t="s">
        <v>22394</v>
      </c>
      <c r="C8906" s="2" t="s">
        <v>317</v>
      </c>
      <c r="D8906" s="2" t="s">
        <v>39</v>
      </c>
      <c r="E8906" s="4">
        <v>-32684</v>
      </c>
      <c r="F8906" s="3" t="s">
        <v>295</v>
      </c>
      <c r="G8906" s="3" t="s">
        <v>4095</v>
      </c>
      <c r="H8906" s="2" t="s">
        <v>21</v>
      </c>
      <c r="I8906" s="2" t="s">
        <v>22395</v>
      </c>
      <c r="J8906" s="3" t="str">
        <f>HYPERLINK("https://www.boe.es/gazeta/dias/1810/07/06/pdfs/GMD-C-1810-187.pdf#page=3","Abrir facsímil")</f>
        <v>Abrir facsímil</v>
      </c>
      <c r="K8906" s="3" t="s">
        <v>23</v>
      </c>
    </row>
    <row r="8907" spans="1:11" ht="42" customHeight="1">
      <c r="A8907" s="2" t="s">
        <v>22396</v>
      </c>
      <c r="B8907" s="2" t="s">
        <v>22397</v>
      </c>
      <c r="C8907" s="2" t="s">
        <v>26</v>
      </c>
      <c r="D8907" s="2" t="s">
        <v>18</v>
      </c>
      <c r="E8907" s="4">
        <v>-32601</v>
      </c>
      <c r="F8907" s="3" t="s">
        <v>392</v>
      </c>
      <c r="G8907" s="3" t="s">
        <v>35</v>
      </c>
      <c r="H8907" s="2" t="s">
        <v>21</v>
      </c>
      <c r="I8907" s="2" t="s">
        <v>22398</v>
      </c>
      <c r="J8907" s="3" t="str">
        <f>HYPERLINK("https://www.boe.es/gazeta/dias/1810/09/27/pdfs/GEI-1810-74E.pdf#page=2","Abrir facsímil")</f>
        <v>Abrir facsímil</v>
      </c>
      <c r="K8907" s="3" t="s">
        <v>23</v>
      </c>
    </row>
    <row r="8908" spans="1:11" ht="42" customHeight="1">
      <c r="A8908" s="2" t="s">
        <v>22399</v>
      </c>
      <c r="B8908" s="2" t="s">
        <v>22400</v>
      </c>
      <c r="C8908" s="2" t="s">
        <v>26</v>
      </c>
      <c r="D8908" s="2" t="s">
        <v>58</v>
      </c>
      <c r="E8908" s="4">
        <v>-32601</v>
      </c>
      <c r="F8908" s="3" t="s">
        <v>392</v>
      </c>
      <c r="G8908" s="3" t="s">
        <v>35</v>
      </c>
      <c r="H8908" s="2" t="s">
        <v>21</v>
      </c>
      <c r="I8908" s="2" t="s">
        <v>22401</v>
      </c>
      <c r="J8908" s="3" t="str">
        <f>HYPERLINK("https://www.boe.es/gazeta/dias/1810/09/27/pdfs/GEI-1810-74E.pdf#page=2","Abrir facsímil")</f>
        <v>Abrir facsímil</v>
      </c>
      <c r="K8908" s="3" t="s">
        <v>23</v>
      </c>
    </row>
    <row r="8909" spans="1:11" ht="42" customHeight="1">
      <c r="A8909" s="2" t="s">
        <v>22402</v>
      </c>
      <c r="B8909" s="2" t="s">
        <v>22403</v>
      </c>
      <c r="C8909" s="2" t="s">
        <v>88</v>
      </c>
      <c r="D8909" s="2" t="s">
        <v>117</v>
      </c>
      <c r="E8909" s="4">
        <v>-32795</v>
      </c>
      <c r="F8909" s="3" t="s">
        <v>690</v>
      </c>
      <c r="G8909" s="3" t="s">
        <v>213</v>
      </c>
      <c r="H8909" s="2" t="s">
        <v>21</v>
      </c>
      <c r="I8909" s="2" t="s">
        <v>22404</v>
      </c>
      <c r="J8909" s="3" t="str">
        <f>HYPERLINK("https://www.boe.es/gazeta/dias/1810/03/17/pdfs/GMD-1810-76.pdf#page=4","Abrir facsímil")</f>
        <v>Abrir facsímil</v>
      </c>
      <c r="K8909" s="3" t="s">
        <v>23</v>
      </c>
    </row>
    <row r="8910" spans="1:11" ht="42" customHeight="1">
      <c r="A8910" s="2" t="s">
        <v>22405</v>
      </c>
      <c r="B8910" s="2" t="s">
        <v>22406</v>
      </c>
      <c r="C8910" s="2" t="s">
        <v>26</v>
      </c>
      <c r="D8910" s="2" t="s">
        <v>27</v>
      </c>
      <c r="E8910" s="4">
        <v>-32803</v>
      </c>
      <c r="F8910" s="3" t="s">
        <v>4052</v>
      </c>
      <c r="G8910" s="3" t="s">
        <v>695</v>
      </c>
      <c r="H8910" s="2" t="s">
        <v>21</v>
      </c>
      <c r="I8910" s="2" t="s">
        <v>22407</v>
      </c>
      <c r="J8910" s="3" t="str">
        <f>HYPERLINK("https://www.boe.es/gazeta/dias/1810/03/09/pdfs/GMD-1810-68.pdf#page=4","Abrir facsímil")</f>
        <v>Abrir facsímil</v>
      </c>
      <c r="K8910" s="3" t="s">
        <v>23</v>
      </c>
    </row>
    <row r="8911" spans="1:11" ht="42" customHeight="1">
      <c r="A8911" s="2" t="s">
        <v>22408</v>
      </c>
      <c r="B8911" s="2" t="s">
        <v>22409</v>
      </c>
      <c r="C8911" s="2" t="s">
        <v>88</v>
      </c>
      <c r="D8911" s="2" t="s">
        <v>117</v>
      </c>
      <c r="E8911" s="4">
        <v>-32710</v>
      </c>
      <c r="F8911" s="3" t="s">
        <v>126</v>
      </c>
      <c r="G8911" s="3" t="s">
        <v>180</v>
      </c>
      <c r="H8911" s="2" t="s">
        <v>21</v>
      </c>
      <c r="I8911" s="2" t="s">
        <v>22410</v>
      </c>
      <c r="J8911" s="3" t="str">
        <f>HYPERLINK("https://www.boe.es/gazeta/dias/1810/06/10/pdfs/GMD-1810-161.pdf#page=1","Abrir facsímil")</f>
        <v>Abrir facsímil</v>
      </c>
      <c r="K8911" s="3" t="s">
        <v>23</v>
      </c>
    </row>
    <row r="8912" spans="1:11" ht="42" customHeight="1">
      <c r="A8912" s="2" t="s">
        <v>22411</v>
      </c>
      <c r="B8912" s="2" t="s">
        <v>22412</v>
      </c>
      <c r="C8912" s="2" t="s">
        <v>26</v>
      </c>
      <c r="D8912" s="2" t="s">
        <v>18</v>
      </c>
      <c r="E8912" s="4">
        <v>-32638</v>
      </c>
      <c r="F8912" s="3" t="s">
        <v>2498</v>
      </c>
      <c r="G8912" s="3" t="s">
        <v>29</v>
      </c>
      <c r="H8912" s="2" t="s">
        <v>21</v>
      </c>
      <c r="I8912" s="2" t="s">
        <v>22413</v>
      </c>
      <c r="J8912" s="3" t="str">
        <f>HYPERLINK("https://www.boe.es/gazeta/dias/1810/08/21/pdfs/GEI-1810-58.pdf#page=8","Abrir facsímil")</f>
        <v>Abrir facsímil</v>
      </c>
      <c r="K8912" s="3" t="s">
        <v>23</v>
      </c>
    </row>
    <row r="8913" spans="1:11" ht="42" customHeight="1">
      <c r="A8913" s="2" t="s">
        <v>22414</v>
      </c>
      <c r="B8913" s="2" t="s">
        <v>22415</v>
      </c>
      <c r="C8913" s="2" t="s">
        <v>26</v>
      </c>
      <c r="D8913" s="2" t="s">
        <v>27</v>
      </c>
      <c r="E8913" s="4">
        <v>-32647</v>
      </c>
      <c r="F8913" s="3" t="s">
        <v>118</v>
      </c>
      <c r="G8913" s="3" t="s">
        <v>140</v>
      </c>
      <c r="H8913" s="2" t="s">
        <v>21</v>
      </c>
      <c r="I8913" s="2" t="s">
        <v>22416</v>
      </c>
      <c r="J8913" s="3" t="str">
        <f>HYPERLINK("https://www.boe.es/gazeta/dias/1810/08/12/pdfs/GMD-1810-224.pdf#page=2","Abrir facsímil")</f>
        <v>Abrir facsímil</v>
      </c>
      <c r="K8913" s="3" t="s">
        <v>23</v>
      </c>
    </row>
    <row r="8914" spans="1:11" ht="42" customHeight="1">
      <c r="A8914" s="2" t="s">
        <v>22417</v>
      </c>
      <c r="B8914" s="2" t="s">
        <v>22418</v>
      </c>
      <c r="C8914" s="2" t="s">
        <v>33</v>
      </c>
      <c r="D8914" s="2" t="s">
        <v>27</v>
      </c>
      <c r="E8914" s="4">
        <v>-32659</v>
      </c>
      <c r="F8914" s="3" t="s">
        <v>328</v>
      </c>
      <c r="G8914" s="3" t="s">
        <v>119</v>
      </c>
      <c r="H8914" s="2" t="s">
        <v>21</v>
      </c>
      <c r="I8914" s="2" t="s">
        <v>22419</v>
      </c>
      <c r="J8914" s="3" t="str">
        <f>HYPERLINK("https://www.boe.es/gazeta/dias/1810/07/31/pdfs/GEI-1810-49.pdf#page=8","Abrir facsímil")</f>
        <v>Abrir facsímil</v>
      </c>
      <c r="K8914" s="3" t="s">
        <v>23</v>
      </c>
    </row>
    <row r="8915" spans="1:11" ht="42" customHeight="1">
      <c r="A8915" s="2" t="s">
        <v>22420</v>
      </c>
      <c r="B8915" s="2" t="s">
        <v>22421</v>
      </c>
      <c r="C8915" s="2" t="s">
        <v>26</v>
      </c>
      <c r="D8915" s="2" t="s">
        <v>27</v>
      </c>
      <c r="E8915" s="4">
        <v>-32517</v>
      </c>
      <c r="F8915" s="3" t="s">
        <v>566</v>
      </c>
      <c r="G8915" s="3" t="s">
        <v>762</v>
      </c>
      <c r="H8915" s="2" t="s">
        <v>21</v>
      </c>
      <c r="I8915" s="2" t="s">
        <v>22422</v>
      </c>
      <c r="J8915" s="3" t="str">
        <f>HYPERLINK("https://www.boe.es/gazeta/dias/1810/12/20/pdfs/GEI-1810-110.pdf#page=8","Abrir facsímil")</f>
        <v>Abrir facsímil</v>
      </c>
      <c r="K8915" s="3" t="s">
        <v>23</v>
      </c>
    </row>
    <row r="8916" spans="1:11" ht="42" customHeight="1">
      <c r="A8916" s="2" t="s">
        <v>22423</v>
      </c>
      <c r="B8916" s="2" t="s">
        <v>22424</v>
      </c>
      <c r="C8916" s="2" t="s">
        <v>88</v>
      </c>
      <c r="D8916" s="2" t="s">
        <v>117</v>
      </c>
      <c r="E8916" s="4">
        <v>-32617</v>
      </c>
      <c r="F8916" s="3" t="s">
        <v>3861</v>
      </c>
      <c r="G8916" s="3" t="s">
        <v>20</v>
      </c>
      <c r="H8916" s="2" t="s">
        <v>21</v>
      </c>
      <c r="I8916" s="2" t="s">
        <v>22425</v>
      </c>
      <c r="J8916" s="3" t="str">
        <f>HYPERLINK("https://www.boe.es/gazeta/dias/1810/09/11/pdfs/GMD-1810-254.pdf#page=4","Abrir facsímil")</f>
        <v>Abrir facsímil</v>
      </c>
      <c r="K8916" s="3" t="s">
        <v>23</v>
      </c>
    </row>
    <row r="8917" spans="1:11" ht="42" customHeight="1">
      <c r="A8917" s="2" t="s">
        <v>22426</v>
      </c>
      <c r="B8917" s="2" t="s">
        <v>22427</v>
      </c>
      <c r="C8917" s="2" t="s">
        <v>26</v>
      </c>
      <c r="D8917" s="2" t="s">
        <v>27</v>
      </c>
      <c r="E8917" s="4">
        <v>-32575</v>
      </c>
      <c r="F8917" s="3" t="s">
        <v>135</v>
      </c>
      <c r="G8917" s="3" t="s">
        <v>140</v>
      </c>
      <c r="H8917" s="2" t="s">
        <v>21</v>
      </c>
      <c r="I8917" s="2" t="s">
        <v>22428</v>
      </c>
      <c r="J8917" s="3" t="str">
        <f>HYPERLINK("https://www.boe.es/gazeta/dias/1810/10/23/pdfs/GEI-1810-85.pdf#page=10","Abrir facsímil")</f>
        <v>Abrir facsímil</v>
      </c>
      <c r="K8917" s="3" t="s">
        <v>23</v>
      </c>
    </row>
    <row r="8918" spans="1:11" ht="42" customHeight="1">
      <c r="A8918" s="2" t="s">
        <v>22429</v>
      </c>
      <c r="B8918" s="2" t="s">
        <v>22430</v>
      </c>
      <c r="C8918" s="2" t="s">
        <v>33</v>
      </c>
      <c r="D8918" s="2" t="s">
        <v>27</v>
      </c>
      <c r="E8918" s="4">
        <v>-32820</v>
      </c>
      <c r="F8918" s="3" t="s">
        <v>226</v>
      </c>
      <c r="G8918" s="3" t="s">
        <v>356</v>
      </c>
      <c r="H8918" s="2" t="s">
        <v>21</v>
      </c>
      <c r="I8918" s="2" t="s">
        <v>22431</v>
      </c>
      <c r="J8918" s="3" t="str">
        <f>HYPERLINK("https://www.boe.es/gazeta/dias/1810/02/20/pdfs/GMD-1810-51.pdf#page=3","Abrir facsímil")</f>
        <v>Abrir facsímil</v>
      </c>
      <c r="K8918" s="3" t="s">
        <v>23</v>
      </c>
    </row>
    <row r="8919" spans="1:11" ht="42" customHeight="1">
      <c r="A8919" s="2" t="s">
        <v>22432</v>
      </c>
      <c r="B8919" s="2" t="s">
        <v>22433</v>
      </c>
      <c r="C8919" s="2" t="s">
        <v>26</v>
      </c>
      <c r="D8919" s="2" t="s">
        <v>27</v>
      </c>
      <c r="E8919" s="4">
        <v>-32647</v>
      </c>
      <c r="F8919" s="3" t="s">
        <v>118</v>
      </c>
      <c r="G8919" s="3" t="s">
        <v>119</v>
      </c>
      <c r="H8919" s="2" t="s">
        <v>21</v>
      </c>
      <c r="I8919" s="2" t="s">
        <v>22434</v>
      </c>
      <c r="J8919" s="3" t="str">
        <f>HYPERLINK("https://www.boe.es/gazeta/dias/1810/08/12/pdfs/GMD-1810-224.pdf#page=3","Abrir facsímil")</f>
        <v>Abrir facsímil</v>
      </c>
      <c r="K8919" s="3" t="s">
        <v>23</v>
      </c>
    </row>
    <row r="8920" spans="1:11" ht="42" customHeight="1">
      <c r="A8920" s="2" t="s">
        <v>22435</v>
      </c>
      <c r="B8920" s="2" t="s">
        <v>22436</v>
      </c>
      <c r="C8920" s="2" t="s">
        <v>26</v>
      </c>
      <c r="D8920" s="2" t="s">
        <v>27</v>
      </c>
      <c r="E8920" s="4">
        <v>-32729</v>
      </c>
      <c r="F8920" s="3" t="s">
        <v>174</v>
      </c>
      <c r="G8920" s="3" t="s">
        <v>886</v>
      </c>
      <c r="H8920" s="2" t="s">
        <v>21</v>
      </c>
      <c r="I8920" s="2" t="s">
        <v>22437</v>
      </c>
      <c r="J8920" s="3" t="str">
        <f>HYPERLINK("https://www.boe.es/gazeta/dias/1810/05/22/pdfs/GEI-1810-28.pdf#page=11","Abrir facsímil")</f>
        <v>Abrir facsímil</v>
      </c>
      <c r="K8920" s="3" t="s">
        <v>23</v>
      </c>
    </row>
    <row r="8921" spans="1:11" ht="42" customHeight="1">
      <c r="A8921" s="2" t="s">
        <v>22438</v>
      </c>
      <c r="B8921" s="2" t="s">
        <v>22439</v>
      </c>
      <c r="C8921" s="2" t="s">
        <v>26</v>
      </c>
      <c r="D8921" s="2" t="s">
        <v>58</v>
      </c>
      <c r="E8921" s="4">
        <v>-32601</v>
      </c>
      <c r="F8921" s="3" t="s">
        <v>392</v>
      </c>
      <c r="G8921" s="3" t="s">
        <v>35</v>
      </c>
      <c r="H8921" s="2" t="s">
        <v>21</v>
      </c>
      <c r="I8921" s="2" t="s">
        <v>22440</v>
      </c>
      <c r="J8921" s="3" t="str">
        <f>HYPERLINK("https://www.boe.es/gazeta/dias/1810/09/27/pdfs/GEI-1810-74E.pdf#page=2","Abrir facsímil")</f>
        <v>Abrir facsímil</v>
      </c>
      <c r="K8921" s="3" t="s">
        <v>23</v>
      </c>
    </row>
    <row r="8922" spans="1:11" ht="42" customHeight="1">
      <c r="A8922" s="2" t="s">
        <v>22441</v>
      </c>
      <c r="B8922" s="2" t="s">
        <v>22442</v>
      </c>
      <c r="C8922" s="2" t="s">
        <v>17</v>
      </c>
      <c r="D8922" s="2" t="s">
        <v>18</v>
      </c>
      <c r="E8922" s="4">
        <v>-32562</v>
      </c>
      <c r="F8922" s="3" t="s">
        <v>1186</v>
      </c>
      <c r="G8922" s="3" t="s">
        <v>29</v>
      </c>
      <c r="H8922" s="2" t="s">
        <v>21</v>
      </c>
      <c r="I8922" s="2" t="s">
        <v>22443</v>
      </c>
      <c r="J8922" s="3" t="str">
        <f>HYPERLINK("https://www.boe.es/gazeta/dias/1810/11/05/pdfs/GMD-1810-309.pdf#page=2","Abrir facsímil")</f>
        <v>Abrir facsímil</v>
      </c>
      <c r="K8922" s="3" t="s">
        <v>23</v>
      </c>
    </row>
    <row r="8923" spans="1:11" ht="42" customHeight="1">
      <c r="A8923" s="2" t="s">
        <v>22444</v>
      </c>
      <c r="B8923" s="2" t="s">
        <v>22445</v>
      </c>
      <c r="C8923" s="2" t="s">
        <v>88</v>
      </c>
      <c r="D8923" s="2" t="s">
        <v>117</v>
      </c>
      <c r="E8923" s="4">
        <v>-32768</v>
      </c>
      <c r="F8923" s="3" t="s">
        <v>1930</v>
      </c>
      <c r="G8923" s="3" t="s">
        <v>3601</v>
      </c>
      <c r="H8923" s="2" t="s">
        <v>21</v>
      </c>
      <c r="I8923" s="2" t="s">
        <v>22446</v>
      </c>
      <c r="J8923" s="3" t="str">
        <f>HYPERLINK("https://www.boe.es/gazeta/dias/1810/04/13/pdfs/GEI-1810-14.pdf#page=12","Abrir facsímil")</f>
        <v>Abrir facsímil</v>
      </c>
      <c r="K8923" s="3" t="s">
        <v>23</v>
      </c>
    </row>
    <row r="8924" spans="1:11" ht="42" customHeight="1">
      <c r="A8924" s="2" t="s">
        <v>22447</v>
      </c>
      <c r="B8924" s="2" t="s">
        <v>22448</v>
      </c>
      <c r="C8924" s="2" t="s">
        <v>26</v>
      </c>
      <c r="D8924" s="2" t="s">
        <v>27</v>
      </c>
      <c r="E8924" s="4">
        <v>-32654</v>
      </c>
      <c r="F8924" s="3" t="s">
        <v>1226</v>
      </c>
      <c r="G8924" s="3" t="s">
        <v>180</v>
      </c>
      <c r="H8924" s="2" t="s">
        <v>21</v>
      </c>
      <c r="I8924" s="2" t="s">
        <v>22449</v>
      </c>
      <c r="J8924" s="3" t="str">
        <f>HYPERLINK("https://www.boe.es/gazeta/dias/1810/08/05/pdfs/GMD-1810-217.pdf#page=4","Abrir facsímil")</f>
        <v>Abrir facsímil</v>
      </c>
      <c r="K8924" s="3" t="s">
        <v>23</v>
      </c>
    </row>
    <row r="8925" spans="1:11" ht="42" customHeight="1">
      <c r="A8925" s="2" t="s">
        <v>22450</v>
      </c>
      <c r="B8925" s="2" t="s">
        <v>22451</v>
      </c>
      <c r="C8925" s="2" t="s">
        <v>88</v>
      </c>
      <c r="D8925" s="2" t="s">
        <v>18</v>
      </c>
      <c r="E8925" s="4">
        <v>-32720</v>
      </c>
      <c r="F8925" s="3" t="s">
        <v>3377</v>
      </c>
      <c r="G8925" s="3" t="s">
        <v>3378</v>
      </c>
      <c r="H8925" s="2" t="s">
        <v>21</v>
      </c>
      <c r="I8925" s="2" t="s">
        <v>22452</v>
      </c>
      <c r="J8925" s="3" t="str">
        <f>HYPERLINK("https://www.boe.es/gazeta/dias/1810/05/31/pdfs/GMD-1810-151.pdf#page=4","Abrir facsímil")</f>
        <v>Abrir facsímil</v>
      </c>
      <c r="K8925" s="3" t="s">
        <v>23</v>
      </c>
    </row>
    <row r="8926" spans="1:11" ht="42" customHeight="1">
      <c r="A8926" s="2" t="s">
        <v>22453</v>
      </c>
      <c r="B8926" s="2" t="s">
        <v>22454</v>
      </c>
      <c r="C8926" s="2" t="s">
        <v>26</v>
      </c>
      <c r="D8926" s="2" t="s">
        <v>18</v>
      </c>
      <c r="E8926" s="4">
        <v>-32867</v>
      </c>
      <c r="F8926" s="3" t="s">
        <v>712</v>
      </c>
      <c r="G8926" s="3" t="s">
        <v>291</v>
      </c>
      <c r="H8926" s="2" t="s">
        <v>21</v>
      </c>
      <c r="I8926" s="2" t="s">
        <v>22455</v>
      </c>
      <c r="J8926" s="3" t="str">
        <f>HYPERLINK("https://www.boe.es/gazeta/dias/1810/01/04/pdfs/GGB-1810-2.pdf#page=8","Abrir facsímil")</f>
        <v>Abrir facsímil</v>
      </c>
      <c r="K8926" s="3" t="s">
        <v>23</v>
      </c>
    </row>
    <row r="8927" spans="1:11" ht="42" customHeight="1">
      <c r="A8927" s="2" t="s">
        <v>22456</v>
      </c>
      <c r="B8927" s="2" t="s">
        <v>22457</v>
      </c>
      <c r="C8927" s="2" t="s">
        <v>88</v>
      </c>
      <c r="D8927" s="2" t="s">
        <v>27</v>
      </c>
      <c r="E8927" s="4">
        <v>-32713</v>
      </c>
      <c r="F8927" s="3" t="s">
        <v>959</v>
      </c>
      <c r="G8927" s="3" t="s">
        <v>960</v>
      </c>
      <c r="H8927" s="2" t="s">
        <v>21</v>
      </c>
      <c r="I8927" s="2" t="s">
        <v>22458</v>
      </c>
      <c r="J8927" s="3" t="str">
        <f>HYPERLINK("https://www.boe.es/gazeta/dias/1810/06/07/pdfs/GMD-1810-158.pdf#page=4","Abrir facsímil")</f>
        <v>Abrir facsímil</v>
      </c>
      <c r="K8927" s="3" t="s">
        <v>23</v>
      </c>
    </row>
    <row r="8928" spans="1:11" ht="42" customHeight="1">
      <c r="A8928" s="2" t="s">
        <v>22459</v>
      </c>
      <c r="B8928" s="2" t="s">
        <v>22460</v>
      </c>
      <c r="C8928" s="2" t="s">
        <v>33</v>
      </c>
      <c r="D8928" s="2" t="s">
        <v>27</v>
      </c>
      <c r="E8928" s="4">
        <v>-32687</v>
      </c>
      <c r="F8928" s="3" t="s">
        <v>221</v>
      </c>
      <c r="G8928" s="3" t="s">
        <v>20</v>
      </c>
      <c r="H8928" s="2" t="s">
        <v>21</v>
      </c>
      <c r="I8928" s="2" t="s">
        <v>22461</v>
      </c>
      <c r="J8928" s="3" t="str">
        <f>HYPERLINK("https://www.boe.es/gazeta/dias/1810/07/03/pdfs/GMD-1810-184.pdf#page=4","Abrir facsímil")</f>
        <v>Abrir facsímil</v>
      </c>
      <c r="K8928" s="3" t="s">
        <v>23</v>
      </c>
    </row>
    <row r="8929" spans="1:11" ht="42" customHeight="1">
      <c r="A8929" s="2" t="s">
        <v>22462</v>
      </c>
      <c r="B8929" s="2" t="s">
        <v>22463</v>
      </c>
      <c r="C8929" s="2" t="s">
        <v>26</v>
      </c>
      <c r="D8929" s="2" t="s">
        <v>27</v>
      </c>
      <c r="E8929" s="4">
        <v>-32591</v>
      </c>
      <c r="F8929" s="3" t="s">
        <v>377</v>
      </c>
      <c r="G8929" s="3" t="s">
        <v>140</v>
      </c>
      <c r="H8929" s="2" t="s">
        <v>21</v>
      </c>
      <c r="I8929" s="2" t="s">
        <v>22464</v>
      </c>
      <c r="J8929" s="3" t="str">
        <f>HYPERLINK("https://www.boe.es/gazeta/dias/1810/10/07/pdfs/GMD-1810-280.pdf#page=4","Abrir facsímil")</f>
        <v>Abrir facsímil</v>
      </c>
      <c r="K8929" s="3" t="s">
        <v>23</v>
      </c>
    </row>
    <row r="8930" spans="1:11" ht="42" customHeight="1">
      <c r="A8930" s="2" t="s">
        <v>22465</v>
      </c>
      <c r="B8930" s="2" t="s">
        <v>22466</v>
      </c>
      <c r="C8930" s="2" t="s">
        <v>17</v>
      </c>
      <c r="D8930" s="2" t="s">
        <v>220</v>
      </c>
      <c r="E8930" s="4">
        <v>-32741</v>
      </c>
      <c r="F8930" s="3" t="s">
        <v>98</v>
      </c>
      <c r="G8930" s="3" t="s">
        <v>90</v>
      </c>
      <c r="H8930" s="2" t="s">
        <v>21</v>
      </c>
      <c r="I8930" s="2" t="s">
        <v>22467</v>
      </c>
      <c r="J8930" s="3" t="str">
        <f>HYPERLINK("https://www.boe.es/gazeta/dias/1810/05/10/pdfs/GMD-1810-130.pdf#page=4","Abrir facsímil")</f>
        <v>Abrir facsímil</v>
      </c>
      <c r="K8930" s="3" t="s">
        <v>23</v>
      </c>
    </row>
    <row r="8931" spans="1:11" ht="42" customHeight="1">
      <c r="A8931" s="2" t="s">
        <v>22468</v>
      </c>
      <c r="B8931" s="2" t="s">
        <v>22469</v>
      </c>
      <c r="C8931" s="2" t="s">
        <v>88</v>
      </c>
      <c r="D8931" s="2" t="s">
        <v>27</v>
      </c>
      <c r="E8931" s="4">
        <v>-32562</v>
      </c>
      <c r="F8931" s="3" t="s">
        <v>1186</v>
      </c>
      <c r="G8931" s="3" t="s">
        <v>29</v>
      </c>
      <c r="H8931" s="2" t="s">
        <v>21</v>
      </c>
      <c r="I8931" s="2" t="s">
        <v>22470</v>
      </c>
      <c r="J8931" s="3" t="str">
        <f>HYPERLINK("https://www.boe.es/gazeta/dias/1810/11/05/pdfs/GMD-1810-309.pdf#page=2","Abrir facsímil")</f>
        <v>Abrir facsímil</v>
      </c>
      <c r="K8931" s="3" t="s">
        <v>23</v>
      </c>
    </row>
    <row r="8932" spans="1:11" ht="42" customHeight="1">
      <c r="A8932" s="2" t="s">
        <v>22471</v>
      </c>
      <c r="B8932" s="2" t="s">
        <v>22472</v>
      </c>
      <c r="C8932" s="2" t="s">
        <v>33</v>
      </c>
      <c r="D8932" s="2" t="s">
        <v>27</v>
      </c>
      <c r="E8932" s="4">
        <v>-32711</v>
      </c>
      <c r="F8932" s="3" t="s">
        <v>1888</v>
      </c>
      <c r="G8932" s="3" t="s">
        <v>29</v>
      </c>
      <c r="H8932" s="2" t="s">
        <v>21</v>
      </c>
      <c r="I8932" s="2" t="s">
        <v>22473</v>
      </c>
      <c r="J8932" s="3" t="str">
        <f>HYPERLINK("https://www.boe.es/gazeta/dias/1810/06/09/pdfs/GMD-1810-160.pdf#page=4","Abrir facsímil")</f>
        <v>Abrir facsímil</v>
      </c>
      <c r="K8932" s="3" t="s">
        <v>23</v>
      </c>
    </row>
    <row r="8933" spans="1:11" ht="42" customHeight="1">
      <c r="A8933" s="2" t="s">
        <v>22474</v>
      </c>
      <c r="B8933" s="2" t="s">
        <v>22475</v>
      </c>
      <c r="C8933" s="2" t="s">
        <v>88</v>
      </c>
      <c r="D8933" s="2" t="s">
        <v>117</v>
      </c>
      <c r="E8933" s="4">
        <v>-32624</v>
      </c>
      <c r="F8933" s="3" t="s">
        <v>2838</v>
      </c>
      <c r="G8933" s="3" t="s">
        <v>1667</v>
      </c>
      <c r="H8933" s="2" t="s">
        <v>21</v>
      </c>
      <c r="I8933" s="2" t="s">
        <v>22476</v>
      </c>
      <c r="J8933" s="3" t="str">
        <f>HYPERLINK("https://www.boe.es/gazeta/dias/1810/09/04/pdfs/GMD-1810-247.pdf#page=2","Abrir facsímil")</f>
        <v>Abrir facsímil</v>
      </c>
      <c r="K8933" s="3" t="s">
        <v>23</v>
      </c>
    </row>
    <row r="8934" spans="1:11" ht="42" customHeight="1">
      <c r="A8934" s="2" t="s">
        <v>22477</v>
      </c>
      <c r="B8934" s="2" t="s">
        <v>22478</v>
      </c>
      <c r="C8934" s="2" t="s">
        <v>26</v>
      </c>
      <c r="D8934" s="2" t="s">
        <v>58</v>
      </c>
      <c r="E8934" s="4">
        <v>-32601</v>
      </c>
      <c r="F8934" s="3" t="s">
        <v>392</v>
      </c>
      <c r="G8934" s="3" t="s">
        <v>35</v>
      </c>
      <c r="H8934" s="2" t="s">
        <v>21</v>
      </c>
      <c r="I8934" s="2" t="s">
        <v>22479</v>
      </c>
      <c r="J8934" s="3" t="str">
        <f>HYPERLINK("https://www.boe.es/gazeta/dias/1810/09/27/pdfs/GEI-1810-74E.pdf#page=2","Abrir facsímil")</f>
        <v>Abrir facsímil</v>
      </c>
      <c r="K8934" s="3" t="s">
        <v>23</v>
      </c>
    </row>
    <row r="8935" spans="1:11" ht="42" customHeight="1">
      <c r="A8935" s="2" t="s">
        <v>22480</v>
      </c>
      <c r="B8935" s="2" t="s">
        <v>22481</v>
      </c>
      <c r="C8935" s="2" t="s">
        <v>88</v>
      </c>
      <c r="D8935" s="2" t="s">
        <v>27</v>
      </c>
      <c r="E8935" s="4">
        <v>-32710</v>
      </c>
      <c r="F8935" s="3" t="s">
        <v>126</v>
      </c>
      <c r="G8935" s="3" t="s">
        <v>184</v>
      </c>
      <c r="H8935" s="2" t="s">
        <v>21</v>
      </c>
      <c r="I8935" s="2" t="s">
        <v>22482</v>
      </c>
      <c r="J8935" s="3" t="str">
        <f>HYPERLINK("https://www.boe.es/gazeta/dias/1810/06/10/pdfs/GMD-1810-161.pdf#page=3","Abrir facsímil")</f>
        <v>Abrir facsímil</v>
      </c>
      <c r="K8935" s="3" t="s">
        <v>23</v>
      </c>
    </row>
    <row r="8936" spans="1:11" ht="42" customHeight="1">
      <c r="A8936" s="2" t="s">
        <v>22483</v>
      </c>
      <c r="B8936" s="2" t="s">
        <v>22484</v>
      </c>
      <c r="C8936" s="2" t="s">
        <v>26</v>
      </c>
      <c r="D8936" s="2" t="s">
        <v>27</v>
      </c>
      <c r="E8936" s="4">
        <v>-32562</v>
      </c>
      <c r="F8936" s="3" t="s">
        <v>1186</v>
      </c>
      <c r="G8936" s="3" t="s">
        <v>29</v>
      </c>
      <c r="H8936" s="2" t="s">
        <v>21</v>
      </c>
      <c r="I8936" s="2" t="s">
        <v>22485</v>
      </c>
      <c r="J8936" s="3" t="str">
        <f>HYPERLINK("https://www.boe.es/gazeta/dias/1810/11/05/pdfs/GMD-1810-309.pdf#page=2","Abrir facsímil")</f>
        <v>Abrir facsímil</v>
      </c>
      <c r="K8936" s="3" t="s">
        <v>23</v>
      </c>
    </row>
    <row r="8937" spans="1:11" ht="42" customHeight="1">
      <c r="A8937" s="2" t="s">
        <v>22486</v>
      </c>
      <c r="B8937" s="2" t="s">
        <v>22487</v>
      </c>
      <c r="C8937" s="2" t="s">
        <v>17</v>
      </c>
      <c r="D8937" s="2" t="s">
        <v>27</v>
      </c>
      <c r="E8937" s="4">
        <v>-32688</v>
      </c>
      <c r="F8937" s="3" t="s">
        <v>997</v>
      </c>
      <c r="G8937" s="3" t="s">
        <v>749</v>
      </c>
      <c r="H8937" s="2" t="s">
        <v>21</v>
      </c>
      <c r="I8937" s="2" t="s">
        <v>22488</v>
      </c>
      <c r="J8937" s="3" t="str">
        <f>HYPERLINK("https://www.boe.es/gazeta/dias/1810/07/02/pdfs/GMD-1810-183.pdf#page=4","Abrir facsímil")</f>
        <v>Abrir facsímil</v>
      </c>
      <c r="K8937" s="3" t="s">
        <v>23</v>
      </c>
    </row>
    <row r="8938" spans="1:11" ht="42" customHeight="1">
      <c r="A8938" s="2" t="s">
        <v>22489</v>
      </c>
      <c r="B8938" s="2" t="s">
        <v>22490</v>
      </c>
      <c r="C8938" s="2" t="s">
        <v>26</v>
      </c>
      <c r="D8938" s="2" t="s">
        <v>27</v>
      </c>
      <c r="E8938" s="4">
        <v>-32761</v>
      </c>
      <c r="F8938" s="3" t="s">
        <v>811</v>
      </c>
      <c r="G8938" s="3" t="s">
        <v>140</v>
      </c>
      <c r="H8938" s="2" t="s">
        <v>21</v>
      </c>
      <c r="I8938" s="2" t="s">
        <v>22491</v>
      </c>
      <c r="J8938" s="3" t="str">
        <f>HYPERLINK("https://www.boe.es/gazeta/dias/1810/04/20/pdfs/GEI-1810-16.pdf#page=8","Abrir facsímil")</f>
        <v>Abrir facsímil</v>
      </c>
      <c r="K8938" s="3" t="s">
        <v>23</v>
      </c>
    </row>
    <row r="8939" spans="1:11" ht="42" customHeight="1">
      <c r="A8939" s="2" t="s">
        <v>22492</v>
      </c>
      <c r="B8939" s="2" t="s">
        <v>22493</v>
      </c>
      <c r="C8939" s="2" t="s">
        <v>26</v>
      </c>
      <c r="D8939" s="2" t="s">
        <v>39</v>
      </c>
      <c r="E8939" s="4">
        <v>-32701</v>
      </c>
      <c r="F8939" s="3" t="s">
        <v>40</v>
      </c>
      <c r="G8939" s="3" t="s">
        <v>333</v>
      </c>
      <c r="H8939" s="2" t="s">
        <v>21</v>
      </c>
      <c r="I8939" s="2" t="s">
        <v>22494</v>
      </c>
      <c r="J8939" s="3" t="str">
        <f>HYPERLINK("https://www.boe.es/gazeta/dias/1810/06/19/pdfs/GMD-C-1810-170.pdf#page=4","Abrir facsímil")</f>
        <v>Abrir facsímil</v>
      </c>
      <c r="K8939" s="3" t="s">
        <v>23</v>
      </c>
    </row>
    <row r="8940" spans="1:11" ht="42" customHeight="1">
      <c r="A8940" s="2" t="s">
        <v>22495</v>
      </c>
      <c r="B8940" s="2" t="s">
        <v>22496</v>
      </c>
      <c r="C8940" s="2" t="s">
        <v>225</v>
      </c>
      <c r="D8940" s="2" t="s">
        <v>27</v>
      </c>
      <c r="E8940" s="4">
        <v>-32818</v>
      </c>
      <c r="F8940" s="3" t="s">
        <v>936</v>
      </c>
      <c r="G8940" s="3" t="s">
        <v>6380</v>
      </c>
      <c r="H8940" s="2" t="s">
        <v>21</v>
      </c>
      <c r="I8940" s="2" t="s">
        <v>22497</v>
      </c>
      <c r="J8940" s="3" t="str">
        <f>HYPERLINK("https://www.boe.es/gazeta/dias/1810/02/22/pdfs/GMD-1810-53.pdf#page=4","Abrir facsímil")</f>
        <v>Abrir facsímil</v>
      </c>
      <c r="K8940" s="3" t="s">
        <v>23</v>
      </c>
    </row>
    <row r="8941" spans="1:11" ht="42" customHeight="1">
      <c r="A8941" s="2" t="s">
        <v>22498</v>
      </c>
      <c r="B8941" s="2" t="s">
        <v>22499</v>
      </c>
      <c r="C8941" s="2" t="s">
        <v>88</v>
      </c>
      <c r="D8941" s="2" t="s">
        <v>27</v>
      </c>
      <c r="E8941" s="4">
        <v>-32697</v>
      </c>
      <c r="F8941" s="3" t="s">
        <v>1859</v>
      </c>
      <c r="G8941" s="3" t="s">
        <v>70</v>
      </c>
      <c r="H8941" s="2" t="s">
        <v>21</v>
      </c>
      <c r="I8941" s="2" t="s">
        <v>22500</v>
      </c>
      <c r="J8941" s="3" t="str">
        <f>HYPERLINK("https://www.boe.es/gazeta/dias/1810/06/23/pdfs/GMD-1810-174.pdf#page=4","Abrir facsímil")</f>
        <v>Abrir facsímil</v>
      </c>
      <c r="K8941" s="3" t="s">
        <v>23</v>
      </c>
    </row>
    <row r="8942" spans="1:11" ht="42" customHeight="1">
      <c r="A8942" s="2" t="s">
        <v>22501</v>
      </c>
      <c r="B8942" s="2" t="s">
        <v>22502</v>
      </c>
      <c r="C8942" s="2" t="s">
        <v>26</v>
      </c>
      <c r="D8942" s="2" t="s">
        <v>27</v>
      </c>
      <c r="E8942" s="4">
        <v>-32508</v>
      </c>
      <c r="F8942" s="3" t="s">
        <v>864</v>
      </c>
      <c r="G8942" s="3" t="s">
        <v>691</v>
      </c>
      <c r="H8942" s="2" t="s">
        <v>21</v>
      </c>
      <c r="I8942" s="2" t="s">
        <v>22503</v>
      </c>
      <c r="J8942" s="3" t="str">
        <f>HYPERLINK("https://www.boe.es/gazeta/dias/1810/12/29/pdfs/GEI-1810-114.pdf#page=8","Abrir facsímil")</f>
        <v>Abrir facsímil</v>
      </c>
      <c r="K8942" s="3" t="s">
        <v>23</v>
      </c>
    </row>
    <row r="8943" spans="1:11" ht="42" customHeight="1">
      <c r="A8943" s="2" t="s">
        <v>22504</v>
      </c>
      <c r="B8943" s="2" t="s">
        <v>22505</v>
      </c>
      <c r="C8943" s="2" t="s">
        <v>26</v>
      </c>
      <c r="D8943" s="2" t="s">
        <v>27</v>
      </c>
      <c r="E8943" s="4">
        <v>-32618</v>
      </c>
      <c r="F8943" s="3" t="s">
        <v>1501</v>
      </c>
      <c r="G8943" s="3" t="s">
        <v>20</v>
      </c>
      <c r="H8943" s="2" t="s">
        <v>21</v>
      </c>
      <c r="I8943" s="2" t="s">
        <v>22506</v>
      </c>
      <c r="J8943" s="3" t="str">
        <f>HYPERLINK("https://www.boe.es/gazeta/dias/1810/09/10/pdfs/GMD-1810-253.pdf#page=4","Abrir facsímil")</f>
        <v>Abrir facsímil</v>
      </c>
      <c r="K8943" s="3" t="s">
        <v>23</v>
      </c>
    </row>
    <row r="8944" spans="1:11" ht="42" customHeight="1">
      <c r="A8944" s="2" t="s">
        <v>22507</v>
      </c>
      <c r="B8944" s="2" t="s">
        <v>22508</v>
      </c>
      <c r="C8944" s="2" t="s">
        <v>111</v>
      </c>
      <c r="D8944" s="2" t="s">
        <v>27</v>
      </c>
      <c r="E8944" s="4">
        <v>-32584</v>
      </c>
      <c r="F8944" s="3" t="s">
        <v>1560</v>
      </c>
      <c r="G8944" s="3" t="s">
        <v>971</v>
      </c>
      <c r="H8944" s="2" t="s">
        <v>21</v>
      </c>
      <c r="I8944" s="2" t="s">
        <v>22509</v>
      </c>
      <c r="J8944" s="3" t="str">
        <f>HYPERLINK("https://www.boe.es/gazeta/dias/1810/10/14/pdfs/GMD-1810-287.pdf#page=3","Abrir facsímil")</f>
        <v>Abrir facsímil</v>
      </c>
      <c r="K8944" s="3" t="s">
        <v>23</v>
      </c>
    </row>
    <row r="8945" spans="1:11" ht="42" customHeight="1">
      <c r="A8945" s="2" t="s">
        <v>22510</v>
      </c>
      <c r="B8945" s="2" t="s">
        <v>22511</v>
      </c>
      <c r="C8945" s="2" t="s">
        <v>26</v>
      </c>
      <c r="D8945" s="2" t="s">
        <v>27</v>
      </c>
      <c r="E8945" s="4">
        <v>-32647</v>
      </c>
      <c r="F8945" s="3" t="s">
        <v>118</v>
      </c>
      <c r="G8945" s="3" t="s">
        <v>20</v>
      </c>
      <c r="H8945" s="2" t="s">
        <v>21</v>
      </c>
      <c r="I8945" s="2" t="s">
        <v>22512</v>
      </c>
      <c r="J8945" s="3" t="str">
        <f>HYPERLINK("https://www.boe.es/gazeta/dias/1810/08/12/pdfs/GMD-1810-224.pdf#page=4","Abrir facsímil")</f>
        <v>Abrir facsímil</v>
      </c>
      <c r="K8945" s="3" t="s">
        <v>23</v>
      </c>
    </row>
    <row r="8946" spans="1:11" ht="42" customHeight="1">
      <c r="A8946" s="2" t="s">
        <v>22513</v>
      </c>
      <c r="B8946" s="2" t="s">
        <v>22514</v>
      </c>
      <c r="C8946" s="2" t="s">
        <v>88</v>
      </c>
      <c r="D8946" s="2" t="s">
        <v>27</v>
      </c>
      <c r="E8946" s="4">
        <v>-32710</v>
      </c>
      <c r="F8946" s="3" t="s">
        <v>126</v>
      </c>
      <c r="G8946" s="3" t="s">
        <v>35</v>
      </c>
      <c r="H8946" s="2" t="s">
        <v>21</v>
      </c>
      <c r="I8946" s="2" t="s">
        <v>22515</v>
      </c>
      <c r="J8946" s="3" t="str">
        <f>HYPERLINK("https://www.boe.es/gazeta/dias/1810/06/10/pdfs/GMD-1810-161.pdf#page=2","Abrir facsímil")</f>
        <v>Abrir facsímil</v>
      </c>
      <c r="K8946" s="3" t="s">
        <v>23</v>
      </c>
    </row>
    <row r="8947" spans="1:11" ht="42" customHeight="1">
      <c r="A8947" s="2" t="s">
        <v>22516</v>
      </c>
      <c r="B8947" s="2" t="s">
        <v>22517</v>
      </c>
      <c r="C8947" s="2" t="s">
        <v>26</v>
      </c>
      <c r="D8947" s="2" t="s">
        <v>39</v>
      </c>
      <c r="E8947" s="4">
        <v>-32701</v>
      </c>
      <c r="F8947" s="3" t="s">
        <v>40</v>
      </c>
      <c r="G8947" s="3" t="s">
        <v>315</v>
      </c>
      <c r="H8947" s="2" t="s">
        <v>21</v>
      </c>
      <c r="I8947" s="2" t="s">
        <v>22518</v>
      </c>
      <c r="J8947" s="3" t="str">
        <f>HYPERLINK("https://www.boe.es/gazeta/dias/1810/06/19/pdfs/GMD-C-1810-170.pdf#page=2","Abrir facsímil")</f>
        <v>Abrir facsímil</v>
      </c>
      <c r="K8947" s="3" t="s">
        <v>23</v>
      </c>
    </row>
    <row r="8948" spans="1:11" ht="42" customHeight="1">
      <c r="A8948" s="2" t="s">
        <v>22519</v>
      </c>
      <c r="B8948" s="2" t="s">
        <v>22520</v>
      </c>
      <c r="C8948" s="2" t="s">
        <v>26</v>
      </c>
      <c r="D8948" s="2" t="s">
        <v>27</v>
      </c>
      <c r="E8948" s="4">
        <v>-32814</v>
      </c>
      <c r="F8948" s="3" t="s">
        <v>2410</v>
      </c>
      <c r="G8948" s="3" t="s">
        <v>227</v>
      </c>
      <c r="H8948" s="2" t="s">
        <v>21</v>
      </c>
      <c r="I8948" s="2" t="s">
        <v>22521</v>
      </c>
      <c r="J8948" s="3" t="str">
        <f>HYPERLINK("https://www.boe.es/gazeta/dias/1810/02/26/pdfs/GMD-1810-57.pdf#page=3","Abrir facsímil")</f>
        <v>Abrir facsímil</v>
      </c>
      <c r="K8948" s="3" t="s">
        <v>23</v>
      </c>
    </row>
    <row r="8949" spans="1:11" ht="42" customHeight="1">
      <c r="A8949" s="2" t="s">
        <v>22522</v>
      </c>
      <c r="B8949" s="2" t="s">
        <v>22523</v>
      </c>
      <c r="C8949" s="2" t="s">
        <v>26</v>
      </c>
      <c r="D8949" s="2" t="s">
        <v>27</v>
      </c>
      <c r="E8949" s="4">
        <v>-32729</v>
      </c>
      <c r="F8949" s="3" t="s">
        <v>174</v>
      </c>
      <c r="G8949" s="3" t="s">
        <v>70</v>
      </c>
      <c r="H8949" s="2" t="s">
        <v>21</v>
      </c>
      <c r="I8949" s="2" t="s">
        <v>22524</v>
      </c>
      <c r="J8949" s="3" t="str">
        <f>HYPERLINK("https://www.boe.es/gazeta/dias/1810/05/22/pdfs/GEI-1810-28.pdf#page=7","Abrir facsímil")</f>
        <v>Abrir facsímil</v>
      </c>
      <c r="K8949" s="3" t="s">
        <v>23</v>
      </c>
    </row>
    <row r="8950" spans="1:11" ht="42" customHeight="1">
      <c r="A8950" s="2" t="s">
        <v>22525</v>
      </c>
      <c r="B8950" s="2" t="s">
        <v>22526</v>
      </c>
      <c r="C8950" s="2" t="s">
        <v>33</v>
      </c>
      <c r="D8950" s="2" t="s">
        <v>27</v>
      </c>
      <c r="E8950" s="4">
        <v>-32508</v>
      </c>
      <c r="F8950" s="3" t="s">
        <v>864</v>
      </c>
      <c r="G8950" s="3" t="s">
        <v>1764</v>
      </c>
      <c r="H8950" s="2" t="s">
        <v>21</v>
      </c>
      <c r="I8950" s="2" t="s">
        <v>22527</v>
      </c>
      <c r="J8950" s="3" t="str">
        <f>HYPERLINK("https://www.boe.es/gazeta/dias/1810/12/29/pdfs/GEI-1810-114.pdf#page=7","Abrir facsímil")</f>
        <v>Abrir facsímil</v>
      </c>
      <c r="K8950" s="3" t="s">
        <v>23</v>
      </c>
    </row>
    <row r="8951" spans="1:11" ht="42" customHeight="1">
      <c r="A8951" s="2" t="s">
        <v>22528</v>
      </c>
      <c r="B8951" s="2" t="s">
        <v>22529</v>
      </c>
      <c r="C8951" s="2" t="s">
        <v>88</v>
      </c>
      <c r="D8951" s="2" t="s">
        <v>117</v>
      </c>
      <c r="E8951" s="4">
        <v>-32710</v>
      </c>
      <c r="F8951" s="3" t="s">
        <v>126</v>
      </c>
      <c r="G8951" s="3" t="s">
        <v>180</v>
      </c>
      <c r="H8951" s="2" t="s">
        <v>21</v>
      </c>
      <c r="I8951" s="2" t="s">
        <v>22530</v>
      </c>
      <c r="J8951" s="3" t="str">
        <f>HYPERLINK("https://www.boe.es/gazeta/dias/1810/06/10/pdfs/GMD-1810-161.pdf#page=1","Abrir facsímil")</f>
        <v>Abrir facsímil</v>
      </c>
      <c r="K8951" s="3" t="s">
        <v>23</v>
      </c>
    </row>
    <row r="8952" spans="1:11" ht="42" customHeight="1">
      <c r="A8952" s="2" t="s">
        <v>22531</v>
      </c>
      <c r="B8952" s="2" t="s">
        <v>22532</v>
      </c>
      <c r="C8952" s="2" t="s">
        <v>26</v>
      </c>
      <c r="D8952" s="2" t="s">
        <v>39</v>
      </c>
      <c r="E8952" s="4">
        <v>-32701</v>
      </c>
      <c r="F8952" s="3" t="s">
        <v>40</v>
      </c>
      <c r="G8952" s="3" t="s">
        <v>333</v>
      </c>
      <c r="H8952" s="2" t="s">
        <v>21</v>
      </c>
      <c r="I8952" s="2" t="s">
        <v>22533</v>
      </c>
      <c r="J8952" s="3" t="str">
        <f>HYPERLINK("https://www.boe.es/gazeta/dias/1810/06/19/pdfs/GMD-C-1810-170.pdf#page=4","Abrir facsímil")</f>
        <v>Abrir facsímil</v>
      </c>
      <c r="K8952" s="3" t="s">
        <v>23</v>
      </c>
    </row>
    <row r="8953" spans="1:11" ht="42" customHeight="1">
      <c r="A8953" s="2" t="s">
        <v>22534</v>
      </c>
      <c r="B8953" s="2" t="s">
        <v>22535</v>
      </c>
      <c r="C8953" s="2" t="s">
        <v>195</v>
      </c>
      <c r="D8953" s="2" t="s">
        <v>27</v>
      </c>
      <c r="E8953" s="4">
        <v>-32562</v>
      </c>
      <c r="F8953" s="3" t="s">
        <v>1186</v>
      </c>
      <c r="G8953" s="3" t="s">
        <v>90</v>
      </c>
      <c r="H8953" s="2" t="s">
        <v>21</v>
      </c>
      <c r="I8953" s="2" t="s">
        <v>22536</v>
      </c>
      <c r="J8953" s="3" t="str">
        <f>HYPERLINK("https://www.boe.es/gazeta/dias/1810/11/05/pdfs/GMD-1810-309.pdf#page=3","Abrir facsímil")</f>
        <v>Abrir facsímil</v>
      </c>
      <c r="K8953" s="3" t="s">
        <v>23</v>
      </c>
    </row>
    <row r="8954" spans="1:11" ht="42" customHeight="1">
      <c r="A8954" s="2" t="s">
        <v>22537</v>
      </c>
      <c r="B8954" s="2" t="s">
        <v>22538</v>
      </c>
      <c r="C8954" s="2" t="s">
        <v>26</v>
      </c>
      <c r="D8954" s="2" t="s">
        <v>27</v>
      </c>
      <c r="E8954" s="4">
        <v>-32591</v>
      </c>
      <c r="F8954" s="3" t="s">
        <v>377</v>
      </c>
      <c r="G8954" s="3" t="s">
        <v>140</v>
      </c>
      <c r="H8954" s="2" t="s">
        <v>21</v>
      </c>
      <c r="I8954" s="2" t="s">
        <v>22539</v>
      </c>
      <c r="J8954" s="3" t="str">
        <f>HYPERLINK("https://www.boe.es/gazeta/dias/1810/10/07/pdfs/GMD-1810-280.pdf#page=4","Abrir facsímil")</f>
        <v>Abrir facsímil</v>
      </c>
      <c r="K8954" s="3" t="s">
        <v>23</v>
      </c>
    </row>
    <row r="8955" spans="1:11" ht="42" customHeight="1">
      <c r="A8955" s="2" t="s">
        <v>22540</v>
      </c>
      <c r="B8955" s="2" t="s">
        <v>22541</v>
      </c>
      <c r="C8955" s="2" t="s">
        <v>33</v>
      </c>
      <c r="D8955" s="2" t="s">
        <v>27</v>
      </c>
      <c r="E8955" s="4">
        <v>-32698</v>
      </c>
      <c r="F8955" s="3" t="s">
        <v>2705</v>
      </c>
      <c r="G8955" s="3" t="s">
        <v>2706</v>
      </c>
      <c r="H8955" s="2" t="s">
        <v>21</v>
      </c>
      <c r="I8955" s="2" t="s">
        <v>22542</v>
      </c>
      <c r="J8955" s="3" t="str">
        <f>HYPERLINK("https://www.boe.es/gazeta/dias/1810/06/22/pdfs/GEI-1810-38.pdf#page=8","Abrir facsímil")</f>
        <v>Abrir facsímil</v>
      </c>
      <c r="K8955" s="3" t="s">
        <v>23</v>
      </c>
    </row>
    <row r="8956" spans="1:11" ht="42" customHeight="1">
      <c r="A8956" s="2" t="s">
        <v>22543</v>
      </c>
      <c r="B8956" s="2" t="s">
        <v>22544</v>
      </c>
      <c r="C8956" s="2" t="s">
        <v>26</v>
      </c>
      <c r="D8956" s="2" t="s">
        <v>18</v>
      </c>
      <c r="E8956" s="4">
        <v>-32691</v>
      </c>
      <c r="F8956" s="3" t="s">
        <v>727</v>
      </c>
      <c r="G8956" s="3" t="s">
        <v>140</v>
      </c>
      <c r="H8956" s="2" t="s">
        <v>21</v>
      </c>
      <c r="I8956" s="2" t="s">
        <v>22545</v>
      </c>
      <c r="J8956" s="3" t="str">
        <f>HYPERLINK("https://www.boe.es/gazeta/dias/1810/06/29/pdfs/GMD-1810-180.pdf#page=4","Abrir facsímil")</f>
        <v>Abrir facsímil</v>
      </c>
      <c r="K8956" s="3" t="s">
        <v>23</v>
      </c>
    </row>
    <row r="8957" spans="1:11" ht="42" customHeight="1">
      <c r="A8957" s="2" t="s">
        <v>22546</v>
      </c>
      <c r="B8957" s="2" t="s">
        <v>22547</v>
      </c>
      <c r="C8957" s="2" t="s">
        <v>26</v>
      </c>
      <c r="D8957" s="2" t="s">
        <v>27</v>
      </c>
      <c r="E8957" s="4">
        <v>-32816</v>
      </c>
      <c r="F8957" s="3" t="s">
        <v>10608</v>
      </c>
      <c r="G8957" s="3" t="s">
        <v>90</v>
      </c>
      <c r="H8957" s="2" t="s">
        <v>21</v>
      </c>
      <c r="I8957" s="2" t="s">
        <v>22548</v>
      </c>
      <c r="J8957" s="3" t="str">
        <f>HYPERLINK("https://www.boe.es/gazeta/dias/1810/02/24/pdfs/GMD-1810-55.pdf#page=4","Abrir facsímil")</f>
        <v>Abrir facsímil</v>
      </c>
      <c r="K8957" s="3" t="s">
        <v>23</v>
      </c>
    </row>
    <row r="8958" spans="1:11" ht="42" customHeight="1">
      <c r="A8958" s="2" t="s">
        <v>22549</v>
      </c>
      <c r="B8958" s="2" t="s">
        <v>22550</v>
      </c>
      <c r="C8958" s="2" t="s">
        <v>26</v>
      </c>
      <c r="D8958" s="2" t="s">
        <v>27</v>
      </c>
      <c r="E8958" s="4">
        <v>-32766</v>
      </c>
      <c r="F8958" s="3" t="s">
        <v>492</v>
      </c>
      <c r="G8958" s="3" t="s">
        <v>493</v>
      </c>
      <c r="H8958" s="2" t="s">
        <v>21</v>
      </c>
      <c r="I8958" s="2" t="s">
        <v>22551</v>
      </c>
      <c r="J8958" s="3" t="str">
        <f>HYPERLINK("https://www.boe.es/gazeta/dias/1810/04/15/pdfs/GMD-1810-105.pdf#page=4","Abrir facsímil")</f>
        <v>Abrir facsímil</v>
      </c>
      <c r="K8958" s="3" t="s">
        <v>23</v>
      </c>
    </row>
    <row r="8959" spans="1:11" ht="42" customHeight="1">
      <c r="A8959" s="2" t="s">
        <v>22552</v>
      </c>
      <c r="B8959" s="2" t="s">
        <v>22553</v>
      </c>
      <c r="C8959" s="2" t="s">
        <v>26</v>
      </c>
      <c r="D8959" s="2" t="s">
        <v>27</v>
      </c>
      <c r="E8959" s="4">
        <v>-32704</v>
      </c>
      <c r="F8959" s="3" t="s">
        <v>94</v>
      </c>
      <c r="G8959" s="3" t="s">
        <v>20</v>
      </c>
      <c r="H8959" s="2" t="s">
        <v>21</v>
      </c>
      <c r="I8959" s="2" t="s">
        <v>22554</v>
      </c>
      <c r="J8959" s="3" t="str">
        <f>HYPERLINK("https://www.boe.es/gazeta/dias/1810/06/16/pdfs/GMD-1810-167.pdf#page=4","Abrir facsímil")</f>
        <v>Abrir facsímil</v>
      </c>
      <c r="K8959" s="3" t="s">
        <v>23</v>
      </c>
    </row>
    <row r="8960" spans="1:11" ht="42" customHeight="1">
      <c r="A8960" s="2" t="s">
        <v>22555</v>
      </c>
      <c r="B8960" s="2" t="s">
        <v>22556</v>
      </c>
      <c r="C8960" s="2" t="s">
        <v>26</v>
      </c>
      <c r="D8960" s="2" t="s">
        <v>39</v>
      </c>
      <c r="E8960" s="4">
        <v>-32701</v>
      </c>
      <c r="F8960" s="3" t="s">
        <v>40</v>
      </c>
      <c r="G8960" s="3" t="s">
        <v>170</v>
      </c>
      <c r="H8960" s="2" t="s">
        <v>21</v>
      </c>
      <c r="I8960" s="2" t="s">
        <v>22557</v>
      </c>
      <c r="J8960" s="3" t="str">
        <f>HYPERLINK("https://www.boe.es/gazeta/dias/1810/06/19/pdfs/GMD-C-1810-170.pdf#page=1","Abrir facsímil")</f>
        <v>Abrir facsímil</v>
      </c>
      <c r="K8960" s="3" t="s">
        <v>23</v>
      </c>
    </row>
    <row r="8961" spans="1:11" ht="42" customHeight="1">
      <c r="A8961" s="2" t="s">
        <v>22558</v>
      </c>
      <c r="B8961" s="2" t="s">
        <v>22559</v>
      </c>
      <c r="C8961" s="2" t="s">
        <v>17</v>
      </c>
      <c r="D8961" s="2" t="s">
        <v>18</v>
      </c>
      <c r="E8961" s="4">
        <v>-32691</v>
      </c>
      <c r="F8961" s="3" t="s">
        <v>727</v>
      </c>
      <c r="G8961" s="3" t="s">
        <v>140</v>
      </c>
      <c r="H8961" s="2" t="s">
        <v>21</v>
      </c>
      <c r="I8961" s="2" t="s">
        <v>22560</v>
      </c>
      <c r="J8961" s="3" t="str">
        <f>HYPERLINK("https://www.boe.es/gazeta/dias/1810/06/29/pdfs/GMD-1810-180.pdf#page=4","Abrir facsímil")</f>
        <v>Abrir facsímil</v>
      </c>
      <c r="K8961" s="3" t="s">
        <v>23</v>
      </c>
    </row>
    <row r="8962" spans="1:11" ht="42" customHeight="1">
      <c r="A8962" s="2" t="s">
        <v>22561</v>
      </c>
      <c r="B8962" s="2" t="s">
        <v>22562</v>
      </c>
      <c r="C8962" s="2" t="s">
        <v>26</v>
      </c>
      <c r="D8962" s="2" t="s">
        <v>39</v>
      </c>
      <c r="E8962" s="4">
        <v>-32701</v>
      </c>
      <c r="F8962" s="3" t="s">
        <v>40</v>
      </c>
      <c r="G8962" s="3" t="s">
        <v>170</v>
      </c>
      <c r="H8962" s="2" t="s">
        <v>74</v>
      </c>
      <c r="I8962" s="2" t="s">
        <v>22563</v>
      </c>
      <c r="J8962" s="3" t="str">
        <f>HYPERLINK("https://www.boe.es/gazeta/dias/1810/06/19/pdfs/GMD-C-1810-170.pdf#page=1","Abrir facsímil")</f>
        <v>Abrir facsímil</v>
      </c>
      <c r="K8962" s="3" t="s">
        <v>76</v>
      </c>
    </row>
    <row r="8963" spans="1:11" ht="42" customHeight="1">
      <c r="A8963" s="2" t="s">
        <v>22564</v>
      </c>
      <c r="B8963" s="2" t="s">
        <v>22565</v>
      </c>
      <c r="C8963" s="2" t="s">
        <v>33</v>
      </c>
      <c r="D8963" s="2" t="s">
        <v>27</v>
      </c>
      <c r="E8963" s="4">
        <v>-32543</v>
      </c>
      <c r="F8963" s="3" t="s">
        <v>69</v>
      </c>
      <c r="G8963" s="3" t="s">
        <v>70</v>
      </c>
      <c r="H8963" s="2" t="s">
        <v>74</v>
      </c>
      <c r="I8963" s="2" t="s">
        <v>22566</v>
      </c>
      <c r="J8963" s="3" t="str">
        <f>HYPERLINK("https://www.boe.es/gazeta/dias/1810/11/24/pdfs/GEI-1810-99.pdf#page=8","Abrir facsímil")</f>
        <v>Abrir facsímil</v>
      </c>
      <c r="K8963" s="3" t="s">
        <v>76</v>
      </c>
    </row>
    <row r="8964" spans="1:11" ht="42" customHeight="1">
      <c r="A8964" s="2" t="s">
        <v>22567</v>
      </c>
      <c r="B8964" s="2" t="s">
        <v>22568</v>
      </c>
      <c r="C8964" s="2" t="s">
        <v>26</v>
      </c>
      <c r="D8964" s="2" t="s">
        <v>27</v>
      </c>
      <c r="E8964" s="4">
        <v>-32545</v>
      </c>
      <c r="F8964" s="3" t="s">
        <v>165</v>
      </c>
      <c r="G8964" s="3" t="s">
        <v>166</v>
      </c>
      <c r="H8964" s="2" t="s">
        <v>74</v>
      </c>
      <c r="I8964" s="2" t="s">
        <v>22569</v>
      </c>
      <c r="J8964" s="3" t="str">
        <f>HYPERLINK("https://www.boe.es/gazeta/dias/1810/11/22/pdfs/GEI-1810-98.pdf#page=8","Abrir facsímil")</f>
        <v>Abrir facsímil</v>
      </c>
      <c r="K8964" s="3" t="s">
        <v>76</v>
      </c>
    </row>
    <row r="8965" spans="1:11" ht="42" customHeight="1">
      <c r="A8965" s="2" t="s">
        <v>22570</v>
      </c>
      <c r="B8965" s="2" t="s">
        <v>22571</v>
      </c>
      <c r="C8965" s="2" t="s">
        <v>195</v>
      </c>
      <c r="D8965" s="2" t="s">
        <v>27</v>
      </c>
      <c r="E8965" s="4">
        <v>-32513</v>
      </c>
      <c r="F8965" s="3" t="s">
        <v>3702</v>
      </c>
      <c r="G8965" s="3" t="s">
        <v>668</v>
      </c>
      <c r="H8965" s="2" t="s">
        <v>74</v>
      </c>
      <c r="I8965" s="2" t="s">
        <v>22572</v>
      </c>
      <c r="J8965" s="3" t="str">
        <f>HYPERLINK("https://www.boe.es/gazeta/dias/1810/12/24/pdfs/GMD-1810-358.pdf#page=3","Abrir facsímil")</f>
        <v>Abrir facsímil</v>
      </c>
      <c r="K8965" s="3" t="s">
        <v>76</v>
      </c>
    </row>
    <row r="8966" spans="1:11" ht="42" customHeight="1">
      <c r="A8966" s="2" t="s">
        <v>22573</v>
      </c>
      <c r="B8966" s="2" t="s">
        <v>22574</v>
      </c>
      <c r="C8966" s="2" t="s">
        <v>26</v>
      </c>
      <c r="D8966" s="2" t="s">
        <v>27</v>
      </c>
      <c r="E8966" s="4">
        <v>-32647</v>
      </c>
      <c r="F8966" s="3" t="s">
        <v>118</v>
      </c>
      <c r="G8966" s="3" t="s">
        <v>119</v>
      </c>
      <c r="H8966" s="2" t="s">
        <v>74</v>
      </c>
      <c r="I8966" s="2" t="s">
        <v>22575</v>
      </c>
      <c r="J8966" s="3" t="str">
        <f>HYPERLINK("https://www.boe.es/gazeta/dias/1810/08/12/pdfs/GMD-1810-224.pdf#page=3","Abrir facsímil")</f>
        <v>Abrir facsímil</v>
      </c>
      <c r="K8966" s="3" t="s">
        <v>76</v>
      </c>
    </row>
    <row r="8967" spans="1:11" ht="42" customHeight="1">
      <c r="A8967" s="2" t="s">
        <v>22576</v>
      </c>
      <c r="B8967" s="2" t="s">
        <v>22577</v>
      </c>
      <c r="C8967" s="2" t="s">
        <v>26</v>
      </c>
      <c r="D8967" s="2" t="s">
        <v>39</v>
      </c>
      <c r="E8967" s="4">
        <v>-32599</v>
      </c>
      <c r="F8967" s="3" t="s">
        <v>662</v>
      </c>
      <c r="G8967" s="3" t="s">
        <v>227</v>
      </c>
      <c r="H8967" s="2" t="s">
        <v>74</v>
      </c>
      <c r="I8967" s="2" t="s">
        <v>22578</v>
      </c>
      <c r="J8967" s="3" t="str">
        <f>HYPERLINK("https://www.boe.es/gazeta/dias/1810/09/29/pdfs/GMD-C-1810-272.pdf#page=12","Abrir facsímil")</f>
        <v>Abrir facsímil</v>
      </c>
      <c r="K8967" s="3" t="s">
        <v>76</v>
      </c>
    </row>
    <row r="8968" spans="1:11" ht="42" customHeight="1">
      <c r="A8968" s="2" t="s">
        <v>22579</v>
      </c>
      <c r="B8968" s="2" t="s">
        <v>22579</v>
      </c>
      <c r="C8968" s="2" t="s">
        <v>88</v>
      </c>
      <c r="D8968" s="2" t="s">
        <v>27</v>
      </c>
      <c r="E8968" s="4">
        <v>-32626</v>
      </c>
      <c r="F8968" s="3" t="s">
        <v>64</v>
      </c>
      <c r="G8968" s="3" t="s">
        <v>5325</v>
      </c>
      <c r="H8968" s="2" t="s">
        <v>74</v>
      </c>
      <c r="I8968" s="2" t="s">
        <v>22580</v>
      </c>
      <c r="J8968" s="3" t="str">
        <f>HYPERLINK("https://www.boe.es/gazeta/dias/1810/09/02/pdfs/GMD-1810-245.pdf#page=1","Abrir facsímil")</f>
        <v>Abrir facsímil</v>
      </c>
      <c r="K8968" s="3" t="s">
        <v>76</v>
      </c>
    </row>
    <row r="8969" spans="1:11" ht="42" customHeight="1">
      <c r="A8969" s="2" t="s">
        <v>22581</v>
      </c>
      <c r="B8969" s="2" t="s">
        <v>22582</v>
      </c>
      <c r="C8969" s="2" t="s">
        <v>26</v>
      </c>
      <c r="D8969" s="2" t="s">
        <v>27</v>
      </c>
      <c r="E8969" s="4">
        <v>-32732</v>
      </c>
      <c r="F8969" s="3" t="s">
        <v>545</v>
      </c>
      <c r="G8969" s="3" t="s">
        <v>90</v>
      </c>
      <c r="H8969" s="2" t="s">
        <v>74</v>
      </c>
      <c r="I8969" s="2" t="s">
        <v>22583</v>
      </c>
      <c r="J8969" s="3" t="str">
        <f>HYPERLINK("https://www.boe.es/gazeta/dias/1810/05/19/pdfs/GMD-1810-139.pdf#page=4","Abrir facsímil")</f>
        <v>Abrir facsímil</v>
      </c>
      <c r="K8969" s="3" t="s">
        <v>76</v>
      </c>
    </row>
    <row r="8970" spans="1:11" ht="42" customHeight="1">
      <c r="A8970" s="2" t="s">
        <v>22584</v>
      </c>
      <c r="B8970" s="2" t="s">
        <v>22585</v>
      </c>
      <c r="C8970" s="2" t="s">
        <v>26</v>
      </c>
      <c r="D8970" s="2" t="s">
        <v>39</v>
      </c>
      <c r="E8970" s="4">
        <v>-32701</v>
      </c>
      <c r="F8970" s="3" t="s">
        <v>40</v>
      </c>
      <c r="G8970" s="3" t="s">
        <v>315</v>
      </c>
      <c r="H8970" s="2" t="s">
        <v>74</v>
      </c>
      <c r="I8970" s="2" t="s">
        <v>22586</v>
      </c>
      <c r="J8970" s="3" t="str">
        <f>HYPERLINK("https://www.boe.es/gazeta/dias/1810/06/19/pdfs/GMD-C-1810-170.pdf#page=2","Abrir facsímil")</f>
        <v>Abrir facsímil</v>
      </c>
      <c r="K8970" s="3" t="s">
        <v>76</v>
      </c>
    </row>
    <row r="8971" spans="1:11" ht="42" customHeight="1">
      <c r="A8971" s="2" t="s">
        <v>22587</v>
      </c>
      <c r="B8971" s="2" t="s">
        <v>22588</v>
      </c>
      <c r="C8971" s="2" t="s">
        <v>26</v>
      </c>
      <c r="D8971" s="2" t="s">
        <v>18</v>
      </c>
      <c r="E8971" s="4">
        <v>-32827</v>
      </c>
      <c r="F8971" s="3" t="s">
        <v>290</v>
      </c>
      <c r="G8971" s="3" t="s">
        <v>291</v>
      </c>
      <c r="H8971" s="2" t="s">
        <v>74</v>
      </c>
      <c r="I8971" s="2" t="s">
        <v>22589</v>
      </c>
      <c r="J8971" s="3" t="str">
        <f>HYPERLINK("https://www.boe.es/gazeta/dias/1810/02/13/pdfs/GMD-1810-44.pdf#page=4","Abrir facsímil")</f>
        <v>Abrir facsímil</v>
      </c>
      <c r="K8971" s="3" t="s">
        <v>76</v>
      </c>
    </row>
    <row r="8972" spans="1:11" ht="42" customHeight="1">
      <c r="A8972" s="2" t="s">
        <v>22590</v>
      </c>
      <c r="B8972" s="2" t="s">
        <v>22590</v>
      </c>
      <c r="C8972" s="2" t="s">
        <v>33</v>
      </c>
      <c r="D8972" s="2" t="s">
        <v>220</v>
      </c>
      <c r="E8972" s="4">
        <v>-32692</v>
      </c>
      <c r="F8972" s="3" t="s">
        <v>3698</v>
      </c>
      <c r="G8972" s="3" t="s">
        <v>1590</v>
      </c>
      <c r="H8972" s="2" t="s">
        <v>74</v>
      </c>
      <c r="I8972" s="2" t="s">
        <v>22591</v>
      </c>
      <c r="J8972" s="3" t="str">
        <f>HYPERLINK("https://www.boe.es/gazeta/dias/1810/06/28/pdfs/GMD-1810-179.pdf#page=3","Abrir facsímil")</f>
        <v>Abrir facsímil</v>
      </c>
      <c r="K8972" s="3" t="s">
        <v>76</v>
      </c>
    </row>
    <row r="8973" spans="1:11" ht="42" customHeight="1">
      <c r="A8973" s="2" t="s">
        <v>22592</v>
      </c>
      <c r="B8973" s="2" t="s">
        <v>22593</v>
      </c>
      <c r="C8973" s="2" t="s">
        <v>33</v>
      </c>
      <c r="D8973" s="2" t="s">
        <v>58</v>
      </c>
      <c r="E8973" s="4">
        <v>-32601</v>
      </c>
      <c r="F8973" s="3" t="s">
        <v>392</v>
      </c>
      <c r="G8973" s="3" t="s">
        <v>1430</v>
      </c>
      <c r="H8973" s="2" t="s">
        <v>74</v>
      </c>
      <c r="I8973" s="2" t="s">
        <v>22594</v>
      </c>
      <c r="J8973" s="3" t="str">
        <f>HYPERLINK("https://www.boe.es/gazeta/dias/1810/09/27/pdfs/GEI-1810-74E.pdf#page=3","Abrir facsímil")</f>
        <v>Abrir facsímil</v>
      </c>
      <c r="K8973" s="3" t="s">
        <v>76</v>
      </c>
    </row>
    <row r="8974" spans="1:11" ht="42" customHeight="1">
      <c r="A8974" s="2" t="s">
        <v>22595</v>
      </c>
      <c r="B8974" s="2" t="s">
        <v>22595</v>
      </c>
      <c r="C8974" s="2" t="s">
        <v>88</v>
      </c>
      <c r="D8974" s="2" t="s">
        <v>27</v>
      </c>
      <c r="E8974" s="4">
        <v>-32506</v>
      </c>
      <c r="F8974" s="3" t="s">
        <v>7076</v>
      </c>
      <c r="G8974" s="3" t="s">
        <v>227</v>
      </c>
      <c r="H8974" s="2" t="s">
        <v>74</v>
      </c>
      <c r="I8974" s="2" t="s">
        <v>22596</v>
      </c>
      <c r="J8974" s="3" t="str">
        <f>HYPERLINK("https://www.boe.es/gazeta/dias/1810/12/31/pdfs/GMD-1810-365.pdf#page=2","Abrir facsímil")</f>
        <v>Abrir facsímil</v>
      </c>
      <c r="K8974" s="3" t="s">
        <v>76</v>
      </c>
    </row>
    <row r="8975" spans="1:11" ht="42" customHeight="1">
      <c r="A8975" s="2" t="s">
        <v>22597</v>
      </c>
      <c r="B8975" s="2" t="s">
        <v>22597</v>
      </c>
      <c r="C8975" s="2" t="s">
        <v>88</v>
      </c>
      <c r="D8975" s="2" t="s">
        <v>220</v>
      </c>
      <c r="E8975" s="4">
        <v>-32814</v>
      </c>
      <c r="F8975" s="3" t="s">
        <v>2410</v>
      </c>
      <c r="G8975" s="3" t="s">
        <v>180</v>
      </c>
      <c r="H8975" s="2" t="s">
        <v>74</v>
      </c>
      <c r="I8975" s="2" t="s">
        <v>22598</v>
      </c>
      <c r="J8975" s="3" t="str">
        <f>HYPERLINK("https://www.boe.es/gazeta/dias/1810/02/26/pdfs/GMD-1810-57.pdf#page=2","Abrir facsímil")</f>
        <v>Abrir facsímil</v>
      </c>
      <c r="K8975" s="3" t="s">
        <v>76</v>
      </c>
    </row>
    <row r="8976" spans="1:11" ht="42" customHeight="1">
      <c r="A8976" s="2" t="s">
        <v>22599</v>
      </c>
      <c r="B8976" s="2" t="s">
        <v>22599</v>
      </c>
      <c r="C8976" s="2" t="s">
        <v>88</v>
      </c>
      <c r="D8976" s="2" t="s">
        <v>27</v>
      </c>
      <c r="E8976" s="4">
        <v>-32756</v>
      </c>
      <c r="F8976" s="3" t="s">
        <v>203</v>
      </c>
      <c r="G8976" s="3" t="s">
        <v>465</v>
      </c>
      <c r="H8976" s="2" t="s">
        <v>74</v>
      </c>
      <c r="I8976" s="2" t="s">
        <v>22600</v>
      </c>
      <c r="J8976" s="3" t="str">
        <f>HYPERLINK("https://www.boe.es/gazeta/dias/1810/04/25/pdfs/GMD-1810-115.pdf#page=1","Abrir facsímil")</f>
        <v>Abrir facsímil</v>
      </c>
      <c r="K8976" s="3" t="s">
        <v>76</v>
      </c>
    </row>
    <row r="8977" spans="1:11" ht="42" customHeight="1">
      <c r="A8977" s="2" t="s">
        <v>22601</v>
      </c>
      <c r="B8977" s="2" t="s">
        <v>22602</v>
      </c>
      <c r="C8977" s="2" t="s">
        <v>88</v>
      </c>
      <c r="D8977" s="2" t="s">
        <v>117</v>
      </c>
      <c r="E8977" s="4">
        <v>-32647</v>
      </c>
      <c r="F8977" s="3" t="s">
        <v>118</v>
      </c>
      <c r="G8977" s="3" t="s">
        <v>119</v>
      </c>
      <c r="H8977" s="2" t="s">
        <v>21</v>
      </c>
      <c r="I8977" s="2" t="s">
        <v>22603</v>
      </c>
      <c r="J8977" s="3" t="str">
        <f>HYPERLINK("https://www.boe.es/gazeta/dias/1810/08/12/pdfs/GMD-1810-224.pdf#page=3","Abrir facsímil")</f>
        <v>Abrir facsímil</v>
      </c>
      <c r="K8977" s="3" t="s">
        <v>23</v>
      </c>
    </row>
    <row r="8978" spans="1:11" ht="42" customHeight="1">
      <c r="A8978" s="2" t="s">
        <v>22604</v>
      </c>
      <c r="B8978" s="2" t="s">
        <v>22605</v>
      </c>
      <c r="C8978" s="2" t="s">
        <v>26</v>
      </c>
      <c r="D8978" s="2" t="s">
        <v>27</v>
      </c>
      <c r="E8978" s="4">
        <v>-32647</v>
      </c>
      <c r="F8978" s="3" t="s">
        <v>118</v>
      </c>
      <c r="G8978" s="3" t="s">
        <v>20</v>
      </c>
      <c r="H8978" s="2" t="s">
        <v>21</v>
      </c>
      <c r="I8978" s="2" t="s">
        <v>22606</v>
      </c>
      <c r="J8978" s="3" t="str">
        <f>HYPERLINK("https://www.boe.es/gazeta/dias/1810/08/12/pdfs/GMD-1810-224.pdf#page=4","Abrir facsímil")</f>
        <v>Abrir facsímil</v>
      </c>
      <c r="K8978" s="3" t="s">
        <v>23</v>
      </c>
    </row>
    <row r="8979" spans="1:11" ht="42" customHeight="1">
      <c r="A8979" s="2" t="s">
        <v>22607</v>
      </c>
      <c r="B8979" s="2" t="s">
        <v>22607</v>
      </c>
      <c r="C8979" s="2" t="s">
        <v>88</v>
      </c>
      <c r="D8979" s="2" t="s">
        <v>117</v>
      </c>
      <c r="E8979" s="4">
        <v>-32559</v>
      </c>
      <c r="F8979" s="3" t="s">
        <v>2260</v>
      </c>
      <c r="G8979" s="3" t="s">
        <v>140</v>
      </c>
      <c r="H8979" s="2" t="s">
        <v>74</v>
      </c>
      <c r="I8979" s="2" t="s">
        <v>22608</v>
      </c>
      <c r="J8979" s="3" t="str">
        <f>HYPERLINK("https://www.boe.es/gazeta/dias/1810/11/08/pdfs/GMD-1810-312.pdf#page=2","Abrir facsímil")</f>
        <v>Abrir facsímil</v>
      </c>
      <c r="K8979" s="3" t="s">
        <v>76</v>
      </c>
    </row>
    <row r="8980" spans="1:11" ht="42" customHeight="1">
      <c r="A8980" s="2" t="s">
        <v>22609</v>
      </c>
      <c r="B8980" s="2" t="s">
        <v>22610</v>
      </c>
      <c r="C8980" s="2" t="s">
        <v>26</v>
      </c>
      <c r="D8980" s="2" t="s">
        <v>39</v>
      </c>
      <c r="E8980" s="4">
        <v>-32661</v>
      </c>
      <c r="F8980" s="3" t="s">
        <v>157</v>
      </c>
      <c r="G8980" s="3" t="s">
        <v>592</v>
      </c>
      <c r="H8980" s="2" t="s">
        <v>74</v>
      </c>
      <c r="I8980" s="2" t="s">
        <v>22611</v>
      </c>
      <c r="J8980" s="3" t="str">
        <f>HYPERLINK("https://www.boe.es/gazeta/dias/1810/07/29/pdfs/GMD-C-1810-210.pdf#page=2","Abrir facsímil")</f>
        <v>Abrir facsímil</v>
      </c>
      <c r="K8980" s="3" t="s">
        <v>76</v>
      </c>
    </row>
    <row r="8981" spans="1:11" ht="42" customHeight="1">
      <c r="A8981" s="2" t="s">
        <v>22612</v>
      </c>
      <c r="B8981" s="2" t="s">
        <v>22613</v>
      </c>
      <c r="C8981" s="2" t="s">
        <v>26</v>
      </c>
      <c r="D8981" s="2" t="s">
        <v>27</v>
      </c>
      <c r="E8981" s="4">
        <v>-32710</v>
      </c>
      <c r="F8981" s="3" t="s">
        <v>126</v>
      </c>
      <c r="G8981" s="3" t="s">
        <v>35</v>
      </c>
      <c r="H8981" s="2" t="s">
        <v>74</v>
      </c>
      <c r="I8981" s="2" t="s">
        <v>22614</v>
      </c>
      <c r="J8981" s="3" t="str">
        <f>HYPERLINK("https://www.boe.es/gazeta/dias/1810/06/10/pdfs/GMD-1810-161.pdf#page=2","Abrir facsímil")</f>
        <v>Abrir facsímil</v>
      </c>
      <c r="K8981" s="3" t="s">
        <v>76</v>
      </c>
    </row>
    <row r="8982" spans="1:11" ht="42" customHeight="1">
      <c r="A8982" s="2" t="s">
        <v>22615</v>
      </c>
      <c r="B8982" s="2" t="s">
        <v>22615</v>
      </c>
      <c r="C8982" s="2" t="s">
        <v>26</v>
      </c>
      <c r="D8982" s="2" t="s">
        <v>27</v>
      </c>
      <c r="E8982" s="4">
        <v>-32772</v>
      </c>
      <c r="F8982" s="3" t="s">
        <v>398</v>
      </c>
      <c r="G8982" s="3" t="s">
        <v>1638</v>
      </c>
      <c r="H8982" s="2" t="s">
        <v>74</v>
      </c>
      <c r="I8982" s="2" t="s">
        <v>22616</v>
      </c>
      <c r="J8982" s="3" t="str">
        <f>HYPERLINK("https://www.boe.es/gazeta/dias/1810/04/09/pdfs/GMD-1810-99.pdf#page=2","Abrir facsímil")</f>
        <v>Abrir facsímil</v>
      </c>
      <c r="K8982" s="3" t="s">
        <v>76</v>
      </c>
    </row>
    <row r="8983" spans="1:11" ht="42" customHeight="1">
      <c r="A8983" s="2" t="s">
        <v>22617</v>
      </c>
      <c r="B8983" s="2" t="s">
        <v>22618</v>
      </c>
      <c r="C8983" s="2" t="s">
        <v>26</v>
      </c>
      <c r="D8983" s="2" t="s">
        <v>27</v>
      </c>
      <c r="E8983" s="4">
        <v>-32710</v>
      </c>
      <c r="F8983" s="3" t="s">
        <v>126</v>
      </c>
      <c r="G8983" s="3" t="s">
        <v>20</v>
      </c>
      <c r="H8983" s="2" t="s">
        <v>74</v>
      </c>
      <c r="I8983" s="2" t="s">
        <v>22619</v>
      </c>
      <c r="J8983" s="3" t="str">
        <f>HYPERLINK("https://www.boe.es/gazeta/dias/1810/06/10/pdfs/GMD-1810-161.pdf#page=4","Abrir facsímil")</f>
        <v>Abrir facsímil</v>
      </c>
      <c r="K8983" s="3" t="s">
        <v>76</v>
      </c>
    </row>
    <row r="8984" spans="1:11" ht="42" customHeight="1">
      <c r="A8984" s="2" t="s">
        <v>22620</v>
      </c>
      <c r="B8984" s="2" t="s">
        <v>22621</v>
      </c>
      <c r="C8984" s="2" t="s">
        <v>26</v>
      </c>
      <c r="D8984" s="2" t="s">
        <v>27</v>
      </c>
      <c r="E8984" s="4">
        <v>-32575</v>
      </c>
      <c r="F8984" s="3" t="s">
        <v>135</v>
      </c>
      <c r="G8984" s="3" t="s">
        <v>136</v>
      </c>
      <c r="H8984" s="2" t="s">
        <v>74</v>
      </c>
      <c r="I8984" s="2" t="s">
        <v>22622</v>
      </c>
      <c r="J8984" s="3" t="str">
        <f>HYPERLINK("https://www.boe.es/gazeta/dias/1810/10/23/pdfs/GEI-1810-85.pdf#page=11","Abrir facsímil")</f>
        <v>Abrir facsímil</v>
      </c>
      <c r="K8984" s="3" t="s">
        <v>76</v>
      </c>
    </row>
    <row r="8985" spans="1:11" ht="42" customHeight="1">
      <c r="A8985" s="2" t="s">
        <v>22623</v>
      </c>
      <c r="B8985" s="2" t="s">
        <v>22623</v>
      </c>
      <c r="C8985" s="2" t="s">
        <v>88</v>
      </c>
      <c r="D8985" s="2" t="s">
        <v>117</v>
      </c>
      <c r="E8985" s="4">
        <v>-32578</v>
      </c>
      <c r="F8985" s="3" t="s">
        <v>7073</v>
      </c>
      <c r="G8985" s="3" t="s">
        <v>16403</v>
      </c>
      <c r="H8985" s="2" t="s">
        <v>74</v>
      </c>
      <c r="I8985" s="2" t="s">
        <v>22624</v>
      </c>
      <c r="J8985" s="3" t="str">
        <f>HYPERLINK("https://www.boe.es/gazeta/dias/1810/10/20/pdfs/GMD-1810-293.pdf#page=3","Abrir facsímil")</f>
        <v>Abrir facsímil</v>
      </c>
      <c r="K8985" s="3" t="s">
        <v>76</v>
      </c>
    </row>
    <row r="8986" spans="1:11" ht="42" customHeight="1">
      <c r="A8986" s="2" t="s">
        <v>22625</v>
      </c>
      <c r="B8986" s="2" t="s">
        <v>22625</v>
      </c>
      <c r="C8986" s="2" t="s">
        <v>88</v>
      </c>
      <c r="D8986" s="2" t="s">
        <v>27</v>
      </c>
      <c r="E8986" s="4">
        <v>-32644</v>
      </c>
      <c r="F8986" s="3" t="s">
        <v>457</v>
      </c>
      <c r="G8986" s="3" t="s">
        <v>90</v>
      </c>
      <c r="H8986" s="2" t="s">
        <v>74</v>
      </c>
      <c r="I8986" s="2" t="s">
        <v>22626</v>
      </c>
      <c r="J8986" s="3" t="str">
        <f>HYPERLINK("https://www.boe.es/gazeta/dias/1810/08/15/pdfs/GMD-1810-227.pdf#page=2","Abrir facsímil")</f>
        <v>Abrir facsímil</v>
      </c>
      <c r="K8986" s="3" t="s">
        <v>76</v>
      </c>
    </row>
    <row r="8987" spans="1:11" ht="42" customHeight="1">
      <c r="A8987" s="2" t="s">
        <v>22627</v>
      </c>
      <c r="B8987" s="2" t="s">
        <v>22628</v>
      </c>
      <c r="C8987" s="2" t="s">
        <v>88</v>
      </c>
      <c r="D8987" s="2" t="s">
        <v>117</v>
      </c>
      <c r="E8987" s="4">
        <v>-32617</v>
      </c>
      <c r="F8987" s="3" t="s">
        <v>3861</v>
      </c>
      <c r="G8987" s="3" t="s">
        <v>20</v>
      </c>
      <c r="H8987" s="2" t="s">
        <v>74</v>
      </c>
      <c r="I8987" s="2" t="s">
        <v>22629</v>
      </c>
      <c r="J8987" s="3" t="str">
        <f>HYPERLINK("https://www.boe.es/gazeta/dias/1810/09/11/pdfs/GMD-1810-254.pdf#page=4","Abrir facsímil")</f>
        <v>Abrir facsímil</v>
      </c>
      <c r="K8987" s="3" t="s">
        <v>76</v>
      </c>
    </row>
    <row r="8988" spans="1:11" ht="42" customHeight="1">
      <c r="A8988" s="2" t="s">
        <v>22630</v>
      </c>
      <c r="B8988" s="2" t="s">
        <v>22630</v>
      </c>
      <c r="C8988" s="2" t="s">
        <v>26</v>
      </c>
      <c r="D8988" s="2" t="s">
        <v>27</v>
      </c>
      <c r="E8988" s="4">
        <v>-32808</v>
      </c>
      <c r="F8988" s="3" t="s">
        <v>2034</v>
      </c>
      <c r="G8988" s="3" t="s">
        <v>2035</v>
      </c>
      <c r="H8988" s="2" t="s">
        <v>74</v>
      </c>
      <c r="I8988" s="2" t="s">
        <v>22631</v>
      </c>
      <c r="J8988" s="3" t="str">
        <f>HYPERLINK("https://www.boe.es/gazeta/dias/1810/03/04/pdfs/GMD-1810-63.pdf#page=1","Abrir facsímil")</f>
        <v>Abrir facsímil</v>
      </c>
      <c r="K8988" s="3" t="s">
        <v>76</v>
      </c>
    </row>
    <row r="8989" spans="1:11" ht="42" customHeight="1">
      <c r="A8989" s="2" t="s">
        <v>22632</v>
      </c>
      <c r="B8989" s="2" t="s">
        <v>22633</v>
      </c>
      <c r="C8989" s="2" t="s">
        <v>26</v>
      </c>
      <c r="D8989" s="2" t="s">
        <v>27</v>
      </c>
      <c r="E8989" s="4">
        <v>-32515</v>
      </c>
      <c r="F8989" s="3" t="s">
        <v>351</v>
      </c>
      <c r="G8989" s="3" t="s">
        <v>352</v>
      </c>
      <c r="H8989" s="2" t="s">
        <v>74</v>
      </c>
      <c r="I8989" s="2" t="s">
        <v>22634</v>
      </c>
      <c r="J8989" s="3" t="str">
        <f>HYPERLINK("https://www.boe.es/gazeta/dias/1810/12/22/pdfs/GEI-1810-111.pdf#page=8","Abrir facsímil")</f>
        <v>Abrir facsímil</v>
      </c>
      <c r="K8989" s="3" t="s">
        <v>76</v>
      </c>
    </row>
    <row r="8990" spans="1:11" ht="42" customHeight="1">
      <c r="A8990" s="2" t="s">
        <v>22635</v>
      </c>
      <c r="B8990" s="2" t="s">
        <v>22636</v>
      </c>
      <c r="C8990" s="2" t="s">
        <v>26</v>
      </c>
      <c r="D8990" s="2" t="s">
        <v>27</v>
      </c>
      <c r="E8990" s="4">
        <v>-32603</v>
      </c>
      <c r="F8990" s="3" t="s">
        <v>2163</v>
      </c>
      <c r="G8990" s="3" t="s">
        <v>29</v>
      </c>
      <c r="H8990" s="2" t="s">
        <v>74</v>
      </c>
      <c r="I8990" s="2" t="s">
        <v>22637</v>
      </c>
      <c r="J8990" s="3" t="str">
        <f>HYPERLINK("https://www.boe.es/gazeta/dias/1810/09/25/pdfs/GEI-1810-72.pdf#page=8","Abrir facsímil")</f>
        <v>Abrir facsímil</v>
      </c>
      <c r="K8990" s="3" t="s">
        <v>76</v>
      </c>
    </row>
    <row r="8991" spans="1:11" ht="42" customHeight="1">
      <c r="A8991" s="2" t="s">
        <v>22638</v>
      </c>
      <c r="B8991" s="2" t="s">
        <v>22639</v>
      </c>
      <c r="C8991" s="2" t="s">
        <v>26</v>
      </c>
      <c r="D8991" s="2" t="s">
        <v>27</v>
      </c>
      <c r="E8991" s="4">
        <v>-32517</v>
      </c>
      <c r="F8991" s="3" t="s">
        <v>566</v>
      </c>
      <c r="G8991" s="3" t="s">
        <v>762</v>
      </c>
      <c r="H8991" s="2" t="s">
        <v>74</v>
      </c>
      <c r="I8991" s="2" t="s">
        <v>22640</v>
      </c>
      <c r="J8991" s="3" t="str">
        <f>HYPERLINK("https://www.boe.es/gazeta/dias/1810/12/20/pdfs/GEI-1810-110.pdf#page=8","Abrir facsímil")</f>
        <v>Abrir facsímil</v>
      </c>
      <c r="K8991" s="3" t="s">
        <v>76</v>
      </c>
    </row>
    <row r="8992" spans="1:11" ht="42" customHeight="1">
      <c r="A8992" s="2" t="s">
        <v>22641</v>
      </c>
      <c r="B8992" s="2" t="s">
        <v>22642</v>
      </c>
      <c r="C8992" s="2" t="s">
        <v>26</v>
      </c>
      <c r="D8992" s="2" t="s">
        <v>27</v>
      </c>
      <c r="E8992" s="4">
        <v>-32869</v>
      </c>
      <c r="F8992" s="3" t="s">
        <v>5318</v>
      </c>
      <c r="G8992" s="3" t="s">
        <v>227</v>
      </c>
      <c r="H8992" s="2" t="s">
        <v>74</v>
      </c>
      <c r="I8992" s="2" t="s">
        <v>22643</v>
      </c>
      <c r="J8992" s="3" t="str">
        <f>HYPERLINK("https://www.boe.es/gazeta/dias/1810/01/02/pdfs/GGB-1810-1.pdf#page=6","Abrir facsímil")</f>
        <v>Abrir facsímil</v>
      </c>
      <c r="K8992" s="3" t="s">
        <v>76</v>
      </c>
    </row>
    <row r="8993" spans="1:11" ht="42" customHeight="1">
      <c r="A8993" s="2" t="s">
        <v>22644</v>
      </c>
      <c r="B8993" s="2" t="s">
        <v>22644</v>
      </c>
      <c r="C8993" s="2" t="s">
        <v>88</v>
      </c>
      <c r="D8993" s="2" t="s">
        <v>117</v>
      </c>
      <c r="E8993" s="4">
        <v>-32644</v>
      </c>
      <c r="F8993" s="3" t="s">
        <v>457</v>
      </c>
      <c r="G8993" s="3" t="s">
        <v>458</v>
      </c>
      <c r="H8993" s="2" t="s">
        <v>74</v>
      </c>
      <c r="I8993" s="2" t="s">
        <v>22645</v>
      </c>
      <c r="J8993" s="3" t="str">
        <f>HYPERLINK("https://www.boe.es/gazeta/dias/1810/08/15/pdfs/GMD-1810-227.pdf#page=1","Abrir facsímil")</f>
        <v>Abrir facsímil</v>
      </c>
      <c r="K8993" s="3" t="s">
        <v>76</v>
      </c>
    </row>
    <row r="8994" spans="1:11" ht="42" customHeight="1">
      <c r="A8994" s="2" t="s">
        <v>22644</v>
      </c>
      <c r="B8994" s="2" t="s">
        <v>22644</v>
      </c>
      <c r="C8994" s="2" t="s">
        <v>225</v>
      </c>
      <c r="D8994" s="2" t="s">
        <v>117</v>
      </c>
      <c r="E8994" s="4">
        <v>-32598</v>
      </c>
      <c r="F8994" s="3" t="s">
        <v>6961</v>
      </c>
      <c r="G8994" s="3" t="s">
        <v>180</v>
      </c>
      <c r="H8994" s="2" t="s">
        <v>74</v>
      </c>
      <c r="I8994" s="2" t="s">
        <v>22646</v>
      </c>
      <c r="J8994" s="3" t="str">
        <f>HYPERLINK("https://www.boe.es/gazeta/dias/1810/09/30/pdfs/GMD-1810-273.pdf#page=1","Abrir facsímil")</f>
        <v>Abrir facsímil</v>
      </c>
      <c r="K8994" s="3" t="s">
        <v>76</v>
      </c>
    </row>
    <row r="8995" spans="1:11" ht="42" customHeight="1">
      <c r="A8995" s="2" t="s">
        <v>22644</v>
      </c>
      <c r="B8995" s="2" t="s">
        <v>22644</v>
      </c>
      <c r="C8995" s="2" t="s">
        <v>225</v>
      </c>
      <c r="D8995" s="2" t="s">
        <v>27</v>
      </c>
      <c r="E8995" s="4">
        <v>-32559</v>
      </c>
      <c r="F8995" s="3" t="s">
        <v>2260</v>
      </c>
      <c r="G8995" s="3" t="s">
        <v>12784</v>
      </c>
      <c r="H8995" s="2" t="s">
        <v>74</v>
      </c>
      <c r="I8995" s="2" t="s">
        <v>22647</v>
      </c>
      <c r="J8995" s="3" t="str">
        <f>HYPERLINK("https://www.boe.es/gazeta/dias/1810/11/08/pdfs/GMD-1810-312.pdf#page=1","Abrir facsímil")</f>
        <v>Abrir facsímil</v>
      </c>
      <c r="K8995" s="3" t="s">
        <v>76</v>
      </c>
    </row>
    <row r="8996" spans="1:11" ht="42" customHeight="1">
      <c r="A8996" s="2" t="s">
        <v>22644</v>
      </c>
      <c r="B8996" s="2" t="s">
        <v>22644</v>
      </c>
      <c r="C8996" s="2" t="s">
        <v>88</v>
      </c>
      <c r="D8996" s="2" t="s">
        <v>27</v>
      </c>
      <c r="E8996" s="4">
        <v>-32559</v>
      </c>
      <c r="F8996" s="3" t="s">
        <v>2260</v>
      </c>
      <c r="G8996" s="3" t="s">
        <v>140</v>
      </c>
      <c r="H8996" s="2" t="s">
        <v>74</v>
      </c>
      <c r="I8996" s="2" t="s">
        <v>22648</v>
      </c>
      <c r="J8996" s="3" t="str">
        <f>HYPERLINK("https://www.boe.es/gazeta/dias/1810/11/08/pdfs/GMD-1810-312.pdf#page=2","Abrir facsímil")</f>
        <v>Abrir facsímil</v>
      </c>
      <c r="K8996" s="3" t="s">
        <v>76</v>
      </c>
    </row>
    <row r="8997" spans="1:11" ht="42" customHeight="1">
      <c r="A8997" s="2" t="s">
        <v>22649</v>
      </c>
      <c r="B8997" s="2" t="s">
        <v>22650</v>
      </c>
      <c r="C8997" s="2" t="s">
        <v>26</v>
      </c>
      <c r="D8997" s="2" t="s">
        <v>27</v>
      </c>
      <c r="E8997" s="4">
        <v>-32675</v>
      </c>
      <c r="F8997" s="3" t="s">
        <v>729</v>
      </c>
      <c r="G8997" s="3" t="s">
        <v>1851</v>
      </c>
      <c r="H8997" s="2" t="s">
        <v>74</v>
      </c>
      <c r="I8997" s="2" t="s">
        <v>22651</v>
      </c>
      <c r="J8997" s="3" t="str">
        <f>HYPERLINK("https://www.boe.es/gazeta/dias/1810/07/15/pdfs/GMD-1810-196.pdf#page=1","Abrir facsímil")</f>
        <v>Abrir facsímil</v>
      </c>
      <c r="K8997" s="3" t="s">
        <v>76</v>
      </c>
    </row>
    <row r="8998" spans="1:11" ht="42" customHeight="1">
      <c r="A8998" s="2" t="s">
        <v>22652</v>
      </c>
      <c r="B8998" s="2" t="s">
        <v>22653</v>
      </c>
      <c r="C8998" s="2" t="s">
        <v>111</v>
      </c>
      <c r="D8998" s="2" t="s">
        <v>27</v>
      </c>
      <c r="E8998" s="4">
        <v>-32647</v>
      </c>
      <c r="F8998" s="3" t="s">
        <v>118</v>
      </c>
      <c r="G8998" s="3" t="s">
        <v>119</v>
      </c>
      <c r="H8998" s="2" t="s">
        <v>74</v>
      </c>
      <c r="I8998" s="2" t="s">
        <v>22654</v>
      </c>
      <c r="J8998" s="3" t="str">
        <f>HYPERLINK("https://www.boe.es/gazeta/dias/1810/08/12/pdfs/GMD-1810-224.pdf#page=3","Abrir facsímil")</f>
        <v>Abrir facsímil</v>
      </c>
      <c r="K8998" s="3" t="s">
        <v>76</v>
      </c>
    </row>
    <row r="8999" spans="1:11" ht="42" customHeight="1">
      <c r="A8999" s="2" t="s">
        <v>22655</v>
      </c>
      <c r="B8999" s="2" t="s">
        <v>22656</v>
      </c>
      <c r="C8999" s="2" t="s">
        <v>111</v>
      </c>
      <c r="D8999" s="2" t="s">
        <v>27</v>
      </c>
      <c r="E8999" s="4">
        <v>-32728</v>
      </c>
      <c r="F8999" s="3" t="s">
        <v>269</v>
      </c>
      <c r="G8999" s="3" t="s">
        <v>119</v>
      </c>
      <c r="H8999" s="2" t="s">
        <v>74</v>
      </c>
      <c r="I8999" s="2" t="s">
        <v>22657</v>
      </c>
      <c r="J8999" s="3" t="str">
        <f>HYPERLINK("https://www.boe.es/gazeta/dias/1810/05/23/pdfs/GMD-1810-143.pdf#page=3","Abrir facsímil")</f>
        <v>Abrir facsímil</v>
      </c>
      <c r="K8999" s="3" t="s">
        <v>76</v>
      </c>
    </row>
    <row r="9000" spans="1:11" ht="42" customHeight="1">
      <c r="A9000" s="2" t="s">
        <v>22655</v>
      </c>
      <c r="B9000" s="2" t="s">
        <v>22656</v>
      </c>
      <c r="C9000" s="2" t="s">
        <v>26</v>
      </c>
      <c r="D9000" s="2" t="s">
        <v>39</v>
      </c>
      <c r="E9000" s="4">
        <v>-32701</v>
      </c>
      <c r="F9000" s="3" t="s">
        <v>40</v>
      </c>
      <c r="G9000" s="3" t="s">
        <v>315</v>
      </c>
      <c r="H9000" s="2" t="s">
        <v>74</v>
      </c>
      <c r="I9000" s="2" t="s">
        <v>22658</v>
      </c>
      <c r="J9000" s="3" t="str">
        <f>HYPERLINK("https://www.boe.es/gazeta/dias/1810/06/19/pdfs/GMD-C-1810-170.pdf#page=2","Abrir facsímil")</f>
        <v>Abrir facsímil</v>
      </c>
      <c r="K9000" s="3" t="s">
        <v>76</v>
      </c>
    </row>
    <row r="9001" spans="1:11" ht="42" customHeight="1">
      <c r="A9001" s="2" t="s">
        <v>22659</v>
      </c>
      <c r="B9001" s="2" t="s">
        <v>22660</v>
      </c>
      <c r="C9001" s="2" t="s">
        <v>26</v>
      </c>
      <c r="D9001" s="2" t="s">
        <v>39</v>
      </c>
      <c r="E9001" s="4">
        <v>-32661</v>
      </c>
      <c r="F9001" s="3" t="s">
        <v>157</v>
      </c>
      <c r="G9001" s="3" t="s">
        <v>592</v>
      </c>
      <c r="H9001" s="2" t="s">
        <v>74</v>
      </c>
      <c r="I9001" s="2" t="s">
        <v>22661</v>
      </c>
      <c r="J9001" s="3" t="str">
        <f>HYPERLINK("https://www.boe.es/gazeta/dias/1810/07/29/pdfs/GMD-C-1810-210.pdf#page=2","Abrir facsímil")</f>
        <v>Abrir facsímil</v>
      </c>
      <c r="K9001" s="3" t="s">
        <v>76</v>
      </c>
    </row>
    <row r="9002" spans="1:11" ht="42" customHeight="1">
      <c r="A9002" s="2" t="s">
        <v>22662</v>
      </c>
      <c r="B9002" s="2" t="s">
        <v>22662</v>
      </c>
      <c r="C9002" s="2" t="s">
        <v>26</v>
      </c>
      <c r="D9002" s="2" t="s">
        <v>27</v>
      </c>
      <c r="E9002" s="4">
        <v>-32560</v>
      </c>
      <c r="F9002" s="3" t="s">
        <v>4111</v>
      </c>
      <c r="G9002" s="3" t="s">
        <v>140</v>
      </c>
      <c r="H9002" s="2" t="s">
        <v>74</v>
      </c>
      <c r="I9002" s="2" t="s">
        <v>22663</v>
      </c>
      <c r="J9002" s="3" t="str">
        <f>HYPERLINK("https://www.boe.es/gazeta/dias/1810/11/07/pdfs/GMD-1810-311.pdf#page=2","Abrir facsímil")</f>
        <v>Abrir facsímil</v>
      </c>
      <c r="K9002" s="3" t="s">
        <v>76</v>
      </c>
    </row>
    <row r="9003" spans="1:11" ht="42" customHeight="1">
      <c r="A9003" s="2" t="s">
        <v>22664</v>
      </c>
      <c r="B9003" s="2" t="s">
        <v>22664</v>
      </c>
      <c r="C9003" s="2" t="s">
        <v>111</v>
      </c>
      <c r="D9003" s="2" t="s">
        <v>27</v>
      </c>
      <c r="E9003" s="4">
        <v>-32691</v>
      </c>
      <c r="F9003" s="3" t="s">
        <v>727</v>
      </c>
      <c r="G9003" s="3" t="s">
        <v>695</v>
      </c>
      <c r="H9003" s="2" t="s">
        <v>74</v>
      </c>
      <c r="I9003" s="2" t="s">
        <v>22665</v>
      </c>
      <c r="J9003" s="3" t="str">
        <f>HYPERLINK("https://www.boe.es/gazeta/dias/1810/06/29/pdfs/GMD-1810-180.pdf#page=1","Abrir facsímil")</f>
        <v>Abrir facsímil</v>
      </c>
      <c r="K9003" s="3" t="s">
        <v>76</v>
      </c>
    </row>
    <row r="9004" spans="1:11" ht="42" customHeight="1">
      <c r="A9004" s="2" t="s">
        <v>22666</v>
      </c>
      <c r="B9004" s="2" t="s">
        <v>22666</v>
      </c>
      <c r="C9004" s="2" t="s">
        <v>88</v>
      </c>
      <c r="D9004" s="2" t="s">
        <v>117</v>
      </c>
      <c r="E9004" s="4">
        <v>-32855</v>
      </c>
      <c r="F9004" s="3" t="s">
        <v>4239</v>
      </c>
      <c r="G9004" s="3" t="s">
        <v>291</v>
      </c>
      <c r="H9004" s="2" t="s">
        <v>74</v>
      </c>
      <c r="I9004" s="2" t="s">
        <v>22667</v>
      </c>
      <c r="J9004" s="3" t="str">
        <f>HYPERLINK("https://www.boe.es/gazeta/dias/1810/01/16/pdfs/GMD-1810-16.pdf#page=1","Abrir facsímil")</f>
        <v>Abrir facsímil</v>
      </c>
      <c r="K9004" s="3" t="s">
        <v>76</v>
      </c>
    </row>
    <row r="9005" spans="1:11" ht="42" customHeight="1">
      <c r="A9005" s="2" t="s">
        <v>22668</v>
      </c>
      <c r="B9005" s="2" t="s">
        <v>22669</v>
      </c>
      <c r="C9005" s="2" t="s">
        <v>26</v>
      </c>
      <c r="D9005" s="2" t="s">
        <v>39</v>
      </c>
      <c r="E9005" s="4">
        <v>-32701</v>
      </c>
      <c r="F9005" s="3" t="s">
        <v>40</v>
      </c>
      <c r="G9005" s="3" t="s">
        <v>170</v>
      </c>
      <c r="H9005" s="2" t="s">
        <v>74</v>
      </c>
      <c r="I9005" s="2" t="s">
        <v>22670</v>
      </c>
      <c r="J9005" s="3" t="str">
        <f>HYPERLINK("https://www.boe.es/gazeta/dias/1810/06/19/pdfs/GMD-C-1810-170.pdf#page=1","Abrir facsímil")</f>
        <v>Abrir facsímil</v>
      </c>
      <c r="K9005" s="3" t="s">
        <v>76</v>
      </c>
    </row>
    <row r="9006" spans="1:11" ht="42" customHeight="1">
      <c r="A9006" s="2" t="s">
        <v>22671</v>
      </c>
      <c r="B9006" s="2" t="s">
        <v>22672</v>
      </c>
      <c r="C9006" s="2" t="s">
        <v>26</v>
      </c>
      <c r="D9006" s="2" t="s">
        <v>27</v>
      </c>
      <c r="E9006" s="4">
        <v>-32647</v>
      </c>
      <c r="F9006" s="3" t="s">
        <v>118</v>
      </c>
      <c r="G9006" s="3" t="s">
        <v>119</v>
      </c>
      <c r="H9006" s="2" t="s">
        <v>74</v>
      </c>
      <c r="I9006" s="2" t="s">
        <v>22673</v>
      </c>
      <c r="J9006" s="3" t="str">
        <f>HYPERLINK("https://www.boe.es/gazeta/dias/1810/08/12/pdfs/GMD-1810-224.pdf#page=3","Abrir facsímil")</f>
        <v>Abrir facsímil</v>
      </c>
      <c r="K9006" s="3" t="s">
        <v>76</v>
      </c>
    </row>
    <row r="9007" spans="1:11" ht="42" customHeight="1">
      <c r="A9007" s="2" t="s">
        <v>22674</v>
      </c>
      <c r="B9007" s="2" t="s">
        <v>22675</v>
      </c>
      <c r="C9007" s="2" t="s">
        <v>26</v>
      </c>
      <c r="D9007" s="2" t="s">
        <v>27</v>
      </c>
      <c r="E9007" s="4">
        <v>-32730</v>
      </c>
      <c r="F9007" s="3" t="s">
        <v>50</v>
      </c>
      <c r="G9007" s="3" t="s">
        <v>20</v>
      </c>
      <c r="H9007" s="2" t="s">
        <v>74</v>
      </c>
      <c r="I9007" s="2" t="s">
        <v>22676</v>
      </c>
      <c r="J9007" s="3" t="str">
        <f>HYPERLINK("https://www.boe.es/gazeta/dias/1810/05/21/pdfs/GMD-1810-141.pdf#page=4","Abrir facsímil")</f>
        <v>Abrir facsímil</v>
      </c>
      <c r="K9007" s="3" t="s">
        <v>76</v>
      </c>
    </row>
    <row r="9008" spans="1:11" ht="42" customHeight="1">
      <c r="A9008" s="2" t="s">
        <v>22677</v>
      </c>
      <c r="B9008" s="2" t="s">
        <v>22678</v>
      </c>
      <c r="C9008" s="2" t="s">
        <v>111</v>
      </c>
      <c r="D9008" s="2" t="s">
        <v>27</v>
      </c>
      <c r="E9008" s="4">
        <v>-32647</v>
      </c>
      <c r="F9008" s="3" t="s">
        <v>118</v>
      </c>
      <c r="G9008" s="3" t="s">
        <v>119</v>
      </c>
      <c r="H9008" s="2" t="s">
        <v>74</v>
      </c>
      <c r="I9008" s="2" t="s">
        <v>22679</v>
      </c>
      <c r="J9008" s="3" t="str">
        <f>HYPERLINK("https://www.boe.es/gazeta/dias/1810/08/12/pdfs/GMD-1810-224.pdf#page=3","Abrir facsímil")</f>
        <v>Abrir facsímil</v>
      </c>
      <c r="K9008" s="3" t="s">
        <v>76</v>
      </c>
    </row>
    <row r="9009" spans="1:11" ht="42" customHeight="1">
      <c r="A9009" s="2" t="s">
        <v>22680</v>
      </c>
      <c r="B9009" s="2" t="s">
        <v>22680</v>
      </c>
      <c r="C9009" s="2" t="s">
        <v>88</v>
      </c>
      <c r="D9009" s="2" t="s">
        <v>27</v>
      </c>
      <c r="E9009" s="4">
        <v>-32755</v>
      </c>
      <c r="F9009" s="3" t="s">
        <v>1641</v>
      </c>
      <c r="G9009" s="3" t="s">
        <v>9132</v>
      </c>
      <c r="H9009" s="2" t="s">
        <v>74</v>
      </c>
      <c r="I9009" s="2" t="s">
        <v>22681</v>
      </c>
      <c r="J9009" s="3" t="str">
        <f>HYPERLINK("https://www.boe.es/gazeta/dias/1810/04/26/pdfs/GMD-1810-116.pdf#page=1","Abrir facsímil")</f>
        <v>Abrir facsímil</v>
      </c>
      <c r="K9009" s="3" t="s">
        <v>76</v>
      </c>
    </row>
    <row r="9010" spans="1:11" ht="42" customHeight="1">
      <c r="A9010" s="2" t="s">
        <v>22682</v>
      </c>
      <c r="B9010" s="2" t="s">
        <v>22682</v>
      </c>
      <c r="C9010" s="2" t="s">
        <v>33</v>
      </c>
      <c r="D9010" s="2" t="s">
        <v>220</v>
      </c>
      <c r="E9010" s="4">
        <v>-32631</v>
      </c>
      <c r="F9010" s="3" t="s">
        <v>497</v>
      </c>
      <c r="G9010" s="3" t="s">
        <v>16035</v>
      </c>
      <c r="H9010" s="2" t="s">
        <v>74</v>
      </c>
      <c r="I9010" s="2" t="s">
        <v>22683</v>
      </c>
      <c r="J9010" s="3" t="str">
        <f>HYPERLINK("https://www.boe.es/gazeta/dias/1810/08/28/pdfs/GMD-1810-240.pdf#page=1","Abrir facsímil")</f>
        <v>Abrir facsímil</v>
      </c>
      <c r="K9010" s="3" t="s">
        <v>76</v>
      </c>
    </row>
    <row r="9011" spans="1:11" ht="42" customHeight="1">
      <c r="A9011" s="2" t="s">
        <v>22684</v>
      </c>
      <c r="B9011" s="2" t="s">
        <v>22685</v>
      </c>
      <c r="C9011" s="2" t="s">
        <v>26</v>
      </c>
      <c r="D9011" s="2" t="s">
        <v>27</v>
      </c>
      <c r="E9011" s="4">
        <v>-32509</v>
      </c>
      <c r="F9011" s="3" t="s">
        <v>212</v>
      </c>
      <c r="G9011" s="3" t="s">
        <v>213</v>
      </c>
      <c r="H9011" s="2" t="s">
        <v>74</v>
      </c>
      <c r="I9011" s="2" t="s">
        <v>22686</v>
      </c>
      <c r="J9011" s="3" t="str">
        <f>HYPERLINK("https://www.boe.es/gazeta/dias/1810/12/28/pdfs/GMD-1810-362.pdf#page=1","Abrir facsímil")</f>
        <v>Abrir facsímil</v>
      </c>
      <c r="K9011" s="3" t="s">
        <v>76</v>
      </c>
    </row>
    <row r="9012" spans="1:11" ht="42" customHeight="1">
      <c r="A9012" s="2" t="s">
        <v>22687</v>
      </c>
      <c r="B9012" s="2" t="s">
        <v>22687</v>
      </c>
      <c r="C9012" s="2" t="s">
        <v>88</v>
      </c>
      <c r="D9012" s="2" t="s">
        <v>27</v>
      </c>
      <c r="E9012" s="4">
        <v>-32594</v>
      </c>
      <c r="F9012" s="3" t="s">
        <v>1885</v>
      </c>
      <c r="G9012" s="3" t="s">
        <v>29</v>
      </c>
      <c r="H9012" s="2" t="s">
        <v>74</v>
      </c>
      <c r="I9012" s="2" t="s">
        <v>22688</v>
      </c>
      <c r="J9012" s="3" t="str">
        <f>HYPERLINK("https://www.boe.es/gazeta/dias/1810/10/04/pdfs/GMD-1810-277.pdf#page=2","Abrir facsímil")</f>
        <v>Abrir facsímil</v>
      </c>
      <c r="K9012" s="3" t="s">
        <v>76</v>
      </c>
    </row>
    <row r="9013" spans="1:11" ht="42" customHeight="1">
      <c r="A9013" s="2" t="s">
        <v>22689</v>
      </c>
      <c r="B9013" s="2" t="s">
        <v>22689</v>
      </c>
      <c r="C9013" s="2" t="s">
        <v>88</v>
      </c>
      <c r="D9013" s="2" t="s">
        <v>27</v>
      </c>
      <c r="E9013" s="4">
        <v>-32581</v>
      </c>
      <c r="F9013" s="3" t="s">
        <v>6102</v>
      </c>
      <c r="G9013" s="3" t="s">
        <v>12156</v>
      </c>
      <c r="H9013" s="2" t="s">
        <v>74</v>
      </c>
      <c r="I9013" s="2" t="s">
        <v>22690</v>
      </c>
      <c r="J9013" s="3" t="str">
        <f>HYPERLINK("https://www.boe.es/gazeta/dias/1810/10/17/pdfs/GMD-1810-290.pdf#page=2","Abrir facsímil")</f>
        <v>Abrir facsímil</v>
      </c>
      <c r="K9013" s="3" t="s">
        <v>76</v>
      </c>
    </row>
    <row r="9014" spans="1:11" ht="42" customHeight="1">
      <c r="A9014" s="2" t="s">
        <v>22691</v>
      </c>
      <c r="B9014" s="2" t="s">
        <v>22691</v>
      </c>
      <c r="C9014" s="2" t="s">
        <v>88</v>
      </c>
      <c r="D9014" s="2" t="s">
        <v>27</v>
      </c>
      <c r="E9014" s="4">
        <v>-32610</v>
      </c>
      <c r="F9014" s="3" t="s">
        <v>7879</v>
      </c>
      <c r="G9014" s="3" t="s">
        <v>613</v>
      </c>
      <c r="H9014" s="2" t="s">
        <v>74</v>
      </c>
      <c r="I9014" s="2" t="s">
        <v>22692</v>
      </c>
      <c r="J9014" s="3" t="str">
        <f>HYPERLINK("https://www.boe.es/gazeta/dias/1810/09/18/pdfs/GMD-1810-261.pdf#page=1","Abrir facsímil")</f>
        <v>Abrir facsímil</v>
      </c>
      <c r="K9014" s="3" t="s">
        <v>76</v>
      </c>
    </row>
    <row r="9015" spans="1:11" ht="42" customHeight="1">
      <c r="A9015" s="2" t="s">
        <v>22693</v>
      </c>
      <c r="B9015" s="2" t="s">
        <v>22693</v>
      </c>
      <c r="C9015" s="2" t="s">
        <v>88</v>
      </c>
      <c r="D9015" s="2" t="s">
        <v>117</v>
      </c>
      <c r="E9015" s="4">
        <v>-32606</v>
      </c>
      <c r="F9015" s="3" t="s">
        <v>1676</v>
      </c>
      <c r="G9015" s="3" t="s">
        <v>227</v>
      </c>
      <c r="H9015" s="2" t="s">
        <v>74</v>
      </c>
      <c r="I9015" s="2" t="s">
        <v>22694</v>
      </c>
      <c r="J9015" s="3" t="str">
        <f>HYPERLINK("https://www.boe.es/gazeta/dias/1810/09/22/pdfs/GMD-1810-265.pdf#page=3","Abrir facsímil")</f>
        <v>Abrir facsímil</v>
      </c>
      <c r="K9015" s="3" t="s">
        <v>76</v>
      </c>
    </row>
    <row r="9016" spans="1:11" ht="42" customHeight="1">
      <c r="A9016" s="2" t="s">
        <v>22695</v>
      </c>
      <c r="B9016" s="2" t="s">
        <v>22695</v>
      </c>
      <c r="C9016" s="2" t="s">
        <v>88</v>
      </c>
      <c r="D9016" s="2" t="s">
        <v>27</v>
      </c>
      <c r="E9016" s="4">
        <v>-32606</v>
      </c>
      <c r="F9016" s="3" t="s">
        <v>1676</v>
      </c>
      <c r="G9016" s="3" t="s">
        <v>180</v>
      </c>
      <c r="H9016" s="2" t="s">
        <v>74</v>
      </c>
      <c r="I9016" s="2" t="s">
        <v>22696</v>
      </c>
      <c r="J9016" s="3" t="str">
        <f>HYPERLINK("https://www.boe.es/gazeta/dias/1810/09/22/pdfs/GMD-1810-265.pdf#page=1","Abrir facsímil")</f>
        <v>Abrir facsímil</v>
      </c>
      <c r="K9016" s="3" t="s">
        <v>76</v>
      </c>
    </row>
    <row r="9017" spans="1:11" ht="42" customHeight="1">
      <c r="A9017" s="2" t="s">
        <v>22697</v>
      </c>
      <c r="B9017" s="2" t="s">
        <v>22697</v>
      </c>
      <c r="C9017" s="2" t="s">
        <v>88</v>
      </c>
      <c r="D9017" s="2" t="s">
        <v>27</v>
      </c>
      <c r="E9017" s="4">
        <v>-32541</v>
      </c>
      <c r="F9017" s="3" t="s">
        <v>748</v>
      </c>
      <c r="G9017" s="3" t="s">
        <v>749</v>
      </c>
      <c r="H9017" s="2" t="s">
        <v>74</v>
      </c>
      <c r="I9017" s="2" t="s">
        <v>22698</v>
      </c>
      <c r="J9017" s="3" t="str">
        <f>HYPERLINK("https://www.boe.es/gazeta/dias/1810/11/26/pdfs/GMD-1810-330.pdf#page=1","Abrir facsímil")</f>
        <v>Abrir facsímil</v>
      </c>
      <c r="K9017" s="3" t="s">
        <v>76</v>
      </c>
    </row>
    <row r="9018" spans="1:11" ht="42" customHeight="1">
      <c r="A9018" s="2" t="s">
        <v>22699</v>
      </c>
      <c r="B9018" s="2" t="s">
        <v>22699</v>
      </c>
      <c r="C9018" s="2" t="s">
        <v>111</v>
      </c>
      <c r="D9018" s="2" t="s">
        <v>27</v>
      </c>
      <c r="E9018" s="4">
        <v>-32844</v>
      </c>
      <c r="F9018" s="3" t="s">
        <v>4730</v>
      </c>
      <c r="G9018" s="3" t="s">
        <v>451</v>
      </c>
      <c r="H9018" s="2" t="s">
        <v>74</v>
      </c>
      <c r="I9018" s="2" t="s">
        <v>22700</v>
      </c>
      <c r="J9018" s="3" t="str">
        <f>HYPERLINK("https://www.boe.es/gazeta/dias/1810/01/27/pdfs/GMD-1810-27.pdf#page=3","Abrir facsímil")</f>
        <v>Abrir facsímil</v>
      </c>
      <c r="K9018" s="3" t="s">
        <v>76</v>
      </c>
    </row>
    <row r="9019" spans="1:11" ht="42" customHeight="1">
      <c r="A9019" s="2" t="s">
        <v>22701</v>
      </c>
      <c r="B9019" s="2" t="s">
        <v>22702</v>
      </c>
      <c r="C9019" s="2" t="s">
        <v>225</v>
      </c>
      <c r="D9019" s="2" t="s">
        <v>27</v>
      </c>
      <c r="E9019" s="4">
        <v>-32802</v>
      </c>
      <c r="F9019" s="3" t="s">
        <v>1075</v>
      </c>
      <c r="G9019" s="3" t="s">
        <v>35</v>
      </c>
      <c r="H9019" s="2" t="s">
        <v>74</v>
      </c>
      <c r="I9019" s="2" t="s">
        <v>22703</v>
      </c>
      <c r="J9019" s="3" t="str">
        <f>HYPERLINK("https://www.boe.es/gazeta/dias/1810/03/10/pdfs/GMD-1810-69.pdf#page=2","Abrir facsímil")</f>
        <v>Abrir facsímil</v>
      </c>
      <c r="K9019" s="3" t="s">
        <v>76</v>
      </c>
    </row>
    <row r="9020" spans="1:11" ht="42" customHeight="1">
      <c r="A9020" s="2" t="s">
        <v>22704</v>
      </c>
      <c r="B9020" s="2" t="s">
        <v>22705</v>
      </c>
      <c r="C9020" s="2" t="s">
        <v>26</v>
      </c>
      <c r="D9020" s="2" t="s">
        <v>39</v>
      </c>
      <c r="E9020" s="4">
        <v>-32661</v>
      </c>
      <c r="F9020" s="3" t="s">
        <v>157</v>
      </c>
      <c r="G9020" s="3" t="s">
        <v>592</v>
      </c>
      <c r="H9020" s="2" t="s">
        <v>74</v>
      </c>
      <c r="I9020" s="2" t="s">
        <v>22706</v>
      </c>
      <c r="J9020" s="3" t="str">
        <f>HYPERLINK("https://www.boe.es/gazeta/dias/1810/07/29/pdfs/GMD-C-1810-210.pdf#page=2","Abrir facsímil")</f>
        <v>Abrir facsímil</v>
      </c>
      <c r="K9020" s="3" t="s">
        <v>76</v>
      </c>
    </row>
    <row r="9021" spans="1:11" ht="42" customHeight="1">
      <c r="A9021" s="2" t="s">
        <v>22707</v>
      </c>
      <c r="B9021" s="2" t="s">
        <v>22708</v>
      </c>
      <c r="C9021" s="2" t="s">
        <v>88</v>
      </c>
      <c r="D9021" s="2" t="s">
        <v>27</v>
      </c>
      <c r="E9021" s="4">
        <v>-32520</v>
      </c>
      <c r="F9021" s="3" t="s">
        <v>2109</v>
      </c>
      <c r="G9021" s="3" t="s">
        <v>2110</v>
      </c>
      <c r="H9021" s="2" t="s">
        <v>74</v>
      </c>
      <c r="I9021" s="2" t="s">
        <v>22709</v>
      </c>
      <c r="J9021" s="3" t="str">
        <f>HYPERLINK("https://www.boe.es/gazeta/dias/1810/12/17/pdfs/GMD-1810-351.pdf#page=2","Abrir facsímil")</f>
        <v>Abrir facsímil</v>
      </c>
      <c r="K9021" s="3" t="s">
        <v>76</v>
      </c>
    </row>
    <row r="9022" spans="1:11" ht="42" customHeight="1">
      <c r="A9022" s="2" t="s">
        <v>22710</v>
      </c>
      <c r="B9022" s="2" t="s">
        <v>22710</v>
      </c>
      <c r="C9022" s="2" t="s">
        <v>33</v>
      </c>
      <c r="D9022" s="2" t="s">
        <v>39</v>
      </c>
      <c r="E9022" s="4">
        <v>-32665</v>
      </c>
      <c r="F9022" s="3" t="s">
        <v>22711</v>
      </c>
      <c r="G9022" s="3" t="s">
        <v>465</v>
      </c>
      <c r="H9022" s="2" t="s">
        <v>74</v>
      </c>
      <c r="I9022" s="2" t="s">
        <v>22712</v>
      </c>
      <c r="J9022" s="3" t="str">
        <f>HYPERLINK("https://www.boe.es/gazeta/dias/1810/07/25/pdfs/GMD-C-1810-206.pdf#page=4","Abrir facsímil")</f>
        <v>Abrir facsímil</v>
      </c>
      <c r="K9022" s="3" t="s">
        <v>76</v>
      </c>
    </row>
    <row r="9023" spans="1:11" ht="42" customHeight="1">
      <c r="A9023" s="2" t="s">
        <v>22713</v>
      </c>
      <c r="B9023" s="2" t="s">
        <v>22714</v>
      </c>
      <c r="C9023" s="2" t="s">
        <v>26</v>
      </c>
      <c r="D9023" s="2" t="s">
        <v>27</v>
      </c>
      <c r="E9023" s="4">
        <v>-32545</v>
      </c>
      <c r="F9023" s="3" t="s">
        <v>165</v>
      </c>
      <c r="G9023" s="3" t="s">
        <v>166</v>
      </c>
      <c r="H9023" s="2" t="s">
        <v>74</v>
      </c>
      <c r="I9023" s="2" t="s">
        <v>22715</v>
      </c>
      <c r="J9023" s="3" t="str">
        <f>HYPERLINK("https://www.boe.es/gazeta/dias/1810/11/22/pdfs/GEI-1810-98.pdf#page=8","Abrir facsímil")</f>
        <v>Abrir facsímil</v>
      </c>
      <c r="K9023" s="3" t="s">
        <v>76</v>
      </c>
    </row>
    <row r="9024" spans="1:11" ht="42" customHeight="1">
      <c r="A9024" s="2" t="s">
        <v>22716</v>
      </c>
      <c r="B9024" s="2" t="s">
        <v>22717</v>
      </c>
      <c r="C9024" s="2" t="s">
        <v>88</v>
      </c>
      <c r="D9024" s="2" t="s">
        <v>27</v>
      </c>
      <c r="E9024" s="4">
        <v>-32550</v>
      </c>
      <c r="F9024" s="3" t="s">
        <v>1472</v>
      </c>
      <c r="G9024" s="3" t="s">
        <v>1473</v>
      </c>
      <c r="H9024" s="2" t="s">
        <v>74</v>
      </c>
      <c r="I9024" s="2" t="s">
        <v>22718</v>
      </c>
      <c r="J9024" s="3" t="str">
        <f>HYPERLINK("https://www.boe.es/gazeta/dias/1810/11/17/pdfs/GEI-1810-96.pdf#page=8","Abrir facsímil")</f>
        <v>Abrir facsímil</v>
      </c>
      <c r="K9024" s="3" t="s">
        <v>76</v>
      </c>
    </row>
    <row r="9025" spans="1:11" ht="42" customHeight="1">
      <c r="A9025" s="2" t="s">
        <v>22719</v>
      </c>
      <c r="B9025" s="2" t="s">
        <v>22720</v>
      </c>
      <c r="C9025" s="2" t="s">
        <v>26</v>
      </c>
      <c r="D9025" s="2" t="s">
        <v>27</v>
      </c>
      <c r="E9025" s="4">
        <v>-32545</v>
      </c>
      <c r="F9025" s="3" t="s">
        <v>165</v>
      </c>
      <c r="G9025" s="3" t="s">
        <v>166</v>
      </c>
      <c r="H9025" s="2" t="s">
        <v>74</v>
      </c>
      <c r="I9025" s="2" t="s">
        <v>22721</v>
      </c>
      <c r="J9025" s="3" t="str">
        <f>HYPERLINK("https://www.boe.es/gazeta/dias/1810/11/22/pdfs/GEI-1810-98.pdf#page=8","Abrir facsímil")</f>
        <v>Abrir facsímil</v>
      </c>
      <c r="K9025" s="3" t="s">
        <v>76</v>
      </c>
    </row>
    <row r="9026" spans="1:11" ht="42" customHeight="1">
      <c r="A9026" s="2" t="s">
        <v>22722</v>
      </c>
      <c r="B9026" s="2" t="s">
        <v>22723</v>
      </c>
      <c r="C9026" s="2" t="s">
        <v>26</v>
      </c>
      <c r="D9026" s="2" t="s">
        <v>39</v>
      </c>
      <c r="E9026" s="4">
        <v>-32701</v>
      </c>
      <c r="F9026" s="3" t="s">
        <v>40</v>
      </c>
      <c r="G9026" s="3" t="s">
        <v>333</v>
      </c>
      <c r="H9026" s="2" t="s">
        <v>74</v>
      </c>
      <c r="I9026" s="2" t="s">
        <v>22724</v>
      </c>
      <c r="J9026" s="3" t="str">
        <f>HYPERLINK("https://www.boe.es/gazeta/dias/1810/06/19/pdfs/GMD-C-1810-170.pdf#page=4","Abrir facsímil")</f>
        <v>Abrir facsímil</v>
      </c>
      <c r="K9026" s="3" t="s">
        <v>76</v>
      </c>
    </row>
    <row r="9027" spans="1:11" ht="42" customHeight="1">
      <c r="A9027" s="2" t="s">
        <v>22725</v>
      </c>
      <c r="B9027" s="2" t="s">
        <v>22726</v>
      </c>
      <c r="C9027" s="2" t="s">
        <v>26</v>
      </c>
      <c r="D9027" s="2" t="s">
        <v>39</v>
      </c>
      <c r="E9027" s="4">
        <v>-32701</v>
      </c>
      <c r="F9027" s="3" t="s">
        <v>40</v>
      </c>
      <c r="G9027" s="3" t="s">
        <v>41</v>
      </c>
      <c r="H9027" s="2" t="s">
        <v>74</v>
      </c>
      <c r="I9027" s="2" t="s">
        <v>22727</v>
      </c>
      <c r="J9027" s="3" t="str">
        <f>HYPERLINK("https://www.boe.es/gazeta/dias/1810/06/19/pdfs/GMD-C-1810-170.pdf#page=3","Abrir facsímil")</f>
        <v>Abrir facsímil</v>
      </c>
      <c r="K9027" s="3" t="s">
        <v>76</v>
      </c>
    </row>
    <row r="9028" spans="1:11" ht="42" customHeight="1">
      <c r="A9028" s="2" t="s">
        <v>22725</v>
      </c>
      <c r="B9028" s="2" t="s">
        <v>22726</v>
      </c>
      <c r="C9028" s="2" t="s">
        <v>26</v>
      </c>
      <c r="D9028" s="2" t="s">
        <v>18</v>
      </c>
      <c r="E9028" s="4">
        <v>-32701</v>
      </c>
      <c r="F9028" s="3" t="s">
        <v>40</v>
      </c>
      <c r="G9028" s="3" t="s">
        <v>333</v>
      </c>
      <c r="H9028" s="2" t="s">
        <v>74</v>
      </c>
      <c r="I9028" s="2" t="s">
        <v>22728</v>
      </c>
      <c r="J9028" s="3" t="str">
        <f>HYPERLINK("https://www.boe.es/gazeta/dias/1810/06/19/pdfs/GMD-C-1810-170.pdf#page=4","Abrir facsímil")</f>
        <v>Abrir facsímil</v>
      </c>
      <c r="K9028" s="3" t="s">
        <v>76</v>
      </c>
    </row>
    <row r="9029" spans="1:11" ht="42" customHeight="1">
      <c r="A9029" s="2" t="s">
        <v>22729</v>
      </c>
      <c r="B9029" s="2" t="s">
        <v>22730</v>
      </c>
      <c r="C9029" s="2" t="s">
        <v>26</v>
      </c>
      <c r="D9029" s="2" t="s">
        <v>27</v>
      </c>
      <c r="E9029" s="4">
        <v>-32545</v>
      </c>
      <c r="F9029" s="3" t="s">
        <v>165</v>
      </c>
      <c r="G9029" s="3" t="s">
        <v>166</v>
      </c>
      <c r="H9029" s="2" t="s">
        <v>74</v>
      </c>
      <c r="I9029" s="2" t="s">
        <v>22731</v>
      </c>
      <c r="J9029" s="3" t="str">
        <f>HYPERLINK("https://www.boe.es/gazeta/dias/1810/11/22/pdfs/GEI-1810-98.pdf#page=8","Abrir facsímil")</f>
        <v>Abrir facsímil</v>
      </c>
      <c r="K9029" s="3" t="s">
        <v>76</v>
      </c>
    </row>
    <row r="9030" spans="1:11" ht="42" customHeight="1">
      <c r="A9030" s="2" t="s">
        <v>22732</v>
      </c>
      <c r="B9030" s="2" t="s">
        <v>22733</v>
      </c>
      <c r="C9030" s="2" t="s">
        <v>26</v>
      </c>
      <c r="D9030" s="2" t="s">
        <v>27</v>
      </c>
      <c r="E9030" s="4">
        <v>-32545</v>
      </c>
      <c r="F9030" s="3" t="s">
        <v>165</v>
      </c>
      <c r="G9030" s="3" t="s">
        <v>166</v>
      </c>
      <c r="H9030" s="2" t="s">
        <v>74</v>
      </c>
      <c r="I9030" s="2" t="s">
        <v>22734</v>
      </c>
      <c r="J9030" s="3" t="str">
        <f>HYPERLINK("https://www.boe.es/gazeta/dias/1810/11/22/pdfs/GEI-1810-98.pdf#page=8","Abrir facsímil")</f>
        <v>Abrir facsímil</v>
      </c>
      <c r="K9030" s="3" t="s">
        <v>76</v>
      </c>
    </row>
    <row r="9031" spans="1:11" ht="42" customHeight="1">
      <c r="A9031" s="2" t="s">
        <v>22735</v>
      </c>
      <c r="B9031" s="2" t="s">
        <v>22735</v>
      </c>
      <c r="C9031" s="2" t="s">
        <v>88</v>
      </c>
      <c r="D9031" s="2" t="s">
        <v>117</v>
      </c>
      <c r="E9031" s="4">
        <v>-32610</v>
      </c>
      <c r="F9031" s="3" t="s">
        <v>7879</v>
      </c>
      <c r="G9031" s="3" t="s">
        <v>613</v>
      </c>
      <c r="H9031" s="2" t="s">
        <v>74</v>
      </c>
      <c r="I9031" s="2" t="s">
        <v>22736</v>
      </c>
      <c r="J9031" s="3" t="str">
        <f>HYPERLINK("https://www.boe.es/gazeta/dias/1810/09/18/pdfs/GMD-1810-261.pdf#page=1","Abrir facsímil")</f>
        <v>Abrir facsímil</v>
      </c>
      <c r="K9031" s="3" t="s">
        <v>76</v>
      </c>
    </row>
    <row r="9032" spans="1:11" ht="42" customHeight="1">
      <c r="A9032" s="2" t="s">
        <v>22737</v>
      </c>
      <c r="B9032" s="2" t="s">
        <v>22737</v>
      </c>
      <c r="C9032" s="2" t="s">
        <v>88</v>
      </c>
      <c r="D9032" s="2" t="s">
        <v>27</v>
      </c>
      <c r="E9032" s="4">
        <v>-32630</v>
      </c>
      <c r="F9032" s="3" t="s">
        <v>3542</v>
      </c>
      <c r="G9032" s="3" t="s">
        <v>1464</v>
      </c>
      <c r="H9032" s="2" t="s">
        <v>74</v>
      </c>
      <c r="I9032" s="2" t="s">
        <v>22738</v>
      </c>
      <c r="J9032" s="3" t="str">
        <f>HYPERLINK("https://www.boe.es/gazeta/dias/1810/08/29/pdfs/GMD-1810-241.pdf#page=1","Abrir facsímil")</f>
        <v>Abrir facsímil</v>
      </c>
      <c r="K9032" s="3" t="s">
        <v>76</v>
      </c>
    </row>
    <row r="9033" spans="1:11" ht="42" customHeight="1">
      <c r="A9033" s="2" t="s">
        <v>22739</v>
      </c>
      <c r="B9033" s="2" t="s">
        <v>22739</v>
      </c>
      <c r="C9033" s="2" t="s">
        <v>317</v>
      </c>
      <c r="D9033" s="2" t="s">
        <v>27</v>
      </c>
      <c r="E9033" s="4">
        <v>-32549</v>
      </c>
      <c r="F9033" s="3" t="s">
        <v>1237</v>
      </c>
      <c r="G9033" s="3" t="s">
        <v>735</v>
      </c>
      <c r="H9033" s="2" t="s">
        <v>74</v>
      </c>
      <c r="I9033" s="2" t="s">
        <v>22740</v>
      </c>
      <c r="J9033" s="3" t="str">
        <f>HYPERLINK("https://www.boe.es/gazeta/dias/1810/11/18/pdfs/GMD-1810-322.pdf#page=1","Abrir facsímil")</f>
        <v>Abrir facsímil</v>
      </c>
      <c r="K9033" s="3" t="s">
        <v>76</v>
      </c>
    </row>
    <row r="9034" spans="1:11" ht="42" customHeight="1">
      <c r="A9034" s="2" t="s">
        <v>22739</v>
      </c>
      <c r="B9034" s="2" t="s">
        <v>22739</v>
      </c>
      <c r="C9034" s="2" t="s">
        <v>317</v>
      </c>
      <c r="D9034" s="2" t="s">
        <v>27</v>
      </c>
      <c r="E9034" s="4">
        <v>-32538</v>
      </c>
      <c r="F9034" s="3" t="s">
        <v>17740</v>
      </c>
      <c r="G9034" s="3" t="s">
        <v>17741</v>
      </c>
      <c r="H9034" s="2" t="s">
        <v>74</v>
      </c>
      <c r="I9034" s="2" t="s">
        <v>22741</v>
      </c>
      <c r="J9034" s="3" t="str">
        <f>HYPERLINK("https://www.boe.es/gazeta/dias/1810/11/29/pdfs/GMD-1810-333.pdf#page=1","Abrir facsímil")</f>
        <v>Abrir facsímil</v>
      </c>
      <c r="K9034" s="3" t="s">
        <v>76</v>
      </c>
    </row>
    <row r="9035" spans="1:11" ht="42" customHeight="1">
      <c r="A9035" s="2" t="s">
        <v>22742</v>
      </c>
      <c r="B9035" s="2" t="s">
        <v>22743</v>
      </c>
      <c r="C9035" s="2" t="s">
        <v>195</v>
      </c>
      <c r="D9035" s="2" t="s">
        <v>27</v>
      </c>
      <c r="E9035" s="4">
        <v>-32517</v>
      </c>
      <c r="F9035" s="3" t="s">
        <v>566</v>
      </c>
      <c r="G9035" s="3" t="s">
        <v>762</v>
      </c>
      <c r="H9035" s="2" t="s">
        <v>74</v>
      </c>
      <c r="I9035" s="2" t="s">
        <v>22744</v>
      </c>
      <c r="J9035" s="3" t="str">
        <f>HYPERLINK("https://www.boe.es/gazeta/dias/1810/12/20/pdfs/GEI-1810-110.pdf#page=8","Abrir facsímil")</f>
        <v>Abrir facsímil</v>
      </c>
      <c r="K9035" s="3" t="s">
        <v>76</v>
      </c>
    </row>
    <row r="9036" spans="1:11" ht="42" customHeight="1">
      <c r="A9036" s="2" t="s">
        <v>22745</v>
      </c>
      <c r="B9036" s="2" t="s">
        <v>22746</v>
      </c>
      <c r="C9036" s="2" t="s">
        <v>26</v>
      </c>
      <c r="D9036" s="2" t="s">
        <v>27</v>
      </c>
      <c r="E9036" s="4">
        <v>-32526</v>
      </c>
      <c r="F9036" s="3" t="s">
        <v>530</v>
      </c>
      <c r="G9036" s="3" t="s">
        <v>531</v>
      </c>
      <c r="H9036" s="2" t="s">
        <v>74</v>
      </c>
      <c r="I9036" s="2" t="s">
        <v>22747</v>
      </c>
      <c r="J9036" s="3" t="str">
        <f>HYPERLINK("https://www.boe.es/gazeta/dias/1810/12/11/pdfs/GEI-1810-106.pdf#page=2","Abrir facsímil")</f>
        <v>Abrir facsímil</v>
      </c>
      <c r="K9036" s="3" t="s">
        <v>76</v>
      </c>
    </row>
    <row r="9037" spans="1:11" ht="42" customHeight="1">
      <c r="A9037" s="2" t="s">
        <v>22748</v>
      </c>
      <c r="B9037" s="2" t="s">
        <v>22749</v>
      </c>
      <c r="C9037" s="2" t="s">
        <v>26</v>
      </c>
      <c r="D9037" s="2" t="s">
        <v>27</v>
      </c>
      <c r="E9037" s="4">
        <v>-32710</v>
      </c>
      <c r="F9037" s="3" t="s">
        <v>126</v>
      </c>
      <c r="G9037" s="3" t="s">
        <v>35</v>
      </c>
      <c r="H9037" s="2" t="s">
        <v>74</v>
      </c>
      <c r="I9037" s="2" t="s">
        <v>22750</v>
      </c>
      <c r="J9037" s="3" t="str">
        <f>HYPERLINK("https://www.boe.es/gazeta/dias/1810/06/10/pdfs/GMD-1810-161.pdf#page=2","Abrir facsímil")</f>
        <v>Abrir facsímil</v>
      </c>
      <c r="K9037" s="3" t="s">
        <v>76</v>
      </c>
    </row>
    <row r="9038" spans="1:11" ht="42" customHeight="1">
      <c r="A9038" s="2" t="s">
        <v>22751</v>
      </c>
      <c r="B9038" s="2" t="s">
        <v>22752</v>
      </c>
      <c r="C9038" s="2" t="s">
        <v>88</v>
      </c>
      <c r="D9038" s="2" t="s">
        <v>27</v>
      </c>
      <c r="E9038" s="4">
        <v>-32710</v>
      </c>
      <c r="F9038" s="3" t="s">
        <v>126</v>
      </c>
      <c r="G9038" s="3" t="s">
        <v>184</v>
      </c>
      <c r="H9038" s="2" t="s">
        <v>74</v>
      </c>
      <c r="I9038" s="2" t="s">
        <v>22753</v>
      </c>
      <c r="J9038" s="3" t="str">
        <f>HYPERLINK("https://www.boe.es/gazeta/dias/1810/06/10/pdfs/GMD-1810-161.pdf#page=3","Abrir facsímil")</f>
        <v>Abrir facsímil</v>
      </c>
      <c r="K9038" s="3" t="s">
        <v>76</v>
      </c>
    </row>
    <row r="9039" spans="1:11" ht="42" customHeight="1">
      <c r="A9039" s="2" t="s">
        <v>22754</v>
      </c>
      <c r="B9039" s="2" t="s">
        <v>22755</v>
      </c>
      <c r="C9039" s="2" t="s">
        <v>17</v>
      </c>
      <c r="D9039" s="2" t="s">
        <v>27</v>
      </c>
      <c r="E9039" s="4">
        <v>-32618</v>
      </c>
      <c r="F9039" s="3" t="s">
        <v>1501</v>
      </c>
      <c r="G9039" s="3" t="s">
        <v>20</v>
      </c>
      <c r="H9039" s="2" t="s">
        <v>74</v>
      </c>
      <c r="I9039" s="2" t="s">
        <v>22756</v>
      </c>
      <c r="J9039" s="3" t="str">
        <f>HYPERLINK("https://www.boe.es/gazeta/dias/1810/09/10/pdfs/GMD-1810-253.pdf#page=4","Abrir facsímil")</f>
        <v>Abrir facsímil</v>
      </c>
      <c r="K9039" s="3" t="s">
        <v>76</v>
      </c>
    </row>
    <row r="9040" spans="1:11" ht="42" customHeight="1">
      <c r="A9040" s="2" t="s">
        <v>22757</v>
      </c>
      <c r="B9040" s="2" t="s">
        <v>22757</v>
      </c>
      <c r="C9040" s="2" t="s">
        <v>88</v>
      </c>
      <c r="D9040" s="2" t="s">
        <v>27</v>
      </c>
      <c r="E9040" s="4">
        <v>-32712</v>
      </c>
      <c r="F9040" s="3" t="s">
        <v>6411</v>
      </c>
      <c r="G9040" s="3" t="s">
        <v>735</v>
      </c>
      <c r="H9040" s="2" t="s">
        <v>74</v>
      </c>
      <c r="I9040" s="2" t="s">
        <v>22758</v>
      </c>
      <c r="J9040" s="3" t="str">
        <f>HYPERLINK("https://www.boe.es/gazeta/dias/1810/06/08/pdfs/GMD-1810-159.pdf#page=4","Abrir facsímil")</f>
        <v>Abrir facsímil</v>
      </c>
      <c r="K9040" s="3" t="s">
        <v>76</v>
      </c>
    </row>
    <row r="9041" spans="1:11" ht="42" customHeight="1">
      <c r="A9041" s="2" t="s">
        <v>22759</v>
      </c>
      <c r="B9041" s="2" t="s">
        <v>22759</v>
      </c>
      <c r="C9041" s="2" t="s">
        <v>88</v>
      </c>
      <c r="D9041" s="2" t="s">
        <v>27</v>
      </c>
      <c r="E9041" s="4">
        <v>-32711</v>
      </c>
      <c r="F9041" s="3" t="s">
        <v>1888</v>
      </c>
      <c r="G9041" s="3" t="s">
        <v>517</v>
      </c>
      <c r="H9041" s="2" t="s">
        <v>74</v>
      </c>
      <c r="I9041" s="2" t="s">
        <v>22760</v>
      </c>
      <c r="J9041" s="3" t="str">
        <f>HYPERLINK("https://www.boe.es/gazeta/dias/1810/06/09/pdfs/GMD-1810-160.pdf#page=1","Abrir facsímil")</f>
        <v>Abrir facsímil</v>
      </c>
      <c r="K9041" s="3" t="s">
        <v>76</v>
      </c>
    </row>
    <row r="9042" spans="1:11" ht="42" customHeight="1">
      <c r="A9042" s="2" t="s">
        <v>22759</v>
      </c>
      <c r="B9042" s="2" t="s">
        <v>22759</v>
      </c>
      <c r="C9042" s="2" t="s">
        <v>225</v>
      </c>
      <c r="D9042" s="2" t="s">
        <v>220</v>
      </c>
      <c r="E9042" s="4">
        <v>-32531</v>
      </c>
      <c r="F9042" s="3" t="s">
        <v>2023</v>
      </c>
      <c r="G9042" s="3" t="s">
        <v>180</v>
      </c>
      <c r="H9042" s="2" t="s">
        <v>74</v>
      </c>
      <c r="I9042" s="2" t="s">
        <v>22761</v>
      </c>
      <c r="J9042" s="3" t="str">
        <f>HYPERLINK("https://www.boe.es/gazeta/dias/1810/12/06/pdfs/GMD-1810-340.pdf#page=1","Abrir facsímil")</f>
        <v>Abrir facsímil</v>
      </c>
      <c r="K9042" s="3" t="s">
        <v>76</v>
      </c>
    </row>
  </sheetData>
  <mergeCells count="4">
    <mergeCell ref="A1:K1"/>
    <mergeCell ref="A2:K2"/>
    <mergeCell ref="A3:K3"/>
    <mergeCell ref="A4:K4"/>
  </mergeCells>
  <conditionalFormatting sqref="K7:K9042">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64"/>
  <sheetViews>
    <sheetView showGridLines="0" workbookViewId="0">
      <pane ySplit="4" topLeftCell="A5" activePane="bottomLeft" state="frozen"/>
      <selection pane="bottomLeft"/>
    </sheetView>
  </sheetViews>
  <sheetFormatPr baseColWidth="10" defaultColWidth="9" defaultRowHeight="14.25"/>
  <cols>
    <col min="1" max="1" width="22" customWidth="1"/>
    <col min="2" max="2" width="38" customWidth="1"/>
    <col min="3" max="3" width="28" customWidth="1"/>
    <col min="4" max="4" width="13" customWidth="1"/>
    <col min="5" max="5" width="20" customWidth="1"/>
    <col min="6" max="6" width="18" customWidth="1"/>
  </cols>
  <sheetData>
    <row r="1" spans="1:6" ht="30" customHeight="1">
      <c r="A1" s="7" t="s">
        <v>22762</v>
      </c>
      <c r="B1" s="7"/>
      <c r="C1" s="7"/>
      <c r="D1" s="7"/>
      <c r="E1" s="7"/>
      <c r="F1" s="7"/>
    </row>
    <row r="2" spans="1:6" ht="21.95" customHeight="1">
      <c r="A2" s="11" t="s">
        <v>22763</v>
      </c>
      <c r="B2" s="11"/>
      <c r="C2" s="11"/>
      <c r="D2" s="11"/>
      <c r="E2" s="11"/>
      <c r="F2" s="11"/>
    </row>
    <row r="4" spans="1:6" ht="30" customHeight="1">
      <c r="A4" s="1" t="s">
        <v>8</v>
      </c>
      <c r="B4" s="1" t="s">
        <v>9</v>
      </c>
      <c r="C4" s="1" t="s">
        <v>22764</v>
      </c>
      <c r="D4" s="1" t="s">
        <v>22765</v>
      </c>
      <c r="E4" s="1" t="s">
        <v>22766</v>
      </c>
      <c r="F4" s="1" t="s">
        <v>22767</v>
      </c>
    </row>
    <row r="5" spans="1:6" ht="30.95" customHeight="1">
      <c r="A5" s="5">
        <v>-32870</v>
      </c>
      <c r="B5" s="2" t="s">
        <v>8179</v>
      </c>
      <c r="C5" s="2" t="s">
        <v>22768</v>
      </c>
      <c r="D5" s="3">
        <v>4</v>
      </c>
      <c r="E5" s="3">
        <v>1</v>
      </c>
      <c r="F5" s="3" t="str">
        <f>HYPERLINK("https://www.boe.es/gazeta/dias/1810/01/01/pdfs/GMD-1810-1.pdf","Abrir PDF")</f>
        <v>Abrir PDF</v>
      </c>
    </row>
    <row r="6" spans="1:6" ht="30.95" customHeight="1">
      <c r="A6" s="5">
        <v>-32869</v>
      </c>
      <c r="B6" s="2" t="s">
        <v>22769</v>
      </c>
      <c r="C6" s="2" t="s">
        <v>22770</v>
      </c>
      <c r="D6" s="3">
        <v>4</v>
      </c>
      <c r="E6" s="3">
        <v>0</v>
      </c>
      <c r="F6" s="3" t="str">
        <f>HYPERLINK("https://www.boe.es/gazeta/dias/1810/01/02/pdfs/GMD-1810-2.pdf","Abrir PDF")</f>
        <v>Abrir PDF</v>
      </c>
    </row>
    <row r="7" spans="1:6" ht="30.95" customHeight="1">
      <c r="A7" s="5">
        <v>-32869</v>
      </c>
      <c r="B7" s="2" t="s">
        <v>5318</v>
      </c>
      <c r="C7" s="2" t="s">
        <v>22771</v>
      </c>
      <c r="D7" s="3">
        <v>8</v>
      </c>
      <c r="E7" s="3">
        <v>13</v>
      </c>
      <c r="F7" s="3" t="str">
        <f>HYPERLINK("https://www.boe.es/gazeta/dias/1810/01/02/pdfs/GGB-1810-1.pdf","Abrir PDF")</f>
        <v>Abrir PDF</v>
      </c>
    </row>
    <row r="8" spans="1:6" ht="30.95" customHeight="1">
      <c r="A8" s="5">
        <v>-32868</v>
      </c>
      <c r="B8" s="2" t="s">
        <v>22772</v>
      </c>
      <c r="C8" s="2" t="s">
        <v>22773</v>
      </c>
      <c r="D8" s="3">
        <v>4</v>
      </c>
      <c r="E8" s="3">
        <v>0</v>
      </c>
      <c r="F8" s="3" t="str">
        <f>HYPERLINK("https://www.boe.es/gazeta/dias/1810/01/03/pdfs/GMD-1810-3.pdf","Abrir PDF")</f>
        <v>Abrir PDF</v>
      </c>
    </row>
    <row r="9" spans="1:6" ht="30.95" customHeight="1">
      <c r="A9" s="5">
        <v>-32867</v>
      </c>
      <c r="B9" s="2" t="s">
        <v>3857</v>
      </c>
      <c r="C9" s="2" t="s">
        <v>22774</v>
      </c>
      <c r="D9" s="3">
        <v>4</v>
      </c>
      <c r="E9" s="3">
        <v>4</v>
      </c>
      <c r="F9" s="3" t="str">
        <f>HYPERLINK("https://www.boe.es/gazeta/dias/1810/01/04/pdfs/GMD-1810-4.pdf","Abrir PDF")</f>
        <v>Abrir PDF</v>
      </c>
    </row>
    <row r="10" spans="1:6" ht="30.95" customHeight="1">
      <c r="A10" s="5">
        <v>-32867</v>
      </c>
      <c r="B10" s="2" t="s">
        <v>712</v>
      </c>
      <c r="C10" s="2" t="s">
        <v>22775</v>
      </c>
      <c r="D10" s="3">
        <v>8</v>
      </c>
      <c r="E10" s="3">
        <v>21</v>
      </c>
      <c r="F10" s="3" t="str">
        <f>HYPERLINK("https://www.boe.es/gazeta/dias/1810/01/04/pdfs/GGB-1810-2.pdf","Abrir PDF")</f>
        <v>Abrir PDF</v>
      </c>
    </row>
    <row r="11" spans="1:6" ht="30.95" customHeight="1">
      <c r="A11" s="5">
        <v>-32866</v>
      </c>
      <c r="B11" s="2" t="s">
        <v>6818</v>
      </c>
      <c r="C11" s="2" t="s">
        <v>22776</v>
      </c>
      <c r="D11" s="3">
        <v>4</v>
      </c>
      <c r="E11" s="3">
        <v>3</v>
      </c>
      <c r="F11" s="3" t="str">
        <f>HYPERLINK("https://www.boe.es/gazeta/dias/1810/01/05/pdfs/GMD-1810-5.pdf","Abrir PDF")</f>
        <v>Abrir PDF</v>
      </c>
    </row>
    <row r="12" spans="1:6" ht="30.95" customHeight="1">
      <c r="A12" s="5">
        <v>-32865</v>
      </c>
      <c r="B12" s="2" t="s">
        <v>1377</v>
      </c>
      <c r="C12" s="2" t="s">
        <v>22777</v>
      </c>
      <c r="D12" s="3">
        <v>8</v>
      </c>
      <c r="E12" s="3">
        <v>23</v>
      </c>
      <c r="F12" s="3" t="str">
        <f>HYPERLINK("https://www.boe.es/gazeta/dias/1810/01/06/pdfs/GMD-1810-6.pdf","Abrir PDF")</f>
        <v>Abrir PDF</v>
      </c>
    </row>
    <row r="13" spans="1:6" ht="30.95" customHeight="1">
      <c r="A13" s="5">
        <v>-32865</v>
      </c>
      <c r="B13" s="2" t="s">
        <v>4391</v>
      </c>
      <c r="C13" s="2" t="s">
        <v>22778</v>
      </c>
      <c r="D13" s="3">
        <v>8</v>
      </c>
      <c r="E13" s="3">
        <v>9</v>
      </c>
      <c r="F13" s="3" t="str">
        <f>HYPERLINK("https://www.boe.es/gazeta/dias/1810/01/06/pdfs/GGB-1810-3.pdf","Abrir PDF")</f>
        <v>Abrir PDF</v>
      </c>
    </row>
    <row r="14" spans="1:6" ht="30.95" customHeight="1">
      <c r="A14" s="5">
        <v>-32865</v>
      </c>
      <c r="B14" s="2" t="s">
        <v>5499</v>
      </c>
      <c r="C14" s="2" t="s">
        <v>22779</v>
      </c>
      <c r="D14" s="3">
        <v>4</v>
      </c>
      <c r="E14" s="3">
        <v>3</v>
      </c>
      <c r="F14" s="3" t="str">
        <f>HYPERLINK("https://www.boe.es/gazeta/dias/1810/01/06/pdfs/GGB-E-1810-3.pdf","Abrir PDF")</f>
        <v>Abrir PDF</v>
      </c>
    </row>
    <row r="15" spans="1:6" ht="30.95" customHeight="1">
      <c r="A15" s="5">
        <v>-32864</v>
      </c>
      <c r="B15" s="2" t="s">
        <v>10883</v>
      </c>
      <c r="C15" s="2" t="s">
        <v>22780</v>
      </c>
      <c r="D15" s="3">
        <v>4</v>
      </c>
      <c r="E15" s="3">
        <v>1</v>
      </c>
      <c r="F15" s="3" t="str">
        <f>HYPERLINK("https://www.boe.es/gazeta/dias/1810/01/07/pdfs/GMD-1810-7.pdf","Abrir PDF")</f>
        <v>Abrir PDF</v>
      </c>
    </row>
    <row r="16" spans="1:6" ht="30.95" customHeight="1">
      <c r="A16" s="5">
        <v>-32863</v>
      </c>
      <c r="B16" s="2" t="s">
        <v>2391</v>
      </c>
      <c r="C16" s="2" t="s">
        <v>22781</v>
      </c>
      <c r="D16" s="3">
        <v>4</v>
      </c>
      <c r="E16" s="3">
        <v>11</v>
      </c>
      <c r="F16" s="3" t="str">
        <f>HYPERLINK("https://www.boe.es/gazeta/dias/1810/01/08/pdfs/GMD-1810-8.pdf","Abrir PDF")</f>
        <v>Abrir PDF</v>
      </c>
    </row>
    <row r="17" spans="1:6" ht="30.95" customHeight="1">
      <c r="A17" s="5">
        <v>-32862</v>
      </c>
      <c r="B17" s="2" t="s">
        <v>878</v>
      </c>
      <c r="C17" s="2" t="s">
        <v>22782</v>
      </c>
      <c r="D17" s="3">
        <v>4</v>
      </c>
      <c r="E17" s="3">
        <v>15</v>
      </c>
      <c r="F17" s="3" t="str">
        <f>HYPERLINK("https://www.boe.es/gazeta/dias/1810/01/09/pdfs/GMD-1810-9.pdf","Abrir PDF")</f>
        <v>Abrir PDF</v>
      </c>
    </row>
    <row r="18" spans="1:6" ht="30.95" customHeight="1">
      <c r="A18" s="5">
        <v>-32862</v>
      </c>
      <c r="B18" s="2" t="s">
        <v>694</v>
      </c>
      <c r="C18" s="2" t="s">
        <v>22783</v>
      </c>
      <c r="D18" s="3">
        <v>8</v>
      </c>
      <c r="E18" s="3">
        <v>16</v>
      </c>
      <c r="F18" s="3" t="str">
        <f>HYPERLINK("https://www.boe.es/gazeta/dias/1810/01/09/pdfs/GGB-1810-4.pdf","Abrir PDF")</f>
        <v>Abrir PDF</v>
      </c>
    </row>
    <row r="19" spans="1:6" ht="30.95" customHeight="1">
      <c r="A19" s="5">
        <v>-32861</v>
      </c>
      <c r="B19" s="2" t="s">
        <v>796</v>
      </c>
      <c r="C19" s="2" t="s">
        <v>22784</v>
      </c>
      <c r="D19" s="3">
        <v>4</v>
      </c>
      <c r="E19" s="3">
        <v>37</v>
      </c>
      <c r="F19" s="3" t="str">
        <f>HYPERLINK("https://www.boe.es/gazeta/dias/1810/01/10/pdfs/GMD-1810-10.pdf","Abrir PDF")</f>
        <v>Abrir PDF</v>
      </c>
    </row>
    <row r="20" spans="1:6" ht="30.95" customHeight="1">
      <c r="A20" s="5">
        <v>-32860</v>
      </c>
      <c r="B20" s="2" t="s">
        <v>3662</v>
      </c>
      <c r="C20" s="2" t="s">
        <v>22785</v>
      </c>
      <c r="D20" s="3">
        <v>4</v>
      </c>
      <c r="E20" s="3">
        <v>4</v>
      </c>
      <c r="F20" s="3" t="str">
        <f>HYPERLINK("https://www.boe.es/gazeta/dias/1810/01/11/pdfs/GMD-1810-11.pdf","Abrir PDF")</f>
        <v>Abrir PDF</v>
      </c>
    </row>
    <row r="21" spans="1:6" ht="30.95" customHeight="1">
      <c r="A21" s="5">
        <v>-32860</v>
      </c>
      <c r="B21" s="2" t="s">
        <v>504</v>
      </c>
      <c r="C21" s="2" t="s">
        <v>22786</v>
      </c>
      <c r="D21" s="3">
        <v>8</v>
      </c>
      <c r="E21" s="3">
        <v>12</v>
      </c>
      <c r="F21" s="3" t="str">
        <f>HYPERLINK("https://www.boe.es/gazeta/dias/1810/01/11/pdfs/GGB-1810-5.pdf","Abrir PDF")</f>
        <v>Abrir PDF</v>
      </c>
    </row>
    <row r="22" spans="1:6" ht="30.95" customHeight="1">
      <c r="A22" s="5">
        <v>-32859</v>
      </c>
      <c r="B22" s="2" t="s">
        <v>914</v>
      </c>
      <c r="C22" s="2" t="s">
        <v>22787</v>
      </c>
      <c r="D22" s="3">
        <v>4</v>
      </c>
      <c r="E22" s="3">
        <v>2</v>
      </c>
      <c r="F22" s="3" t="str">
        <f>HYPERLINK("https://www.boe.es/gazeta/dias/1810/01/12/pdfs/GMD-1810-12.pdf","Abrir PDF")</f>
        <v>Abrir PDF</v>
      </c>
    </row>
    <row r="23" spans="1:6" ht="30.95" customHeight="1">
      <c r="A23" s="5">
        <v>-32858</v>
      </c>
      <c r="B23" s="2" t="s">
        <v>3069</v>
      </c>
      <c r="C23" s="2" t="s">
        <v>22788</v>
      </c>
      <c r="D23" s="3">
        <v>4</v>
      </c>
      <c r="E23" s="3">
        <v>7</v>
      </c>
      <c r="F23" s="3" t="str">
        <f>HYPERLINK("https://www.boe.es/gazeta/dias/1810/01/13/pdfs/GMD-1810-13.pdf","Abrir PDF")</f>
        <v>Abrir PDF</v>
      </c>
    </row>
    <row r="24" spans="1:6" ht="30.95" customHeight="1">
      <c r="A24" s="5">
        <v>-32858</v>
      </c>
      <c r="B24" s="2" t="s">
        <v>4182</v>
      </c>
      <c r="C24" s="2" t="s">
        <v>22789</v>
      </c>
      <c r="D24" s="3">
        <v>12</v>
      </c>
      <c r="E24" s="3">
        <v>17</v>
      </c>
      <c r="F24" s="3" t="str">
        <f>HYPERLINK("https://www.boe.es/gazeta/dias/1810/01/13/pdfs/GGB-1810-6.pdf","Abrir PDF")</f>
        <v>Abrir PDF</v>
      </c>
    </row>
    <row r="25" spans="1:6" ht="30.95" customHeight="1">
      <c r="A25" s="5">
        <v>-32857</v>
      </c>
      <c r="B25" s="2" t="s">
        <v>1100</v>
      </c>
      <c r="C25" s="2" t="s">
        <v>22790</v>
      </c>
      <c r="D25" s="3">
        <v>4</v>
      </c>
      <c r="E25" s="3">
        <v>3</v>
      </c>
      <c r="F25" s="3" t="str">
        <f>HYPERLINK("https://www.boe.es/gazeta/dias/1810/01/14/pdfs/GMD-1810-14.pdf","Abrir PDF")</f>
        <v>Abrir PDF</v>
      </c>
    </row>
    <row r="26" spans="1:6" ht="30.95" customHeight="1">
      <c r="A26" s="5">
        <v>-32856</v>
      </c>
      <c r="B26" s="2" t="s">
        <v>963</v>
      </c>
      <c r="C26" s="2" t="s">
        <v>22791</v>
      </c>
      <c r="D26" s="3">
        <v>4</v>
      </c>
      <c r="E26" s="3">
        <v>6</v>
      </c>
      <c r="F26" s="3" t="str">
        <f>HYPERLINK("https://www.boe.es/gazeta/dias/1810/01/15/pdfs/GMD-1810-15.pdf","Abrir PDF")</f>
        <v>Abrir PDF</v>
      </c>
    </row>
    <row r="27" spans="1:6" ht="30.95" customHeight="1">
      <c r="A27" s="5">
        <v>-32855</v>
      </c>
      <c r="B27" s="2" t="s">
        <v>4239</v>
      </c>
      <c r="C27" s="2" t="s">
        <v>22792</v>
      </c>
      <c r="D27" s="3">
        <v>4</v>
      </c>
      <c r="E27" s="3">
        <v>9</v>
      </c>
      <c r="F27" s="3" t="str">
        <f>HYPERLINK("https://www.boe.es/gazeta/dias/1810/01/16/pdfs/GMD-1810-16.pdf","Abrir PDF")</f>
        <v>Abrir PDF</v>
      </c>
    </row>
    <row r="28" spans="1:6" ht="30.95" customHeight="1">
      <c r="A28" s="5">
        <v>-32855</v>
      </c>
      <c r="B28" s="2" t="s">
        <v>3911</v>
      </c>
      <c r="C28" s="2" t="s">
        <v>22793</v>
      </c>
      <c r="D28" s="3">
        <v>8</v>
      </c>
      <c r="E28" s="3">
        <v>10</v>
      </c>
      <c r="F28" s="3" t="str">
        <f>HYPERLINK("https://www.boe.es/gazeta/dias/1810/01/16/pdfs/GGB-1810-7.pdf","Abrir PDF")</f>
        <v>Abrir PDF</v>
      </c>
    </row>
    <row r="29" spans="1:6" ht="30.95" customHeight="1">
      <c r="A29" s="5">
        <v>-32854</v>
      </c>
      <c r="B29" s="2" t="s">
        <v>11701</v>
      </c>
      <c r="C29" s="2" t="s">
        <v>22794</v>
      </c>
      <c r="D29" s="3">
        <v>4</v>
      </c>
      <c r="E29" s="3">
        <v>4</v>
      </c>
      <c r="F29" s="3" t="str">
        <f>HYPERLINK("https://www.boe.es/gazeta/dias/1810/01/17/pdfs/GMD-1810-17.pdf","Abrir PDF")</f>
        <v>Abrir PDF</v>
      </c>
    </row>
    <row r="30" spans="1:6" ht="30.95" customHeight="1">
      <c r="A30" s="5">
        <v>-32853</v>
      </c>
      <c r="B30" s="2" t="s">
        <v>12771</v>
      </c>
      <c r="C30" s="2" t="s">
        <v>22795</v>
      </c>
      <c r="D30" s="3">
        <v>4</v>
      </c>
      <c r="E30" s="3">
        <v>5</v>
      </c>
      <c r="F30" s="3" t="str">
        <f>HYPERLINK("https://www.boe.es/gazeta/dias/1810/01/18/pdfs/GMD-1810-18.pdf","Abrir PDF")</f>
        <v>Abrir PDF</v>
      </c>
    </row>
    <row r="31" spans="1:6" ht="30.95" customHeight="1">
      <c r="A31" s="5">
        <v>-32853</v>
      </c>
      <c r="B31" s="2" t="s">
        <v>516</v>
      </c>
      <c r="C31" s="2" t="s">
        <v>22796</v>
      </c>
      <c r="D31" s="3">
        <v>8</v>
      </c>
      <c r="E31" s="3">
        <v>16</v>
      </c>
      <c r="F31" s="3" t="str">
        <f>HYPERLINK("https://www.boe.es/gazeta/dias/1810/01/18/pdfs/GGB-1810-8.pdf","Abrir PDF")</f>
        <v>Abrir PDF</v>
      </c>
    </row>
    <row r="32" spans="1:6" ht="30.95" customHeight="1">
      <c r="A32" s="5">
        <v>-32852</v>
      </c>
      <c r="B32" s="2" t="s">
        <v>1625</v>
      </c>
      <c r="C32" s="2" t="s">
        <v>22797</v>
      </c>
      <c r="D32" s="3">
        <v>4</v>
      </c>
      <c r="E32" s="3">
        <v>3</v>
      </c>
      <c r="F32" s="3" t="str">
        <f>HYPERLINK("https://www.boe.es/gazeta/dias/1810/01/19/pdfs/GMD-1810-19.pdf","Abrir PDF")</f>
        <v>Abrir PDF</v>
      </c>
    </row>
    <row r="33" spans="1:6" ht="30.95" customHeight="1">
      <c r="A33" s="5">
        <v>-32851</v>
      </c>
      <c r="B33" s="2" t="s">
        <v>4243</v>
      </c>
      <c r="C33" s="2" t="s">
        <v>22798</v>
      </c>
      <c r="D33" s="3">
        <v>4</v>
      </c>
      <c r="E33" s="3">
        <v>7</v>
      </c>
      <c r="F33" s="3" t="str">
        <f>HYPERLINK("https://www.boe.es/gazeta/dias/1810/01/20/pdfs/GMD-1810-20.pdf","Abrir PDF")</f>
        <v>Abrir PDF</v>
      </c>
    </row>
    <row r="34" spans="1:6" ht="30.95" customHeight="1">
      <c r="A34" s="5">
        <v>-32851</v>
      </c>
      <c r="B34" s="2" t="s">
        <v>9862</v>
      </c>
      <c r="C34" s="2" t="s">
        <v>22799</v>
      </c>
      <c r="D34" s="3">
        <v>8</v>
      </c>
      <c r="E34" s="3">
        <v>3</v>
      </c>
      <c r="F34" s="3" t="str">
        <f>HYPERLINK("https://www.boe.es/gazeta/dias/1810/01/20/pdfs/GGB-1810-9.pdf","Abrir PDF")</f>
        <v>Abrir PDF</v>
      </c>
    </row>
    <row r="35" spans="1:6" ht="30.95" customHeight="1">
      <c r="A35" s="5">
        <v>-32851</v>
      </c>
      <c r="B35" s="2" t="s">
        <v>1402</v>
      </c>
      <c r="C35" s="2" t="s">
        <v>22800</v>
      </c>
      <c r="D35" s="3">
        <v>2</v>
      </c>
      <c r="E35" s="3">
        <v>1</v>
      </c>
      <c r="F35" s="3" t="str">
        <f>HYPERLINK("https://www.boe.es/gazeta/dias/1810/01/20/pdfs/E00081-00082.pdf","Abrir PDF")</f>
        <v>Abrir PDF</v>
      </c>
    </row>
    <row r="36" spans="1:6" ht="30.95" customHeight="1">
      <c r="A36" s="5">
        <v>-32850</v>
      </c>
      <c r="B36" s="2" t="s">
        <v>7996</v>
      </c>
      <c r="C36" s="2" t="s">
        <v>22801</v>
      </c>
      <c r="D36" s="3">
        <v>4</v>
      </c>
      <c r="E36" s="3">
        <v>4</v>
      </c>
      <c r="F36" s="3" t="str">
        <f>HYPERLINK("https://www.boe.es/gazeta/dias/1810/01/21/pdfs/GMD-1810-21.pdf","Abrir PDF")</f>
        <v>Abrir PDF</v>
      </c>
    </row>
    <row r="37" spans="1:6" ht="30.95" customHeight="1">
      <c r="A37" s="5">
        <v>-32849</v>
      </c>
      <c r="B37" s="2" t="s">
        <v>2803</v>
      </c>
      <c r="C37" s="2" t="s">
        <v>22802</v>
      </c>
      <c r="D37" s="3">
        <v>4</v>
      </c>
      <c r="E37" s="3">
        <v>1</v>
      </c>
      <c r="F37" s="3" t="str">
        <f>HYPERLINK("https://www.boe.es/gazeta/dias/1810/01/22/pdfs/GMD-1810-22.pdf","Abrir PDF")</f>
        <v>Abrir PDF</v>
      </c>
    </row>
    <row r="38" spans="1:6" ht="30.95" customHeight="1">
      <c r="A38" s="5">
        <v>-32848</v>
      </c>
      <c r="B38" s="2" t="s">
        <v>8598</v>
      </c>
      <c r="C38" s="2" t="s">
        <v>22803</v>
      </c>
      <c r="D38" s="3">
        <v>4</v>
      </c>
      <c r="E38" s="3">
        <v>3</v>
      </c>
      <c r="F38" s="3" t="str">
        <f>HYPERLINK("https://www.boe.es/gazeta/dias/1810/01/23/pdfs/GMD-1810-23.pdf","Abrir PDF")</f>
        <v>Abrir PDF</v>
      </c>
    </row>
    <row r="39" spans="1:6" ht="30.95" customHeight="1">
      <c r="A39" s="5">
        <v>-32848</v>
      </c>
      <c r="B39" s="2" t="s">
        <v>558</v>
      </c>
      <c r="C39" s="2" t="s">
        <v>22804</v>
      </c>
      <c r="D39" s="3">
        <v>8</v>
      </c>
      <c r="E39" s="3">
        <v>12</v>
      </c>
      <c r="F39" s="3" t="str">
        <f>HYPERLINK("https://www.boe.es/gazeta/dias/1810/01/23/pdfs/GGB-1810-10.pdf","Abrir PDF")</f>
        <v>Abrir PDF</v>
      </c>
    </row>
    <row r="40" spans="1:6" ht="30.95" customHeight="1">
      <c r="A40" s="5">
        <v>-32847</v>
      </c>
      <c r="B40" s="2" t="s">
        <v>8726</v>
      </c>
      <c r="C40" s="2" t="s">
        <v>22805</v>
      </c>
      <c r="D40" s="3">
        <v>4</v>
      </c>
      <c r="E40" s="3">
        <v>1</v>
      </c>
      <c r="F40" s="3" t="str">
        <f>HYPERLINK("https://www.boe.es/gazeta/dias/1810/01/24/pdfs/GMD-1810-24.pdf","Abrir PDF")</f>
        <v>Abrir PDF</v>
      </c>
    </row>
    <row r="41" spans="1:6" ht="30.95" customHeight="1">
      <c r="A41" s="5">
        <v>-32846</v>
      </c>
      <c r="B41" s="2" t="s">
        <v>1153</v>
      </c>
      <c r="C41" s="2" t="s">
        <v>22806</v>
      </c>
      <c r="D41" s="3">
        <v>4</v>
      </c>
      <c r="E41" s="3">
        <v>5</v>
      </c>
      <c r="F41" s="3" t="str">
        <f>HYPERLINK("https://www.boe.es/gazeta/dias/1810/01/25/pdfs/GMD-1810-25.pdf","Abrir PDF")</f>
        <v>Abrir PDF</v>
      </c>
    </row>
    <row r="42" spans="1:6" ht="30.95" customHeight="1">
      <c r="A42" s="5">
        <v>-32845</v>
      </c>
      <c r="B42" s="2" t="s">
        <v>1454</v>
      </c>
      <c r="C42" s="2" t="s">
        <v>22807</v>
      </c>
      <c r="D42" s="3">
        <v>4</v>
      </c>
      <c r="E42" s="3">
        <v>13</v>
      </c>
      <c r="F42" s="3" t="str">
        <f>HYPERLINK("https://www.boe.es/gazeta/dias/1810/01/26/pdfs/GMD-1810-26.pdf","Abrir PDF")</f>
        <v>Abrir PDF</v>
      </c>
    </row>
    <row r="43" spans="1:6" ht="30.95" customHeight="1">
      <c r="A43" s="5">
        <v>-32844</v>
      </c>
      <c r="B43" s="2" t="s">
        <v>4730</v>
      </c>
      <c r="C43" s="2" t="s">
        <v>22808</v>
      </c>
      <c r="D43" s="3">
        <v>4</v>
      </c>
      <c r="E43" s="3">
        <v>6</v>
      </c>
      <c r="F43" s="3" t="str">
        <f>HYPERLINK("https://www.boe.es/gazeta/dias/1810/01/27/pdfs/GMD-1810-27.pdf","Abrir PDF")</f>
        <v>Abrir PDF</v>
      </c>
    </row>
    <row r="44" spans="1:6" ht="30.95" customHeight="1">
      <c r="A44" s="5">
        <v>-32843</v>
      </c>
      <c r="B44" s="2" t="s">
        <v>10602</v>
      </c>
      <c r="C44" s="2" t="s">
        <v>22809</v>
      </c>
      <c r="D44" s="3">
        <v>4</v>
      </c>
      <c r="E44" s="3">
        <v>1</v>
      </c>
      <c r="F44" s="3" t="str">
        <f>HYPERLINK("https://www.boe.es/gazeta/dias/1810/01/28/pdfs/GMD-1810-28.pdf","Abrir PDF")</f>
        <v>Abrir PDF</v>
      </c>
    </row>
    <row r="45" spans="1:6" ht="30.95" customHeight="1">
      <c r="A45" s="5">
        <v>-32842</v>
      </c>
      <c r="B45" s="2" t="s">
        <v>1291</v>
      </c>
      <c r="C45" s="2" t="s">
        <v>22810</v>
      </c>
      <c r="D45" s="3">
        <v>4</v>
      </c>
      <c r="E45" s="3">
        <v>62</v>
      </c>
      <c r="F45" s="3" t="str">
        <f>HYPERLINK("https://www.boe.es/gazeta/dias/1810/01/29/pdfs/GMD-1810-29.pdf","Abrir PDF")</f>
        <v>Abrir PDF</v>
      </c>
    </row>
    <row r="46" spans="1:6" ht="30.95" customHeight="1">
      <c r="A46" s="5">
        <v>-32841</v>
      </c>
      <c r="B46" s="2" t="s">
        <v>4274</v>
      </c>
      <c r="C46" s="2" t="s">
        <v>22811</v>
      </c>
      <c r="D46" s="3">
        <v>4</v>
      </c>
      <c r="E46" s="3">
        <v>7</v>
      </c>
      <c r="F46" s="3" t="str">
        <f>HYPERLINK("https://www.boe.es/gazeta/dias/1810/01/30/pdfs/GMD-1810-30.pdf","Abrir PDF")</f>
        <v>Abrir PDF</v>
      </c>
    </row>
    <row r="47" spans="1:6" ht="30.95" customHeight="1">
      <c r="A47" s="5">
        <v>-32840</v>
      </c>
      <c r="B47" s="2" t="s">
        <v>15055</v>
      </c>
      <c r="C47" s="2" t="s">
        <v>22812</v>
      </c>
      <c r="D47" s="3">
        <v>4</v>
      </c>
      <c r="E47" s="3">
        <v>1</v>
      </c>
      <c r="F47" s="3" t="str">
        <f>HYPERLINK("https://www.boe.es/gazeta/dias/1810/01/31/pdfs/GMD-1810-31.pdf","Abrir PDF")</f>
        <v>Abrir PDF</v>
      </c>
    </row>
    <row r="48" spans="1:6" ht="30.95" customHeight="1">
      <c r="A48" s="5">
        <v>-32839</v>
      </c>
      <c r="B48" s="2" t="s">
        <v>28</v>
      </c>
      <c r="C48" s="2" t="s">
        <v>22813</v>
      </c>
      <c r="D48" s="3">
        <v>4</v>
      </c>
      <c r="E48" s="3">
        <v>62</v>
      </c>
      <c r="F48" s="3" t="str">
        <f>HYPERLINK("https://www.boe.es/gazeta/dias/1810/02/01/pdfs/GMD-1810-32.pdf","Abrir PDF")</f>
        <v>Abrir PDF</v>
      </c>
    </row>
    <row r="49" spans="1:6" ht="30.95" customHeight="1">
      <c r="A49" s="5">
        <v>-32838</v>
      </c>
      <c r="B49" s="2" t="s">
        <v>7668</v>
      </c>
      <c r="C49" s="2" t="s">
        <v>22814</v>
      </c>
      <c r="D49" s="3">
        <v>4</v>
      </c>
      <c r="E49" s="3">
        <v>2</v>
      </c>
      <c r="F49" s="3" t="str">
        <f>HYPERLINK("https://www.boe.es/gazeta/dias/1810/02/02/pdfs/GMD-1810-33.pdf","Abrir PDF")</f>
        <v>Abrir PDF</v>
      </c>
    </row>
    <row r="50" spans="1:6" ht="30.95" customHeight="1">
      <c r="A50" s="5">
        <v>-32837</v>
      </c>
      <c r="B50" s="2" t="s">
        <v>196</v>
      </c>
      <c r="C50" s="2" t="s">
        <v>22815</v>
      </c>
      <c r="D50" s="3">
        <v>4</v>
      </c>
      <c r="E50" s="3">
        <v>63</v>
      </c>
      <c r="F50" s="3" t="str">
        <f>HYPERLINK("https://www.boe.es/gazeta/dias/1810/02/03/pdfs/GMD-1810-34.pdf","Abrir PDF")</f>
        <v>Abrir PDF</v>
      </c>
    </row>
    <row r="51" spans="1:6" ht="30.95" customHeight="1">
      <c r="A51" s="5">
        <v>-32836</v>
      </c>
      <c r="B51" s="2" t="s">
        <v>1094</v>
      </c>
      <c r="C51" s="2" t="s">
        <v>22816</v>
      </c>
      <c r="D51" s="3">
        <v>4</v>
      </c>
      <c r="E51" s="3">
        <v>4</v>
      </c>
      <c r="F51" s="3" t="str">
        <f>HYPERLINK("https://www.boe.es/gazeta/dias/1810/02/04/pdfs/GMD-1810-35.pdf","Abrir PDF")</f>
        <v>Abrir PDF</v>
      </c>
    </row>
    <row r="52" spans="1:6" ht="30.95" customHeight="1">
      <c r="A52" s="5">
        <v>-32835</v>
      </c>
      <c r="B52" s="2" t="s">
        <v>13785</v>
      </c>
      <c r="C52" s="2" t="s">
        <v>22817</v>
      </c>
      <c r="D52" s="3">
        <v>4</v>
      </c>
      <c r="E52" s="3">
        <v>1</v>
      </c>
      <c r="F52" s="3" t="str">
        <f>HYPERLINK("https://www.boe.es/gazeta/dias/1810/02/05/pdfs/GMD-1810-36.pdf","Abrir PDF")</f>
        <v>Abrir PDF</v>
      </c>
    </row>
    <row r="53" spans="1:6" ht="30.95" customHeight="1">
      <c r="A53" s="5">
        <v>-32834</v>
      </c>
      <c r="B53" s="2" t="s">
        <v>2746</v>
      </c>
      <c r="C53" s="2" t="s">
        <v>22818</v>
      </c>
      <c r="D53" s="3">
        <v>4</v>
      </c>
      <c r="E53" s="3">
        <v>8</v>
      </c>
      <c r="F53" s="3" t="str">
        <f>HYPERLINK("https://www.boe.es/gazeta/dias/1810/02/06/pdfs/GMD-1810-37.pdf","Abrir PDF")</f>
        <v>Abrir PDF</v>
      </c>
    </row>
    <row r="54" spans="1:6" ht="30.95" customHeight="1">
      <c r="A54" s="5">
        <v>-32833</v>
      </c>
      <c r="B54" s="2" t="s">
        <v>1836</v>
      </c>
      <c r="C54" s="2" t="s">
        <v>22819</v>
      </c>
      <c r="D54" s="3">
        <v>4</v>
      </c>
      <c r="E54" s="3">
        <v>14</v>
      </c>
      <c r="F54" s="3" t="str">
        <f>HYPERLINK("https://www.boe.es/gazeta/dias/1810/02/07/pdfs/GMD-1810-38.pdf","Abrir PDF")</f>
        <v>Abrir PDF</v>
      </c>
    </row>
    <row r="55" spans="1:6" ht="30.95" customHeight="1">
      <c r="A55" s="5">
        <v>-32832</v>
      </c>
      <c r="B55" s="2" t="s">
        <v>5089</v>
      </c>
      <c r="C55" s="2" t="s">
        <v>22820</v>
      </c>
      <c r="D55" s="3">
        <v>4</v>
      </c>
      <c r="E55" s="3">
        <v>9</v>
      </c>
      <c r="F55" s="3" t="str">
        <f>HYPERLINK("https://www.boe.es/gazeta/dias/1810/02/08/pdfs/GMD-1810-39.pdf","Abrir PDF")</f>
        <v>Abrir PDF</v>
      </c>
    </row>
    <row r="56" spans="1:6" ht="30.95" customHeight="1">
      <c r="A56" s="5">
        <v>-32831</v>
      </c>
      <c r="B56" s="2" t="s">
        <v>3316</v>
      </c>
      <c r="C56" s="2" t="s">
        <v>22821</v>
      </c>
      <c r="D56" s="3">
        <v>4</v>
      </c>
      <c r="E56" s="3">
        <v>4</v>
      </c>
      <c r="F56" s="3" t="str">
        <f>HYPERLINK("https://www.boe.es/gazeta/dias/1810/02/09/pdfs/GMD-1810-40.pdf","Abrir PDF")</f>
        <v>Abrir PDF</v>
      </c>
    </row>
    <row r="57" spans="1:6" ht="30.95" customHeight="1">
      <c r="A57" s="5">
        <v>-32830</v>
      </c>
      <c r="B57" s="2" t="s">
        <v>3354</v>
      </c>
      <c r="C57" s="2" t="s">
        <v>22822</v>
      </c>
      <c r="D57" s="3">
        <v>4</v>
      </c>
      <c r="E57" s="3">
        <v>6</v>
      </c>
      <c r="F57" s="3" t="str">
        <f>HYPERLINK("https://www.boe.es/gazeta/dias/1810/02/10/pdfs/GMD-1810-41.pdf","Abrir PDF")</f>
        <v>Abrir PDF</v>
      </c>
    </row>
    <row r="58" spans="1:6" ht="30.95" customHeight="1">
      <c r="A58" s="5">
        <v>-32829</v>
      </c>
      <c r="B58" s="2" t="s">
        <v>1126</v>
      </c>
      <c r="C58" s="2" t="s">
        <v>22823</v>
      </c>
      <c r="D58" s="3">
        <v>4</v>
      </c>
      <c r="E58" s="3">
        <v>20</v>
      </c>
      <c r="F58" s="3" t="str">
        <f>HYPERLINK("https://www.boe.es/gazeta/dias/1810/02/11/pdfs/GMD-1810-42.pdf","Abrir PDF")</f>
        <v>Abrir PDF</v>
      </c>
    </row>
    <row r="59" spans="1:6" ht="30.95" customHeight="1">
      <c r="A59" s="5">
        <v>-32828</v>
      </c>
      <c r="B59" s="2" t="s">
        <v>1195</v>
      </c>
      <c r="C59" s="2" t="s">
        <v>22824</v>
      </c>
      <c r="D59" s="3">
        <v>4</v>
      </c>
      <c r="E59" s="3">
        <v>7</v>
      </c>
      <c r="F59" s="3" t="str">
        <f>HYPERLINK("https://www.boe.es/gazeta/dias/1810/02/12/pdfs/GMD-1810-43.pdf","Abrir PDF")</f>
        <v>Abrir PDF</v>
      </c>
    </row>
    <row r="60" spans="1:6" ht="30.95" customHeight="1">
      <c r="A60" s="5">
        <v>-32827</v>
      </c>
      <c r="B60" s="2" t="s">
        <v>290</v>
      </c>
      <c r="C60" s="2" t="s">
        <v>22825</v>
      </c>
      <c r="D60" s="3">
        <v>4</v>
      </c>
      <c r="E60" s="3">
        <v>45</v>
      </c>
      <c r="F60" s="3" t="str">
        <f>HYPERLINK("https://www.boe.es/gazeta/dias/1810/02/13/pdfs/GMD-1810-44.pdf","Abrir PDF")</f>
        <v>Abrir PDF</v>
      </c>
    </row>
    <row r="61" spans="1:6" ht="30.95" customHeight="1">
      <c r="A61" s="5">
        <v>-32827</v>
      </c>
      <c r="B61" s="2" t="s">
        <v>22826</v>
      </c>
      <c r="C61" s="2" t="s">
        <v>22827</v>
      </c>
      <c r="D61" s="3">
        <v>2</v>
      </c>
      <c r="E61" s="3">
        <v>0</v>
      </c>
      <c r="F61" s="3" t="str">
        <f>HYPERLINK("https://www.boe.es/gazeta/dias/1810/02/13/pdfs/GMD-C-1810-44.pdf","Abrir PDF")</f>
        <v>Abrir PDF</v>
      </c>
    </row>
    <row r="62" spans="1:6" ht="30.95" customHeight="1">
      <c r="A62" s="5">
        <v>-32826</v>
      </c>
      <c r="B62" s="2" t="s">
        <v>1252</v>
      </c>
      <c r="C62" s="2" t="s">
        <v>22828</v>
      </c>
      <c r="D62" s="3">
        <v>4</v>
      </c>
      <c r="E62" s="3">
        <v>17</v>
      </c>
      <c r="F62" s="3" t="str">
        <f>HYPERLINK("https://www.boe.es/gazeta/dias/1810/02/14/pdfs/GMD-1810-45.pdf","Abrir PDF")</f>
        <v>Abrir PDF</v>
      </c>
    </row>
    <row r="63" spans="1:6" ht="30.95" customHeight="1">
      <c r="A63" s="5">
        <v>-32825</v>
      </c>
      <c r="B63" s="2" t="s">
        <v>10594</v>
      </c>
      <c r="C63" s="2" t="s">
        <v>22829</v>
      </c>
      <c r="D63" s="3">
        <v>4</v>
      </c>
      <c r="E63" s="3">
        <v>3</v>
      </c>
      <c r="F63" s="3" t="str">
        <f>HYPERLINK("https://www.boe.es/gazeta/dias/1810/02/15/pdfs/GMD-1810-46.pdf","Abrir PDF")</f>
        <v>Abrir PDF</v>
      </c>
    </row>
    <row r="64" spans="1:6" ht="30.95" customHeight="1">
      <c r="A64" s="5">
        <v>-32824</v>
      </c>
      <c r="B64" s="2" t="s">
        <v>2193</v>
      </c>
      <c r="C64" s="2" t="s">
        <v>22830</v>
      </c>
      <c r="D64" s="3">
        <v>4</v>
      </c>
      <c r="E64" s="3">
        <v>3</v>
      </c>
      <c r="F64" s="3" t="str">
        <f>HYPERLINK("https://www.boe.es/gazeta/dias/1810/02/16/pdfs/GMD-1810-47.pdf","Abrir PDF")</f>
        <v>Abrir PDF</v>
      </c>
    </row>
    <row r="65" spans="1:6" ht="30.95" customHeight="1">
      <c r="A65" s="5">
        <v>-32823</v>
      </c>
      <c r="B65" s="2" t="s">
        <v>4250</v>
      </c>
      <c r="C65" s="2" t="s">
        <v>22831</v>
      </c>
      <c r="D65" s="3">
        <v>4</v>
      </c>
      <c r="E65" s="3">
        <v>7</v>
      </c>
      <c r="F65" s="3" t="str">
        <f>HYPERLINK("https://www.boe.es/gazeta/dias/1810/02/17/pdfs/GMD-1810-48.pdf","Abrir PDF")</f>
        <v>Abrir PDF</v>
      </c>
    </row>
    <row r="66" spans="1:6" ht="30.95" customHeight="1">
      <c r="A66" s="5">
        <v>-32822</v>
      </c>
      <c r="B66" s="2" t="s">
        <v>1197</v>
      </c>
      <c r="C66" s="2" t="s">
        <v>22832</v>
      </c>
      <c r="D66" s="3">
        <v>4</v>
      </c>
      <c r="E66" s="3">
        <v>7</v>
      </c>
      <c r="F66" s="3" t="str">
        <f>HYPERLINK("https://www.boe.es/gazeta/dias/1810/02/18/pdfs/GMD-1810-49.pdf","Abrir PDF")</f>
        <v>Abrir PDF</v>
      </c>
    </row>
    <row r="67" spans="1:6" ht="30.95" customHeight="1">
      <c r="A67" s="5">
        <v>-32821</v>
      </c>
      <c r="B67" s="2" t="s">
        <v>1743</v>
      </c>
      <c r="C67" s="2" t="s">
        <v>22833</v>
      </c>
      <c r="D67" s="3">
        <v>4</v>
      </c>
      <c r="E67" s="3">
        <v>7</v>
      </c>
      <c r="F67" s="3" t="str">
        <f>HYPERLINK("https://www.boe.es/gazeta/dias/1810/02/19/pdfs/GMD-1810-50.pdf","Abrir PDF")</f>
        <v>Abrir PDF</v>
      </c>
    </row>
    <row r="68" spans="1:6" ht="30.95" customHeight="1">
      <c r="A68" s="5">
        <v>-32820</v>
      </c>
      <c r="B68" s="2" t="s">
        <v>226</v>
      </c>
      <c r="C68" s="2" t="s">
        <v>22834</v>
      </c>
      <c r="D68" s="3">
        <v>4</v>
      </c>
      <c r="E68" s="3">
        <v>92</v>
      </c>
      <c r="F68" s="3" t="str">
        <f>HYPERLINK("https://www.boe.es/gazeta/dias/1810/02/20/pdfs/GMD-1810-51.pdf","Abrir PDF")</f>
        <v>Abrir PDF</v>
      </c>
    </row>
    <row r="69" spans="1:6" ht="30.95" customHeight="1">
      <c r="A69" s="5">
        <v>-32819</v>
      </c>
      <c r="B69" s="2" t="s">
        <v>5942</v>
      </c>
      <c r="C69" s="2" t="s">
        <v>22835</v>
      </c>
      <c r="D69" s="3">
        <v>4</v>
      </c>
      <c r="E69" s="3">
        <v>6</v>
      </c>
      <c r="F69" s="3" t="str">
        <f>HYPERLINK("https://www.boe.es/gazeta/dias/1810/02/21/pdfs/GMD-1810-52.pdf","Abrir PDF")</f>
        <v>Abrir PDF</v>
      </c>
    </row>
    <row r="70" spans="1:6" ht="30.95" customHeight="1">
      <c r="A70" s="5">
        <v>-32819</v>
      </c>
      <c r="B70" s="2" t="s">
        <v>22836</v>
      </c>
      <c r="C70" s="2" t="s">
        <v>22837</v>
      </c>
      <c r="D70" s="3">
        <v>4</v>
      </c>
      <c r="E70" s="3">
        <v>0</v>
      </c>
      <c r="F70" s="3" t="str">
        <f>HYPERLINK("https://www.boe.es/gazeta/dias/1810/02/21/pdfs/GMD-C-1810-52.pdf","Abrir PDF")</f>
        <v>Abrir PDF</v>
      </c>
    </row>
    <row r="71" spans="1:6" ht="30.95" customHeight="1">
      <c r="A71" s="5">
        <v>-32818</v>
      </c>
      <c r="B71" s="2" t="s">
        <v>936</v>
      </c>
      <c r="C71" s="2" t="s">
        <v>22838</v>
      </c>
      <c r="D71" s="3">
        <v>4</v>
      </c>
      <c r="E71" s="3">
        <v>11</v>
      </c>
      <c r="F71" s="3" t="str">
        <f>HYPERLINK("https://www.boe.es/gazeta/dias/1810/02/22/pdfs/GMD-1810-53.pdf","Abrir PDF")</f>
        <v>Abrir PDF</v>
      </c>
    </row>
    <row r="72" spans="1:6" ht="30.95" customHeight="1">
      <c r="A72" s="5">
        <v>-32817</v>
      </c>
      <c r="B72" s="2" t="s">
        <v>450</v>
      </c>
      <c r="C72" s="2" t="s">
        <v>22839</v>
      </c>
      <c r="D72" s="3">
        <v>4</v>
      </c>
      <c r="E72" s="3">
        <v>6</v>
      </c>
      <c r="F72" s="3" t="str">
        <f>HYPERLINK("https://www.boe.es/gazeta/dias/1810/02/23/pdfs/GMD-1810-54.pdf","Abrir PDF")</f>
        <v>Abrir PDF</v>
      </c>
    </row>
    <row r="73" spans="1:6" ht="30.95" customHeight="1">
      <c r="A73" s="5">
        <v>-32817</v>
      </c>
      <c r="B73" s="2" t="s">
        <v>22840</v>
      </c>
      <c r="C73" s="2" t="s">
        <v>22841</v>
      </c>
      <c r="D73" s="3">
        <v>2</v>
      </c>
      <c r="E73" s="3">
        <v>0</v>
      </c>
      <c r="F73" s="3" t="str">
        <f>HYPERLINK("https://www.boe.es/gazeta/dias/1810/02/23/pdfs/GMD-C-1810-54.pdf","Abrir PDF")</f>
        <v>Abrir PDF</v>
      </c>
    </row>
    <row r="74" spans="1:6" ht="30.95" customHeight="1">
      <c r="A74" s="5">
        <v>-32816</v>
      </c>
      <c r="B74" s="2" t="s">
        <v>10608</v>
      </c>
      <c r="C74" s="2" t="s">
        <v>22842</v>
      </c>
      <c r="D74" s="3">
        <v>4</v>
      </c>
      <c r="E74" s="3">
        <v>8</v>
      </c>
      <c r="F74" s="3" t="str">
        <f>HYPERLINK("https://www.boe.es/gazeta/dias/1810/02/24/pdfs/GMD-1810-55.pdf","Abrir PDF")</f>
        <v>Abrir PDF</v>
      </c>
    </row>
    <row r="75" spans="1:6" ht="30.95" customHeight="1">
      <c r="A75" s="5">
        <v>-32815</v>
      </c>
      <c r="B75" s="2" t="s">
        <v>1201</v>
      </c>
      <c r="C75" s="2" t="s">
        <v>22843</v>
      </c>
      <c r="D75" s="3">
        <v>4</v>
      </c>
      <c r="E75" s="3">
        <v>14</v>
      </c>
      <c r="F75" s="3" t="str">
        <f>HYPERLINK("https://www.boe.es/gazeta/dias/1810/02/25/pdfs/GMD-1810-56.pdf","Abrir PDF")</f>
        <v>Abrir PDF</v>
      </c>
    </row>
    <row r="76" spans="1:6" ht="30.95" customHeight="1">
      <c r="A76" s="5">
        <v>-32814</v>
      </c>
      <c r="B76" s="2" t="s">
        <v>2410</v>
      </c>
      <c r="C76" s="2" t="s">
        <v>22844</v>
      </c>
      <c r="D76" s="3">
        <v>4</v>
      </c>
      <c r="E76" s="3">
        <v>5</v>
      </c>
      <c r="F76" s="3" t="str">
        <f>HYPERLINK("https://www.boe.es/gazeta/dias/1810/02/26/pdfs/GMD-1810-57.pdf","Abrir PDF")</f>
        <v>Abrir PDF</v>
      </c>
    </row>
    <row r="77" spans="1:6" ht="30.95" customHeight="1">
      <c r="A77" s="5">
        <v>-32813</v>
      </c>
      <c r="B77" s="2" t="s">
        <v>1067</v>
      </c>
      <c r="C77" s="2" t="s">
        <v>22845</v>
      </c>
      <c r="D77" s="3">
        <v>4</v>
      </c>
      <c r="E77" s="3">
        <v>7</v>
      </c>
      <c r="F77" s="3" t="str">
        <f>HYPERLINK("https://www.boe.es/gazeta/dias/1810/02/27/pdfs/GMD-1810-58.pdf","Abrir PDF")</f>
        <v>Abrir PDF</v>
      </c>
    </row>
    <row r="78" spans="1:6" ht="30.95" customHeight="1">
      <c r="A78" s="5">
        <v>-32812</v>
      </c>
      <c r="B78" s="2" t="s">
        <v>627</v>
      </c>
      <c r="C78" s="2" t="s">
        <v>22846</v>
      </c>
      <c r="D78" s="3">
        <v>4</v>
      </c>
      <c r="E78" s="3">
        <v>17</v>
      </c>
      <c r="F78" s="3" t="str">
        <f>HYPERLINK("https://www.boe.es/gazeta/dias/1810/02/28/pdfs/GMD-1810-59.pdf","Abrir PDF")</f>
        <v>Abrir PDF</v>
      </c>
    </row>
    <row r="79" spans="1:6" ht="30.95" customHeight="1">
      <c r="A79" s="5">
        <v>-32812</v>
      </c>
      <c r="B79" s="2" t="s">
        <v>5766</v>
      </c>
      <c r="C79" s="2" t="s">
        <v>22847</v>
      </c>
      <c r="D79" s="3">
        <v>2</v>
      </c>
      <c r="E79" s="3">
        <v>2</v>
      </c>
      <c r="F79" s="3" t="str">
        <f>HYPERLINK("https://www.boe.es/gazeta/dias/1810/02/28/pdfs/GMD-C-1810-59.pdf","Abrir PDF")</f>
        <v>Abrir PDF</v>
      </c>
    </row>
    <row r="80" spans="1:6" ht="30.95" customHeight="1">
      <c r="A80" s="5">
        <v>-32811</v>
      </c>
      <c r="B80" s="2" t="s">
        <v>6143</v>
      </c>
      <c r="C80" s="2" t="s">
        <v>22848</v>
      </c>
      <c r="D80" s="3">
        <v>4</v>
      </c>
      <c r="E80" s="3">
        <v>1</v>
      </c>
      <c r="F80" s="3" t="str">
        <f>HYPERLINK("https://www.boe.es/gazeta/dias/1810/03/01/pdfs/GMD-1810-60.pdf","Abrir PDF")</f>
        <v>Abrir PDF</v>
      </c>
    </row>
    <row r="81" spans="1:6" ht="30.95" customHeight="1">
      <c r="A81" s="5">
        <v>-32810</v>
      </c>
      <c r="B81" s="2" t="s">
        <v>3447</v>
      </c>
      <c r="C81" s="2" t="s">
        <v>22849</v>
      </c>
      <c r="D81" s="3">
        <v>4</v>
      </c>
      <c r="E81" s="3">
        <v>2</v>
      </c>
      <c r="F81" s="3" t="str">
        <f>HYPERLINK("https://www.boe.es/gazeta/dias/1810/03/02/pdfs/GMD-1810-61.pdf","Abrir PDF")</f>
        <v>Abrir PDF</v>
      </c>
    </row>
    <row r="82" spans="1:6" ht="30.95" customHeight="1">
      <c r="A82" s="5">
        <v>-32810</v>
      </c>
      <c r="B82" s="2" t="s">
        <v>22850</v>
      </c>
      <c r="C82" s="2" t="s">
        <v>22851</v>
      </c>
      <c r="D82" s="3">
        <v>2</v>
      </c>
      <c r="E82" s="3">
        <v>0</v>
      </c>
      <c r="F82" s="3" t="str">
        <f>HYPERLINK("https://www.boe.es/gazeta/dias/1810/03/02/pdfs/GMD-C-1810-61.pdf","Abrir PDF")</f>
        <v>Abrir PDF</v>
      </c>
    </row>
    <row r="83" spans="1:6" ht="30.95" customHeight="1">
      <c r="A83" s="5">
        <v>-32809</v>
      </c>
      <c r="B83" s="2" t="s">
        <v>1873</v>
      </c>
      <c r="C83" s="2" t="s">
        <v>22852</v>
      </c>
      <c r="D83" s="3">
        <v>4</v>
      </c>
      <c r="E83" s="3">
        <v>27</v>
      </c>
      <c r="F83" s="3" t="str">
        <f>HYPERLINK("https://www.boe.es/gazeta/dias/1810/03/03/pdfs/GMD-1810-62.pdf","Abrir PDF")</f>
        <v>Abrir PDF</v>
      </c>
    </row>
    <row r="84" spans="1:6" ht="30.95" customHeight="1">
      <c r="A84" s="5">
        <v>-32808</v>
      </c>
      <c r="B84" s="2" t="s">
        <v>2034</v>
      </c>
      <c r="C84" s="2" t="s">
        <v>22853</v>
      </c>
      <c r="D84" s="3">
        <v>4</v>
      </c>
      <c r="E84" s="3">
        <v>6</v>
      </c>
      <c r="F84" s="3" t="str">
        <f>HYPERLINK("https://www.boe.es/gazeta/dias/1810/03/04/pdfs/GMD-1810-63.pdf","Abrir PDF")</f>
        <v>Abrir PDF</v>
      </c>
    </row>
    <row r="85" spans="1:6" ht="30.95" customHeight="1">
      <c r="A85" s="5">
        <v>-32807</v>
      </c>
      <c r="B85" s="2" t="s">
        <v>1338</v>
      </c>
      <c r="C85" s="2" t="s">
        <v>22854</v>
      </c>
      <c r="D85" s="3">
        <v>4</v>
      </c>
      <c r="E85" s="3">
        <v>9</v>
      </c>
      <c r="F85" s="3" t="str">
        <f>HYPERLINK("https://www.boe.es/gazeta/dias/1810/03/05/pdfs/GMD-1810-64.pdf","Abrir PDF")</f>
        <v>Abrir PDF</v>
      </c>
    </row>
    <row r="86" spans="1:6" ht="30.95" customHeight="1">
      <c r="A86" s="5">
        <v>-32806</v>
      </c>
      <c r="B86" s="2" t="s">
        <v>1839</v>
      </c>
      <c r="C86" s="2" t="s">
        <v>22855</v>
      </c>
      <c r="D86" s="3">
        <v>4</v>
      </c>
      <c r="E86" s="3">
        <v>4</v>
      </c>
      <c r="F86" s="3" t="str">
        <f>HYPERLINK("https://www.boe.es/gazeta/dias/1810/03/06/pdfs/GMD-1810-65.pdf","Abrir PDF")</f>
        <v>Abrir PDF</v>
      </c>
    </row>
    <row r="87" spans="1:6" ht="30.95" customHeight="1">
      <c r="A87" s="5">
        <v>-32805</v>
      </c>
      <c r="B87" s="2" t="s">
        <v>2068</v>
      </c>
      <c r="C87" s="2" t="s">
        <v>22856</v>
      </c>
      <c r="D87" s="3">
        <v>4</v>
      </c>
      <c r="E87" s="3">
        <v>17</v>
      </c>
      <c r="F87" s="3" t="str">
        <f>HYPERLINK("https://www.boe.es/gazeta/dias/1810/03/07/pdfs/GMD-1810-66.pdf","Abrir PDF")</f>
        <v>Abrir PDF</v>
      </c>
    </row>
    <row r="88" spans="1:6" ht="30.95" customHeight="1">
      <c r="A88" s="5">
        <v>-32804</v>
      </c>
      <c r="B88" s="2" t="s">
        <v>583</v>
      </c>
      <c r="C88" s="2" t="s">
        <v>22857</v>
      </c>
      <c r="D88" s="3">
        <v>4</v>
      </c>
      <c r="E88" s="3">
        <v>15</v>
      </c>
      <c r="F88" s="3" t="str">
        <f>HYPERLINK("https://www.boe.es/gazeta/dias/1810/03/08/pdfs/GMD-1810-67.pdf","Abrir PDF")</f>
        <v>Abrir PDF</v>
      </c>
    </row>
    <row r="89" spans="1:6" ht="30.95" customHeight="1">
      <c r="A89" s="5">
        <v>-32803</v>
      </c>
      <c r="B89" s="2" t="s">
        <v>4052</v>
      </c>
      <c r="C89" s="2" t="s">
        <v>22858</v>
      </c>
      <c r="D89" s="3">
        <v>4</v>
      </c>
      <c r="E89" s="3">
        <v>22</v>
      </c>
      <c r="F89" s="3" t="str">
        <f>HYPERLINK("https://www.boe.es/gazeta/dias/1810/03/09/pdfs/GMD-1810-68.pdf","Abrir PDF")</f>
        <v>Abrir PDF</v>
      </c>
    </row>
    <row r="90" spans="1:6" ht="30.95" customHeight="1">
      <c r="A90" s="5">
        <v>-32802</v>
      </c>
      <c r="B90" s="2" t="s">
        <v>1075</v>
      </c>
      <c r="C90" s="2" t="s">
        <v>22859</v>
      </c>
      <c r="D90" s="3">
        <v>4</v>
      </c>
      <c r="E90" s="3">
        <v>15</v>
      </c>
      <c r="F90" s="3" t="str">
        <f>HYPERLINK("https://www.boe.es/gazeta/dias/1810/03/10/pdfs/GMD-1810-69.pdf","Abrir PDF")</f>
        <v>Abrir PDF</v>
      </c>
    </row>
    <row r="91" spans="1:6" ht="30.95" customHeight="1">
      <c r="A91" s="5">
        <v>-32801</v>
      </c>
      <c r="B91" s="2" t="s">
        <v>11837</v>
      </c>
      <c r="C91" s="2" t="s">
        <v>22860</v>
      </c>
      <c r="D91" s="3">
        <v>4</v>
      </c>
      <c r="E91" s="3">
        <v>3</v>
      </c>
      <c r="F91" s="3" t="str">
        <f>HYPERLINK("https://www.boe.es/gazeta/dias/1810/03/11/pdfs/GMD-1810-70.pdf","Abrir PDF")</f>
        <v>Abrir PDF</v>
      </c>
    </row>
    <row r="92" spans="1:6" ht="30.95" customHeight="1">
      <c r="A92" s="5">
        <v>-32800</v>
      </c>
      <c r="B92" s="2" t="s">
        <v>388</v>
      </c>
      <c r="C92" s="2" t="s">
        <v>22861</v>
      </c>
      <c r="D92" s="3">
        <v>4</v>
      </c>
      <c r="E92" s="3">
        <v>22</v>
      </c>
      <c r="F92" s="3" t="str">
        <f>HYPERLINK("https://www.boe.es/gazeta/dias/1810/03/12/pdfs/GMD-1810-71.pdf","Abrir PDF")</f>
        <v>Abrir PDF</v>
      </c>
    </row>
    <row r="93" spans="1:6" ht="30.95" customHeight="1">
      <c r="A93" s="5">
        <v>-32799</v>
      </c>
      <c r="B93" s="2" t="s">
        <v>2252</v>
      </c>
      <c r="C93" s="2" t="s">
        <v>22862</v>
      </c>
      <c r="D93" s="3">
        <v>4</v>
      </c>
      <c r="E93" s="3">
        <v>22</v>
      </c>
      <c r="F93" s="3" t="str">
        <f>HYPERLINK("https://www.boe.es/gazeta/dias/1810/03/13/pdfs/GMD-1810-72.pdf","Abrir PDF")</f>
        <v>Abrir PDF</v>
      </c>
    </row>
    <row r="94" spans="1:6" ht="30.95" customHeight="1">
      <c r="A94" s="5">
        <v>-32799</v>
      </c>
      <c r="B94" s="2" t="s">
        <v>874</v>
      </c>
      <c r="C94" s="2" t="s">
        <v>22863</v>
      </c>
      <c r="D94" s="3">
        <v>12</v>
      </c>
      <c r="E94" s="3">
        <v>7</v>
      </c>
      <c r="F94" s="3" t="str">
        <f>HYPERLINK("https://www.boe.es/gazeta/dias/1810/03/13/pdfs/GEI-1810-1.pdf","Abrir PDF")</f>
        <v>Abrir PDF</v>
      </c>
    </row>
    <row r="95" spans="1:6" ht="30.95" customHeight="1">
      <c r="A95" s="5">
        <v>-32798</v>
      </c>
      <c r="B95" s="2" t="s">
        <v>2002</v>
      </c>
      <c r="C95" s="2" t="s">
        <v>22864</v>
      </c>
      <c r="D95" s="3">
        <v>4</v>
      </c>
      <c r="E95" s="3">
        <v>18</v>
      </c>
      <c r="F95" s="3" t="str">
        <f>HYPERLINK("https://www.boe.es/gazeta/dias/1810/03/14/pdfs/GMD-1810-73.pdf","Abrir PDF")</f>
        <v>Abrir PDF</v>
      </c>
    </row>
    <row r="96" spans="1:6" ht="30.95" customHeight="1">
      <c r="A96" s="5">
        <v>-32797</v>
      </c>
      <c r="B96" s="2" t="s">
        <v>3666</v>
      </c>
      <c r="C96" s="2" t="s">
        <v>22865</v>
      </c>
      <c r="D96" s="3">
        <v>4</v>
      </c>
      <c r="E96" s="3">
        <v>6</v>
      </c>
      <c r="F96" s="3" t="str">
        <f>HYPERLINK("https://www.boe.es/gazeta/dias/1810/03/15/pdfs/GMD-1810-74.pdf","Abrir PDF")</f>
        <v>Abrir PDF</v>
      </c>
    </row>
    <row r="97" spans="1:6" ht="30.95" customHeight="1">
      <c r="A97" s="5">
        <v>-32796</v>
      </c>
      <c r="B97" s="2" t="s">
        <v>1129</v>
      </c>
      <c r="C97" s="2" t="s">
        <v>22866</v>
      </c>
      <c r="D97" s="3">
        <v>4</v>
      </c>
      <c r="E97" s="3">
        <v>7</v>
      </c>
      <c r="F97" s="3" t="str">
        <f>HYPERLINK("https://www.boe.es/gazeta/dias/1810/03/16/pdfs/GMD-1810-75.pdf","Abrir PDF")</f>
        <v>Abrir PDF</v>
      </c>
    </row>
    <row r="98" spans="1:6" ht="30.95" customHeight="1">
      <c r="A98" s="5">
        <v>-32796</v>
      </c>
      <c r="B98" s="2" t="s">
        <v>246</v>
      </c>
      <c r="C98" s="2" t="s">
        <v>22867</v>
      </c>
      <c r="D98" s="3">
        <v>8</v>
      </c>
      <c r="E98" s="3">
        <v>8</v>
      </c>
      <c r="F98" s="3" t="str">
        <f>HYPERLINK("https://www.boe.es/gazeta/dias/1810/03/16/pdfs/GEI-1810-2.pdf","Abrir PDF")</f>
        <v>Abrir PDF</v>
      </c>
    </row>
    <row r="99" spans="1:6" ht="30.95" customHeight="1">
      <c r="A99" s="5">
        <v>-32795</v>
      </c>
      <c r="B99" s="2" t="s">
        <v>690</v>
      </c>
      <c r="C99" s="2" t="s">
        <v>22868</v>
      </c>
      <c r="D99" s="3">
        <v>4</v>
      </c>
      <c r="E99" s="3">
        <v>22</v>
      </c>
      <c r="F99" s="3" t="str">
        <f>HYPERLINK("https://www.boe.es/gazeta/dias/1810/03/17/pdfs/GMD-1810-76.pdf","Abrir PDF")</f>
        <v>Abrir PDF</v>
      </c>
    </row>
    <row r="100" spans="1:6" ht="30.95" customHeight="1">
      <c r="A100" s="5">
        <v>-32795</v>
      </c>
      <c r="B100" s="2" t="s">
        <v>2320</v>
      </c>
      <c r="C100" s="2" t="s">
        <v>22869</v>
      </c>
      <c r="D100" s="3">
        <v>4</v>
      </c>
      <c r="E100" s="3">
        <v>5</v>
      </c>
      <c r="F100" s="3" t="str">
        <f>HYPERLINK("https://www.boe.es/gazeta/dias/1810/03/17/pdfs/GEI-1810-3E.pdf","Abrir PDF")</f>
        <v>Abrir PDF</v>
      </c>
    </row>
    <row r="101" spans="1:6" ht="30.95" customHeight="1">
      <c r="A101" s="5">
        <v>-32794</v>
      </c>
      <c r="B101" s="2" t="s">
        <v>10648</v>
      </c>
      <c r="C101" s="2" t="s">
        <v>22870</v>
      </c>
      <c r="D101" s="3">
        <v>4</v>
      </c>
      <c r="E101" s="3">
        <v>3</v>
      </c>
      <c r="F101" s="3" t="str">
        <f>HYPERLINK("https://www.boe.es/gazeta/dias/1810/03/18/pdfs/GMD-1810-77.pdf","Abrir PDF")</f>
        <v>Abrir PDF</v>
      </c>
    </row>
    <row r="102" spans="1:6" ht="30.95" customHeight="1">
      <c r="A102" s="5">
        <v>-32793</v>
      </c>
      <c r="B102" s="2" t="s">
        <v>1619</v>
      </c>
      <c r="C102" s="2" t="s">
        <v>22871</v>
      </c>
      <c r="D102" s="3">
        <v>4</v>
      </c>
      <c r="E102" s="3">
        <v>3</v>
      </c>
      <c r="F102" s="3" t="str">
        <f>HYPERLINK("https://www.boe.es/gazeta/dias/1810/03/19/pdfs/GMD-1810-78.pdf","Abrir PDF")</f>
        <v>Abrir PDF</v>
      </c>
    </row>
    <row r="103" spans="1:6" ht="30.95" customHeight="1">
      <c r="A103" s="5">
        <v>-32792</v>
      </c>
      <c r="B103" s="2" t="s">
        <v>4405</v>
      </c>
      <c r="C103" s="2" t="s">
        <v>22872</v>
      </c>
      <c r="D103" s="3">
        <v>4</v>
      </c>
      <c r="E103" s="3">
        <v>7</v>
      </c>
      <c r="F103" s="3" t="str">
        <f>HYPERLINK("https://www.boe.es/gazeta/dias/1810/03/20/pdfs/GMD-1810-79.pdf","Abrir PDF")</f>
        <v>Abrir PDF</v>
      </c>
    </row>
    <row r="104" spans="1:6" ht="30.95" customHeight="1">
      <c r="A104" s="5">
        <v>-32792</v>
      </c>
      <c r="B104" s="2" t="s">
        <v>2387</v>
      </c>
      <c r="C104" s="2" t="s">
        <v>22873</v>
      </c>
      <c r="D104" s="3">
        <v>8</v>
      </c>
      <c r="E104" s="3">
        <v>5</v>
      </c>
      <c r="F104" s="3" t="str">
        <f>HYPERLINK("https://www.boe.es/gazeta/dias/1810/03/20/pdfs/GEI-1810-4.pdf","Abrir PDF")</f>
        <v>Abrir PDF</v>
      </c>
    </row>
    <row r="105" spans="1:6" ht="30.95" customHeight="1">
      <c r="A105" s="5">
        <v>-32791</v>
      </c>
      <c r="B105" s="2" t="s">
        <v>4314</v>
      </c>
      <c r="C105" s="2" t="s">
        <v>22874</v>
      </c>
      <c r="D105" s="3">
        <v>4</v>
      </c>
      <c r="E105" s="3">
        <v>6</v>
      </c>
      <c r="F105" s="3" t="str">
        <f>HYPERLINK("https://www.boe.es/gazeta/dias/1810/03/21/pdfs/GMD-1810-80.pdf","Abrir PDF")</f>
        <v>Abrir PDF</v>
      </c>
    </row>
    <row r="106" spans="1:6" ht="30.95" customHeight="1">
      <c r="A106" s="5">
        <v>-32790</v>
      </c>
      <c r="B106" s="2" t="s">
        <v>22875</v>
      </c>
      <c r="C106" s="2" t="s">
        <v>22876</v>
      </c>
      <c r="D106" s="3">
        <v>4</v>
      </c>
      <c r="E106" s="3">
        <v>0</v>
      </c>
      <c r="F106" s="3" t="str">
        <f>HYPERLINK("https://www.boe.es/gazeta/dias/1810/03/22/pdfs/GMD-1810-81.pdf","Abrir PDF")</f>
        <v>Abrir PDF</v>
      </c>
    </row>
    <row r="107" spans="1:6" ht="30.95" customHeight="1">
      <c r="A107" s="5">
        <v>-32789</v>
      </c>
      <c r="B107" s="2" t="s">
        <v>13717</v>
      </c>
      <c r="C107" s="2" t="s">
        <v>22877</v>
      </c>
      <c r="D107" s="3">
        <v>4</v>
      </c>
      <c r="E107" s="3">
        <v>2</v>
      </c>
      <c r="F107" s="3" t="str">
        <f>HYPERLINK("https://www.boe.es/gazeta/dias/1810/03/23/pdfs/GMD-1810-82.pdf","Abrir PDF")</f>
        <v>Abrir PDF</v>
      </c>
    </row>
    <row r="108" spans="1:6" ht="30.95" customHeight="1">
      <c r="A108" s="5">
        <v>-32789</v>
      </c>
      <c r="B108" s="2" t="s">
        <v>1468</v>
      </c>
      <c r="C108" s="2" t="s">
        <v>22878</v>
      </c>
      <c r="D108" s="3">
        <v>8</v>
      </c>
      <c r="E108" s="3">
        <v>16</v>
      </c>
      <c r="F108" s="3" t="str">
        <f>HYPERLINK("https://www.boe.es/gazeta/dias/1810/03/23/pdfs/GEI-1810-5.pdf","Abrir PDF")</f>
        <v>Abrir PDF</v>
      </c>
    </row>
    <row r="109" spans="1:6" ht="30.95" customHeight="1">
      <c r="A109" s="5">
        <v>-32789</v>
      </c>
      <c r="B109" s="2" t="s">
        <v>2531</v>
      </c>
      <c r="C109" s="2" t="s">
        <v>22879</v>
      </c>
      <c r="D109" s="3">
        <v>2</v>
      </c>
      <c r="E109" s="3">
        <v>5</v>
      </c>
      <c r="F109" s="3" t="str">
        <f>HYPERLINK("https://www.boe.es/gazeta/dias/1810/03/23/pdfs/GEI-1810-6E.pdf","Abrir PDF")</f>
        <v>Abrir PDF</v>
      </c>
    </row>
    <row r="110" spans="1:6" ht="30.95" customHeight="1">
      <c r="A110" s="5">
        <v>-32788</v>
      </c>
      <c r="B110" s="2" t="s">
        <v>1254</v>
      </c>
      <c r="C110" s="2" t="s">
        <v>22880</v>
      </c>
      <c r="D110" s="3">
        <v>4</v>
      </c>
      <c r="E110" s="3">
        <v>16</v>
      </c>
      <c r="F110" s="3" t="str">
        <f>HYPERLINK("https://www.boe.es/gazeta/dias/1810/03/24/pdfs/GMD-1810-83.pdf","Abrir PDF")</f>
        <v>Abrir PDF</v>
      </c>
    </row>
    <row r="111" spans="1:6" ht="30.95" customHeight="1">
      <c r="A111" s="5">
        <v>-32787</v>
      </c>
      <c r="B111" s="2" t="s">
        <v>4797</v>
      </c>
      <c r="C111" s="2" t="s">
        <v>22881</v>
      </c>
      <c r="D111" s="3">
        <v>4</v>
      </c>
      <c r="E111" s="3">
        <v>5</v>
      </c>
      <c r="F111" s="3" t="str">
        <f>HYPERLINK("https://www.boe.es/gazeta/dias/1810/03/25/pdfs/GMD-1810-84.pdf","Abrir PDF")</f>
        <v>Abrir PDF</v>
      </c>
    </row>
    <row r="112" spans="1:6" ht="30.95" customHeight="1">
      <c r="A112" s="5">
        <v>-32787</v>
      </c>
      <c r="B112" s="2" t="s">
        <v>22882</v>
      </c>
      <c r="C112" s="2" t="s">
        <v>22883</v>
      </c>
      <c r="D112" s="3">
        <v>2</v>
      </c>
      <c r="E112" s="3">
        <v>0</v>
      </c>
      <c r="F112" s="3" t="str">
        <f>HYPERLINK("https://www.boe.es/gazeta/dias/1810/03/25/pdfs/C00355-00356.pdf","Abrir PDF")</f>
        <v>Abrir PDF</v>
      </c>
    </row>
    <row r="113" spans="1:6" ht="30.95" customHeight="1">
      <c r="A113" s="5">
        <v>-32786</v>
      </c>
      <c r="B113" s="2" t="s">
        <v>8042</v>
      </c>
      <c r="C113" s="2" t="s">
        <v>22884</v>
      </c>
      <c r="D113" s="3">
        <v>4</v>
      </c>
      <c r="E113" s="3">
        <v>3</v>
      </c>
      <c r="F113" s="3" t="str">
        <f>HYPERLINK("https://www.boe.es/gazeta/dias/1810/03/26/pdfs/GMD-1810-85.pdf","Abrir PDF")</f>
        <v>Abrir PDF</v>
      </c>
    </row>
    <row r="114" spans="1:6" ht="30.95" customHeight="1">
      <c r="A114" s="5">
        <v>-32785</v>
      </c>
      <c r="B114" s="2" t="s">
        <v>5915</v>
      </c>
      <c r="C114" s="2" t="s">
        <v>22885</v>
      </c>
      <c r="D114" s="3">
        <v>4</v>
      </c>
      <c r="E114" s="3">
        <v>5</v>
      </c>
      <c r="F114" s="3" t="str">
        <f>HYPERLINK("https://www.boe.es/gazeta/dias/1810/03/27/pdfs/GMD-1810-86.pdf","Abrir PDF")</f>
        <v>Abrir PDF</v>
      </c>
    </row>
    <row r="115" spans="1:6" ht="30.95" customHeight="1">
      <c r="A115" s="5">
        <v>-32785</v>
      </c>
      <c r="B115" s="2" t="s">
        <v>7167</v>
      </c>
      <c r="C115" s="2" t="s">
        <v>22886</v>
      </c>
      <c r="D115" s="3">
        <v>8</v>
      </c>
      <c r="E115" s="3">
        <v>4</v>
      </c>
      <c r="F115" s="3" t="str">
        <f>HYPERLINK("https://www.boe.es/gazeta/dias/1810/03/27/pdfs/GEI-1810-7.pdf","Abrir PDF")</f>
        <v>Abrir PDF</v>
      </c>
    </row>
    <row r="116" spans="1:6" ht="30.95" customHeight="1">
      <c r="A116" s="5">
        <v>-32785</v>
      </c>
      <c r="B116" s="2" t="s">
        <v>1927</v>
      </c>
      <c r="C116" s="2" t="s">
        <v>22887</v>
      </c>
      <c r="D116" s="3">
        <v>4</v>
      </c>
      <c r="E116" s="3">
        <v>2</v>
      </c>
      <c r="F116" s="3" t="str">
        <f>HYPERLINK("https://www.boe.es/gazeta/dias/1810/03/27/pdfs/GEI-1810-8E.pdf","Abrir PDF")</f>
        <v>Abrir PDF</v>
      </c>
    </row>
    <row r="117" spans="1:6" ht="30.95" customHeight="1">
      <c r="A117" s="5">
        <v>-32784</v>
      </c>
      <c r="B117" s="2" t="s">
        <v>429</v>
      </c>
      <c r="C117" s="2" t="s">
        <v>22888</v>
      </c>
      <c r="D117" s="3">
        <v>4</v>
      </c>
      <c r="E117" s="3">
        <v>53</v>
      </c>
      <c r="F117" s="3" t="str">
        <f>HYPERLINK("https://www.boe.es/gazeta/dias/1810/03/28/pdfs/GMD-1810-87.pdf","Abrir PDF")</f>
        <v>Abrir PDF</v>
      </c>
    </row>
    <row r="118" spans="1:6" ht="30.95" customHeight="1">
      <c r="A118" s="5">
        <v>-32783</v>
      </c>
      <c r="B118" s="2" t="s">
        <v>896</v>
      </c>
      <c r="C118" s="2" t="s">
        <v>22889</v>
      </c>
      <c r="D118" s="3">
        <v>4</v>
      </c>
      <c r="E118" s="3">
        <v>35</v>
      </c>
      <c r="F118" s="3" t="str">
        <f>HYPERLINK("https://www.boe.es/gazeta/dias/1810/03/29/pdfs/GMD-1810-88.pdf","Abrir PDF")</f>
        <v>Abrir PDF</v>
      </c>
    </row>
    <row r="119" spans="1:6" ht="30.95" customHeight="1">
      <c r="A119" s="5">
        <v>-32782</v>
      </c>
      <c r="B119" s="2" t="s">
        <v>1141</v>
      </c>
      <c r="C119" s="2" t="s">
        <v>22890</v>
      </c>
      <c r="D119" s="3">
        <v>4</v>
      </c>
      <c r="E119" s="3">
        <v>9</v>
      </c>
      <c r="F119" s="3" t="str">
        <f>HYPERLINK("https://www.boe.es/gazeta/dias/1810/03/30/pdfs/GMD-1810-89.pdf","Abrir PDF")</f>
        <v>Abrir PDF</v>
      </c>
    </row>
    <row r="120" spans="1:6" ht="30.95" customHeight="1">
      <c r="A120" s="5">
        <v>-32782</v>
      </c>
      <c r="B120" s="2" t="s">
        <v>79</v>
      </c>
      <c r="C120" s="2" t="s">
        <v>22891</v>
      </c>
      <c r="D120" s="3">
        <v>8</v>
      </c>
      <c r="E120" s="3">
        <v>34</v>
      </c>
      <c r="F120" s="3" t="str">
        <f>HYPERLINK("https://www.boe.es/gazeta/dias/1810/03/30/pdfs/GEI-1810-9.pdf","Abrir PDF")</f>
        <v>Abrir PDF</v>
      </c>
    </row>
    <row r="121" spans="1:6" ht="30.95" customHeight="1">
      <c r="A121" s="5">
        <v>-32781</v>
      </c>
      <c r="B121" s="2" t="s">
        <v>5673</v>
      </c>
      <c r="C121" s="2" t="s">
        <v>22892</v>
      </c>
      <c r="D121" s="3">
        <v>4</v>
      </c>
      <c r="E121" s="3">
        <v>9</v>
      </c>
      <c r="F121" s="3" t="str">
        <f>HYPERLINK("https://www.boe.es/gazeta/dias/1810/03/31/pdfs/GMD-1810-90.pdf","Abrir PDF")</f>
        <v>Abrir PDF</v>
      </c>
    </row>
    <row r="122" spans="1:6" ht="30.95" customHeight="1">
      <c r="A122" s="5">
        <v>-32780</v>
      </c>
      <c r="B122" s="2" t="s">
        <v>1295</v>
      </c>
      <c r="C122" s="2" t="s">
        <v>22893</v>
      </c>
      <c r="D122" s="3">
        <v>4</v>
      </c>
      <c r="E122" s="3">
        <v>12</v>
      </c>
      <c r="F122" s="3" t="str">
        <f>HYPERLINK("https://www.boe.es/gazeta/dias/1810/04/01/pdfs/GMD-1810-91.pdf","Abrir PDF")</f>
        <v>Abrir PDF</v>
      </c>
    </row>
    <row r="123" spans="1:6" ht="30.95" customHeight="1">
      <c r="A123" s="5">
        <v>-32779</v>
      </c>
      <c r="B123" s="2" t="s">
        <v>5274</v>
      </c>
      <c r="C123" s="2" t="s">
        <v>22894</v>
      </c>
      <c r="D123" s="3">
        <v>4</v>
      </c>
      <c r="E123" s="3">
        <v>4</v>
      </c>
      <c r="F123" s="3" t="str">
        <f>HYPERLINK("https://www.boe.es/gazeta/dias/1810/04/02/pdfs/GMD-1810-92.pdf","Abrir PDF")</f>
        <v>Abrir PDF</v>
      </c>
    </row>
    <row r="124" spans="1:6" ht="30.95" customHeight="1">
      <c r="A124" s="5">
        <v>-32779</v>
      </c>
      <c r="B124" s="2" t="s">
        <v>161</v>
      </c>
      <c r="C124" s="2" t="s">
        <v>22895</v>
      </c>
      <c r="D124" s="3">
        <v>4</v>
      </c>
      <c r="E124" s="3">
        <v>3</v>
      </c>
      <c r="F124" s="3" t="str">
        <f>HYPERLINK("https://www.boe.es/gazeta/dias/1810/04/02/pdfs/GEI-1810-10E.pdf","Abrir PDF")</f>
        <v>Abrir PDF</v>
      </c>
    </row>
    <row r="125" spans="1:6" ht="30.95" customHeight="1">
      <c r="A125" s="5">
        <v>-32778</v>
      </c>
      <c r="B125" s="2" t="s">
        <v>4255</v>
      </c>
      <c r="C125" s="2" t="s">
        <v>22896</v>
      </c>
      <c r="D125" s="3">
        <v>4</v>
      </c>
      <c r="E125" s="3">
        <v>10</v>
      </c>
      <c r="F125" s="3" t="str">
        <f>HYPERLINK("https://www.boe.es/gazeta/dias/1810/04/03/pdfs/GMD-1810-93.pdf","Abrir PDF")</f>
        <v>Abrir PDF</v>
      </c>
    </row>
    <row r="126" spans="1:6" ht="30.95" customHeight="1">
      <c r="A126" s="5">
        <v>-32778</v>
      </c>
      <c r="B126" s="2" t="s">
        <v>5869</v>
      </c>
      <c r="C126" s="2" t="s">
        <v>22897</v>
      </c>
      <c r="D126" s="3">
        <v>8</v>
      </c>
      <c r="E126" s="3">
        <v>5</v>
      </c>
      <c r="F126" s="3" t="str">
        <f>HYPERLINK("https://www.boe.es/gazeta/dias/1810/04/03/pdfs/GEI-1810-11.pdf","Abrir PDF")</f>
        <v>Abrir PDF</v>
      </c>
    </row>
    <row r="127" spans="1:6" ht="30.95" customHeight="1">
      <c r="A127" s="5">
        <v>-32777</v>
      </c>
      <c r="B127" s="2" t="s">
        <v>2859</v>
      </c>
      <c r="C127" s="2" t="s">
        <v>22898</v>
      </c>
      <c r="D127" s="3">
        <v>4</v>
      </c>
      <c r="E127" s="3">
        <v>2</v>
      </c>
      <c r="F127" s="3" t="str">
        <f>HYPERLINK("https://www.boe.es/gazeta/dias/1810/04/04/pdfs/GMD-1810-94.pdf","Abrir PDF")</f>
        <v>Abrir PDF</v>
      </c>
    </row>
    <row r="128" spans="1:6" ht="30.95" customHeight="1">
      <c r="A128" s="5">
        <v>-32776</v>
      </c>
      <c r="B128" s="2" t="s">
        <v>752</v>
      </c>
      <c r="C128" s="2" t="s">
        <v>22899</v>
      </c>
      <c r="D128" s="3">
        <v>4</v>
      </c>
      <c r="E128" s="3">
        <v>26</v>
      </c>
      <c r="F128" s="3" t="str">
        <f>HYPERLINK("https://www.boe.es/gazeta/dias/1810/04/05/pdfs/GMD-1810-95.pdf","Abrir PDF")</f>
        <v>Abrir PDF</v>
      </c>
    </row>
    <row r="129" spans="1:6" ht="30.95" customHeight="1">
      <c r="A129" s="5">
        <v>-32775</v>
      </c>
      <c r="B129" s="2" t="s">
        <v>308</v>
      </c>
      <c r="C129" s="2" t="s">
        <v>22900</v>
      </c>
      <c r="D129" s="3">
        <v>4</v>
      </c>
      <c r="E129" s="3">
        <v>21</v>
      </c>
      <c r="F129" s="3" t="str">
        <f>HYPERLINK("https://www.boe.es/gazeta/dias/1810/04/06/pdfs/GMD-1810-96.pdf","Abrir PDF")</f>
        <v>Abrir PDF</v>
      </c>
    </row>
    <row r="130" spans="1:6" ht="30.95" customHeight="1">
      <c r="A130" s="5">
        <v>-32775</v>
      </c>
      <c r="B130" s="2" t="s">
        <v>553</v>
      </c>
      <c r="C130" s="2" t="s">
        <v>22901</v>
      </c>
      <c r="D130" s="3">
        <v>12</v>
      </c>
      <c r="E130" s="3">
        <v>13</v>
      </c>
      <c r="F130" s="3" t="str">
        <f>HYPERLINK("https://www.boe.es/gazeta/dias/1810/04/06/pdfs/GEI-1810-12.pdf","Abrir PDF")</f>
        <v>Abrir PDF</v>
      </c>
    </row>
    <row r="131" spans="1:6" ht="30.95" customHeight="1">
      <c r="A131" s="5">
        <v>-32774</v>
      </c>
      <c r="B131" s="2" t="s">
        <v>10556</v>
      </c>
      <c r="C131" s="2" t="s">
        <v>22902</v>
      </c>
      <c r="D131" s="3">
        <v>4</v>
      </c>
      <c r="E131" s="3">
        <v>9</v>
      </c>
      <c r="F131" s="3" t="str">
        <f>HYPERLINK("https://www.boe.es/gazeta/dias/1810/04/07/pdfs/GMD-1810-97.pdf","Abrir PDF")</f>
        <v>Abrir PDF</v>
      </c>
    </row>
    <row r="132" spans="1:6" ht="30.95" customHeight="1">
      <c r="A132" s="5">
        <v>-32773</v>
      </c>
      <c r="B132" s="2" t="s">
        <v>10878</v>
      </c>
      <c r="C132" s="2" t="s">
        <v>22903</v>
      </c>
      <c r="D132" s="3">
        <v>4</v>
      </c>
      <c r="E132" s="3">
        <v>1</v>
      </c>
      <c r="F132" s="3" t="str">
        <f>HYPERLINK("https://www.boe.es/gazeta/dias/1810/04/08/pdfs/GMD-1810-98.pdf","Abrir PDF")</f>
        <v>Abrir PDF</v>
      </c>
    </row>
    <row r="133" spans="1:6" ht="30.95" customHeight="1">
      <c r="A133" s="5">
        <v>-32772</v>
      </c>
      <c r="B133" s="2" t="s">
        <v>398</v>
      </c>
      <c r="C133" s="2" t="s">
        <v>22904</v>
      </c>
      <c r="D133" s="3">
        <v>4</v>
      </c>
      <c r="E133" s="3">
        <v>19</v>
      </c>
      <c r="F133" s="3" t="str">
        <f>HYPERLINK("https://www.boe.es/gazeta/dias/1810/04/09/pdfs/GMD-1810-99.pdf","Abrir PDF")</f>
        <v>Abrir PDF</v>
      </c>
    </row>
    <row r="134" spans="1:6" ht="30.95" customHeight="1">
      <c r="A134" s="5">
        <v>-32771</v>
      </c>
      <c r="B134" s="2" t="s">
        <v>8719</v>
      </c>
      <c r="C134" s="2" t="s">
        <v>22905</v>
      </c>
      <c r="D134" s="3">
        <v>4</v>
      </c>
      <c r="E134" s="3">
        <v>5</v>
      </c>
      <c r="F134" s="3" t="str">
        <f>HYPERLINK("https://www.boe.es/gazeta/dias/1810/04/10/pdfs/GMD-1810-100.pdf","Abrir PDF")</f>
        <v>Abrir PDF</v>
      </c>
    </row>
    <row r="135" spans="1:6" ht="30.95" customHeight="1">
      <c r="A135" s="5">
        <v>-32771</v>
      </c>
      <c r="B135" s="2" t="s">
        <v>543</v>
      </c>
      <c r="C135" s="2" t="s">
        <v>22906</v>
      </c>
      <c r="D135" s="3">
        <v>8</v>
      </c>
      <c r="E135" s="3">
        <v>70</v>
      </c>
      <c r="F135" s="3" t="str">
        <f>HYPERLINK("https://www.boe.es/gazeta/dias/1810/04/10/pdfs/GEI-1810-13.pdf","Abrir PDF")</f>
        <v>Abrir PDF</v>
      </c>
    </row>
    <row r="136" spans="1:6" ht="30.95" customHeight="1">
      <c r="A136" s="5">
        <v>-32770</v>
      </c>
      <c r="B136" s="2" t="s">
        <v>7130</v>
      </c>
      <c r="C136" s="2" t="s">
        <v>22907</v>
      </c>
      <c r="D136" s="3">
        <v>4</v>
      </c>
      <c r="E136" s="3">
        <v>8</v>
      </c>
      <c r="F136" s="3" t="str">
        <f>HYPERLINK("https://www.boe.es/gazeta/dias/1810/04/11/pdfs/GMD-1810-101.pdf","Abrir PDF")</f>
        <v>Abrir PDF</v>
      </c>
    </row>
    <row r="137" spans="1:6" ht="30.95" customHeight="1">
      <c r="A137" s="5">
        <v>-32769</v>
      </c>
      <c r="B137" s="2" t="s">
        <v>1543</v>
      </c>
      <c r="C137" s="2" t="s">
        <v>22908</v>
      </c>
      <c r="D137" s="3">
        <v>4</v>
      </c>
      <c r="E137" s="3">
        <v>18</v>
      </c>
      <c r="F137" s="3" t="str">
        <f>HYPERLINK("https://www.boe.es/gazeta/dias/1810/04/12/pdfs/GMD-1810-102.pdf","Abrir PDF")</f>
        <v>Abrir PDF</v>
      </c>
    </row>
    <row r="138" spans="1:6" ht="30.95" customHeight="1">
      <c r="A138" s="5">
        <v>-32768</v>
      </c>
      <c r="B138" s="2" t="s">
        <v>4236</v>
      </c>
      <c r="C138" s="2" t="s">
        <v>22909</v>
      </c>
      <c r="D138" s="3">
        <v>4</v>
      </c>
      <c r="E138" s="3">
        <v>4</v>
      </c>
      <c r="F138" s="3" t="str">
        <f>HYPERLINK("https://www.boe.es/gazeta/dias/1810/04/13/pdfs/GMD-1810-103.pdf","Abrir PDF")</f>
        <v>Abrir PDF</v>
      </c>
    </row>
    <row r="139" spans="1:6" ht="30.95" customHeight="1">
      <c r="A139" s="5">
        <v>-32768</v>
      </c>
      <c r="B139" s="2" t="s">
        <v>1930</v>
      </c>
      <c r="C139" s="2" t="s">
        <v>22910</v>
      </c>
      <c r="D139" s="3">
        <v>12</v>
      </c>
      <c r="E139" s="3">
        <v>14</v>
      </c>
      <c r="F139" s="3" t="str">
        <f>HYPERLINK("https://www.boe.es/gazeta/dias/1810/04/13/pdfs/GEI-1810-14.pdf","Abrir PDF")</f>
        <v>Abrir PDF</v>
      </c>
    </row>
    <row r="140" spans="1:6" ht="30.95" customHeight="1">
      <c r="A140" s="5">
        <v>-32767</v>
      </c>
      <c r="B140" s="2" t="s">
        <v>1265</v>
      </c>
      <c r="C140" s="2" t="s">
        <v>22911</v>
      </c>
      <c r="D140" s="3">
        <v>4</v>
      </c>
      <c r="E140" s="3">
        <v>19</v>
      </c>
      <c r="F140" s="3" t="str">
        <f>HYPERLINK("https://www.boe.es/gazeta/dias/1810/04/14/pdfs/GMD-1810-104.pdf","Abrir PDF")</f>
        <v>Abrir PDF</v>
      </c>
    </row>
    <row r="141" spans="1:6" ht="30.95" customHeight="1">
      <c r="A141" s="5">
        <v>-32766</v>
      </c>
      <c r="B141" s="2" t="s">
        <v>492</v>
      </c>
      <c r="C141" s="2" t="s">
        <v>22912</v>
      </c>
      <c r="D141" s="3">
        <v>4</v>
      </c>
      <c r="E141" s="3">
        <v>35</v>
      </c>
      <c r="F141" s="3" t="str">
        <f>HYPERLINK("https://www.boe.es/gazeta/dias/1810/04/15/pdfs/GMD-1810-105.pdf","Abrir PDF")</f>
        <v>Abrir PDF</v>
      </c>
    </row>
    <row r="142" spans="1:6" ht="30.95" customHeight="1">
      <c r="A142" s="5">
        <v>-32765</v>
      </c>
      <c r="B142" s="2" t="s">
        <v>1842</v>
      </c>
      <c r="C142" s="2" t="s">
        <v>22913</v>
      </c>
      <c r="D142" s="3">
        <v>4</v>
      </c>
      <c r="E142" s="3">
        <v>3</v>
      </c>
      <c r="F142" s="3" t="str">
        <f>HYPERLINK("https://www.boe.es/gazeta/dias/1810/04/16/pdfs/GMD-1810-106.pdf","Abrir PDF")</f>
        <v>Abrir PDF</v>
      </c>
    </row>
    <row r="143" spans="1:6" ht="30.95" customHeight="1">
      <c r="A143" s="5">
        <v>-32764</v>
      </c>
      <c r="B143" s="2" t="s">
        <v>718</v>
      </c>
      <c r="C143" s="2" t="s">
        <v>22914</v>
      </c>
      <c r="D143" s="3">
        <v>4</v>
      </c>
      <c r="E143" s="3">
        <v>9</v>
      </c>
      <c r="F143" s="3" t="str">
        <f>HYPERLINK("https://www.boe.es/gazeta/dias/1810/04/17/pdfs/GMD-1810-107.pdf","Abrir PDF")</f>
        <v>Abrir PDF</v>
      </c>
    </row>
    <row r="144" spans="1:6" ht="30.95" customHeight="1">
      <c r="A144" s="5">
        <v>-32764</v>
      </c>
      <c r="B144" s="2" t="s">
        <v>22915</v>
      </c>
      <c r="C144" s="2" t="s">
        <v>22916</v>
      </c>
      <c r="D144" s="3">
        <v>2</v>
      </c>
      <c r="E144" s="3">
        <v>0</v>
      </c>
      <c r="F144" s="3" t="str">
        <f>HYPERLINK("https://www.boe.es/gazeta/dias/1810/04/17/pdfs/GMD-C-1810-107.pdf","Abrir PDF")</f>
        <v>Abrir PDF</v>
      </c>
    </row>
    <row r="145" spans="1:6" ht="30.95" customHeight="1">
      <c r="A145" s="5">
        <v>-32764</v>
      </c>
      <c r="B145" s="2" t="s">
        <v>640</v>
      </c>
      <c r="C145" s="2" t="s">
        <v>22917</v>
      </c>
      <c r="D145" s="3">
        <v>8</v>
      </c>
      <c r="E145" s="3">
        <v>64</v>
      </c>
      <c r="F145" s="3" t="str">
        <f>HYPERLINK("https://www.boe.es/gazeta/dias/1810/04/17/pdfs/GEI-1810-15.pdf","Abrir PDF")</f>
        <v>Abrir PDF</v>
      </c>
    </row>
    <row r="146" spans="1:6" ht="30.95" customHeight="1">
      <c r="A146" s="5">
        <v>-32764</v>
      </c>
      <c r="B146" s="2" t="s">
        <v>1546</v>
      </c>
      <c r="C146" s="2" t="s">
        <v>22918</v>
      </c>
      <c r="D146" s="3">
        <v>4</v>
      </c>
      <c r="E146" s="3">
        <v>6</v>
      </c>
      <c r="F146" s="3" t="str">
        <f>HYPERLINK("https://www.boe.es/gazeta/dias/1810/04/17/pdfs/GEI-D-1810-15.pdf","Abrir PDF")</f>
        <v>Abrir PDF</v>
      </c>
    </row>
    <row r="147" spans="1:6" ht="30.95" customHeight="1">
      <c r="A147" s="5">
        <v>-32763</v>
      </c>
      <c r="B147" s="2" t="s">
        <v>1146</v>
      </c>
      <c r="C147" s="2" t="s">
        <v>22919</v>
      </c>
      <c r="D147" s="3">
        <v>4</v>
      </c>
      <c r="E147" s="3">
        <v>50</v>
      </c>
      <c r="F147" s="3" t="str">
        <f>HYPERLINK("https://www.boe.es/gazeta/dias/1810/04/18/pdfs/GMD-1810-108.pdf","Abrir PDF")</f>
        <v>Abrir PDF</v>
      </c>
    </row>
    <row r="148" spans="1:6" ht="30.95" customHeight="1">
      <c r="A148" s="5">
        <v>-32762</v>
      </c>
      <c r="B148" s="2" t="s">
        <v>231</v>
      </c>
      <c r="C148" s="2" t="s">
        <v>22920</v>
      </c>
      <c r="D148" s="3">
        <v>4</v>
      </c>
      <c r="E148" s="3">
        <v>46</v>
      </c>
      <c r="F148" s="3" t="str">
        <f>HYPERLINK("https://www.boe.es/gazeta/dias/1810/04/19/pdfs/GMD-1810-109.pdf","Abrir PDF")</f>
        <v>Abrir PDF</v>
      </c>
    </row>
    <row r="149" spans="1:6" ht="30.95" customHeight="1">
      <c r="A149" s="5">
        <v>-32761</v>
      </c>
      <c r="B149" s="2" t="s">
        <v>2093</v>
      </c>
      <c r="C149" s="2" t="s">
        <v>22921</v>
      </c>
      <c r="D149" s="3">
        <v>4</v>
      </c>
      <c r="E149" s="3">
        <v>15</v>
      </c>
      <c r="F149" s="3" t="str">
        <f>HYPERLINK("https://www.boe.es/gazeta/dias/1810/04/20/pdfs/GMD-1810-110.pdf","Abrir PDF")</f>
        <v>Abrir PDF</v>
      </c>
    </row>
    <row r="150" spans="1:6" ht="30.95" customHeight="1">
      <c r="A150" s="5">
        <v>-32761</v>
      </c>
      <c r="B150" s="2" t="s">
        <v>811</v>
      </c>
      <c r="C150" s="2" t="s">
        <v>22922</v>
      </c>
      <c r="D150" s="3">
        <v>8</v>
      </c>
      <c r="E150" s="3">
        <v>72</v>
      </c>
      <c r="F150" s="3" t="str">
        <f>HYPERLINK("https://www.boe.es/gazeta/dias/1810/04/20/pdfs/GEI-1810-16.pdf","Abrir PDF")</f>
        <v>Abrir PDF</v>
      </c>
    </row>
    <row r="151" spans="1:6" ht="30.95" customHeight="1">
      <c r="A151" s="5">
        <v>-32760</v>
      </c>
      <c r="B151" s="2" t="s">
        <v>19087</v>
      </c>
      <c r="C151" s="2" t="s">
        <v>22923</v>
      </c>
      <c r="D151" s="3">
        <v>4</v>
      </c>
      <c r="E151" s="3">
        <v>2</v>
      </c>
      <c r="F151" s="3" t="str">
        <f>HYPERLINK("https://www.boe.es/gazeta/dias/1810/04/21/pdfs/GMD-1810-111.pdf","Abrir PDF")</f>
        <v>Abrir PDF</v>
      </c>
    </row>
    <row r="152" spans="1:6" ht="30.95" customHeight="1">
      <c r="A152" s="5">
        <v>-32759</v>
      </c>
      <c r="B152" s="2" t="s">
        <v>4747</v>
      </c>
      <c r="C152" s="2" t="s">
        <v>22924</v>
      </c>
      <c r="D152" s="3">
        <v>4</v>
      </c>
      <c r="E152" s="3">
        <v>8</v>
      </c>
      <c r="F152" s="3" t="str">
        <f>HYPERLINK("https://www.boe.es/gazeta/dias/1810/04/22/pdfs/GMD-1810-112.pdf","Abrir PDF")</f>
        <v>Abrir PDF</v>
      </c>
    </row>
    <row r="153" spans="1:6" ht="30.95" customHeight="1">
      <c r="A153" s="5">
        <v>-32758</v>
      </c>
      <c r="B153" s="2" t="s">
        <v>2822</v>
      </c>
      <c r="C153" s="2" t="s">
        <v>22925</v>
      </c>
      <c r="D153" s="3">
        <v>4</v>
      </c>
      <c r="E153" s="3">
        <v>3</v>
      </c>
      <c r="F153" s="3" t="str">
        <f>HYPERLINK("https://www.boe.es/gazeta/dias/1810/04/23/pdfs/GMD-1810-113.pdf","Abrir PDF")</f>
        <v>Abrir PDF</v>
      </c>
    </row>
    <row r="154" spans="1:6" ht="30.95" customHeight="1">
      <c r="A154" s="5">
        <v>-32757</v>
      </c>
      <c r="B154" s="2" t="s">
        <v>414</v>
      </c>
      <c r="C154" s="2" t="s">
        <v>22926</v>
      </c>
      <c r="D154" s="3">
        <v>4</v>
      </c>
      <c r="E154" s="3">
        <v>7</v>
      </c>
      <c r="F154" s="3" t="str">
        <f>HYPERLINK("https://www.boe.es/gazeta/dias/1810/04/24/pdfs/GMD-1810-114.pdf","Abrir PDF")</f>
        <v>Abrir PDF</v>
      </c>
    </row>
    <row r="155" spans="1:6" ht="30.95" customHeight="1">
      <c r="A155" s="5">
        <v>-32757</v>
      </c>
      <c r="B155" s="2" t="s">
        <v>1136</v>
      </c>
      <c r="C155" s="2" t="s">
        <v>22927</v>
      </c>
      <c r="D155" s="3">
        <v>8</v>
      </c>
      <c r="E155" s="3">
        <v>46</v>
      </c>
      <c r="F155" s="3" t="str">
        <f>HYPERLINK("https://www.boe.es/gazeta/dias/1810/04/24/pdfs/GEI-1810-17.pdf","Abrir PDF")</f>
        <v>Abrir PDF</v>
      </c>
    </row>
    <row r="156" spans="1:6" ht="30.95" customHeight="1">
      <c r="A156" s="5">
        <v>-32756</v>
      </c>
      <c r="B156" s="2" t="s">
        <v>203</v>
      </c>
      <c r="C156" s="2" t="s">
        <v>22928</v>
      </c>
      <c r="D156" s="3">
        <v>4</v>
      </c>
      <c r="E156" s="3">
        <v>63</v>
      </c>
      <c r="F156" s="3" t="str">
        <f>HYPERLINK("https://www.boe.es/gazeta/dias/1810/04/25/pdfs/GMD-1810-115.pdf","Abrir PDF")</f>
        <v>Abrir PDF</v>
      </c>
    </row>
    <row r="157" spans="1:6" ht="30.95" customHeight="1">
      <c r="A157" s="5">
        <v>-32755</v>
      </c>
      <c r="B157" s="2" t="s">
        <v>1641</v>
      </c>
      <c r="C157" s="2" t="s">
        <v>22929</v>
      </c>
      <c r="D157" s="3">
        <v>4</v>
      </c>
      <c r="E157" s="3">
        <v>18</v>
      </c>
      <c r="F157" s="3" t="str">
        <f>HYPERLINK("https://www.boe.es/gazeta/dias/1810/04/26/pdfs/GMD-1810-116.pdf","Abrir PDF")</f>
        <v>Abrir PDF</v>
      </c>
    </row>
    <row r="158" spans="1:6" ht="30.95" customHeight="1">
      <c r="A158" s="5">
        <v>-32754</v>
      </c>
      <c r="B158" s="2" t="s">
        <v>34</v>
      </c>
      <c r="C158" s="2" t="s">
        <v>22930</v>
      </c>
      <c r="D158" s="3">
        <v>4</v>
      </c>
      <c r="E158" s="3">
        <v>20</v>
      </c>
      <c r="F158" s="3" t="str">
        <f>HYPERLINK("https://www.boe.es/gazeta/dias/1810/04/27/pdfs/GMD-1810-117.pdf","Abrir PDF")</f>
        <v>Abrir PDF</v>
      </c>
    </row>
    <row r="159" spans="1:6" ht="30.95" customHeight="1">
      <c r="A159" s="5">
        <v>-32754</v>
      </c>
      <c r="B159" s="2" t="s">
        <v>1057</v>
      </c>
      <c r="C159" s="2" t="s">
        <v>22931</v>
      </c>
      <c r="D159" s="3">
        <v>12</v>
      </c>
      <c r="E159" s="3">
        <v>32</v>
      </c>
      <c r="F159" s="3" t="str">
        <f>HYPERLINK("https://www.boe.es/gazeta/dias/1810/04/27/pdfs/GEI-1810-18.pdf","Abrir PDF")</f>
        <v>Abrir PDF</v>
      </c>
    </row>
    <row r="160" spans="1:6" ht="30.95" customHeight="1">
      <c r="A160" s="5">
        <v>-32754</v>
      </c>
      <c r="B160" s="2" t="s">
        <v>19053</v>
      </c>
      <c r="C160" s="2" t="s">
        <v>22932</v>
      </c>
      <c r="D160" s="3">
        <v>4</v>
      </c>
      <c r="E160" s="3">
        <v>1</v>
      </c>
      <c r="F160" s="3" t="str">
        <f>HYPERLINK("https://www.boe.es/gazeta/dias/1810/04/27/pdfs/GEI-D-1810-18.pdf","Abrir PDF")</f>
        <v>Abrir PDF</v>
      </c>
    </row>
    <row r="161" spans="1:6" ht="30.95" customHeight="1">
      <c r="A161" s="5">
        <v>-32753</v>
      </c>
      <c r="B161" s="2" t="s">
        <v>2789</v>
      </c>
      <c r="C161" s="2" t="s">
        <v>22933</v>
      </c>
      <c r="D161" s="3">
        <v>4</v>
      </c>
      <c r="E161" s="3">
        <v>11</v>
      </c>
      <c r="F161" s="3" t="str">
        <f>HYPERLINK("https://www.boe.es/gazeta/dias/1810/04/28/pdfs/GMD-1810-118.pdf","Abrir PDF")</f>
        <v>Abrir PDF</v>
      </c>
    </row>
    <row r="162" spans="1:6" ht="30.95" customHeight="1">
      <c r="A162" s="5">
        <v>-32752</v>
      </c>
      <c r="B162" s="2" t="s">
        <v>601</v>
      </c>
      <c r="C162" s="2" t="s">
        <v>22934</v>
      </c>
      <c r="D162" s="3">
        <v>4</v>
      </c>
      <c r="E162" s="3">
        <v>7</v>
      </c>
      <c r="F162" s="3" t="str">
        <f>HYPERLINK("https://www.boe.es/gazeta/dias/1810/04/29/pdfs/GMD-1810-119.pdf","Abrir PDF")</f>
        <v>Abrir PDF</v>
      </c>
    </row>
    <row r="163" spans="1:6" ht="30.95" customHeight="1">
      <c r="A163" s="5">
        <v>-32751</v>
      </c>
      <c r="B163" s="2" t="s">
        <v>1205</v>
      </c>
      <c r="C163" s="2" t="s">
        <v>22935</v>
      </c>
      <c r="D163" s="3">
        <v>4</v>
      </c>
      <c r="E163" s="3">
        <v>21</v>
      </c>
      <c r="F163" s="3" t="str">
        <f>HYPERLINK("https://www.boe.es/gazeta/dias/1810/04/30/pdfs/GMD-1810-120.pdf","Abrir PDF")</f>
        <v>Abrir PDF</v>
      </c>
    </row>
    <row r="164" spans="1:6" ht="30.95" customHeight="1">
      <c r="A164" s="5">
        <v>-32750</v>
      </c>
      <c r="B164" s="2" t="s">
        <v>6507</v>
      </c>
      <c r="C164" s="2" t="s">
        <v>22936</v>
      </c>
      <c r="D164" s="3">
        <v>4</v>
      </c>
      <c r="E164" s="3">
        <v>5</v>
      </c>
      <c r="F164" s="3" t="str">
        <f>HYPERLINK("https://www.boe.es/gazeta/dias/1810/05/01/pdfs/GMD-1810-121.pdf","Abrir PDF")</f>
        <v>Abrir PDF</v>
      </c>
    </row>
    <row r="165" spans="1:6" ht="30.95" customHeight="1">
      <c r="A165" s="5">
        <v>-32750</v>
      </c>
      <c r="B165" s="2" t="s">
        <v>10042</v>
      </c>
      <c r="C165" s="2" t="s">
        <v>22937</v>
      </c>
      <c r="D165" s="3">
        <v>8</v>
      </c>
      <c r="E165" s="3">
        <v>3</v>
      </c>
      <c r="F165" s="3" t="str">
        <f>HYPERLINK("https://www.boe.es/gazeta/dias/1810/05/01/pdfs/GEI-1810-19.pdf","Abrir PDF")</f>
        <v>Abrir PDF</v>
      </c>
    </row>
    <row r="166" spans="1:6" ht="30.95" customHeight="1">
      <c r="A166" s="5">
        <v>-32749</v>
      </c>
      <c r="B166" s="2" t="s">
        <v>2812</v>
      </c>
      <c r="C166" s="2" t="s">
        <v>22938</v>
      </c>
      <c r="D166" s="3">
        <v>4</v>
      </c>
      <c r="E166" s="3">
        <v>6</v>
      </c>
      <c r="F166" s="3" t="str">
        <f>HYPERLINK("https://www.boe.es/gazeta/dias/1810/05/02/pdfs/GMD-1810-122.pdf","Abrir PDF")</f>
        <v>Abrir PDF</v>
      </c>
    </row>
    <row r="167" spans="1:6" ht="30.95" customHeight="1">
      <c r="A167" s="5">
        <v>-32749</v>
      </c>
      <c r="B167" s="2" t="s">
        <v>803</v>
      </c>
      <c r="C167" s="2" t="s">
        <v>22939</v>
      </c>
      <c r="D167" s="3">
        <v>2</v>
      </c>
      <c r="E167" s="3">
        <v>11</v>
      </c>
      <c r="F167" s="3" t="str">
        <f>HYPERLINK("https://www.boe.es/gazeta/dias/1810/05/02/pdfs/GMD-C-1810-122.pdf","Abrir PDF")</f>
        <v>Abrir PDF</v>
      </c>
    </row>
    <row r="168" spans="1:6" ht="30.95" customHeight="1">
      <c r="A168" s="5">
        <v>-32749</v>
      </c>
      <c r="B168" s="2" t="s">
        <v>2451</v>
      </c>
      <c r="C168" s="2" t="s">
        <v>22940</v>
      </c>
      <c r="D168" s="3">
        <v>8</v>
      </c>
      <c r="E168" s="3">
        <v>8</v>
      </c>
      <c r="F168" s="3" t="str">
        <f>HYPERLINK("https://www.boe.es/gazeta/dias/1810/05/02/pdfs/GEI-1810-20E.pdf","Abrir PDF")</f>
        <v>Abrir PDF</v>
      </c>
    </row>
    <row r="169" spans="1:6" ht="30.95" customHeight="1">
      <c r="A169" s="5">
        <v>-32748</v>
      </c>
      <c r="B169" s="2" t="s">
        <v>15562</v>
      </c>
      <c r="C169" s="2" t="s">
        <v>22941</v>
      </c>
      <c r="D169" s="3">
        <v>4</v>
      </c>
      <c r="E169" s="3">
        <v>2</v>
      </c>
      <c r="F169" s="3" t="str">
        <f>HYPERLINK("https://www.boe.es/gazeta/dias/1810/05/03/pdfs/GMD-1810-123.pdf","Abrir PDF")</f>
        <v>Abrir PDF</v>
      </c>
    </row>
    <row r="170" spans="1:6" ht="30.95" customHeight="1">
      <c r="A170" s="5">
        <v>-32747</v>
      </c>
      <c r="B170" s="2" t="s">
        <v>22942</v>
      </c>
      <c r="C170" s="2" t="s">
        <v>22943</v>
      </c>
      <c r="D170" s="3">
        <v>4</v>
      </c>
      <c r="E170" s="3">
        <v>0</v>
      </c>
      <c r="F170" s="3" t="str">
        <f>HYPERLINK("https://www.boe.es/gazeta/dias/1810/05/04/pdfs/GMD-1810-124.pdf","Abrir PDF")</f>
        <v>Abrir PDF</v>
      </c>
    </row>
    <row r="171" spans="1:6" ht="30.95" customHeight="1">
      <c r="A171" s="5">
        <v>-32747</v>
      </c>
      <c r="B171" s="2" t="s">
        <v>2337</v>
      </c>
      <c r="C171" s="2" t="s">
        <v>22944</v>
      </c>
      <c r="D171" s="3">
        <v>8</v>
      </c>
      <c r="E171" s="3">
        <v>9</v>
      </c>
      <c r="F171" s="3" t="str">
        <f>HYPERLINK("https://www.boe.es/gazeta/dias/1810/05/04/pdfs/GEI-1810-21.pdf","Abrir PDF")</f>
        <v>Abrir PDF</v>
      </c>
    </row>
    <row r="172" spans="1:6" ht="30.95" customHeight="1">
      <c r="A172" s="5">
        <v>-32746</v>
      </c>
      <c r="B172" s="2" t="s">
        <v>22945</v>
      </c>
      <c r="C172" s="2" t="s">
        <v>22946</v>
      </c>
      <c r="D172" s="3">
        <v>4</v>
      </c>
      <c r="E172" s="3">
        <v>0</v>
      </c>
      <c r="F172" s="3" t="str">
        <f>HYPERLINK("https://www.boe.es/gazeta/dias/1810/05/05/pdfs/GMD-1810-125.pdf","Abrir PDF")</f>
        <v>Abrir PDF</v>
      </c>
    </row>
    <row r="173" spans="1:6" ht="30.95" customHeight="1">
      <c r="A173" s="5">
        <v>-32745</v>
      </c>
      <c r="B173" s="2" t="s">
        <v>7101</v>
      </c>
      <c r="C173" s="2" t="s">
        <v>22947</v>
      </c>
      <c r="D173" s="3">
        <v>4</v>
      </c>
      <c r="E173" s="3">
        <v>8</v>
      </c>
      <c r="F173" s="3" t="str">
        <f>HYPERLINK("https://www.boe.es/gazeta/dias/1810/05/06/pdfs/GMD-1810-126.pdf","Abrir PDF")</f>
        <v>Abrir PDF</v>
      </c>
    </row>
    <row r="174" spans="1:6" ht="30.95" customHeight="1">
      <c r="A174" s="5">
        <v>-32744</v>
      </c>
      <c r="B174" s="2" t="s">
        <v>1570</v>
      </c>
      <c r="C174" s="2" t="s">
        <v>22948</v>
      </c>
      <c r="D174" s="3">
        <v>4</v>
      </c>
      <c r="E174" s="3">
        <v>18</v>
      </c>
      <c r="F174" s="3" t="str">
        <f>HYPERLINK("https://www.boe.es/gazeta/dias/1810/05/07/pdfs/GMD-1810-127.pdf","Abrir PDF")</f>
        <v>Abrir PDF</v>
      </c>
    </row>
    <row r="175" spans="1:6" ht="30.95" customHeight="1">
      <c r="A175" s="5">
        <v>-32743</v>
      </c>
      <c r="B175" s="2" t="s">
        <v>5683</v>
      </c>
      <c r="C175" s="2" t="s">
        <v>22949</v>
      </c>
      <c r="D175" s="3">
        <v>4</v>
      </c>
      <c r="E175" s="3">
        <v>5</v>
      </c>
      <c r="F175" s="3" t="str">
        <f>HYPERLINK("https://www.boe.es/gazeta/dias/1810/05/08/pdfs/GMD-1810-128.pdf","Abrir PDF")</f>
        <v>Abrir PDF</v>
      </c>
    </row>
    <row r="176" spans="1:6" ht="30.95" customHeight="1">
      <c r="A176" s="5">
        <v>-32743</v>
      </c>
      <c r="B176" s="2" t="s">
        <v>2265</v>
      </c>
      <c r="C176" s="2" t="s">
        <v>22950</v>
      </c>
      <c r="D176" s="3">
        <v>8</v>
      </c>
      <c r="E176" s="3">
        <v>19</v>
      </c>
      <c r="F176" s="3" t="str">
        <f>HYPERLINK("https://www.boe.es/gazeta/dias/1810/05/08/pdfs/GEI-1810-22.pdf","Abrir PDF")</f>
        <v>Abrir PDF</v>
      </c>
    </row>
    <row r="177" spans="1:6" ht="30.95" customHeight="1">
      <c r="A177" s="5">
        <v>-32742</v>
      </c>
      <c r="B177" s="2" t="s">
        <v>2306</v>
      </c>
      <c r="C177" s="2" t="s">
        <v>22951</v>
      </c>
      <c r="D177" s="3">
        <v>4</v>
      </c>
      <c r="E177" s="3">
        <v>3</v>
      </c>
      <c r="F177" s="3" t="str">
        <f>HYPERLINK("https://www.boe.es/gazeta/dias/1810/05/09/pdfs/GMD-1810-129.pdf","Abrir PDF")</f>
        <v>Abrir PDF</v>
      </c>
    </row>
    <row r="178" spans="1:6" ht="30.95" customHeight="1">
      <c r="A178" s="5">
        <v>-32742</v>
      </c>
      <c r="B178" s="2" t="s">
        <v>17374</v>
      </c>
      <c r="C178" s="2" t="s">
        <v>22952</v>
      </c>
      <c r="D178" s="3">
        <v>12</v>
      </c>
      <c r="E178" s="3">
        <v>1</v>
      </c>
      <c r="F178" s="3" t="str">
        <f>HYPERLINK("https://www.boe.es/gazeta/dias/1810/05/09/pdfs/GEI-1810-23E.pdf","Abrir PDF")</f>
        <v>Abrir PDF</v>
      </c>
    </row>
    <row r="179" spans="1:6" ht="30.95" customHeight="1">
      <c r="A179" s="5">
        <v>-32741</v>
      </c>
      <c r="B179" s="2" t="s">
        <v>98</v>
      </c>
      <c r="C179" s="2" t="s">
        <v>22953</v>
      </c>
      <c r="D179" s="3">
        <v>4</v>
      </c>
      <c r="E179" s="3">
        <v>41</v>
      </c>
      <c r="F179" s="3" t="str">
        <f>HYPERLINK("https://www.boe.es/gazeta/dias/1810/05/10/pdfs/GMD-1810-130.pdf","Abrir PDF")</f>
        <v>Abrir PDF</v>
      </c>
    </row>
    <row r="180" spans="1:6" ht="30.95" customHeight="1">
      <c r="A180" s="5">
        <v>-32740</v>
      </c>
      <c r="B180" s="2" t="s">
        <v>1207</v>
      </c>
      <c r="C180" s="2" t="s">
        <v>22954</v>
      </c>
      <c r="D180" s="3">
        <v>4</v>
      </c>
      <c r="E180" s="3">
        <v>9</v>
      </c>
      <c r="F180" s="3" t="str">
        <f>HYPERLINK("https://www.boe.es/gazeta/dias/1810/05/11/pdfs/GMD-1810-131.pdf","Abrir PDF")</f>
        <v>Abrir PDF</v>
      </c>
    </row>
    <row r="181" spans="1:6" ht="30.95" customHeight="1">
      <c r="A181" s="5">
        <v>-32740</v>
      </c>
      <c r="B181" s="2" t="s">
        <v>848</v>
      </c>
      <c r="C181" s="2" t="s">
        <v>22955</v>
      </c>
      <c r="D181" s="3">
        <v>2</v>
      </c>
      <c r="E181" s="3">
        <v>7</v>
      </c>
      <c r="F181" s="3" t="str">
        <f>HYPERLINK("https://www.boe.es/gazeta/dias/1810/05/11/pdfs/GMD-C-1810-131.pdf","Abrir PDF")</f>
        <v>Abrir PDF</v>
      </c>
    </row>
    <row r="182" spans="1:6" ht="30.95" customHeight="1">
      <c r="A182" s="5">
        <v>-32740</v>
      </c>
      <c r="B182" s="2" t="s">
        <v>721</v>
      </c>
      <c r="C182" s="2" t="s">
        <v>22956</v>
      </c>
      <c r="D182" s="3">
        <v>12</v>
      </c>
      <c r="E182" s="3">
        <v>14</v>
      </c>
      <c r="F182" s="3" t="str">
        <f>HYPERLINK("https://www.boe.es/gazeta/dias/1810/05/11/pdfs/GEI-1810-24.pdf","Abrir PDF")</f>
        <v>Abrir PDF</v>
      </c>
    </row>
    <row r="183" spans="1:6" ht="30.95" customHeight="1">
      <c r="A183" s="5">
        <v>-32739</v>
      </c>
      <c r="B183" s="2" t="s">
        <v>724</v>
      </c>
      <c r="C183" s="2" t="s">
        <v>22957</v>
      </c>
      <c r="D183" s="3">
        <v>4</v>
      </c>
      <c r="E183" s="3">
        <v>16</v>
      </c>
      <c r="F183" s="3" t="str">
        <f>HYPERLINK("https://www.boe.es/gazeta/dias/1810/05/12/pdfs/GMD-1810-132.pdf","Abrir PDF")</f>
        <v>Abrir PDF</v>
      </c>
    </row>
    <row r="184" spans="1:6" ht="30.95" customHeight="1">
      <c r="A184" s="5">
        <v>-32739</v>
      </c>
      <c r="B184" s="2" t="s">
        <v>22958</v>
      </c>
      <c r="C184" s="2" t="s">
        <v>22959</v>
      </c>
      <c r="D184" s="3">
        <v>2</v>
      </c>
      <c r="E184" s="3">
        <v>0</v>
      </c>
      <c r="F184" s="3" t="str">
        <f>HYPERLINK("https://www.boe.es/gazeta/dias/1810/05/12/pdfs/GMD-C-1810-132.pdf","Abrir PDF")</f>
        <v>Abrir PDF</v>
      </c>
    </row>
    <row r="185" spans="1:6" ht="30.95" customHeight="1">
      <c r="A185" s="5">
        <v>-32738</v>
      </c>
      <c r="B185" s="2" t="s">
        <v>321</v>
      </c>
      <c r="C185" s="2" t="s">
        <v>22960</v>
      </c>
      <c r="D185" s="3">
        <v>4</v>
      </c>
      <c r="E185" s="3">
        <v>26</v>
      </c>
      <c r="F185" s="3" t="str">
        <f>HYPERLINK("https://www.boe.es/gazeta/dias/1810/05/13/pdfs/GMD-1810-133.pdf","Abrir PDF")</f>
        <v>Abrir PDF</v>
      </c>
    </row>
    <row r="186" spans="1:6" ht="30.95" customHeight="1">
      <c r="A186" s="5">
        <v>-32737</v>
      </c>
      <c r="B186" s="2" t="s">
        <v>1847</v>
      </c>
      <c r="C186" s="2" t="s">
        <v>22961</v>
      </c>
      <c r="D186" s="3">
        <v>4</v>
      </c>
      <c r="E186" s="3">
        <v>5</v>
      </c>
      <c r="F186" s="3" t="str">
        <f>HYPERLINK("https://www.boe.es/gazeta/dias/1810/05/14/pdfs/GMD-1810-134.pdf","Abrir PDF")</f>
        <v>Abrir PDF</v>
      </c>
    </row>
    <row r="187" spans="1:6" ht="30.95" customHeight="1">
      <c r="A187" s="5">
        <v>-32736</v>
      </c>
      <c r="B187" s="2" t="s">
        <v>400</v>
      </c>
      <c r="C187" s="2" t="s">
        <v>22962</v>
      </c>
      <c r="D187" s="3">
        <v>4</v>
      </c>
      <c r="E187" s="3">
        <v>23</v>
      </c>
      <c r="F187" s="3" t="str">
        <f>HYPERLINK("https://www.boe.es/gazeta/dias/1810/05/15/pdfs/GMD-1810-135.pdf","Abrir PDF")</f>
        <v>Abrir PDF</v>
      </c>
    </row>
    <row r="188" spans="1:6" ht="30.95" customHeight="1">
      <c r="A188" s="5">
        <v>-32736</v>
      </c>
      <c r="B188" s="2" t="s">
        <v>22963</v>
      </c>
      <c r="C188" s="2" t="s">
        <v>22964</v>
      </c>
      <c r="D188" s="3">
        <v>2</v>
      </c>
      <c r="E188" s="3">
        <v>0</v>
      </c>
      <c r="F188" s="3" t="str">
        <f>HYPERLINK("https://www.boe.es/gazeta/dias/1810/05/15/pdfs/GMD-C-1810-135.pdf","Abrir PDF")</f>
        <v>Abrir PDF</v>
      </c>
    </row>
    <row r="189" spans="1:6" ht="30.95" customHeight="1">
      <c r="A189" s="5">
        <v>-32736</v>
      </c>
      <c r="B189" s="2" t="s">
        <v>1933</v>
      </c>
      <c r="C189" s="2" t="s">
        <v>22965</v>
      </c>
      <c r="D189" s="3">
        <v>8</v>
      </c>
      <c r="E189" s="3">
        <v>3</v>
      </c>
      <c r="F189" s="3" t="str">
        <f>HYPERLINK("https://www.boe.es/gazeta/dias/1810/05/15/pdfs/GEI-1810-25.pdf","Abrir PDF")</f>
        <v>Abrir PDF</v>
      </c>
    </row>
    <row r="190" spans="1:6" ht="30.95" customHeight="1">
      <c r="A190" s="5">
        <v>-32735</v>
      </c>
      <c r="B190" s="2" t="s">
        <v>612</v>
      </c>
      <c r="C190" s="2" t="s">
        <v>22966</v>
      </c>
      <c r="D190" s="3">
        <v>4</v>
      </c>
      <c r="E190" s="3">
        <v>26</v>
      </c>
      <c r="F190" s="3" t="str">
        <f>HYPERLINK("https://www.boe.es/gazeta/dias/1810/05/16/pdfs/GMD-1810-136.pdf","Abrir PDF")</f>
        <v>Abrir PDF</v>
      </c>
    </row>
    <row r="191" spans="1:6" ht="30.95" customHeight="1">
      <c r="A191" s="5">
        <v>-32734</v>
      </c>
      <c r="B191" s="2" t="s">
        <v>19</v>
      </c>
      <c r="C191" s="2" t="s">
        <v>22967</v>
      </c>
      <c r="D191" s="3">
        <v>4</v>
      </c>
      <c r="E191" s="3">
        <v>21</v>
      </c>
      <c r="F191" s="3" t="str">
        <f>HYPERLINK("https://www.boe.es/gazeta/dias/1810/05/17/pdfs/GMD-1810-137.pdf","Abrir PDF")</f>
        <v>Abrir PDF</v>
      </c>
    </row>
    <row r="192" spans="1:6" ht="30.95" customHeight="1">
      <c r="A192" s="5">
        <v>-32734</v>
      </c>
      <c r="B192" s="2" t="s">
        <v>2797</v>
      </c>
      <c r="C192" s="2" t="s">
        <v>22968</v>
      </c>
      <c r="D192" s="3">
        <v>8</v>
      </c>
      <c r="E192" s="3">
        <v>6</v>
      </c>
      <c r="F192" s="3" t="str">
        <f>HYPERLINK("https://www.boe.es/gazeta/dias/1810/05/17/pdfs/GEI-1810-26E.pdf","Abrir PDF")</f>
        <v>Abrir PDF</v>
      </c>
    </row>
    <row r="193" spans="1:6" ht="30.95" customHeight="1">
      <c r="A193" s="5">
        <v>-32733</v>
      </c>
      <c r="B193" s="2" t="s">
        <v>644</v>
      </c>
      <c r="C193" s="2" t="s">
        <v>22969</v>
      </c>
      <c r="D193" s="3">
        <v>4</v>
      </c>
      <c r="E193" s="3">
        <v>9</v>
      </c>
      <c r="F193" s="3" t="str">
        <f>HYPERLINK("https://www.boe.es/gazeta/dias/1810/05/18/pdfs/GMD-1810-138.pdf","Abrir PDF")</f>
        <v>Abrir PDF</v>
      </c>
    </row>
    <row r="194" spans="1:6" ht="30.95" customHeight="1">
      <c r="A194" s="5">
        <v>-32733</v>
      </c>
      <c r="B194" s="2" t="s">
        <v>955</v>
      </c>
      <c r="C194" s="2" t="s">
        <v>22970</v>
      </c>
      <c r="D194" s="3">
        <v>8</v>
      </c>
      <c r="E194" s="3">
        <v>29</v>
      </c>
      <c r="F194" s="3" t="str">
        <f>HYPERLINK("https://www.boe.es/gazeta/dias/1810/05/18/pdfs/GEI-1810-27.pdf","Abrir PDF")</f>
        <v>Abrir PDF</v>
      </c>
    </row>
    <row r="195" spans="1:6" ht="30.95" customHeight="1">
      <c r="A195" s="5">
        <v>-32732</v>
      </c>
      <c r="B195" s="2" t="s">
        <v>545</v>
      </c>
      <c r="C195" s="2" t="s">
        <v>22971</v>
      </c>
      <c r="D195" s="3">
        <v>4</v>
      </c>
      <c r="E195" s="3">
        <v>37</v>
      </c>
      <c r="F195" s="3" t="str">
        <f>HYPERLINK("https://www.boe.es/gazeta/dias/1810/05/19/pdfs/GMD-1810-139.pdf","Abrir PDF")</f>
        <v>Abrir PDF</v>
      </c>
    </row>
    <row r="196" spans="1:6" ht="30.95" customHeight="1">
      <c r="A196" s="5">
        <v>-32731</v>
      </c>
      <c r="B196" s="2" t="s">
        <v>251</v>
      </c>
      <c r="C196" s="2" t="s">
        <v>22972</v>
      </c>
      <c r="D196" s="3">
        <v>4</v>
      </c>
      <c r="E196" s="3">
        <v>4</v>
      </c>
      <c r="F196" s="3" t="str">
        <f>HYPERLINK("https://www.boe.es/gazeta/dias/1810/05/20/pdfs/GMD-1810-140.pdf","Abrir PDF")</f>
        <v>Abrir PDF</v>
      </c>
    </row>
    <row r="197" spans="1:6" ht="30.95" customHeight="1">
      <c r="A197" s="5">
        <v>-32730</v>
      </c>
      <c r="B197" s="2" t="s">
        <v>50</v>
      </c>
      <c r="C197" s="2" t="s">
        <v>22973</v>
      </c>
      <c r="D197" s="3">
        <v>4</v>
      </c>
      <c r="E197" s="3">
        <v>29</v>
      </c>
      <c r="F197" s="3" t="str">
        <f>HYPERLINK("https://www.boe.es/gazeta/dias/1810/05/21/pdfs/GMD-1810-141.pdf","Abrir PDF")</f>
        <v>Abrir PDF</v>
      </c>
    </row>
    <row r="198" spans="1:6" ht="30.95" customHeight="1">
      <c r="A198" s="5">
        <v>-32729</v>
      </c>
      <c r="B198" s="2" t="s">
        <v>1025</v>
      </c>
      <c r="C198" s="2" t="s">
        <v>22974</v>
      </c>
      <c r="D198" s="3">
        <v>4</v>
      </c>
      <c r="E198" s="3">
        <v>12</v>
      </c>
      <c r="F198" s="3" t="str">
        <f>HYPERLINK("https://www.boe.es/gazeta/dias/1810/05/22/pdfs/GMD-1810-142.pdf","Abrir PDF")</f>
        <v>Abrir PDF</v>
      </c>
    </row>
    <row r="199" spans="1:6" ht="30.95" customHeight="1">
      <c r="A199" s="5">
        <v>-32729</v>
      </c>
      <c r="B199" s="2" t="s">
        <v>174</v>
      </c>
      <c r="C199" s="2" t="s">
        <v>22975</v>
      </c>
      <c r="D199" s="3">
        <v>12</v>
      </c>
      <c r="E199" s="3">
        <v>122</v>
      </c>
      <c r="F199" s="3" t="str">
        <f>HYPERLINK("https://www.boe.es/gazeta/dias/1810/05/22/pdfs/GEI-1810-28.pdf","Abrir PDF")</f>
        <v>Abrir PDF</v>
      </c>
    </row>
    <row r="200" spans="1:6" ht="30.95" customHeight="1">
      <c r="A200" s="5">
        <v>-32729</v>
      </c>
      <c r="B200" s="2" t="s">
        <v>2427</v>
      </c>
      <c r="C200" s="2" t="s">
        <v>22976</v>
      </c>
      <c r="D200" s="3">
        <v>4</v>
      </c>
      <c r="E200" s="3">
        <v>8</v>
      </c>
      <c r="F200" s="3" t="str">
        <f>HYPERLINK("https://www.boe.es/gazeta/dias/1810/05/22/pdfs/GEI-1810-29E.pdf","Abrir PDF")</f>
        <v>Abrir PDF</v>
      </c>
    </row>
    <row r="201" spans="1:6" ht="30.95" customHeight="1">
      <c r="A201" s="5">
        <v>-32728</v>
      </c>
      <c r="B201" s="2" t="s">
        <v>269</v>
      </c>
      <c r="C201" s="2" t="s">
        <v>22977</v>
      </c>
      <c r="D201" s="3">
        <v>4</v>
      </c>
      <c r="E201" s="3">
        <v>41</v>
      </c>
      <c r="F201" s="3" t="str">
        <f>HYPERLINK("https://www.boe.es/gazeta/dias/1810/05/23/pdfs/GMD-1810-143.pdf","Abrir PDF")</f>
        <v>Abrir PDF</v>
      </c>
    </row>
    <row r="202" spans="1:6" ht="30.95" customHeight="1">
      <c r="A202" s="5">
        <v>-32727</v>
      </c>
      <c r="B202" s="2" t="s">
        <v>1611</v>
      </c>
      <c r="C202" s="2" t="s">
        <v>22978</v>
      </c>
      <c r="D202" s="3">
        <v>4</v>
      </c>
      <c r="E202" s="3">
        <v>19</v>
      </c>
      <c r="F202" s="3" t="str">
        <f>HYPERLINK("https://www.boe.es/gazeta/dias/1810/05/24/pdfs/GMD-1810-144.pdf","Abrir PDF")</f>
        <v>Abrir PDF</v>
      </c>
    </row>
    <row r="203" spans="1:6" ht="30.95" customHeight="1">
      <c r="A203" s="5">
        <v>-32726</v>
      </c>
      <c r="B203" s="2" t="s">
        <v>3350</v>
      </c>
      <c r="C203" s="2" t="s">
        <v>22979</v>
      </c>
      <c r="D203" s="3">
        <v>4</v>
      </c>
      <c r="E203" s="3">
        <v>16</v>
      </c>
      <c r="F203" s="3" t="str">
        <f>HYPERLINK("https://www.boe.es/gazeta/dias/1810/05/25/pdfs/GMD-1810-145.pdf","Abrir PDF")</f>
        <v>Abrir PDF</v>
      </c>
    </row>
    <row r="204" spans="1:6" ht="30.95" customHeight="1">
      <c r="A204" s="5">
        <v>-32726</v>
      </c>
      <c r="B204" s="2" t="s">
        <v>1850</v>
      </c>
      <c r="C204" s="2" t="s">
        <v>22980</v>
      </c>
      <c r="D204" s="3">
        <v>8</v>
      </c>
      <c r="E204" s="3">
        <v>8</v>
      </c>
      <c r="F204" s="3" t="str">
        <f>HYPERLINK("https://www.boe.es/gazeta/dias/1810/05/25/pdfs/GEI-1810-30.pdf","Abrir PDF")</f>
        <v>Abrir PDF</v>
      </c>
    </row>
    <row r="205" spans="1:6" ht="30.95" customHeight="1">
      <c r="A205" s="5">
        <v>-32725</v>
      </c>
      <c r="B205" s="2" t="s">
        <v>417</v>
      </c>
      <c r="C205" s="2" t="s">
        <v>22981</v>
      </c>
      <c r="D205" s="3">
        <v>4</v>
      </c>
      <c r="E205" s="3">
        <v>31</v>
      </c>
      <c r="F205" s="3" t="str">
        <f>HYPERLINK("https://www.boe.es/gazeta/dias/1810/05/26/pdfs/GMD-1810-146.pdf","Abrir PDF")</f>
        <v>Abrir PDF</v>
      </c>
    </row>
    <row r="206" spans="1:6" ht="30.95" customHeight="1">
      <c r="A206" s="5">
        <v>-32724</v>
      </c>
      <c r="B206" s="2" t="s">
        <v>1027</v>
      </c>
      <c r="C206" s="2" t="s">
        <v>22982</v>
      </c>
      <c r="D206" s="3">
        <v>4</v>
      </c>
      <c r="E206" s="3">
        <v>11</v>
      </c>
      <c r="F206" s="3" t="str">
        <f>HYPERLINK("https://www.boe.es/gazeta/dias/1810/05/27/pdfs/GMD-1810-147.pdf","Abrir PDF")</f>
        <v>Abrir PDF</v>
      </c>
    </row>
    <row r="207" spans="1:6" ht="30.95" customHeight="1">
      <c r="A207" s="5">
        <v>-32723</v>
      </c>
      <c r="B207" s="2" t="s">
        <v>464</v>
      </c>
      <c r="C207" s="2" t="s">
        <v>22983</v>
      </c>
      <c r="D207" s="3">
        <v>4</v>
      </c>
      <c r="E207" s="3">
        <v>14</v>
      </c>
      <c r="F207" s="3" t="str">
        <f>HYPERLINK("https://www.boe.es/gazeta/dias/1810/05/28/pdfs/GMD-1810-148.pdf","Abrir PDF")</f>
        <v>Abrir PDF</v>
      </c>
    </row>
    <row r="208" spans="1:6" ht="30.95" customHeight="1">
      <c r="A208" s="5">
        <v>-32722</v>
      </c>
      <c r="B208" s="2" t="s">
        <v>2619</v>
      </c>
      <c r="C208" s="2" t="s">
        <v>22984</v>
      </c>
      <c r="D208" s="3">
        <v>4</v>
      </c>
      <c r="E208" s="3">
        <v>11</v>
      </c>
      <c r="F208" s="3" t="str">
        <f>HYPERLINK("https://www.boe.es/gazeta/dias/1810/05/29/pdfs/GMD-1810-149.pdf","Abrir PDF")</f>
        <v>Abrir PDF</v>
      </c>
    </row>
    <row r="209" spans="1:6" ht="30.95" customHeight="1">
      <c r="A209" s="5">
        <v>-32722</v>
      </c>
      <c r="B209" s="2" t="s">
        <v>856</v>
      </c>
      <c r="C209" s="2" t="s">
        <v>22985</v>
      </c>
      <c r="D209" s="3">
        <v>12</v>
      </c>
      <c r="E209" s="3">
        <v>28</v>
      </c>
      <c r="F209" s="3" t="str">
        <f>HYPERLINK("https://www.boe.es/gazeta/dias/1810/05/29/pdfs/GEI-1810-31.pdf","Abrir PDF")</f>
        <v>Abrir PDF</v>
      </c>
    </row>
    <row r="210" spans="1:6" ht="30.95" customHeight="1">
      <c r="A210" s="5">
        <v>-32721</v>
      </c>
      <c r="B210" s="2" t="s">
        <v>3437</v>
      </c>
      <c r="C210" s="2" t="s">
        <v>22986</v>
      </c>
      <c r="D210" s="3">
        <v>4</v>
      </c>
      <c r="E210" s="3">
        <v>22</v>
      </c>
      <c r="F210" s="3" t="str">
        <f>HYPERLINK("https://www.boe.es/gazeta/dias/1810/05/30/pdfs/GMD-1810-150.pdf","Abrir PDF")</f>
        <v>Abrir PDF</v>
      </c>
    </row>
    <row r="211" spans="1:6" ht="30.95" customHeight="1">
      <c r="A211" s="5">
        <v>-32721</v>
      </c>
      <c r="B211" s="2" t="s">
        <v>22987</v>
      </c>
      <c r="C211" s="2" t="s">
        <v>22988</v>
      </c>
      <c r="D211" s="3">
        <v>2</v>
      </c>
      <c r="E211" s="3">
        <v>0</v>
      </c>
      <c r="F211" s="3" t="str">
        <f>HYPERLINK("https://www.boe.es/gazeta/dias/1810/05/30/pdfs/GMD-C-1810-150.pdf","Abrir PDF")</f>
        <v>Abrir PDF</v>
      </c>
    </row>
    <row r="212" spans="1:6" ht="30.95" customHeight="1">
      <c r="A212" s="5">
        <v>-32720</v>
      </c>
      <c r="B212" s="2" t="s">
        <v>3377</v>
      </c>
      <c r="C212" s="2" t="s">
        <v>22989</v>
      </c>
      <c r="D212" s="3">
        <v>4</v>
      </c>
      <c r="E212" s="3">
        <v>20</v>
      </c>
      <c r="F212" s="3" t="str">
        <f>HYPERLINK("https://www.boe.es/gazeta/dias/1810/05/31/pdfs/GMD-1810-151.pdf","Abrir PDF")</f>
        <v>Abrir PDF</v>
      </c>
    </row>
    <row r="213" spans="1:6" ht="30.95" customHeight="1">
      <c r="A213" s="5">
        <v>-32719</v>
      </c>
      <c r="B213" s="2" t="s">
        <v>965</v>
      </c>
      <c r="C213" s="2" t="s">
        <v>22990</v>
      </c>
      <c r="D213" s="3">
        <v>4</v>
      </c>
      <c r="E213" s="3">
        <v>8</v>
      </c>
      <c r="F213" s="3" t="str">
        <f>HYPERLINK("https://www.boe.es/gazeta/dias/1810/06/01/pdfs/GMD-1810-152.pdf","Abrir PDF")</f>
        <v>Abrir PDF</v>
      </c>
    </row>
    <row r="214" spans="1:6" ht="30.95" customHeight="1">
      <c r="A214" s="5">
        <v>-32719</v>
      </c>
      <c r="B214" s="2" t="s">
        <v>5543</v>
      </c>
      <c r="C214" s="2" t="s">
        <v>22991</v>
      </c>
      <c r="D214" s="3">
        <v>8</v>
      </c>
      <c r="E214" s="3">
        <v>12</v>
      </c>
      <c r="F214" s="3" t="str">
        <f>HYPERLINK("https://www.boe.es/gazeta/dias/1810/06/01/pdfs/GEI-1810-32.pdf","Abrir PDF")</f>
        <v>Abrir PDF</v>
      </c>
    </row>
    <row r="215" spans="1:6" ht="30.95" customHeight="1">
      <c r="A215" s="5">
        <v>-32718</v>
      </c>
      <c r="B215" s="2" t="s">
        <v>2566</v>
      </c>
      <c r="C215" s="2" t="s">
        <v>22992</v>
      </c>
      <c r="D215" s="3">
        <v>4</v>
      </c>
      <c r="E215" s="3">
        <v>6</v>
      </c>
      <c r="F215" s="3" t="str">
        <f>HYPERLINK("https://www.boe.es/gazeta/dias/1810/06/02/pdfs/GMD-1810-153.pdf","Abrir PDF")</f>
        <v>Abrir PDF</v>
      </c>
    </row>
    <row r="216" spans="1:6" ht="30.95" customHeight="1">
      <c r="A216" s="5">
        <v>-32717</v>
      </c>
      <c r="B216" s="2" t="s">
        <v>10711</v>
      </c>
      <c r="C216" s="2" t="s">
        <v>22993</v>
      </c>
      <c r="D216" s="3">
        <v>4</v>
      </c>
      <c r="E216" s="3">
        <v>3</v>
      </c>
      <c r="F216" s="3" t="str">
        <f>HYPERLINK("https://www.boe.es/gazeta/dias/1810/06/03/pdfs/GMD-1810-154.pdf","Abrir PDF")</f>
        <v>Abrir PDF</v>
      </c>
    </row>
    <row r="217" spans="1:6" ht="30.95" customHeight="1">
      <c r="A217" s="5">
        <v>-32716</v>
      </c>
      <c r="B217" s="2" t="s">
        <v>624</v>
      </c>
      <c r="C217" s="2" t="s">
        <v>22994</v>
      </c>
      <c r="D217" s="3">
        <v>4</v>
      </c>
      <c r="E217" s="3">
        <v>29</v>
      </c>
      <c r="F217" s="3" t="str">
        <f>HYPERLINK("https://www.boe.es/gazeta/dias/1810/06/04/pdfs/GMD-1810-155.pdf","Abrir PDF")</f>
        <v>Abrir PDF</v>
      </c>
    </row>
    <row r="218" spans="1:6" ht="30.95" customHeight="1">
      <c r="A218" s="5">
        <v>-32715</v>
      </c>
      <c r="B218" s="2" t="s">
        <v>11559</v>
      </c>
      <c r="C218" s="2" t="s">
        <v>22995</v>
      </c>
      <c r="D218" s="3">
        <v>4</v>
      </c>
      <c r="E218" s="3">
        <v>4</v>
      </c>
      <c r="F218" s="3" t="str">
        <f>HYPERLINK("https://www.boe.es/gazeta/dias/1810/06/05/pdfs/GMD-1810-156.pdf","Abrir PDF")</f>
        <v>Abrir PDF</v>
      </c>
    </row>
    <row r="219" spans="1:6" ht="30.95" customHeight="1">
      <c r="A219" s="5">
        <v>-32715</v>
      </c>
      <c r="B219" s="2" t="s">
        <v>1029</v>
      </c>
      <c r="C219" s="2" t="s">
        <v>22996</v>
      </c>
      <c r="D219" s="3">
        <v>12</v>
      </c>
      <c r="E219" s="3">
        <v>24</v>
      </c>
      <c r="F219" s="3" t="str">
        <f>HYPERLINK("https://www.boe.es/gazeta/dias/1810/06/05/pdfs/GEI-1810-33.pdf","Abrir PDF")</f>
        <v>Abrir PDF</v>
      </c>
    </row>
    <row r="220" spans="1:6" ht="30.95" customHeight="1">
      <c r="A220" s="5">
        <v>-32715</v>
      </c>
      <c r="B220" s="2" t="s">
        <v>6792</v>
      </c>
      <c r="C220" s="2" t="s">
        <v>22997</v>
      </c>
      <c r="D220" s="3">
        <v>4</v>
      </c>
      <c r="E220" s="3">
        <v>11</v>
      </c>
      <c r="F220" s="3" t="str">
        <f>HYPERLINK("https://www.boe.es/gazeta/dias/1810/06/05/pdfs/GEI-D-1810-33.pdf","Abrir PDF")</f>
        <v>Abrir PDF</v>
      </c>
    </row>
    <row r="221" spans="1:6" ht="30.95" customHeight="1">
      <c r="A221" s="5">
        <v>-32714</v>
      </c>
      <c r="B221" s="2" t="s">
        <v>977</v>
      </c>
      <c r="C221" s="2" t="s">
        <v>22998</v>
      </c>
      <c r="D221" s="3">
        <v>4</v>
      </c>
      <c r="E221" s="3">
        <v>10</v>
      </c>
      <c r="F221" s="3" t="str">
        <f>HYPERLINK("https://www.boe.es/gazeta/dias/1810/06/06/pdfs/GMD-1810-157.pdf","Abrir PDF")</f>
        <v>Abrir PDF</v>
      </c>
    </row>
    <row r="222" spans="1:6" ht="30.95" customHeight="1">
      <c r="A222" s="5">
        <v>-32714</v>
      </c>
      <c r="B222" s="2" t="s">
        <v>631</v>
      </c>
      <c r="C222" s="2" t="s">
        <v>22999</v>
      </c>
      <c r="D222" s="3">
        <v>2</v>
      </c>
      <c r="E222" s="3">
        <v>1</v>
      </c>
      <c r="F222" s="3" t="str">
        <f>HYPERLINK("https://www.boe.es/gazeta/dias/1810/06/06/pdfs/GMD-C-1810-157.pdf","Abrir PDF")</f>
        <v>Abrir PDF</v>
      </c>
    </row>
    <row r="223" spans="1:6" ht="30.95" customHeight="1">
      <c r="A223" s="5">
        <v>-32713</v>
      </c>
      <c r="B223" s="2" t="s">
        <v>959</v>
      </c>
      <c r="C223" s="2" t="s">
        <v>23000</v>
      </c>
      <c r="D223" s="3">
        <v>4</v>
      </c>
      <c r="E223" s="3">
        <v>42</v>
      </c>
      <c r="F223" s="3" t="str">
        <f>HYPERLINK("https://www.boe.es/gazeta/dias/1810/06/07/pdfs/GMD-1810-158.pdf","Abrir PDF")</f>
        <v>Abrir PDF</v>
      </c>
    </row>
    <row r="224" spans="1:6" ht="30.95" customHeight="1">
      <c r="A224" s="5">
        <v>-32712</v>
      </c>
      <c r="B224" s="2" t="s">
        <v>6411</v>
      </c>
      <c r="C224" s="2" t="s">
        <v>23001</v>
      </c>
      <c r="D224" s="3">
        <v>4</v>
      </c>
      <c r="E224" s="3">
        <v>10</v>
      </c>
      <c r="F224" s="3" t="str">
        <f>HYPERLINK("https://www.boe.es/gazeta/dias/1810/06/08/pdfs/GMD-1810-159.pdf","Abrir PDF")</f>
        <v>Abrir PDF</v>
      </c>
    </row>
    <row r="225" spans="1:6" ht="30.95" customHeight="1">
      <c r="A225" s="5">
        <v>-32712</v>
      </c>
      <c r="B225" s="2" t="s">
        <v>667</v>
      </c>
      <c r="C225" s="2" t="s">
        <v>23002</v>
      </c>
      <c r="D225" s="3">
        <v>8</v>
      </c>
      <c r="E225" s="3">
        <v>11</v>
      </c>
      <c r="F225" s="3" t="str">
        <f>HYPERLINK("https://www.boe.es/gazeta/dias/1810/06/08/pdfs/GEI-1810-34.pdf","Abrir PDF")</f>
        <v>Abrir PDF</v>
      </c>
    </row>
    <row r="226" spans="1:6" ht="30.95" customHeight="1">
      <c r="A226" s="5">
        <v>-32711</v>
      </c>
      <c r="B226" s="2" t="s">
        <v>1888</v>
      </c>
      <c r="C226" s="2" t="s">
        <v>23003</v>
      </c>
      <c r="D226" s="3">
        <v>4</v>
      </c>
      <c r="E226" s="3">
        <v>17</v>
      </c>
      <c r="F226" s="3" t="str">
        <f>HYPERLINK("https://www.boe.es/gazeta/dias/1810/06/09/pdfs/GMD-1810-160.pdf","Abrir PDF")</f>
        <v>Abrir PDF</v>
      </c>
    </row>
    <row r="227" spans="1:6" ht="30.95" customHeight="1">
      <c r="A227" s="5">
        <v>-32710</v>
      </c>
      <c r="B227" s="2" t="s">
        <v>126</v>
      </c>
      <c r="C227" s="2" t="s">
        <v>23004</v>
      </c>
      <c r="D227" s="3">
        <v>4</v>
      </c>
      <c r="E227" s="3">
        <v>243</v>
      </c>
      <c r="F227" s="3" t="str">
        <f>HYPERLINK("https://www.boe.es/gazeta/dias/1810/06/10/pdfs/GMD-1810-161.pdf","Abrir PDF")</f>
        <v>Abrir PDF</v>
      </c>
    </row>
    <row r="228" spans="1:6" ht="30.95" customHeight="1">
      <c r="A228" s="5">
        <v>-32710</v>
      </c>
      <c r="B228" s="2" t="s">
        <v>1735</v>
      </c>
      <c r="C228" s="2" t="s">
        <v>23005</v>
      </c>
      <c r="D228" s="3">
        <v>2</v>
      </c>
      <c r="E228" s="3">
        <v>7</v>
      </c>
      <c r="F228" s="3" t="str">
        <f>HYPERLINK("https://www.boe.es/gazeta/dias/1810/06/10/pdfs/GMD-C-1810-161.pdf","Abrir PDF")</f>
        <v>Abrir PDF</v>
      </c>
    </row>
    <row r="229" spans="1:6" ht="30.95" customHeight="1">
      <c r="A229" s="5">
        <v>-32709</v>
      </c>
      <c r="B229" s="2" t="s">
        <v>14529</v>
      </c>
      <c r="C229" s="2" t="s">
        <v>23006</v>
      </c>
      <c r="D229" s="3">
        <v>4</v>
      </c>
      <c r="E229" s="3">
        <v>1</v>
      </c>
      <c r="F229" s="3" t="str">
        <f>HYPERLINK("https://www.boe.es/gazeta/dias/1810/06/11/pdfs/GMD-1810-162.pdf","Abrir PDF")</f>
        <v>Abrir PDF</v>
      </c>
    </row>
    <row r="230" spans="1:6" ht="30.95" customHeight="1">
      <c r="A230" s="5">
        <v>-32708</v>
      </c>
      <c r="B230" s="2" t="s">
        <v>206</v>
      </c>
      <c r="C230" s="2" t="s">
        <v>23007</v>
      </c>
      <c r="D230" s="3">
        <v>4</v>
      </c>
      <c r="E230" s="3">
        <v>9</v>
      </c>
      <c r="F230" s="3" t="str">
        <f>HYPERLINK("https://www.boe.es/gazeta/dias/1810/06/12/pdfs/GMD-1810-163.pdf","Abrir PDF")</f>
        <v>Abrir PDF</v>
      </c>
    </row>
    <row r="231" spans="1:6" ht="30.95" customHeight="1">
      <c r="A231" s="5">
        <v>-32708</v>
      </c>
      <c r="B231" s="2" t="s">
        <v>654</v>
      </c>
      <c r="C231" s="2" t="s">
        <v>23008</v>
      </c>
      <c r="D231" s="3">
        <v>8</v>
      </c>
      <c r="E231" s="3">
        <v>14</v>
      </c>
      <c r="F231" s="3" t="str">
        <f>HYPERLINK("https://www.boe.es/gazeta/dias/1810/06/12/pdfs/GEI-1810-35.pdf","Abrir PDF")</f>
        <v>Abrir PDF</v>
      </c>
    </row>
    <row r="232" spans="1:6" ht="30.95" customHeight="1">
      <c r="A232" s="5">
        <v>-32708</v>
      </c>
      <c r="B232" s="2" t="s">
        <v>1601</v>
      </c>
      <c r="C232" s="2" t="s">
        <v>23009</v>
      </c>
      <c r="D232" s="3">
        <v>8</v>
      </c>
      <c r="E232" s="3">
        <v>14</v>
      </c>
      <c r="F232" s="3" t="str">
        <f>HYPERLINK("https://www.boe.es/gazeta/dias/1810/06/12/pdfs/GEI-D-1810-35.pdf","Abrir PDF")</f>
        <v>Abrir PDF</v>
      </c>
    </row>
    <row r="233" spans="1:6" ht="30.95" customHeight="1">
      <c r="A233" s="5">
        <v>-32707</v>
      </c>
      <c r="B233" s="2" t="s">
        <v>1753</v>
      </c>
      <c r="C233" s="2" t="s">
        <v>23010</v>
      </c>
      <c r="D233" s="3">
        <v>4</v>
      </c>
      <c r="E233" s="3">
        <v>20</v>
      </c>
      <c r="F233" s="3" t="str">
        <f>HYPERLINK("https://www.boe.es/gazeta/dias/1810/06/13/pdfs/GMD-1810-164.pdf","Abrir PDF")</f>
        <v>Abrir PDF</v>
      </c>
    </row>
    <row r="234" spans="1:6" ht="30.95" customHeight="1">
      <c r="A234" s="5">
        <v>-32706</v>
      </c>
      <c r="B234" s="2" t="s">
        <v>1210</v>
      </c>
      <c r="C234" s="2" t="s">
        <v>23011</v>
      </c>
      <c r="D234" s="3">
        <v>4</v>
      </c>
      <c r="E234" s="3">
        <v>8</v>
      </c>
      <c r="F234" s="3" t="str">
        <f>HYPERLINK("https://www.boe.es/gazeta/dias/1810/06/14/pdfs/GMD-1810-165.pdf","Abrir PDF")</f>
        <v>Abrir PDF</v>
      </c>
    </row>
    <row r="235" spans="1:6" ht="30.95" customHeight="1">
      <c r="A235" s="5">
        <v>-32705</v>
      </c>
      <c r="B235" s="2" t="s">
        <v>1158</v>
      </c>
      <c r="C235" s="2" t="s">
        <v>23012</v>
      </c>
      <c r="D235" s="3">
        <v>4</v>
      </c>
      <c r="E235" s="3">
        <v>18</v>
      </c>
      <c r="F235" s="3" t="str">
        <f>HYPERLINK("https://www.boe.es/gazeta/dias/1810/06/15/pdfs/GMD-1810-166.pdf","Abrir PDF")</f>
        <v>Abrir PDF</v>
      </c>
    </row>
    <row r="236" spans="1:6" ht="30.95" customHeight="1">
      <c r="A236" s="5">
        <v>-32705</v>
      </c>
      <c r="B236" s="2" t="s">
        <v>678</v>
      </c>
      <c r="C236" s="2" t="s">
        <v>23013</v>
      </c>
      <c r="D236" s="3">
        <v>8</v>
      </c>
      <c r="E236" s="3">
        <v>14</v>
      </c>
      <c r="F236" s="3" t="str">
        <f>HYPERLINK("https://www.boe.es/gazeta/dias/1810/06/15/pdfs/GEI-1810-36.pdf","Abrir PDF")</f>
        <v>Abrir PDF</v>
      </c>
    </row>
    <row r="237" spans="1:6" ht="30.95" customHeight="1">
      <c r="A237" s="5">
        <v>-32704</v>
      </c>
      <c r="B237" s="2" t="s">
        <v>94</v>
      </c>
      <c r="C237" s="2" t="s">
        <v>23014</v>
      </c>
      <c r="D237" s="3">
        <v>4</v>
      </c>
      <c r="E237" s="3">
        <v>31</v>
      </c>
      <c r="F237" s="3" t="str">
        <f>HYPERLINK("https://www.boe.es/gazeta/dias/1810/06/16/pdfs/GMD-1810-167.pdf","Abrir PDF")</f>
        <v>Abrir PDF</v>
      </c>
    </row>
    <row r="238" spans="1:6" ht="30.95" customHeight="1">
      <c r="A238" s="5">
        <v>-32703</v>
      </c>
      <c r="B238" s="2" t="s">
        <v>1213</v>
      </c>
      <c r="C238" s="2" t="s">
        <v>23015</v>
      </c>
      <c r="D238" s="3">
        <v>4</v>
      </c>
      <c r="E238" s="3">
        <v>17</v>
      </c>
      <c r="F238" s="3" t="str">
        <f>HYPERLINK("https://www.boe.es/gazeta/dias/1810/06/17/pdfs/GMD-1810-168.pdf","Abrir PDF")</f>
        <v>Abrir PDF</v>
      </c>
    </row>
    <row r="239" spans="1:6" ht="30.95" customHeight="1">
      <c r="A239" s="5">
        <v>-32702</v>
      </c>
      <c r="B239" s="2" t="s">
        <v>8773</v>
      </c>
      <c r="C239" s="2" t="s">
        <v>23016</v>
      </c>
      <c r="D239" s="3">
        <v>4</v>
      </c>
      <c r="E239" s="3">
        <v>3</v>
      </c>
      <c r="F239" s="3" t="str">
        <f>HYPERLINK("https://www.boe.es/gazeta/dias/1810/06/18/pdfs/GMD-1810-169.pdf","Abrir PDF")</f>
        <v>Abrir PDF</v>
      </c>
    </row>
    <row r="240" spans="1:6" ht="30.95" customHeight="1">
      <c r="A240" s="5">
        <v>-32702</v>
      </c>
      <c r="B240" s="2" t="s">
        <v>179</v>
      </c>
      <c r="C240" s="2" t="s">
        <v>23017</v>
      </c>
      <c r="D240" s="3">
        <v>4</v>
      </c>
      <c r="E240" s="3">
        <v>242</v>
      </c>
      <c r="F240" s="3" t="str">
        <f>HYPERLINK("https://www.boe.es/gazeta/dias/1810/06/18/pdfs/GMD-C-1810-169.pdf","Abrir PDF")</f>
        <v>Abrir PDF</v>
      </c>
    </row>
    <row r="241" spans="1:6" ht="30.95" customHeight="1">
      <c r="A241" s="5">
        <v>-32701</v>
      </c>
      <c r="B241" s="2" t="s">
        <v>1019</v>
      </c>
      <c r="C241" s="2" t="s">
        <v>23018</v>
      </c>
      <c r="D241" s="3">
        <v>4</v>
      </c>
      <c r="E241" s="3">
        <v>10</v>
      </c>
      <c r="F241" s="3" t="str">
        <f>HYPERLINK("https://www.boe.es/gazeta/dias/1810/06/19/pdfs/GMD-1810-170.pdf","Abrir PDF")</f>
        <v>Abrir PDF</v>
      </c>
    </row>
    <row r="242" spans="1:6" ht="30.95" customHeight="1">
      <c r="A242" s="5">
        <v>-32701</v>
      </c>
      <c r="B242" s="2" t="s">
        <v>40</v>
      </c>
      <c r="C242" s="2" t="s">
        <v>23019</v>
      </c>
      <c r="D242" s="3">
        <v>4</v>
      </c>
      <c r="E242" s="3">
        <v>334</v>
      </c>
      <c r="F242" s="3" t="str">
        <f>HYPERLINK("https://www.boe.es/gazeta/dias/1810/06/19/pdfs/GMD-C-1810-170.pdf","Abrir PDF")</f>
        <v>Abrir PDF</v>
      </c>
    </row>
    <row r="243" spans="1:6" ht="30.95" customHeight="1">
      <c r="A243" s="5">
        <v>-32701</v>
      </c>
      <c r="B243" s="2" t="s">
        <v>671</v>
      </c>
      <c r="C243" s="2" t="s">
        <v>23020</v>
      </c>
      <c r="D243" s="3">
        <v>8</v>
      </c>
      <c r="E243" s="3">
        <v>21</v>
      </c>
      <c r="F243" s="3" t="str">
        <f>HYPERLINK("https://www.boe.es/gazeta/dias/1810/06/19/pdfs/GEI-1810-37.pdf","Abrir PDF")</f>
        <v>Abrir PDF</v>
      </c>
    </row>
    <row r="244" spans="1:6" ht="30.95" customHeight="1">
      <c r="A244" s="5">
        <v>-32700</v>
      </c>
      <c r="B244" s="2" t="s">
        <v>89</v>
      </c>
      <c r="C244" s="2" t="s">
        <v>23021</v>
      </c>
      <c r="D244" s="3">
        <v>4</v>
      </c>
      <c r="E244" s="3">
        <v>50</v>
      </c>
      <c r="F244" s="3" t="str">
        <f>HYPERLINK("https://www.boe.es/gazeta/dias/1810/06/20/pdfs/GMD-1810-171.pdf","Abrir PDF")</f>
        <v>Abrir PDF</v>
      </c>
    </row>
    <row r="245" spans="1:6" ht="30.95" customHeight="1">
      <c r="A245" s="5">
        <v>-32699</v>
      </c>
      <c r="B245" s="2" t="s">
        <v>1216</v>
      </c>
      <c r="C245" s="2" t="s">
        <v>23022</v>
      </c>
      <c r="D245" s="3">
        <v>4</v>
      </c>
      <c r="E245" s="3">
        <v>12</v>
      </c>
      <c r="F245" s="3" t="str">
        <f>HYPERLINK("https://www.boe.es/gazeta/dias/1810/06/21/pdfs/GMD-1810-172.pdf","Abrir PDF")</f>
        <v>Abrir PDF</v>
      </c>
    </row>
    <row r="246" spans="1:6" ht="30.95" customHeight="1">
      <c r="A246" s="5">
        <v>-32698</v>
      </c>
      <c r="B246" s="2" t="s">
        <v>1721</v>
      </c>
      <c r="C246" s="2" t="s">
        <v>23023</v>
      </c>
      <c r="D246" s="3">
        <v>4</v>
      </c>
      <c r="E246" s="3">
        <v>9</v>
      </c>
      <c r="F246" s="3" t="str">
        <f>HYPERLINK("https://www.boe.es/gazeta/dias/1810/06/22/pdfs/GMD-1810-173.pdf","Abrir PDF")</f>
        <v>Abrir PDF</v>
      </c>
    </row>
    <row r="247" spans="1:6" ht="30.95" customHeight="1">
      <c r="A247" s="5">
        <v>-32698</v>
      </c>
      <c r="B247" s="2" t="s">
        <v>6481</v>
      </c>
      <c r="C247" s="2" t="s">
        <v>23024</v>
      </c>
      <c r="D247" s="3">
        <v>2</v>
      </c>
      <c r="E247" s="3">
        <v>1</v>
      </c>
      <c r="F247" s="3" t="str">
        <f>HYPERLINK("https://www.boe.es/gazeta/dias/1810/06/22/pdfs/GMD-C-1810-173.pdf","Abrir PDF")</f>
        <v>Abrir PDF</v>
      </c>
    </row>
    <row r="248" spans="1:6" ht="30.95" customHeight="1">
      <c r="A248" s="5">
        <v>-32698</v>
      </c>
      <c r="B248" s="2" t="s">
        <v>2705</v>
      </c>
      <c r="C248" s="2" t="s">
        <v>23025</v>
      </c>
      <c r="D248" s="3">
        <v>8</v>
      </c>
      <c r="E248" s="3">
        <v>31</v>
      </c>
      <c r="F248" s="3" t="str">
        <f>HYPERLINK("https://www.boe.es/gazeta/dias/1810/06/22/pdfs/GEI-1810-38.pdf","Abrir PDF")</f>
        <v>Abrir PDF</v>
      </c>
    </row>
    <row r="249" spans="1:6" ht="30.95" customHeight="1">
      <c r="A249" s="5">
        <v>-32698</v>
      </c>
      <c r="B249" s="2" t="s">
        <v>2657</v>
      </c>
      <c r="C249" s="2" t="s">
        <v>23026</v>
      </c>
      <c r="D249" s="3">
        <v>4</v>
      </c>
      <c r="E249" s="3">
        <v>10</v>
      </c>
      <c r="F249" s="3" t="str">
        <f>HYPERLINK("https://www.boe.es/gazeta/dias/1810/06/22/pdfs/GEI-D-1810-38.pdf","Abrir PDF")</f>
        <v>Abrir PDF</v>
      </c>
    </row>
    <row r="250" spans="1:6" ht="30.95" customHeight="1">
      <c r="A250" s="5">
        <v>-32697</v>
      </c>
      <c r="B250" s="2" t="s">
        <v>1859</v>
      </c>
      <c r="C250" s="2" t="s">
        <v>23027</v>
      </c>
      <c r="D250" s="3">
        <v>4</v>
      </c>
      <c r="E250" s="3">
        <v>29</v>
      </c>
      <c r="F250" s="3" t="str">
        <f>HYPERLINK("https://www.boe.es/gazeta/dias/1810/06/23/pdfs/GMD-1810-174.pdf","Abrir PDF")</f>
        <v>Abrir PDF</v>
      </c>
    </row>
    <row r="251" spans="1:6" ht="30.95" customHeight="1">
      <c r="A251" s="5">
        <v>-32696</v>
      </c>
      <c r="B251" s="2" t="s">
        <v>1863</v>
      </c>
      <c r="C251" s="2" t="s">
        <v>23028</v>
      </c>
      <c r="D251" s="3">
        <v>4</v>
      </c>
      <c r="E251" s="3">
        <v>17</v>
      </c>
      <c r="F251" s="3" t="str">
        <f>HYPERLINK("https://www.boe.es/gazeta/dias/1810/06/24/pdfs/GMD-1810-175.pdf","Abrir PDF")</f>
        <v>Abrir PDF</v>
      </c>
    </row>
    <row r="252" spans="1:6" ht="30.95" customHeight="1">
      <c r="A252" s="5">
        <v>-32695</v>
      </c>
      <c r="B252" s="2" t="s">
        <v>1646</v>
      </c>
      <c r="C252" s="2" t="s">
        <v>23029</v>
      </c>
      <c r="D252" s="3">
        <v>4</v>
      </c>
      <c r="E252" s="3">
        <v>14</v>
      </c>
      <c r="F252" s="3" t="str">
        <f>HYPERLINK("https://www.boe.es/gazeta/dias/1810/06/25/pdfs/GMD-1810-176.pdf","Abrir PDF")</f>
        <v>Abrir PDF</v>
      </c>
    </row>
    <row r="253" spans="1:6" ht="30.95" customHeight="1">
      <c r="A253" s="5">
        <v>-32694</v>
      </c>
      <c r="B253" s="2" t="s">
        <v>2166</v>
      </c>
      <c r="C253" s="2" t="s">
        <v>23030</v>
      </c>
      <c r="D253" s="3">
        <v>4</v>
      </c>
      <c r="E253" s="3">
        <v>10</v>
      </c>
      <c r="F253" s="3" t="str">
        <f>HYPERLINK("https://www.boe.es/gazeta/dias/1810/06/26/pdfs/GMD-1810-177.pdf","Abrir PDF")</f>
        <v>Abrir PDF</v>
      </c>
    </row>
    <row r="254" spans="1:6" ht="30.95" customHeight="1">
      <c r="A254" s="5">
        <v>-32694</v>
      </c>
      <c r="B254" s="2" t="s">
        <v>2189</v>
      </c>
      <c r="C254" s="2" t="s">
        <v>23031</v>
      </c>
      <c r="D254" s="3">
        <v>8</v>
      </c>
      <c r="E254" s="3">
        <v>3</v>
      </c>
      <c r="F254" s="3" t="str">
        <f>HYPERLINK("https://www.boe.es/gazeta/dias/1810/06/26/pdfs/GEI-1810-39.pdf","Abrir PDF")</f>
        <v>Abrir PDF</v>
      </c>
    </row>
    <row r="255" spans="1:6" ht="30.95" customHeight="1">
      <c r="A255" s="5">
        <v>-32693</v>
      </c>
      <c r="B255" s="2" t="s">
        <v>54</v>
      </c>
      <c r="C255" s="2" t="s">
        <v>23032</v>
      </c>
      <c r="D255" s="3">
        <v>4</v>
      </c>
      <c r="E255" s="3">
        <v>31</v>
      </c>
      <c r="F255" s="3" t="str">
        <f>HYPERLINK("https://www.boe.es/gazeta/dias/1810/06/27/pdfs/GMD-1810-178.pdf","Abrir PDF")</f>
        <v>Abrir PDF</v>
      </c>
    </row>
    <row r="256" spans="1:6" ht="30.95" customHeight="1">
      <c r="A256" s="5">
        <v>-32692</v>
      </c>
      <c r="B256" s="2" t="s">
        <v>3698</v>
      </c>
      <c r="C256" s="2" t="s">
        <v>23033</v>
      </c>
      <c r="D256" s="3">
        <v>4</v>
      </c>
      <c r="E256" s="3">
        <v>17</v>
      </c>
      <c r="F256" s="3" t="str">
        <f>HYPERLINK("https://www.boe.es/gazeta/dias/1810/06/28/pdfs/GMD-1810-179.pdf","Abrir PDF")</f>
        <v>Abrir PDF</v>
      </c>
    </row>
    <row r="257" spans="1:6" ht="30.95" customHeight="1">
      <c r="A257" s="5">
        <v>-32691</v>
      </c>
      <c r="B257" s="2" t="s">
        <v>727</v>
      </c>
      <c r="C257" s="2" t="s">
        <v>23034</v>
      </c>
      <c r="D257" s="3">
        <v>4</v>
      </c>
      <c r="E257" s="3">
        <v>28</v>
      </c>
      <c r="F257" s="3" t="str">
        <f>HYPERLINK("https://www.boe.es/gazeta/dias/1810/06/29/pdfs/GMD-1810-180.pdf","Abrir PDF")</f>
        <v>Abrir PDF</v>
      </c>
    </row>
    <row r="258" spans="1:6" ht="30.95" customHeight="1">
      <c r="A258" s="5">
        <v>-32691</v>
      </c>
      <c r="B258" s="2" t="s">
        <v>3021</v>
      </c>
      <c r="C258" s="2" t="s">
        <v>23035</v>
      </c>
      <c r="D258" s="3">
        <v>8</v>
      </c>
      <c r="E258" s="3">
        <v>21</v>
      </c>
      <c r="F258" s="3" t="str">
        <f>HYPERLINK("https://www.boe.es/gazeta/dias/1810/06/29/pdfs/GEI-1810-40.pdf","Abrir PDF")</f>
        <v>Abrir PDF</v>
      </c>
    </row>
    <row r="259" spans="1:6" ht="30.95" customHeight="1">
      <c r="A259" s="5">
        <v>-32690</v>
      </c>
      <c r="B259" s="2" t="s">
        <v>2142</v>
      </c>
      <c r="C259" s="2" t="s">
        <v>23036</v>
      </c>
      <c r="D259" s="3">
        <v>4</v>
      </c>
      <c r="E259" s="3">
        <v>6</v>
      </c>
      <c r="F259" s="3" t="str">
        <f>HYPERLINK("https://www.boe.es/gazeta/dias/1810/06/30/pdfs/GMD-1810-181.pdf","Abrir PDF")</f>
        <v>Abrir PDF</v>
      </c>
    </row>
    <row r="260" spans="1:6" ht="30.95" customHeight="1">
      <c r="A260" s="5">
        <v>-32689</v>
      </c>
      <c r="B260" s="2" t="s">
        <v>571</v>
      </c>
      <c r="C260" s="2" t="s">
        <v>23037</v>
      </c>
      <c r="D260" s="3">
        <v>4</v>
      </c>
      <c r="E260" s="3">
        <v>50</v>
      </c>
      <c r="F260" s="3" t="str">
        <f>HYPERLINK("https://www.boe.es/gazeta/dias/1810/07/01/pdfs/GMD-1810-182.pdf","Abrir PDF")</f>
        <v>Abrir PDF</v>
      </c>
    </row>
    <row r="261" spans="1:6" ht="30.95" customHeight="1">
      <c r="A261" s="5">
        <v>-32688</v>
      </c>
      <c r="B261" s="2" t="s">
        <v>997</v>
      </c>
      <c r="C261" s="2" t="s">
        <v>23038</v>
      </c>
      <c r="D261" s="3">
        <v>4</v>
      </c>
      <c r="E261" s="3">
        <v>32</v>
      </c>
      <c r="F261" s="3" t="str">
        <f>HYPERLINK("https://www.boe.es/gazeta/dias/1810/07/02/pdfs/GMD-1810-183.pdf","Abrir PDF")</f>
        <v>Abrir PDF</v>
      </c>
    </row>
    <row r="262" spans="1:6" ht="30.95" customHeight="1">
      <c r="A262" s="5">
        <v>-32687</v>
      </c>
      <c r="B262" s="2" t="s">
        <v>221</v>
      </c>
      <c r="C262" s="2" t="s">
        <v>23039</v>
      </c>
      <c r="D262" s="3">
        <v>4</v>
      </c>
      <c r="E262" s="3">
        <v>28</v>
      </c>
      <c r="F262" s="3" t="str">
        <f>HYPERLINK("https://www.boe.es/gazeta/dias/1810/07/03/pdfs/GMD-1810-184.pdf","Abrir PDF")</f>
        <v>Abrir PDF</v>
      </c>
    </row>
    <row r="263" spans="1:6" ht="30.95" customHeight="1">
      <c r="A263" s="5">
        <v>-32687</v>
      </c>
      <c r="B263" s="2" t="s">
        <v>304</v>
      </c>
      <c r="C263" s="2" t="s">
        <v>23040</v>
      </c>
      <c r="D263" s="3">
        <v>4</v>
      </c>
      <c r="E263" s="3">
        <v>26</v>
      </c>
      <c r="F263" s="3" t="str">
        <f>HYPERLINK("https://www.boe.es/gazeta/dias/1810/07/03/pdfs/GMD-C-1810-184.pdf","Abrir PDF")</f>
        <v>Abrir PDF</v>
      </c>
    </row>
    <row r="264" spans="1:6" ht="30.95" customHeight="1">
      <c r="A264" s="5">
        <v>-32687</v>
      </c>
      <c r="B264" s="2" t="s">
        <v>263</v>
      </c>
      <c r="C264" s="2" t="s">
        <v>23041</v>
      </c>
      <c r="D264" s="3">
        <v>8</v>
      </c>
      <c r="E264" s="3">
        <v>16</v>
      </c>
      <c r="F264" s="3" t="str">
        <f>HYPERLINK("https://www.boe.es/gazeta/dias/1810/07/03/pdfs/GEI-1810-41.pdf","Abrir PDF")</f>
        <v>Abrir PDF</v>
      </c>
    </row>
    <row r="265" spans="1:6" ht="30.95" customHeight="1">
      <c r="A265" s="5">
        <v>-32686</v>
      </c>
      <c r="B265" s="2" t="s">
        <v>2362</v>
      </c>
      <c r="C265" s="2" t="s">
        <v>23042</v>
      </c>
      <c r="D265" s="3">
        <v>4</v>
      </c>
      <c r="E265" s="3">
        <v>7</v>
      </c>
      <c r="F265" s="3" t="str">
        <f>HYPERLINK("https://www.boe.es/gazeta/dias/1810/07/04/pdfs/GMD-1810-185.pdf","Abrir PDF")</f>
        <v>Abrir PDF</v>
      </c>
    </row>
    <row r="266" spans="1:6" ht="30.95" customHeight="1">
      <c r="A266" s="5">
        <v>-32686</v>
      </c>
      <c r="B266" s="2" t="s">
        <v>3230</v>
      </c>
      <c r="C266" s="2" t="s">
        <v>23043</v>
      </c>
      <c r="D266" s="3">
        <v>4</v>
      </c>
      <c r="E266" s="3">
        <v>13</v>
      </c>
      <c r="F266" s="3" t="str">
        <f>HYPERLINK("https://www.boe.es/gazeta/dias/1810/07/04/pdfs/GMD-C-1810-185.pdf","Abrir PDF")</f>
        <v>Abrir PDF</v>
      </c>
    </row>
    <row r="267" spans="1:6" ht="30.95" customHeight="1">
      <c r="A267" s="5">
        <v>-32685</v>
      </c>
      <c r="B267" s="2" t="s">
        <v>1106</v>
      </c>
      <c r="C267" s="2" t="s">
        <v>23044</v>
      </c>
      <c r="D267" s="3">
        <v>4</v>
      </c>
      <c r="E267" s="3">
        <v>7</v>
      </c>
      <c r="F267" s="3" t="str">
        <f>HYPERLINK("https://www.boe.es/gazeta/dias/1810/07/05/pdfs/GMD-1810-186.pdf","Abrir PDF")</f>
        <v>Abrir PDF</v>
      </c>
    </row>
    <row r="268" spans="1:6" ht="30.95" customHeight="1">
      <c r="A268" s="5">
        <v>-32685</v>
      </c>
      <c r="B268" s="2" t="s">
        <v>10378</v>
      </c>
      <c r="C268" s="2" t="s">
        <v>23045</v>
      </c>
      <c r="D268" s="3">
        <v>4</v>
      </c>
      <c r="E268" s="3">
        <v>2</v>
      </c>
      <c r="F268" s="3" t="str">
        <f>HYPERLINK("https://www.boe.es/gazeta/dias/1810/07/05/pdfs/GMD-C-1810-186.pdf","Abrir PDF")</f>
        <v>Abrir PDF</v>
      </c>
    </row>
    <row r="269" spans="1:6" ht="30.95" customHeight="1">
      <c r="A269" s="5">
        <v>-32684</v>
      </c>
      <c r="B269" s="2" t="s">
        <v>4741</v>
      </c>
      <c r="C269" s="2" t="s">
        <v>23046</v>
      </c>
      <c r="D269" s="3">
        <v>4</v>
      </c>
      <c r="E269" s="3">
        <v>7</v>
      </c>
      <c r="F269" s="3" t="str">
        <f>HYPERLINK("https://www.boe.es/gazeta/dias/1810/07/06/pdfs/GMD-1810-187.pdf","Abrir PDF")</f>
        <v>Abrir PDF</v>
      </c>
    </row>
    <row r="270" spans="1:6" ht="30.95" customHeight="1">
      <c r="A270" s="5">
        <v>-32684</v>
      </c>
      <c r="B270" s="2" t="s">
        <v>295</v>
      </c>
      <c r="C270" s="2" t="s">
        <v>23047</v>
      </c>
      <c r="D270" s="3">
        <v>4</v>
      </c>
      <c r="E270" s="3">
        <v>23</v>
      </c>
      <c r="F270" s="3" t="str">
        <f>HYPERLINK("https://www.boe.es/gazeta/dias/1810/07/06/pdfs/GMD-C-1810-187.pdf","Abrir PDF")</f>
        <v>Abrir PDF</v>
      </c>
    </row>
    <row r="271" spans="1:6" ht="30.95" customHeight="1">
      <c r="A271" s="5">
        <v>-32684</v>
      </c>
      <c r="B271" s="2" t="s">
        <v>1373</v>
      </c>
      <c r="C271" s="2" t="s">
        <v>23048</v>
      </c>
      <c r="D271" s="3">
        <v>8</v>
      </c>
      <c r="E271" s="3">
        <v>53</v>
      </c>
      <c r="F271" s="3" t="str">
        <f>HYPERLINK("https://www.boe.es/gazeta/dias/1810/07/06/pdfs/GEI-1810-42.pdf","Abrir PDF")</f>
        <v>Abrir PDF</v>
      </c>
    </row>
    <row r="272" spans="1:6" ht="30.95" customHeight="1">
      <c r="A272" s="5">
        <v>-32684</v>
      </c>
      <c r="B272" s="2" t="s">
        <v>372</v>
      </c>
      <c r="C272" s="2" t="s">
        <v>23049</v>
      </c>
      <c r="D272" s="3">
        <v>8</v>
      </c>
      <c r="E272" s="3">
        <v>45</v>
      </c>
      <c r="F272" s="3" t="str">
        <f>HYPERLINK("https://www.boe.es/gazeta/dias/1810/07/06/pdfs/GEI-D-1810-42.pdf","Abrir PDF")</f>
        <v>Abrir PDF</v>
      </c>
    </row>
    <row r="273" spans="1:6" ht="30.95" customHeight="1">
      <c r="A273" s="5">
        <v>-32683</v>
      </c>
      <c r="B273" s="2" t="s">
        <v>579</v>
      </c>
      <c r="C273" s="2" t="s">
        <v>23050</v>
      </c>
      <c r="D273" s="3">
        <v>4</v>
      </c>
      <c r="E273" s="3">
        <v>6</v>
      </c>
      <c r="F273" s="3" t="str">
        <f>HYPERLINK("https://www.boe.es/gazeta/dias/1810/07/07/pdfs/GMD-1810-188.pdf","Abrir PDF")</f>
        <v>Abrir PDF</v>
      </c>
    </row>
    <row r="274" spans="1:6" ht="30.95" customHeight="1">
      <c r="A274" s="5">
        <v>-32683</v>
      </c>
      <c r="B274" s="2" t="s">
        <v>300</v>
      </c>
      <c r="C274" s="2" t="s">
        <v>23051</v>
      </c>
      <c r="D274" s="3">
        <v>2</v>
      </c>
      <c r="E274" s="3">
        <v>4</v>
      </c>
      <c r="F274" s="3" t="str">
        <f>HYPERLINK("https://www.boe.es/gazeta/dias/1810/07/07/pdfs/GMD-C-1810-188.pdf","Abrir PDF")</f>
        <v>Abrir PDF</v>
      </c>
    </row>
    <row r="275" spans="1:6" ht="30.95" customHeight="1">
      <c r="A275" s="5">
        <v>-32682</v>
      </c>
      <c r="B275" s="2" t="s">
        <v>4623</v>
      </c>
      <c r="C275" s="2" t="s">
        <v>23052</v>
      </c>
      <c r="D275" s="3">
        <v>4</v>
      </c>
      <c r="E275" s="3">
        <v>5</v>
      </c>
      <c r="F275" s="3" t="str">
        <f>HYPERLINK("https://www.boe.es/gazeta/dias/1810/07/08/pdfs/GMD-1810-189.pdf","Abrir PDF")</f>
        <v>Abrir PDF</v>
      </c>
    </row>
    <row r="276" spans="1:6" ht="30.95" customHeight="1">
      <c r="A276" s="5">
        <v>-32681</v>
      </c>
      <c r="B276" s="2" t="s">
        <v>3586</v>
      </c>
      <c r="C276" s="2" t="s">
        <v>23053</v>
      </c>
      <c r="D276" s="3">
        <v>4</v>
      </c>
      <c r="E276" s="3">
        <v>1</v>
      </c>
      <c r="F276" s="3" t="str">
        <f>HYPERLINK("https://www.boe.es/gazeta/dias/1810/07/09/pdfs/GMD-1810-190.pdf","Abrir PDF")</f>
        <v>Abrir PDF</v>
      </c>
    </row>
    <row r="277" spans="1:6" ht="30.95" customHeight="1">
      <c r="A277" s="5">
        <v>-32680</v>
      </c>
      <c r="B277" s="2" t="s">
        <v>509</v>
      </c>
      <c r="C277" s="2" t="s">
        <v>23054</v>
      </c>
      <c r="D277" s="3">
        <v>4</v>
      </c>
      <c r="E277" s="3">
        <v>18</v>
      </c>
      <c r="F277" s="3" t="str">
        <f>HYPERLINK("https://www.boe.es/gazeta/dias/1810/07/10/pdfs/GMD-1810-191.pdf","Abrir PDF")</f>
        <v>Abrir PDF</v>
      </c>
    </row>
    <row r="278" spans="1:6" ht="30.95" customHeight="1">
      <c r="A278" s="5">
        <v>-32680</v>
      </c>
      <c r="B278" s="2" t="s">
        <v>519</v>
      </c>
      <c r="C278" s="2" t="s">
        <v>23055</v>
      </c>
      <c r="D278" s="3">
        <v>8</v>
      </c>
      <c r="E278" s="3">
        <v>11</v>
      </c>
      <c r="F278" s="3" t="str">
        <f>HYPERLINK("https://www.boe.es/gazeta/dias/1810/07/10/pdfs/GEI-1810-43.pdf","Abrir PDF")</f>
        <v>Abrir PDF</v>
      </c>
    </row>
    <row r="279" spans="1:6" ht="30.95" customHeight="1">
      <c r="A279" s="5">
        <v>-32679</v>
      </c>
      <c r="B279" s="2" t="s">
        <v>616</v>
      </c>
      <c r="C279" s="2" t="s">
        <v>23056</v>
      </c>
      <c r="D279" s="3">
        <v>4</v>
      </c>
      <c r="E279" s="3">
        <v>8</v>
      </c>
      <c r="F279" s="3" t="str">
        <f>HYPERLINK("https://www.boe.es/gazeta/dias/1810/07/11/pdfs/GMD-1810-192.pdf","Abrir PDF")</f>
        <v>Abrir PDF</v>
      </c>
    </row>
    <row r="280" spans="1:6" ht="30.95" customHeight="1">
      <c r="A280" s="5">
        <v>-32678</v>
      </c>
      <c r="B280" s="2" t="s">
        <v>3679</v>
      </c>
      <c r="C280" s="2" t="s">
        <v>23057</v>
      </c>
      <c r="D280" s="3">
        <v>4</v>
      </c>
      <c r="E280" s="3">
        <v>15</v>
      </c>
      <c r="F280" s="3" t="str">
        <f>HYPERLINK("https://www.boe.es/gazeta/dias/1810/07/12/pdfs/GMD-1810-193.pdf","Abrir PDF")</f>
        <v>Abrir PDF</v>
      </c>
    </row>
    <row r="281" spans="1:6" ht="30.95" customHeight="1">
      <c r="A281" s="5">
        <v>-32678</v>
      </c>
      <c r="B281" s="2" t="s">
        <v>8710</v>
      </c>
      <c r="C281" s="2" t="s">
        <v>23058</v>
      </c>
      <c r="D281" s="3">
        <v>2</v>
      </c>
      <c r="E281" s="3">
        <v>1</v>
      </c>
      <c r="F281" s="3" t="str">
        <f>HYPERLINK("https://www.boe.es/gazeta/dias/1810/07/12/pdfs/GMD-C-1810-193.pdf","Abrir PDF")</f>
        <v>Abrir PDF</v>
      </c>
    </row>
    <row r="282" spans="1:6" ht="30.95" customHeight="1">
      <c r="A282" s="5">
        <v>-32677</v>
      </c>
      <c r="B282" s="2" t="s">
        <v>209</v>
      </c>
      <c r="C282" s="2" t="s">
        <v>23059</v>
      </c>
      <c r="D282" s="3">
        <v>4</v>
      </c>
      <c r="E282" s="3">
        <v>6</v>
      </c>
      <c r="F282" s="3" t="str">
        <f>HYPERLINK("https://www.boe.es/gazeta/dias/1810/07/13/pdfs/GMD-1810-194.pdf","Abrir PDF")</f>
        <v>Abrir PDF</v>
      </c>
    </row>
    <row r="283" spans="1:6" ht="30.95" customHeight="1">
      <c r="A283" s="5">
        <v>-32677</v>
      </c>
      <c r="B283" s="2" t="s">
        <v>1940</v>
      </c>
      <c r="C283" s="2" t="s">
        <v>23060</v>
      </c>
      <c r="D283" s="3">
        <v>8</v>
      </c>
      <c r="E283" s="3">
        <v>15</v>
      </c>
      <c r="F283" s="3" t="str">
        <f>HYPERLINK("https://www.boe.es/gazeta/dias/1810/07/13/pdfs/GEI-1810-44.pdf","Abrir PDF")</f>
        <v>Abrir PDF</v>
      </c>
    </row>
    <row r="284" spans="1:6" ht="30.95" customHeight="1">
      <c r="A284" s="5">
        <v>-32677</v>
      </c>
      <c r="B284" s="2" t="s">
        <v>549</v>
      </c>
      <c r="C284" s="2" t="s">
        <v>23061</v>
      </c>
      <c r="D284" s="3">
        <v>8</v>
      </c>
      <c r="E284" s="3">
        <v>18</v>
      </c>
      <c r="F284" s="3" t="str">
        <f>HYPERLINK("https://www.boe.es/gazeta/dias/1810/07/13/pdfs/GEI-D-1810-44.pdf","Abrir PDF")</f>
        <v>Abrir PDF</v>
      </c>
    </row>
    <row r="285" spans="1:6" ht="30.95" customHeight="1">
      <c r="A285" s="5">
        <v>-32676</v>
      </c>
      <c r="B285" s="2" t="s">
        <v>2863</v>
      </c>
      <c r="C285" s="2" t="s">
        <v>23062</v>
      </c>
      <c r="D285" s="3">
        <v>4</v>
      </c>
      <c r="E285" s="3">
        <v>17</v>
      </c>
      <c r="F285" s="3" t="str">
        <f>HYPERLINK("https://www.boe.es/gazeta/dias/1810/07/14/pdfs/GMD-1810-195.pdf","Abrir PDF")</f>
        <v>Abrir PDF</v>
      </c>
    </row>
    <row r="286" spans="1:6" ht="30.95" customHeight="1">
      <c r="A286" s="5">
        <v>-32675</v>
      </c>
      <c r="B286" s="2" t="s">
        <v>729</v>
      </c>
      <c r="C286" s="2" t="s">
        <v>23063</v>
      </c>
      <c r="D286" s="3">
        <v>4</v>
      </c>
      <c r="E286" s="3">
        <v>13</v>
      </c>
      <c r="F286" s="3" t="str">
        <f>HYPERLINK("https://www.boe.es/gazeta/dias/1810/07/15/pdfs/GMD-1810-196.pdf","Abrir PDF")</f>
        <v>Abrir PDF</v>
      </c>
    </row>
    <row r="287" spans="1:6" ht="30.95" customHeight="1">
      <c r="A287" s="5">
        <v>-32674</v>
      </c>
      <c r="B287" s="2" t="s">
        <v>1319</v>
      </c>
      <c r="C287" s="2" t="s">
        <v>23064</v>
      </c>
      <c r="D287" s="3">
        <v>4</v>
      </c>
      <c r="E287" s="3">
        <v>9</v>
      </c>
      <c r="F287" s="3" t="str">
        <f>HYPERLINK("https://www.boe.es/gazeta/dias/1810/07/16/pdfs/GMD-1810-197.pdf","Abrir PDF")</f>
        <v>Abrir PDF</v>
      </c>
    </row>
    <row r="288" spans="1:6" ht="30.95" customHeight="1">
      <c r="A288" s="5">
        <v>-32673</v>
      </c>
      <c r="B288" s="2" t="s">
        <v>472</v>
      </c>
      <c r="C288" s="2" t="s">
        <v>23065</v>
      </c>
      <c r="D288" s="3">
        <v>4</v>
      </c>
      <c r="E288" s="3">
        <v>11</v>
      </c>
      <c r="F288" s="3" t="str">
        <f>HYPERLINK("https://www.boe.es/gazeta/dias/1810/07/17/pdfs/GMD-1810-198.pdf","Abrir PDF")</f>
        <v>Abrir PDF</v>
      </c>
    </row>
    <row r="289" spans="1:6" ht="30.95" customHeight="1">
      <c r="A289" s="5">
        <v>-32673</v>
      </c>
      <c r="B289" s="2" t="s">
        <v>2174</v>
      </c>
      <c r="C289" s="2" t="s">
        <v>23066</v>
      </c>
      <c r="D289" s="3">
        <v>12</v>
      </c>
      <c r="E289" s="3">
        <v>21</v>
      </c>
      <c r="F289" s="3" t="str">
        <f>HYPERLINK("https://www.boe.es/gazeta/dias/1810/07/17/pdfs/GEI-1810-45.pdf","Abrir PDF")</f>
        <v>Abrir PDF</v>
      </c>
    </row>
    <row r="290" spans="1:6" ht="30.95" customHeight="1">
      <c r="A290" s="5">
        <v>-32672</v>
      </c>
      <c r="B290" s="2" t="s">
        <v>1663</v>
      </c>
      <c r="C290" s="2" t="s">
        <v>23067</v>
      </c>
      <c r="D290" s="3">
        <v>4</v>
      </c>
      <c r="E290" s="3">
        <v>10</v>
      </c>
      <c r="F290" s="3" t="str">
        <f>HYPERLINK("https://www.boe.es/gazeta/dias/1810/07/18/pdfs/GMD-1810-199.pdf","Abrir PDF")</f>
        <v>Abrir PDF</v>
      </c>
    </row>
    <row r="291" spans="1:6" ht="30.95" customHeight="1">
      <c r="A291" s="5">
        <v>-32671</v>
      </c>
      <c r="B291" s="2" t="s">
        <v>3682</v>
      </c>
      <c r="C291" s="2" t="s">
        <v>23068</v>
      </c>
      <c r="D291" s="3">
        <v>4</v>
      </c>
      <c r="E291" s="3">
        <v>8</v>
      </c>
      <c r="F291" s="3" t="str">
        <f>HYPERLINK("https://www.boe.es/gazeta/dias/1810/07/19/pdfs/GMD-1810-200.pdf","Abrir PDF")</f>
        <v>Abrir PDF</v>
      </c>
    </row>
    <row r="292" spans="1:6" ht="30.95" customHeight="1">
      <c r="A292" s="5">
        <v>-32670</v>
      </c>
      <c r="B292" s="2" t="s">
        <v>2256</v>
      </c>
      <c r="C292" s="2" t="s">
        <v>23069</v>
      </c>
      <c r="D292" s="3">
        <v>4</v>
      </c>
      <c r="E292" s="3">
        <v>5</v>
      </c>
      <c r="F292" s="3" t="str">
        <f>HYPERLINK("https://www.boe.es/gazeta/dias/1810/07/20/pdfs/GMD-1810-201.pdf","Abrir PDF")</f>
        <v>Abrir PDF</v>
      </c>
    </row>
    <row r="293" spans="1:6" ht="30.95" customHeight="1">
      <c r="A293" s="5">
        <v>-32670</v>
      </c>
      <c r="B293" s="2" t="s">
        <v>2457</v>
      </c>
      <c r="C293" s="2" t="s">
        <v>23070</v>
      </c>
      <c r="D293" s="3">
        <v>4</v>
      </c>
      <c r="E293" s="3">
        <v>22</v>
      </c>
      <c r="F293" s="3" t="str">
        <f>HYPERLINK("https://www.boe.es/gazeta/dias/1810/07/20/pdfs/GMD-C-1810-201.pdf","Abrir PDF")</f>
        <v>Abrir PDF</v>
      </c>
    </row>
    <row r="294" spans="1:6" ht="30.95" customHeight="1">
      <c r="A294" s="5">
        <v>-32670</v>
      </c>
      <c r="B294" s="2" t="s">
        <v>1942</v>
      </c>
      <c r="C294" s="2" t="s">
        <v>23071</v>
      </c>
      <c r="D294" s="3">
        <v>8</v>
      </c>
      <c r="E294" s="3">
        <v>12</v>
      </c>
      <c r="F294" s="3" t="str">
        <f>HYPERLINK("https://www.boe.es/gazeta/dias/1810/07/20/pdfs/GEI-1810-46.pdf","Abrir PDF")</f>
        <v>Abrir PDF</v>
      </c>
    </row>
    <row r="295" spans="1:6" ht="30.95" customHeight="1">
      <c r="A295" s="5">
        <v>-32669</v>
      </c>
      <c r="B295" s="2" t="s">
        <v>217</v>
      </c>
      <c r="C295" s="2" t="s">
        <v>23072</v>
      </c>
      <c r="D295" s="3">
        <v>4</v>
      </c>
      <c r="E295" s="3">
        <v>25</v>
      </c>
      <c r="F295" s="3" t="str">
        <f>HYPERLINK("https://www.boe.es/gazeta/dias/1810/07/21/pdfs/GMD-1810-202.pdf","Abrir PDF")</f>
        <v>Abrir PDF</v>
      </c>
    </row>
    <row r="296" spans="1:6" ht="30.95" customHeight="1">
      <c r="A296" s="5">
        <v>-32669</v>
      </c>
      <c r="B296" s="2" t="s">
        <v>1110</v>
      </c>
      <c r="C296" s="2" t="s">
        <v>23073</v>
      </c>
      <c r="D296" s="3">
        <v>4</v>
      </c>
      <c r="E296" s="3">
        <v>34</v>
      </c>
      <c r="F296" s="3" t="str">
        <f>HYPERLINK("https://www.boe.es/gazeta/dias/1810/07/21/pdfs/GMD-C-1810-202.pdf","Abrir PDF")</f>
        <v>Abrir PDF</v>
      </c>
    </row>
    <row r="297" spans="1:6" ht="30.95" customHeight="1">
      <c r="A297" s="5">
        <v>-32668</v>
      </c>
      <c r="B297" s="2" t="s">
        <v>1012</v>
      </c>
      <c r="C297" s="2" t="s">
        <v>23074</v>
      </c>
      <c r="D297" s="3">
        <v>4</v>
      </c>
      <c r="E297" s="3">
        <v>2</v>
      </c>
      <c r="F297" s="3" t="str">
        <f>HYPERLINK("https://www.boe.es/gazeta/dias/1810/07/22/pdfs/GMD-1810-203.pdf","Abrir PDF")</f>
        <v>Abrir PDF</v>
      </c>
    </row>
    <row r="298" spans="1:6" ht="30.95" customHeight="1">
      <c r="A298" s="5">
        <v>-32668</v>
      </c>
      <c r="B298" s="2" t="s">
        <v>23075</v>
      </c>
      <c r="C298" s="2" t="s">
        <v>23076</v>
      </c>
      <c r="D298" s="3">
        <v>2</v>
      </c>
      <c r="E298" s="3">
        <v>0</v>
      </c>
      <c r="F298" s="3" t="str">
        <f>HYPERLINK("https://www.boe.es/gazeta/dias/1810/07/22/pdfs/GMD-C-1810-203.pdf","Abrir PDF")</f>
        <v>Abrir PDF</v>
      </c>
    </row>
    <row r="299" spans="1:6" ht="30.95" customHeight="1">
      <c r="A299" s="5">
        <v>-32667</v>
      </c>
      <c r="B299" s="2" t="s">
        <v>381</v>
      </c>
      <c r="C299" s="2" t="s">
        <v>23077</v>
      </c>
      <c r="D299" s="3">
        <v>4</v>
      </c>
      <c r="E299" s="3">
        <v>8</v>
      </c>
      <c r="F299" s="3" t="str">
        <f>HYPERLINK("https://www.boe.es/gazeta/dias/1810/07/23/pdfs/GMD-1810-204.pdf","Abrir PDF")</f>
        <v>Abrir PDF</v>
      </c>
    </row>
    <row r="300" spans="1:6" ht="30.95" customHeight="1">
      <c r="A300" s="5">
        <v>-32667</v>
      </c>
      <c r="B300" s="2" t="s">
        <v>924</v>
      </c>
      <c r="C300" s="2" t="s">
        <v>23078</v>
      </c>
      <c r="D300" s="3">
        <v>4</v>
      </c>
      <c r="E300" s="3">
        <v>10</v>
      </c>
      <c r="F300" s="3" t="str">
        <f>HYPERLINK("https://www.boe.es/gazeta/dias/1810/07/23/pdfs/GMD-C-1810-204.pdf","Abrir PDF")</f>
        <v>Abrir PDF</v>
      </c>
    </row>
    <row r="301" spans="1:6" ht="30.95" customHeight="1">
      <c r="A301" s="5">
        <v>-32666</v>
      </c>
      <c r="B301" s="2" t="s">
        <v>1913</v>
      </c>
      <c r="C301" s="2" t="s">
        <v>23079</v>
      </c>
      <c r="D301" s="3">
        <v>4</v>
      </c>
      <c r="E301" s="3">
        <v>31</v>
      </c>
      <c r="F301" s="3" t="str">
        <f>HYPERLINK("https://www.boe.es/gazeta/dias/1810/07/24/pdfs/GMD-1810-205.pdf","Abrir PDF")</f>
        <v>Abrir PDF</v>
      </c>
    </row>
    <row r="302" spans="1:6" ht="30.95" customHeight="1">
      <c r="A302" s="5">
        <v>-32666</v>
      </c>
      <c r="B302" s="2" t="s">
        <v>5147</v>
      </c>
      <c r="C302" s="2" t="s">
        <v>23080</v>
      </c>
      <c r="D302" s="3">
        <v>2</v>
      </c>
      <c r="E302" s="3">
        <v>1</v>
      </c>
      <c r="F302" s="3" t="str">
        <f>HYPERLINK("https://www.boe.es/gazeta/dias/1810/07/24/pdfs/GMD-C-1810-205.pdf","Abrir PDF")</f>
        <v>Abrir PDF</v>
      </c>
    </row>
    <row r="303" spans="1:6" ht="30.95" customHeight="1">
      <c r="A303" s="5">
        <v>-32666</v>
      </c>
      <c r="B303" s="2" t="s">
        <v>346</v>
      </c>
      <c r="C303" s="2" t="s">
        <v>23081</v>
      </c>
      <c r="D303" s="3">
        <v>12</v>
      </c>
      <c r="E303" s="3">
        <v>27</v>
      </c>
      <c r="F303" s="3" t="str">
        <f>HYPERLINK("https://www.boe.es/gazeta/dias/1810/07/24/pdfs/GEI-1810-47.pdf","Abrir PDF")</f>
        <v>Abrir PDF</v>
      </c>
    </row>
    <row r="304" spans="1:6" ht="30.95" customHeight="1">
      <c r="A304" s="5">
        <v>-32665</v>
      </c>
      <c r="B304" s="2" t="s">
        <v>11796</v>
      </c>
      <c r="C304" s="2" t="s">
        <v>23082</v>
      </c>
      <c r="D304" s="3">
        <v>4</v>
      </c>
      <c r="E304" s="3">
        <v>1</v>
      </c>
      <c r="F304" s="3" t="str">
        <f>HYPERLINK("https://www.boe.es/gazeta/dias/1810/07/25/pdfs/GMD-1810-206.pdf","Abrir PDF")</f>
        <v>Abrir PDF</v>
      </c>
    </row>
    <row r="305" spans="1:6" ht="30.95" customHeight="1">
      <c r="A305" s="5">
        <v>-32665</v>
      </c>
      <c r="B305" s="2" t="s">
        <v>22711</v>
      </c>
      <c r="C305" s="2" t="s">
        <v>23083</v>
      </c>
      <c r="D305" s="3">
        <v>4</v>
      </c>
      <c r="E305" s="3">
        <v>1</v>
      </c>
      <c r="F305" s="3" t="str">
        <f>HYPERLINK("https://www.boe.es/gazeta/dias/1810/07/25/pdfs/GMD-C-1810-206.pdf","Abrir PDF")</f>
        <v>Abrir PDF</v>
      </c>
    </row>
    <row r="306" spans="1:6" ht="30.95" customHeight="1">
      <c r="A306" s="5">
        <v>-32664</v>
      </c>
      <c r="B306" s="2" t="s">
        <v>618</v>
      </c>
      <c r="C306" s="2" t="s">
        <v>23084</v>
      </c>
      <c r="D306" s="3">
        <v>4</v>
      </c>
      <c r="E306" s="3">
        <v>20</v>
      </c>
      <c r="F306" s="3" t="str">
        <f>HYPERLINK("https://www.boe.es/gazeta/dias/1810/07/26/pdfs/GMD-1810-207.pdf","Abrir PDF")</f>
        <v>Abrir PDF</v>
      </c>
    </row>
    <row r="307" spans="1:6" ht="30.95" customHeight="1">
      <c r="A307" s="5">
        <v>-32664</v>
      </c>
      <c r="B307" s="2" t="s">
        <v>18845</v>
      </c>
      <c r="C307" s="2" t="s">
        <v>23085</v>
      </c>
      <c r="D307" s="3">
        <v>2</v>
      </c>
      <c r="E307" s="3">
        <v>1</v>
      </c>
      <c r="F307" s="3" t="str">
        <f>HYPERLINK("https://www.boe.es/gazeta/dias/1810/07/26/pdfs/GMD-C-1810-207.pdf","Abrir PDF")</f>
        <v>Abrir PDF</v>
      </c>
    </row>
    <row r="308" spans="1:6" ht="30.95" customHeight="1">
      <c r="A308" s="5">
        <v>-32663</v>
      </c>
      <c r="B308" s="2" t="s">
        <v>1615</v>
      </c>
      <c r="C308" s="2" t="s">
        <v>23086</v>
      </c>
      <c r="D308" s="3">
        <v>4</v>
      </c>
      <c r="E308" s="3">
        <v>15</v>
      </c>
      <c r="F308" s="3" t="str">
        <f>HYPERLINK("https://www.boe.es/gazeta/dias/1810/07/27/pdfs/GMD-1810-208.pdf","Abrir PDF")</f>
        <v>Abrir PDF</v>
      </c>
    </row>
    <row r="309" spans="1:6" ht="30.95" customHeight="1">
      <c r="A309" s="5">
        <v>-32663</v>
      </c>
      <c r="B309" s="2" t="s">
        <v>23087</v>
      </c>
      <c r="C309" s="2" t="s">
        <v>23088</v>
      </c>
      <c r="D309" s="3">
        <v>4</v>
      </c>
      <c r="E309" s="3">
        <v>0</v>
      </c>
      <c r="F309" s="3" t="str">
        <f>HYPERLINK("https://www.boe.es/gazeta/dias/1810/07/27/pdfs/GMD-C-1810-208.pdf","Abrir PDF")</f>
        <v>Abrir PDF</v>
      </c>
    </row>
    <row r="310" spans="1:6" ht="30.95" customHeight="1">
      <c r="A310" s="5">
        <v>-32663</v>
      </c>
      <c r="B310" s="2" t="s">
        <v>1945</v>
      </c>
      <c r="C310" s="2" t="s">
        <v>23089</v>
      </c>
      <c r="D310" s="3">
        <v>8</v>
      </c>
      <c r="E310" s="3">
        <v>7</v>
      </c>
      <c r="F310" s="3" t="str">
        <f>HYPERLINK("https://www.boe.es/gazeta/dias/1810/07/27/pdfs/GEI-1810-48.pdf","Abrir PDF")</f>
        <v>Abrir PDF</v>
      </c>
    </row>
    <row r="311" spans="1:6" ht="30.95" customHeight="1">
      <c r="A311" s="5">
        <v>-32662</v>
      </c>
      <c r="B311" s="2" t="s">
        <v>1487</v>
      </c>
      <c r="C311" s="2" t="s">
        <v>23090</v>
      </c>
      <c r="D311" s="3">
        <v>4</v>
      </c>
      <c r="E311" s="3">
        <v>6</v>
      </c>
      <c r="F311" s="3" t="str">
        <f>HYPERLINK("https://www.boe.es/gazeta/dias/1810/07/28/pdfs/GMD-1810-209.pdf","Abrir PDF")</f>
        <v>Abrir PDF</v>
      </c>
    </row>
    <row r="312" spans="1:6" ht="30.95" customHeight="1">
      <c r="A312" s="5">
        <v>-32661</v>
      </c>
      <c r="B312" s="2" t="s">
        <v>7882</v>
      </c>
      <c r="C312" s="2" t="s">
        <v>23091</v>
      </c>
      <c r="D312" s="3">
        <v>4</v>
      </c>
      <c r="E312" s="3">
        <v>5</v>
      </c>
      <c r="F312" s="3" t="str">
        <f>HYPERLINK("https://www.boe.es/gazeta/dias/1810/07/29/pdfs/GMD-1810-210.pdf","Abrir PDF")</f>
        <v>Abrir PDF</v>
      </c>
    </row>
    <row r="313" spans="1:6" ht="30.95" customHeight="1">
      <c r="A313" s="5">
        <v>-32661</v>
      </c>
      <c r="B313" s="2" t="s">
        <v>157</v>
      </c>
      <c r="C313" s="2" t="s">
        <v>23092</v>
      </c>
      <c r="D313" s="3">
        <v>2</v>
      </c>
      <c r="E313" s="3">
        <v>154</v>
      </c>
      <c r="F313" s="3" t="str">
        <f>HYPERLINK("https://www.boe.es/gazeta/dias/1810/07/29/pdfs/GMD-C-1810-210.pdf","Abrir PDF")</f>
        <v>Abrir PDF</v>
      </c>
    </row>
    <row r="314" spans="1:6" ht="30.95" customHeight="1">
      <c r="A314" s="5">
        <v>-32660</v>
      </c>
      <c r="B314" s="2" t="s">
        <v>6216</v>
      </c>
      <c r="C314" s="2" t="s">
        <v>23093</v>
      </c>
      <c r="D314" s="3">
        <v>4</v>
      </c>
      <c r="E314" s="3">
        <v>3</v>
      </c>
      <c r="F314" s="3" t="str">
        <f>HYPERLINK("https://www.boe.es/gazeta/dias/1810/07/30/pdfs/GMD-1810-211.pdf","Abrir PDF")</f>
        <v>Abrir PDF</v>
      </c>
    </row>
    <row r="315" spans="1:6" ht="30.95" customHeight="1">
      <c r="A315" s="5">
        <v>-32659</v>
      </c>
      <c r="B315" s="2" t="s">
        <v>1684</v>
      </c>
      <c r="C315" s="2" t="s">
        <v>23094</v>
      </c>
      <c r="D315" s="3">
        <v>4</v>
      </c>
      <c r="E315" s="3">
        <v>20</v>
      </c>
      <c r="F315" s="3" t="str">
        <f>HYPERLINK("https://www.boe.es/gazeta/dias/1810/07/31/pdfs/GMD-1810-212.pdf","Abrir PDF")</f>
        <v>Abrir PDF</v>
      </c>
    </row>
    <row r="316" spans="1:6" ht="30.95" customHeight="1">
      <c r="A316" s="5">
        <v>-32659</v>
      </c>
      <c r="B316" s="2" t="s">
        <v>1304</v>
      </c>
      <c r="C316" s="2" t="s">
        <v>23095</v>
      </c>
      <c r="D316" s="3">
        <v>4</v>
      </c>
      <c r="E316" s="3">
        <v>3</v>
      </c>
      <c r="F316" s="3" t="str">
        <f>HYPERLINK("https://www.boe.es/gazeta/dias/1810/07/31/pdfs/GMD-C-1810-212.pdf","Abrir PDF")</f>
        <v>Abrir PDF</v>
      </c>
    </row>
    <row r="317" spans="1:6" ht="30.95" customHeight="1">
      <c r="A317" s="5">
        <v>-32659</v>
      </c>
      <c r="B317" s="2" t="s">
        <v>328</v>
      </c>
      <c r="C317" s="2" t="s">
        <v>23096</v>
      </c>
      <c r="D317" s="3">
        <v>8</v>
      </c>
      <c r="E317" s="3">
        <v>37</v>
      </c>
      <c r="F317" s="3" t="str">
        <f>HYPERLINK("https://www.boe.es/gazeta/dias/1810/07/31/pdfs/GEI-1810-49.pdf","Abrir PDF")</f>
        <v>Abrir PDF</v>
      </c>
    </row>
    <row r="318" spans="1:6" ht="30.95" customHeight="1">
      <c r="A318" s="5">
        <v>-32658</v>
      </c>
      <c r="B318" s="2" t="s">
        <v>1224</v>
      </c>
      <c r="C318" s="2" t="s">
        <v>23097</v>
      </c>
      <c r="D318" s="3">
        <v>4</v>
      </c>
      <c r="E318" s="3">
        <v>16</v>
      </c>
      <c r="F318" s="3" t="str">
        <f>HYPERLINK("https://www.boe.es/gazeta/dias/1810/08/01/pdfs/GMD-1810-213.pdf","Abrir PDF")</f>
        <v>Abrir PDF</v>
      </c>
    </row>
    <row r="319" spans="1:6" ht="30.95" customHeight="1">
      <c r="A319" s="5">
        <v>-32658</v>
      </c>
      <c r="B319" s="2" t="s">
        <v>23098</v>
      </c>
      <c r="C319" s="2" t="s">
        <v>23099</v>
      </c>
      <c r="D319" s="3">
        <v>4</v>
      </c>
      <c r="E319" s="3">
        <v>0</v>
      </c>
      <c r="F319" s="3" t="str">
        <f>HYPERLINK("https://www.boe.es/gazeta/dias/1810/08/01/pdfs/GMD-C-1810-213.pdf","Abrir PDF")</f>
        <v>Abrir PDF</v>
      </c>
    </row>
    <row r="320" spans="1:6" ht="30.95" customHeight="1">
      <c r="A320" s="5">
        <v>-32657</v>
      </c>
      <c r="B320" s="2" t="s">
        <v>7977</v>
      </c>
      <c r="C320" s="2" t="s">
        <v>23100</v>
      </c>
      <c r="D320" s="3">
        <v>4</v>
      </c>
      <c r="E320" s="3">
        <v>5</v>
      </c>
      <c r="F320" s="3" t="str">
        <f>HYPERLINK("https://www.boe.es/gazeta/dias/1810/08/02/pdfs/GMD-1810-214.pdf","Abrir PDF")</f>
        <v>Abrir PDF</v>
      </c>
    </row>
    <row r="321" spans="1:6" ht="30.95" customHeight="1">
      <c r="A321" s="5">
        <v>-32657</v>
      </c>
      <c r="B321" s="2" t="s">
        <v>23101</v>
      </c>
      <c r="C321" s="2" t="s">
        <v>23102</v>
      </c>
      <c r="D321" s="3">
        <v>2</v>
      </c>
      <c r="E321" s="3">
        <v>0</v>
      </c>
      <c r="F321" s="3" t="str">
        <f>HYPERLINK("https://www.boe.es/gazeta/dias/1810/08/02/pdfs/GMD-C-1810-214.pdf","Abrir PDF")</f>
        <v>Abrir PDF</v>
      </c>
    </row>
    <row r="322" spans="1:6" ht="30.95" customHeight="1">
      <c r="A322" s="5">
        <v>-32656</v>
      </c>
      <c r="B322" s="2" t="s">
        <v>4643</v>
      </c>
      <c r="C322" s="2" t="s">
        <v>23103</v>
      </c>
      <c r="D322" s="3">
        <v>4</v>
      </c>
      <c r="E322" s="3">
        <v>3</v>
      </c>
      <c r="F322" s="3" t="str">
        <f>HYPERLINK("https://www.boe.es/gazeta/dias/1810/08/03/pdfs/GMD-1810-215.pdf","Abrir PDF")</f>
        <v>Abrir PDF</v>
      </c>
    </row>
    <row r="323" spans="1:6" ht="30.95" customHeight="1">
      <c r="A323" s="5">
        <v>-32656</v>
      </c>
      <c r="B323" s="2" t="s">
        <v>1909</v>
      </c>
      <c r="C323" s="2" t="s">
        <v>23104</v>
      </c>
      <c r="D323" s="3">
        <v>8</v>
      </c>
      <c r="E323" s="3">
        <v>15</v>
      </c>
      <c r="F323" s="3" t="str">
        <f>HYPERLINK("https://www.boe.es/gazeta/dias/1810/08/03/pdfs/GEI-1810-50.pdf","Abrir PDF")</f>
        <v>Abrir PDF</v>
      </c>
    </row>
    <row r="324" spans="1:6" ht="30.95" customHeight="1">
      <c r="A324" s="5">
        <v>-32655</v>
      </c>
      <c r="B324" s="2" t="s">
        <v>1040</v>
      </c>
      <c r="C324" s="2" t="s">
        <v>23105</v>
      </c>
      <c r="D324" s="3">
        <v>4</v>
      </c>
      <c r="E324" s="3">
        <v>15</v>
      </c>
      <c r="F324" s="3" t="str">
        <f>HYPERLINK("https://www.boe.es/gazeta/dias/1810/08/04/pdfs/GMD-1810-216.pdf","Abrir PDF")</f>
        <v>Abrir PDF</v>
      </c>
    </row>
    <row r="325" spans="1:6" ht="30.95" customHeight="1">
      <c r="A325" s="5">
        <v>-32654</v>
      </c>
      <c r="B325" s="2" t="s">
        <v>1226</v>
      </c>
      <c r="C325" s="2" t="s">
        <v>23106</v>
      </c>
      <c r="D325" s="3">
        <v>4</v>
      </c>
      <c r="E325" s="3">
        <v>31</v>
      </c>
      <c r="F325" s="3" t="str">
        <f>HYPERLINK("https://www.boe.es/gazeta/dias/1810/08/05/pdfs/GMD-1810-217.pdf","Abrir PDF")</f>
        <v>Abrir PDF</v>
      </c>
    </row>
    <row r="326" spans="1:6" ht="30.95" customHeight="1">
      <c r="A326" s="5">
        <v>-32654</v>
      </c>
      <c r="B326" s="2" t="s">
        <v>1032</v>
      </c>
      <c r="C326" s="2" t="s">
        <v>23107</v>
      </c>
      <c r="D326" s="3">
        <v>16</v>
      </c>
      <c r="E326" s="3">
        <v>6</v>
      </c>
      <c r="F326" s="3" t="str">
        <f>HYPERLINK("https://www.boe.es/gazeta/dias/1810/08/05/pdfs/GEI-1810-51E.pdf","Abrir PDF")</f>
        <v>Abrir PDF</v>
      </c>
    </row>
    <row r="327" spans="1:6" ht="30.95" customHeight="1">
      <c r="A327" s="5">
        <v>-32653</v>
      </c>
      <c r="B327" s="2" t="s">
        <v>1043</v>
      </c>
      <c r="C327" s="2" t="s">
        <v>23108</v>
      </c>
      <c r="D327" s="3">
        <v>4</v>
      </c>
      <c r="E327" s="3">
        <v>6</v>
      </c>
      <c r="F327" s="3" t="str">
        <f>HYPERLINK("https://www.boe.es/gazeta/dias/1810/08/06/pdfs/GMD-1810-218.pdf","Abrir PDF")</f>
        <v>Abrir PDF</v>
      </c>
    </row>
    <row r="328" spans="1:6" ht="30.95" customHeight="1">
      <c r="A328" s="5">
        <v>-32652</v>
      </c>
      <c r="B328" s="2" t="s">
        <v>731</v>
      </c>
      <c r="C328" s="2" t="s">
        <v>23109</v>
      </c>
      <c r="D328" s="3">
        <v>4</v>
      </c>
      <c r="E328" s="3">
        <v>17</v>
      </c>
      <c r="F328" s="3" t="str">
        <f>HYPERLINK("https://www.boe.es/gazeta/dias/1810/08/07/pdfs/GMD-1810-219.pdf","Abrir PDF")</f>
        <v>Abrir PDF</v>
      </c>
    </row>
    <row r="329" spans="1:6" ht="30.95" customHeight="1">
      <c r="A329" s="5">
        <v>-32652</v>
      </c>
      <c r="B329" s="2" t="s">
        <v>3295</v>
      </c>
      <c r="C329" s="2" t="s">
        <v>23110</v>
      </c>
      <c r="D329" s="3">
        <v>8</v>
      </c>
      <c r="E329" s="3">
        <v>16</v>
      </c>
      <c r="F329" s="3" t="str">
        <f>HYPERLINK("https://www.boe.es/gazeta/dias/1810/08/07/pdfs/GEI-1810-52.pdf","Abrir PDF")</f>
        <v>Abrir PDF</v>
      </c>
    </row>
    <row r="330" spans="1:6" ht="30.95" customHeight="1">
      <c r="A330" s="5">
        <v>-32651</v>
      </c>
      <c r="B330" s="2" t="s">
        <v>10927</v>
      </c>
      <c r="C330" s="2" t="s">
        <v>23111</v>
      </c>
      <c r="D330" s="3">
        <v>4</v>
      </c>
      <c r="E330" s="3">
        <v>4</v>
      </c>
      <c r="F330" s="3" t="str">
        <f>HYPERLINK("https://www.boe.es/gazeta/dias/1810/08/08/pdfs/GMD-1810-220.pdf","Abrir PDF")</f>
        <v>Abrir PDF</v>
      </c>
    </row>
    <row r="331" spans="1:6" ht="30.95" customHeight="1">
      <c r="A331" s="5">
        <v>-32651</v>
      </c>
      <c r="B331" s="2" t="s">
        <v>59</v>
      </c>
      <c r="C331" s="2" t="s">
        <v>23112</v>
      </c>
      <c r="D331" s="3">
        <v>12</v>
      </c>
      <c r="E331" s="3">
        <v>48</v>
      </c>
      <c r="F331" s="3" t="str">
        <f>HYPERLINK("https://www.boe.es/gazeta/dias/1810/08/08/pdfs/GEI-1810-53E.pdf","Abrir PDF")</f>
        <v>Abrir PDF</v>
      </c>
    </row>
    <row r="332" spans="1:6" ht="30.95" customHeight="1">
      <c r="A332" s="5">
        <v>-32650</v>
      </c>
      <c r="B332" s="2" t="s">
        <v>9008</v>
      </c>
      <c r="C332" s="2" t="s">
        <v>23113</v>
      </c>
      <c r="D332" s="3">
        <v>4</v>
      </c>
      <c r="E332" s="3">
        <v>7</v>
      </c>
      <c r="F332" s="3" t="str">
        <f>HYPERLINK("https://www.boe.es/gazeta/dias/1810/08/09/pdfs/GMD-1810-221.pdf","Abrir PDF")</f>
        <v>Abrir PDF</v>
      </c>
    </row>
    <row r="333" spans="1:6" ht="30.95" customHeight="1">
      <c r="A333" s="5">
        <v>-32650</v>
      </c>
      <c r="B333" s="2" t="s">
        <v>765</v>
      </c>
      <c r="C333" s="2" t="s">
        <v>23114</v>
      </c>
      <c r="D333" s="3">
        <v>4</v>
      </c>
      <c r="E333" s="3">
        <v>15</v>
      </c>
      <c r="F333" s="3" t="str">
        <f>HYPERLINK("https://www.boe.es/gazeta/dias/1810/08/09/pdfs/GMD-C-1810-221.pdf","Abrir PDF")</f>
        <v>Abrir PDF</v>
      </c>
    </row>
    <row r="334" spans="1:6" ht="30.95" customHeight="1">
      <c r="A334" s="5">
        <v>-32649</v>
      </c>
      <c r="B334" s="2" t="s">
        <v>1988</v>
      </c>
      <c r="C334" s="2" t="s">
        <v>23115</v>
      </c>
      <c r="D334" s="3">
        <v>4</v>
      </c>
      <c r="E334" s="3">
        <v>23</v>
      </c>
      <c r="F334" s="3" t="str">
        <f>HYPERLINK("https://www.boe.es/gazeta/dias/1810/08/10/pdfs/GMD-1810-222.pdf","Abrir PDF")</f>
        <v>Abrir PDF</v>
      </c>
    </row>
    <row r="335" spans="1:6" ht="30.95" customHeight="1">
      <c r="A335" s="5">
        <v>-32649</v>
      </c>
      <c r="B335" s="2" t="s">
        <v>23116</v>
      </c>
      <c r="C335" s="2" t="s">
        <v>23117</v>
      </c>
      <c r="D335" s="3">
        <v>2</v>
      </c>
      <c r="E335" s="3">
        <v>0</v>
      </c>
      <c r="F335" s="3" t="str">
        <f>HYPERLINK("https://www.boe.es/gazeta/dias/1810/08/10/pdfs/GMD-C-1810-222.pdf","Abrir PDF")</f>
        <v>Abrir PDF</v>
      </c>
    </row>
    <row r="336" spans="1:6" ht="30.95" customHeight="1">
      <c r="A336" s="5">
        <v>-32649</v>
      </c>
      <c r="B336" s="2" t="s">
        <v>190</v>
      </c>
      <c r="C336" s="2" t="s">
        <v>23118</v>
      </c>
      <c r="D336" s="3">
        <v>16</v>
      </c>
      <c r="E336" s="3">
        <v>20</v>
      </c>
      <c r="F336" s="3" t="str">
        <f>HYPERLINK("https://www.boe.es/gazeta/dias/1810/08/10/pdfs/GEI-1810-54.pdf","Abrir PDF")</f>
        <v>Abrir PDF</v>
      </c>
    </row>
    <row r="337" spans="1:6" ht="30.95" customHeight="1">
      <c r="A337" s="5">
        <v>-32648</v>
      </c>
      <c r="B337" s="2" t="s">
        <v>575</v>
      </c>
      <c r="C337" s="2" t="s">
        <v>23119</v>
      </c>
      <c r="D337" s="3">
        <v>4</v>
      </c>
      <c r="E337" s="3">
        <v>13</v>
      </c>
      <c r="F337" s="3" t="str">
        <f>HYPERLINK("https://www.boe.es/gazeta/dias/1810/08/11/pdfs/GMD-1810-223.pdf","Abrir PDF")</f>
        <v>Abrir PDF</v>
      </c>
    </row>
    <row r="338" spans="1:6" ht="30.95" customHeight="1">
      <c r="A338" s="5">
        <v>-32648</v>
      </c>
      <c r="B338" s="2" t="s">
        <v>23120</v>
      </c>
      <c r="C338" s="2" t="s">
        <v>23121</v>
      </c>
      <c r="D338" s="3">
        <v>4</v>
      </c>
      <c r="E338" s="3">
        <v>0</v>
      </c>
      <c r="F338" s="3" t="str">
        <f>HYPERLINK("https://www.boe.es/gazeta/dias/1810/08/11/pdfs/GEI-1810-55E.pdf","Abrir PDF")</f>
        <v>Abrir PDF</v>
      </c>
    </row>
    <row r="339" spans="1:6" ht="30.95" customHeight="1">
      <c r="A339" s="5">
        <v>-32647</v>
      </c>
      <c r="B339" s="2" t="s">
        <v>118</v>
      </c>
      <c r="C339" s="2" t="s">
        <v>23122</v>
      </c>
      <c r="D339" s="3">
        <v>4</v>
      </c>
      <c r="E339" s="3">
        <v>176</v>
      </c>
      <c r="F339" s="3" t="str">
        <f>HYPERLINK("https://www.boe.es/gazeta/dias/1810/08/12/pdfs/GMD-1810-224.pdf","Abrir PDF")</f>
        <v>Abrir PDF</v>
      </c>
    </row>
    <row r="340" spans="1:6" ht="30.95" customHeight="1">
      <c r="A340" s="5">
        <v>-32646</v>
      </c>
      <c r="B340" s="2" t="s">
        <v>6939</v>
      </c>
      <c r="C340" s="2" t="s">
        <v>23123</v>
      </c>
      <c r="D340" s="3">
        <v>4</v>
      </c>
      <c r="E340" s="3">
        <v>9</v>
      </c>
      <c r="F340" s="3" t="str">
        <f>HYPERLINK("https://www.boe.es/gazeta/dias/1810/08/13/pdfs/GMD-1810-225.pdf","Abrir PDF")</f>
        <v>Abrir PDF</v>
      </c>
    </row>
    <row r="341" spans="1:6" ht="30.95" customHeight="1">
      <c r="A341" s="5">
        <v>-32645</v>
      </c>
      <c r="B341" s="2" t="s">
        <v>4819</v>
      </c>
      <c r="C341" s="2" t="s">
        <v>23124</v>
      </c>
      <c r="D341" s="3">
        <v>4</v>
      </c>
      <c r="E341" s="3">
        <v>5</v>
      </c>
      <c r="F341" s="3" t="str">
        <f>HYPERLINK("https://www.boe.es/gazeta/dias/1810/08/14/pdfs/GMD-1810-226.pdf","Abrir PDF")</f>
        <v>Abrir PDF</v>
      </c>
    </row>
    <row r="342" spans="1:6" ht="30.95" customHeight="1">
      <c r="A342" s="5">
        <v>-32645</v>
      </c>
      <c r="B342" s="2" t="s">
        <v>122</v>
      </c>
      <c r="C342" s="2" t="s">
        <v>23125</v>
      </c>
      <c r="D342" s="3">
        <v>16</v>
      </c>
      <c r="E342" s="3">
        <v>54</v>
      </c>
      <c r="F342" s="3" t="str">
        <f>HYPERLINK("https://www.boe.es/gazeta/dias/1810/08/14/pdfs/GEI-1810-56.pdf","Abrir PDF")</f>
        <v>Abrir PDF</v>
      </c>
    </row>
    <row r="343" spans="1:6" ht="30.95" customHeight="1">
      <c r="A343" s="5">
        <v>-32645</v>
      </c>
      <c r="B343" s="2" t="s">
        <v>2492</v>
      </c>
      <c r="C343" s="2" t="s">
        <v>23126</v>
      </c>
      <c r="D343" s="3">
        <v>4</v>
      </c>
      <c r="E343" s="3">
        <v>24</v>
      </c>
      <c r="F343" s="3" t="str">
        <f>HYPERLINK("https://www.boe.es/gazeta/dias/1810/08/14/pdfs/GEI-D-1810-56.pdf","Abrir PDF")</f>
        <v>Abrir PDF</v>
      </c>
    </row>
    <row r="344" spans="1:6" ht="30.95" customHeight="1">
      <c r="A344" s="5">
        <v>-32644</v>
      </c>
      <c r="B344" s="2" t="s">
        <v>457</v>
      </c>
      <c r="C344" s="2" t="s">
        <v>23127</v>
      </c>
      <c r="D344" s="3">
        <v>4</v>
      </c>
      <c r="E344" s="3">
        <v>21</v>
      </c>
      <c r="F344" s="3" t="str">
        <f>HYPERLINK("https://www.boe.es/gazeta/dias/1810/08/15/pdfs/GMD-1810-227.pdf","Abrir PDF")</f>
        <v>Abrir PDF</v>
      </c>
    </row>
    <row r="345" spans="1:6" ht="30.95" customHeight="1">
      <c r="A345" s="5">
        <v>-32643</v>
      </c>
      <c r="B345" s="2" t="s">
        <v>4246</v>
      </c>
      <c r="C345" s="2" t="s">
        <v>23128</v>
      </c>
      <c r="D345" s="3">
        <v>4</v>
      </c>
      <c r="E345" s="3">
        <v>6</v>
      </c>
      <c r="F345" s="3" t="str">
        <f>HYPERLINK("https://www.boe.es/gazeta/dias/1810/08/16/pdfs/GMD-1810-228.pdf","Abrir PDF")</f>
        <v>Abrir PDF</v>
      </c>
    </row>
    <row r="346" spans="1:6" ht="30.95" customHeight="1">
      <c r="A346" s="5">
        <v>-32642</v>
      </c>
      <c r="B346" s="2" t="s">
        <v>2607</v>
      </c>
      <c r="C346" s="2" t="s">
        <v>23129</v>
      </c>
      <c r="D346" s="3">
        <v>4</v>
      </c>
      <c r="E346" s="3">
        <v>8</v>
      </c>
      <c r="F346" s="3" t="str">
        <f>HYPERLINK("https://www.boe.es/gazeta/dias/1810/08/17/pdfs/GMD-1810-229.pdf","Abrir PDF")</f>
        <v>Abrir PDF</v>
      </c>
    </row>
    <row r="347" spans="1:6" ht="30.95" customHeight="1">
      <c r="A347" s="5">
        <v>-32642</v>
      </c>
      <c r="B347" s="2" t="s">
        <v>657</v>
      </c>
      <c r="C347" s="2" t="s">
        <v>23130</v>
      </c>
      <c r="D347" s="3">
        <v>8</v>
      </c>
      <c r="E347" s="3">
        <v>12</v>
      </c>
      <c r="F347" s="3" t="str">
        <f>HYPERLINK("https://www.boe.es/gazeta/dias/1810/08/17/pdfs/GEI-1810-57.pdf","Abrir PDF")</f>
        <v>Abrir PDF</v>
      </c>
    </row>
    <row r="348" spans="1:6" ht="30.95" customHeight="1">
      <c r="A348" s="5">
        <v>-32642</v>
      </c>
      <c r="B348" s="2" t="s">
        <v>2273</v>
      </c>
      <c r="C348" s="2" t="s">
        <v>23131</v>
      </c>
      <c r="D348" s="3">
        <v>8</v>
      </c>
      <c r="E348" s="3">
        <v>31</v>
      </c>
      <c r="F348" s="3" t="str">
        <f>HYPERLINK("https://www.boe.es/gazeta/dias/1810/08/17/pdfs/GEI-D-1810-57.pdf","Abrir PDF")</f>
        <v>Abrir PDF</v>
      </c>
    </row>
    <row r="349" spans="1:6" ht="30.95" customHeight="1">
      <c r="A349" s="5">
        <v>-32641</v>
      </c>
      <c r="B349" s="2" t="s">
        <v>10757</v>
      </c>
      <c r="C349" s="2" t="s">
        <v>23132</v>
      </c>
      <c r="D349" s="3">
        <v>4</v>
      </c>
      <c r="E349" s="3">
        <v>10</v>
      </c>
      <c r="F349" s="3" t="str">
        <f>HYPERLINK("https://www.boe.es/gazeta/dias/1810/08/18/pdfs/GMD-1810-230.pdf","Abrir PDF")</f>
        <v>Abrir PDF</v>
      </c>
    </row>
    <row r="350" spans="1:6" ht="30.95" customHeight="1">
      <c r="A350" s="5">
        <v>-32641</v>
      </c>
      <c r="B350" s="2" t="s">
        <v>23133</v>
      </c>
      <c r="C350" s="2" t="s">
        <v>23134</v>
      </c>
      <c r="D350" s="3">
        <v>2</v>
      </c>
      <c r="E350" s="3">
        <v>0</v>
      </c>
      <c r="F350" s="3" t="str">
        <f>HYPERLINK("https://www.boe.es/gazeta/dias/1810/08/18/pdfs/GMD-C-1810-230.pdf","Abrir PDF")</f>
        <v>Abrir PDF</v>
      </c>
    </row>
    <row r="351" spans="1:6" ht="30.95" customHeight="1">
      <c r="A351" s="5">
        <v>-32640</v>
      </c>
      <c r="B351" s="2" t="s">
        <v>10182</v>
      </c>
      <c r="C351" s="2" t="s">
        <v>23135</v>
      </c>
      <c r="D351" s="3">
        <v>4</v>
      </c>
      <c r="E351" s="3">
        <v>1</v>
      </c>
      <c r="F351" s="3" t="str">
        <f>HYPERLINK("https://www.boe.es/gazeta/dias/1810/08/19/pdfs/GMD-1810-231.pdf","Abrir PDF")</f>
        <v>Abrir PDF</v>
      </c>
    </row>
    <row r="352" spans="1:6" ht="30.95" customHeight="1">
      <c r="A352" s="5">
        <v>-32639</v>
      </c>
      <c r="B352" s="2" t="s">
        <v>3411</v>
      </c>
      <c r="C352" s="2" t="s">
        <v>23136</v>
      </c>
      <c r="D352" s="3">
        <v>4</v>
      </c>
      <c r="E352" s="3">
        <v>14</v>
      </c>
      <c r="F352" s="3" t="str">
        <f>HYPERLINK("https://www.boe.es/gazeta/dias/1810/08/20/pdfs/GMD-1810-232.pdf","Abrir PDF")</f>
        <v>Abrir PDF</v>
      </c>
    </row>
    <row r="353" spans="1:6" ht="30.95" customHeight="1">
      <c r="A353" s="5">
        <v>-32638</v>
      </c>
      <c r="B353" s="2" t="s">
        <v>489</v>
      </c>
      <c r="C353" s="2" t="s">
        <v>23137</v>
      </c>
      <c r="D353" s="3">
        <v>4</v>
      </c>
      <c r="E353" s="3">
        <v>15</v>
      </c>
      <c r="F353" s="3" t="str">
        <f>HYPERLINK("https://www.boe.es/gazeta/dias/1810/08/21/pdfs/GMD-1810-233.pdf","Abrir PDF")</f>
        <v>Abrir PDF</v>
      </c>
    </row>
    <row r="354" spans="1:6" ht="30.95" customHeight="1">
      <c r="A354" s="5">
        <v>-32638</v>
      </c>
      <c r="B354" s="2" t="s">
        <v>2498</v>
      </c>
      <c r="C354" s="2" t="s">
        <v>23138</v>
      </c>
      <c r="D354" s="3">
        <v>8</v>
      </c>
      <c r="E354" s="3">
        <v>17</v>
      </c>
      <c r="F354" s="3" t="str">
        <f>HYPERLINK("https://www.boe.es/gazeta/dias/1810/08/21/pdfs/GEI-1810-58.pdf","Abrir PDF")</f>
        <v>Abrir PDF</v>
      </c>
    </row>
    <row r="355" spans="1:6" ht="30.95" customHeight="1">
      <c r="A355" s="5">
        <v>-32637</v>
      </c>
      <c r="B355" s="2" t="s">
        <v>18898</v>
      </c>
      <c r="C355" s="2" t="s">
        <v>23139</v>
      </c>
      <c r="D355" s="3">
        <v>4</v>
      </c>
      <c r="E355" s="3">
        <v>1</v>
      </c>
      <c r="F355" s="3" t="str">
        <f>HYPERLINK("https://www.boe.es/gazeta/dias/1810/08/22/pdfs/GMD-1810-234.pdf","Abrir PDF")</f>
        <v>Abrir PDF</v>
      </c>
    </row>
    <row r="356" spans="1:6" ht="30.95" customHeight="1">
      <c r="A356" s="5">
        <v>-32636</v>
      </c>
      <c r="B356" s="2" t="s">
        <v>10232</v>
      </c>
      <c r="C356" s="2" t="s">
        <v>23140</v>
      </c>
      <c r="D356" s="3">
        <v>4</v>
      </c>
      <c r="E356" s="3">
        <v>4</v>
      </c>
      <c r="F356" s="3" t="str">
        <f>HYPERLINK("https://www.boe.es/gazeta/dias/1810/08/23/pdfs/GMD-1810-235.pdf","Abrir PDF")</f>
        <v>Abrir PDF</v>
      </c>
    </row>
    <row r="357" spans="1:6" ht="30.95" customHeight="1">
      <c r="A357" s="5">
        <v>-32635</v>
      </c>
      <c r="B357" s="2" t="s">
        <v>8979</v>
      </c>
      <c r="C357" s="2" t="s">
        <v>23141</v>
      </c>
      <c r="D357" s="3">
        <v>4</v>
      </c>
      <c r="E357" s="3">
        <v>11</v>
      </c>
      <c r="F357" s="3" t="str">
        <f>HYPERLINK("https://www.boe.es/gazeta/dias/1810/08/24/pdfs/GMD-1810-236.pdf","Abrir PDF")</f>
        <v>Abrir PDF</v>
      </c>
    </row>
    <row r="358" spans="1:6" ht="30.95" customHeight="1">
      <c r="A358" s="5">
        <v>-32635</v>
      </c>
      <c r="B358" s="2" t="s">
        <v>3132</v>
      </c>
      <c r="C358" s="2" t="s">
        <v>23142</v>
      </c>
      <c r="D358" s="3">
        <v>8</v>
      </c>
      <c r="E358" s="3">
        <v>13</v>
      </c>
      <c r="F358" s="3" t="str">
        <f>HYPERLINK("https://www.boe.es/gazeta/dias/1810/08/24/pdfs/GEI-1810-59.pdf","Abrir PDF")</f>
        <v>Abrir PDF</v>
      </c>
    </row>
    <row r="359" spans="1:6" ht="30.95" customHeight="1">
      <c r="A359" s="5">
        <v>-32635</v>
      </c>
      <c r="B359" s="2" t="s">
        <v>2674</v>
      </c>
      <c r="C359" s="2" t="s">
        <v>23143</v>
      </c>
      <c r="D359" s="3">
        <v>8</v>
      </c>
      <c r="E359" s="3">
        <v>5</v>
      </c>
      <c r="F359" s="3" t="str">
        <f>HYPERLINK("https://www.boe.es/gazeta/dias/1810/08/24/pdfs/GEI-D-1810-59.pdf","Abrir PDF")</f>
        <v>Abrir PDF</v>
      </c>
    </row>
    <row r="360" spans="1:6" ht="30.95" customHeight="1">
      <c r="A360" s="5">
        <v>-32634</v>
      </c>
      <c r="B360" s="2" t="s">
        <v>4472</v>
      </c>
      <c r="C360" s="2" t="s">
        <v>23144</v>
      </c>
      <c r="D360" s="3">
        <v>4</v>
      </c>
      <c r="E360" s="3">
        <v>7</v>
      </c>
      <c r="F360" s="3" t="str">
        <f>HYPERLINK("https://www.boe.es/gazeta/dias/1810/08/25/pdfs/GMD-1810-237.pdf","Abrir PDF")</f>
        <v>Abrir PDF</v>
      </c>
    </row>
    <row r="361" spans="1:6" ht="30.95" customHeight="1">
      <c r="A361" s="5">
        <v>-32634</v>
      </c>
      <c r="B361" s="2" t="s">
        <v>23145</v>
      </c>
      <c r="C361" s="2" t="s">
        <v>23146</v>
      </c>
      <c r="D361" s="3">
        <v>2</v>
      </c>
      <c r="E361" s="3">
        <v>0</v>
      </c>
      <c r="F361" s="3" t="str">
        <f>HYPERLINK("https://www.boe.es/gazeta/dias/1810/08/25/pdfs/GMD-C-1810-237.pdf","Abrir PDF")</f>
        <v>Abrir PDF</v>
      </c>
    </row>
    <row r="362" spans="1:6" ht="30.95" customHeight="1">
      <c r="A362" s="5">
        <v>-32633</v>
      </c>
      <c r="B362" s="2" t="s">
        <v>1230</v>
      </c>
      <c r="C362" s="2" t="s">
        <v>23147</v>
      </c>
      <c r="D362" s="3">
        <v>4</v>
      </c>
      <c r="E362" s="3">
        <v>5</v>
      </c>
      <c r="F362" s="3" t="str">
        <f>HYPERLINK("https://www.boe.es/gazeta/dias/1810/08/26/pdfs/GMD-1810-238.pdf","Abrir PDF")</f>
        <v>Abrir PDF</v>
      </c>
    </row>
    <row r="363" spans="1:6" ht="30.95" customHeight="1">
      <c r="A363" s="5">
        <v>-32632</v>
      </c>
      <c r="B363" s="2" t="s">
        <v>358</v>
      </c>
      <c r="C363" s="2" t="s">
        <v>23148</v>
      </c>
      <c r="D363" s="3">
        <v>4</v>
      </c>
      <c r="E363" s="3">
        <v>23</v>
      </c>
      <c r="F363" s="3" t="str">
        <f>HYPERLINK("https://www.boe.es/gazeta/dias/1810/08/27/pdfs/GMD-1810-239.pdf","Abrir PDF")</f>
        <v>Abrir PDF</v>
      </c>
    </row>
    <row r="364" spans="1:6" ht="30.95" customHeight="1">
      <c r="A364" s="5">
        <v>-32631</v>
      </c>
      <c r="B364" s="2" t="s">
        <v>497</v>
      </c>
      <c r="C364" s="2" t="s">
        <v>23149</v>
      </c>
      <c r="D364" s="3">
        <v>4</v>
      </c>
      <c r="E364" s="3">
        <v>37</v>
      </c>
      <c r="F364" s="3" t="str">
        <f>HYPERLINK("https://www.boe.es/gazeta/dias/1810/08/28/pdfs/GMD-1810-240.pdf","Abrir PDF")</f>
        <v>Abrir PDF</v>
      </c>
    </row>
    <row r="365" spans="1:6" ht="30.95" customHeight="1">
      <c r="A365" s="5">
        <v>-32631</v>
      </c>
      <c r="B365" s="2" t="s">
        <v>130</v>
      </c>
      <c r="C365" s="2" t="s">
        <v>23150</v>
      </c>
      <c r="D365" s="3">
        <v>8</v>
      </c>
      <c r="E365" s="3">
        <v>11</v>
      </c>
      <c r="F365" s="3" t="str">
        <f>HYPERLINK("https://www.boe.es/gazeta/dias/1810/08/28/pdfs/GEI-1810-60.pdf","Abrir PDF")</f>
        <v>Abrir PDF</v>
      </c>
    </row>
    <row r="366" spans="1:6" ht="30.95" customHeight="1">
      <c r="A366" s="5">
        <v>-32631</v>
      </c>
      <c r="B366" s="2" t="s">
        <v>2830</v>
      </c>
      <c r="C366" s="2" t="s">
        <v>23151</v>
      </c>
      <c r="D366" s="3">
        <v>8</v>
      </c>
      <c r="E366" s="3">
        <v>13</v>
      </c>
      <c r="F366" s="3" t="str">
        <f>HYPERLINK("https://www.boe.es/gazeta/dias/1810/08/28/pdfs/GEI-D-1810-60.pdf","Abrir PDF")</f>
        <v>Abrir PDF</v>
      </c>
    </row>
    <row r="367" spans="1:6" ht="30.95" customHeight="1">
      <c r="A367" s="5">
        <v>-32630</v>
      </c>
      <c r="B367" s="2" t="s">
        <v>3542</v>
      </c>
      <c r="C367" s="2" t="s">
        <v>23152</v>
      </c>
      <c r="D367" s="3">
        <v>4</v>
      </c>
      <c r="E367" s="3">
        <v>5</v>
      </c>
      <c r="F367" s="3" t="str">
        <f>HYPERLINK("https://www.boe.es/gazeta/dias/1810/08/29/pdfs/GMD-1810-241.pdf","Abrir PDF")</f>
        <v>Abrir PDF</v>
      </c>
    </row>
    <row r="368" spans="1:6" ht="30.95" customHeight="1">
      <c r="A368" s="5">
        <v>-32629</v>
      </c>
      <c r="B368" s="2" t="s">
        <v>1494</v>
      </c>
      <c r="C368" s="2" t="s">
        <v>23153</v>
      </c>
      <c r="D368" s="3">
        <v>4</v>
      </c>
      <c r="E368" s="3">
        <v>7</v>
      </c>
      <c r="F368" s="3" t="str">
        <f>HYPERLINK("https://www.boe.es/gazeta/dias/1810/08/30/pdfs/GMD-1810-242.pdf","Abrir PDF")</f>
        <v>Abrir PDF</v>
      </c>
    </row>
    <row r="369" spans="1:6" ht="30.95" customHeight="1">
      <c r="A369" s="5">
        <v>-32629</v>
      </c>
      <c r="B369" s="2" t="s">
        <v>4320</v>
      </c>
      <c r="C369" s="2" t="s">
        <v>23154</v>
      </c>
      <c r="D369" s="3">
        <v>4</v>
      </c>
      <c r="E369" s="3">
        <v>11</v>
      </c>
      <c r="F369" s="3" t="str">
        <f>HYPERLINK("https://www.boe.es/gazeta/dias/1810/08/30/pdfs/GEI-1810-61E.pdf","Abrir PDF")</f>
        <v>Abrir PDF</v>
      </c>
    </row>
    <row r="370" spans="1:6" ht="30.95" customHeight="1">
      <c r="A370" s="5">
        <v>-32628</v>
      </c>
      <c r="B370" s="2" t="s">
        <v>9392</v>
      </c>
      <c r="C370" s="2" t="s">
        <v>23155</v>
      </c>
      <c r="D370" s="3">
        <v>4</v>
      </c>
      <c r="E370" s="3">
        <v>1</v>
      </c>
      <c r="F370" s="3" t="str">
        <f>HYPERLINK("https://www.boe.es/gazeta/dias/1810/08/31/pdfs/GMD-1810-243.pdf","Abrir PDF")</f>
        <v>Abrir PDF</v>
      </c>
    </row>
    <row r="371" spans="1:6" ht="30.95" customHeight="1">
      <c r="A371" s="5">
        <v>-32628</v>
      </c>
      <c r="B371" s="2" t="s">
        <v>3118</v>
      </c>
      <c r="C371" s="2" t="s">
        <v>23156</v>
      </c>
      <c r="D371" s="3">
        <v>8</v>
      </c>
      <c r="E371" s="3">
        <v>14</v>
      </c>
      <c r="F371" s="3" t="str">
        <f>HYPERLINK("https://www.boe.es/gazeta/dias/1810/08/31/pdfs/GEI-1810-62.pdf","Abrir PDF")</f>
        <v>Abrir PDF</v>
      </c>
    </row>
    <row r="372" spans="1:6" ht="30.95" customHeight="1">
      <c r="A372" s="5">
        <v>-32628</v>
      </c>
      <c r="B372" s="2" t="s">
        <v>5735</v>
      </c>
      <c r="C372" s="2" t="s">
        <v>23157</v>
      </c>
      <c r="D372" s="3">
        <v>4</v>
      </c>
      <c r="E372" s="3">
        <v>3</v>
      </c>
      <c r="F372" s="3" t="str">
        <f>HYPERLINK("https://www.boe.es/gazeta/dias/1810/08/31/pdfs/GEI-1810-63E.pdf","Abrir PDF")</f>
        <v>Abrir PDF</v>
      </c>
    </row>
    <row r="373" spans="1:6" ht="30.95" customHeight="1">
      <c r="A373" s="5">
        <v>-32627</v>
      </c>
      <c r="B373" s="2" t="s">
        <v>1496</v>
      </c>
      <c r="C373" s="2" t="s">
        <v>23158</v>
      </c>
      <c r="D373" s="3">
        <v>4</v>
      </c>
      <c r="E373" s="3">
        <v>5</v>
      </c>
      <c r="F373" s="3" t="str">
        <f>HYPERLINK("https://www.boe.es/gazeta/dias/1810/09/01/pdfs/GMD-1810-244.pdf","Abrir PDF")</f>
        <v>Abrir PDF</v>
      </c>
    </row>
    <row r="374" spans="1:6" ht="30.95" customHeight="1">
      <c r="A374" s="5">
        <v>-32626</v>
      </c>
      <c r="B374" s="2" t="s">
        <v>64</v>
      </c>
      <c r="C374" s="2" t="s">
        <v>23159</v>
      </c>
      <c r="D374" s="3">
        <v>4</v>
      </c>
      <c r="E374" s="3">
        <v>6</v>
      </c>
      <c r="F374" s="3" t="str">
        <f>HYPERLINK("https://www.boe.es/gazeta/dias/1810/09/02/pdfs/GMD-1810-245.pdf","Abrir PDF")</f>
        <v>Abrir PDF</v>
      </c>
    </row>
    <row r="375" spans="1:6" ht="30.95" customHeight="1">
      <c r="A375" s="5">
        <v>-32625</v>
      </c>
      <c r="B375" s="2" t="s">
        <v>4200</v>
      </c>
      <c r="C375" s="2" t="s">
        <v>23160</v>
      </c>
      <c r="D375" s="3">
        <v>4</v>
      </c>
      <c r="E375" s="3">
        <v>4</v>
      </c>
      <c r="F375" s="3" t="str">
        <f>HYPERLINK("https://www.boe.es/gazeta/dias/1810/09/03/pdfs/GMD-1810-246.pdf","Abrir PDF")</f>
        <v>Abrir PDF</v>
      </c>
    </row>
    <row r="376" spans="1:6" ht="30.95" customHeight="1">
      <c r="A376" s="5">
        <v>-32624</v>
      </c>
      <c r="B376" s="2" t="s">
        <v>2838</v>
      </c>
      <c r="C376" s="2" t="s">
        <v>23161</v>
      </c>
      <c r="D376" s="3">
        <v>4</v>
      </c>
      <c r="E376" s="3">
        <v>12</v>
      </c>
      <c r="F376" s="3" t="str">
        <f>HYPERLINK("https://www.boe.es/gazeta/dias/1810/09/04/pdfs/GMD-1810-247.pdf","Abrir PDF")</f>
        <v>Abrir PDF</v>
      </c>
    </row>
    <row r="377" spans="1:6" ht="30.95" customHeight="1">
      <c r="A377" s="5">
        <v>-32624</v>
      </c>
      <c r="B377" s="2" t="s">
        <v>2176</v>
      </c>
      <c r="C377" s="2" t="s">
        <v>23162</v>
      </c>
      <c r="D377" s="3">
        <v>8</v>
      </c>
      <c r="E377" s="3">
        <v>12</v>
      </c>
      <c r="F377" s="3" t="str">
        <f>HYPERLINK("https://www.boe.es/gazeta/dias/1810/09/04/pdfs/GEI-1810-64.pdf","Abrir PDF")</f>
        <v>Abrir PDF</v>
      </c>
    </row>
    <row r="378" spans="1:6" ht="30.95" customHeight="1">
      <c r="A378" s="5">
        <v>-32624</v>
      </c>
      <c r="B378" s="2" t="s">
        <v>6736</v>
      </c>
      <c r="C378" s="2" t="s">
        <v>23163</v>
      </c>
      <c r="D378" s="3">
        <v>8</v>
      </c>
      <c r="E378" s="3">
        <v>13</v>
      </c>
      <c r="F378" s="3" t="str">
        <f>HYPERLINK("https://www.boe.es/gazeta/dias/1810/09/04/pdfs/GEI-D-1810-64.pdf","Abrir PDF")</f>
        <v>Abrir PDF</v>
      </c>
    </row>
    <row r="379" spans="1:6" ht="30.95" customHeight="1">
      <c r="A379" s="5">
        <v>-32623</v>
      </c>
      <c r="B379" s="2" t="s">
        <v>15821</v>
      </c>
      <c r="C379" s="2" t="s">
        <v>23164</v>
      </c>
      <c r="D379" s="3">
        <v>4</v>
      </c>
      <c r="E379" s="3">
        <v>3</v>
      </c>
      <c r="F379" s="3" t="str">
        <f>HYPERLINK("https://www.boe.es/gazeta/dias/1810/09/05/pdfs/GMD-1810-248.pdf","Abrir PDF")</f>
        <v>Abrir PDF</v>
      </c>
    </row>
    <row r="380" spans="1:6" ht="30.95" customHeight="1">
      <c r="A380" s="5">
        <v>-32622</v>
      </c>
      <c r="B380" s="2" t="s">
        <v>1190</v>
      </c>
      <c r="C380" s="2" t="s">
        <v>23165</v>
      </c>
      <c r="D380" s="3">
        <v>4</v>
      </c>
      <c r="E380" s="3">
        <v>3</v>
      </c>
      <c r="F380" s="3" t="str">
        <f>HYPERLINK("https://www.boe.es/gazeta/dias/1810/09/06/pdfs/GMD-1810-249.pdf","Abrir PDF")</f>
        <v>Abrir PDF</v>
      </c>
    </row>
    <row r="381" spans="1:6" ht="30.95" customHeight="1">
      <c r="A381" s="5">
        <v>-32621</v>
      </c>
      <c r="B381" s="2" t="s">
        <v>1897</v>
      </c>
      <c r="C381" s="2" t="s">
        <v>23166</v>
      </c>
      <c r="D381" s="3">
        <v>4</v>
      </c>
      <c r="E381" s="3">
        <v>13</v>
      </c>
      <c r="F381" s="3" t="str">
        <f>HYPERLINK("https://www.boe.es/gazeta/dias/1810/09/07/pdfs/GMD-1810-250.pdf","Abrir PDF")</f>
        <v>Abrir PDF</v>
      </c>
    </row>
    <row r="382" spans="1:6" ht="30.95" customHeight="1">
      <c r="A382" s="5">
        <v>-32621</v>
      </c>
      <c r="B382" s="2" t="s">
        <v>674</v>
      </c>
      <c r="C382" s="2" t="s">
        <v>23167</v>
      </c>
      <c r="D382" s="3">
        <v>8</v>
      </c>
      <c r="E382" s="3">
        <v>10</v>
      </c>
      <c r="F382" s="3" t="str">
        <f>HYPERLINK("https://www.boe.es/gazeta/dias/1810/09/07/pdfs/GEI-1810-65.pdf","Abrir PDF")</f>
        <v>Abrir PDF</v>
      </c>
    </row>
    <row r="383" spans="1:6" ht="30.95" customHeight="1">
      <c r="A383" s="5">
        <v>-32621</v>
      </c>
      <c r="B383" s="2" t="s">
        <v>6491</v>
      </c>
      <c r="C383" s="2" t="s">
        <v>23168</v>
      </c>
      <c r="D383" s="3">
        <v>12</v>
      </c>
      <c r="E383" s="3">
        <v>5</v>
      </c>
      <c r="F383" s="3" t="str">
        <f>HYPERLINK("https://www.boe.es/gazeta/dias/1810/09/07/pdfs/GEI-D-1810-65.pdf","Abrir PDF")</f>
        <v>Abrir PDF</v>
      </c>
    </row>
    <row r="384" spans="1:6" ht="30.95" customHeight="1">
      <c r="A384" s="5">
        <v>-32620</v>
      </c>
      <c r="B384" s="2" t="s">
        <v>1499</v>
      </c>
      <c r="C384" s="2" t="s">
        <v>23169</v>
      </c>
      <c r="D384" s="3">
        <v>4</v>
      </c>
      <c r="E384" s="3">
        <v>13</v>
      </c>
      <c r="F384" s="3" t="str">
        <f>HYPERLINK("https://www.boe.es/gazeta/dias/1810/09/08/pdfs/GMD-1810-251.pdf","Abrir PDF")</f>
        <v>Abrir PDF</v>
      </c>
    </row>
    <row r="385" spans="1:6" ht="30.95" customHeight="1">
      <c r="A385" s="5">
        <v>-32619</v>
      </c>
      <c r="B385" s="2" t="s">
        <v>1270</v>
      </c>
      <c r="C385" s="2" t="s">
        <v>23170</v>
      </c>
      <c r="D385" s="3">
        <v>4</v>
      </c>
      <c r="E385" s="3">
        <v>12</v>
      </c>
      <c r="F385" s="3" t="str">
        <f>HYPERLINK("https://www.boe.es/gazeta/dias/1810/09/09/pdfs/GMD-1810-252.pdf","Abrir PDF")</f>
        <v>Abrir PDF</v>
      </c>
    </row>
    <row r="386" spans="1:6" ht="30.95" customHeight="1">
      <c r="A386" s="5">
        <v>-32618</v>
      </c>
      <c r="B386" s="2" t="s">
        <v>1501</v>
      </c>
      <c r="C386" s="2" t="s">
        <v>23171</v>
      </c>
      <c r="D386" s="3">
        <v>4</v>
      </c>
      <c r="E386" s="3">
        <v>31</v>
      </c>
      <c r="F386" s="3" t="str">
        <f>HYPERLINK("https://www.boe.es/gazeta/dias/1810/09/10/pdfs/GMD-1810-253.pdf","Abrir PDF")</f>
        <v>Abrir PDF</v>
      </c>
    </row>
    <row r="387" spans="1:6" ht="30.95" customHeight="1">
      <c r="A387" s="5">
        <v>-32617</v>
      </c>
      <c r="B387" s="2" t="s">
        <v>3861</v>
      </c>
      <c r="C387" s="2" t="s">
        <v>23172</v>
      </c>
      <c r="D387" s="3">
        <v>4</v>
      </c>
      <c r="E387" s="3">
        <v>15</v>
      </c>
      <c r="F387" s="3" t="str">
        <f>HYPERLINK("https://www.boe.es/gazeta/dias/1810/09/11/pdfs/GMD-1810-254.pdf","Abrir PDF")</f>
        <v>Abrir PDF</v>
      </c>
    </row>
    <row r="388" spans="1:6" ht="30.95" customHeight="1">
      <c r="A388" s="5">
        <v>-32617</v>
      </c>
      <c r="B388" s="2" t="s">
        <v>1459</v>
      </c>
      <c r="C388" s="2" t="s">
        <v>23173</v>
      </c>
      <c r="D388" s="3">
        <v>8</v>
      </c>
      <c r="E388" s="3">
        <v>17</v>
      </c>
      <c r="F388" s="3" t="str">
        <f>HYPERLINK("https://www.boe.es/gazeta/dias/1810/09/11/pdfs/GEI-1810-66.pdf","Abrir PDF")</f>
        <v>Abrir PDF</v>
      </c>
    </row>
    <row r="389" spans="1:6" ht="30.95" customHeight="1">
      <c r="A389" s="5">
        <v>-32616</v>
      </c>
      <c r="B389" s="2" t="s">
        <v>4444</v>
      </c>
      <c r="C389" s="2" t="s">
        <v>23174</v>
      </c>
      <c r="D389" s="3">
        <v>4</v>
      </c>
      <c r="E389" s="3">
        <v>3</v>
      </c>
      <c r="F389" s="3" t="str">
        <f>HYPERLINK("https://www.boe.es/gazeta/dias/1810/09/12/pdfs/GMD-1810-255.pdf","Abrir PDF")</f>
        <v>Abrir PDF</v>
      </c>
    </row>
    <row r="390" spans="1:6" ht="30.95" customHeight="1">
      <c r="A390" s="5">
        <v>-32616</v>
      </c>
      <c r="B390" s="2" t="s">
        <v>12041</v>
      </c>
      <c r="C390" s="2" t="s">
        <v>23175</v>
      </c>
      <c r="D390" s="3">
        <v>2</v>
      </c>
      <c r="E390" s="3">
        <v>1</v>
      </c>
      <c r="F390" s="3" t="str">
        <f>HYPERLINK("https://www.boe.es/gazeta/dias/1810/09/12/pdfs/GMD-C-1810-255.pdf","Abrir PDF")</f>
        <v>Abrir PDF</v>
      </c>
    </row>
    <row r="391" spans="1:6" ht="30.95" customHeight="1">
      <c r="A391" s="5">
        <v>-32615</v>
      </c>
      <c r="B391" s="2" t="s">
        <v>4119</v>
      </c>
      <c r="C391" s="2" t="s">
        <v>23176</v>
      </c>
      <c r="D391" s="3">
        <v>4</v>
      </c>
      <c r="E391" s="3">
        <v>7</v>
      </c>
      <c r="F391" s="3" t="str">
        <f>HYPERLINK("https://www.boe.es/gazeta/dias/1810/09/13/pdfs/GMD-1810-256.pdf","Abrir PDF")</f>
        <v>Abrir PDF</v>
      </c>
    </row>
    <row r="392" spans="1:6" ht="30.95" customHeight="1">
      <c r="A392" s="5">
        <v>-32614</v>
      </c>
      <c r="B392" s="2" t="s">
        <v>403</v>
      </c>
      <c r="C392" s="2" t="s">
        <v>23177</v>
      </c>
      <c r="D392" s="3">
        <v>4</v>
      </c>
      <c r="E392" s="3">
        <v>7</v>
      </c>
      <c r="F392" s="3" t="str">
        <f>HYPERLINK("https://www.boe.es/gazeta/dias/1810/09/14/pdfs/GMD-1810-257.pdf","Abrir PDF")</f>
        <v>Abrir PDF</v>
      </c>
    </row>
    <row r="393" spans="1:6" ht="30.95" customHeight="1">
      <c r="A393" s="5">
        <v>-32614</v>
      </c>
      <c r="B393" s="2" t="s">
        <v>1083</v>
      </c>
      <c r="C393" s="2" t="s">
        <v>23178</v>
      </c>
      <c r="D393" s="3">
        <v>12</v>
      </c>
      <c r="E393" s="3">
        <v>19</v>
      </c>
      <c r="F393" s="3" t="str">
        <f>HYPERLINK("https://www.boe.es/gazeta/dias/1810/09/14/pdfs/GEI-1810-67.pdf","Abrir PDF")</f>
        <v>Abrir PDF</v>
      </c>
    </row>
    <row r="394" spans="1:6" ht="30.95" customHeight="1">
      <c r="A394" s="5">
        <v>-32614</v>
      </c>
      <c r="B394" s="2" t="s">
        <v>5016</v>
      </c>
      <c r="C394" s="2" t="s">
        <v>23179</v>
      </c>
      <c r="D394" s="3">
        <v>8</v>
      </c>
      <c r="E394" s="3">
        <v>7</v>
      </c>
      <c r="F394" s="3" t="str">
        <f>HYPERLINK("https://www.boe.es/gazeta/dias/1810/09/14/pdfs/GEI-D-1810-67.pdf","Abrir PDF")</f>
        <v>Abrir PDF</v>
      </c>
    </row>
    <row r="395" spans="1:6" ht="30.95" customHeight="1">
      <c r="A395" s="5">
        <v>-32613</v>
      </c>
      <c r="B395" s="2" t="s">
        <v>12145</v>
      </c>
      <c r="C395" s="2" t="s">
        <v>23180</v>
      </c>
      <c r="D395" s="3">
        <v>4</v>
      </c>
      <c r="E395" s="3">
        <v>3</v>
      </c>
      <c r="F395" s="3" t="str">
        <f>HYPERLINK("https://www.boe.es/gazeta/dias/1810/09/15/pdfs/GMD-1810-258.pdf","Abrir PDF")</f>
        <v>Abrir PDF</v>
      </c>
    </row>
    <row r="396" spans="1:6" ht="30.95" customHeight="1">
      <c r="A396" s="5">
        <v>-32612</v>
      </c>
      <c r="B396" s="2" t="s">
        <v>7236</v>
      </c>
      <c r="C396" s="2" t="s">
        <v>23181</v>
      </c>
      <c r="D396" s="3">
        <v>4</v>
      </c>
      <c r="E396" s="3">
        <v>8</v>
      </c>
      <c r="F396" s="3" t="str">
        <f>HYPERLINK("https://www.boe.es/gazeta/dias/1810/09/16/pdfs/GMD-1810-259.pdf","Abrir PDF")</f>
        <v>Abrir PDF</v>
      </c>
    </row>
    <row r="397" spans="1:6" ht="30.95" customHeight="1">
      <c r="A397" s="5">
        <v>-32612</v>
      </c>
      <c r="B397" s="2" t="s">
        <v>947</v>
      </c>
      <c r="C397" s="2" t="s">
        <v>23182</v>
      </c>
      <c r="D397" s="3">
        <v>4</v>
      </c>
      <c r="E397" s="3">
        <v>3</v>
      </c>
      <c r="F397" s="3" t="str">
        <f>HYPERLINK("https://www.boe.es/gazeta/dias/1810/09/16/pdfs/GEI-1810-68E.pdf","Abrir PDF")</f>
        <v>Abrir PDF</v>
      </c>
    </row>
    <row r="398" spans="1:6" ht="30.95" customHeight="1">
      <c r="A398" s="5">
        <v>-32611</v>
      </c>
      <c r="B398" s="2" t="s">
        <v>604</v>
      </c>
      <c r="C398" s="2" t="s">
        <v>23183</v>
      </c>
      <c r="D398" s="3">
        <v>4</v>
      </c>
      <c r="E398" s="3">
        <v>10</v>
      </c>
      <c r="F398" s="3" t="str">
        <f>HYPERLINK("https://www.boe.es/gazeta/dias/1810/09/17/pdfs/GMD-1810-260.pdf","Abrir PDF")</f>
        <v>Abrir PDF</v>
      </c>
    </row>
    <row r="399" spans="1:6" ht="30.95" customHeight="1">
      <c r="A399" s="5">
        <v>-32610</v>
      </c>
      <c r="B399" s="2" t="s">
        <v>7879</v>
      </c>
      <c r="C399" s="2" t="s">
        <v>23184</v>
      </c>
      <c r="D399" s="3">
        <v>4</v>
      </c>
      <c r="E399" s="3">
        <v>8</v>
      </c>
      <c r="F399" s="3" t="str">
        <f>HYPERLINK("https://www.boe.es/gazeta/dias/1810/09/18/pdfs/GMD-1810-261.pdf","Abrir PDF")</f>
        <v>Abrir PDF</v>
      </c>
    </row>
    <row r="400" spans="1:6" ht="30.95" customHeight="1">
      <c r="A400" s="5">
        <v>-32610</v>
      </c>
      <c r="B400" s="2" t="s">
        <v>4991</v>
      </c>
      <c r="C400" s="2" t="s">
        <v>23185</v>
      </c>
      <c r="D400" s="3">
        <v>12</v>
      </c>
      <c r="E400" s="3">
        <v>23</v>
      </c>
      <c r="F400" s="3" t="str">
        <f>HYPERLINK("https://www.boe.es/gazeta/dias/1810/09/18/pdfs/GEI-1810-69.pdf","Abrir PDF")</f>
        <v>Abrir PDF</v>
      </c>
    </row>
    <row r="401" spans="1:6" ht="30.95" customHeight="1">
      <c r="A401" s="5">
        <v>-32609</v>
      </c>
      <c r="B401" s="2" t="s">
        <v>5358</v>
      </c>
      <c r="C401" s="2" t="s">
        <v>23186</v>
      </c>
      <c r="D401" s="3">
        <v>4</v>
      </c>
      <c r="E401" s="3">
        <v>7</v>
      </c>
      <c r="F401" s="3" t="str">
        <f>HYPERLINK("https://www.boe.es/gazeta/dias/1810/09/19/pdfs/GMD-1810-262.pdf","Abrir PDF")</f>
        <v>Abrir PDF</v>
      </c>
    </row>
    <row r="402" spans="1:6" ht="30.95" customHeight="1">
      <c r="A402" s="5">
        <v>-32608</v>
      </c>
      <c r="B402" s="2" t="s">
        <v>150</v>
      </c>
      <c r="C402" s="2" t="s">
        <v>23187</v>
      </c>
      <c r="D402" s="3">
        <v>4</v>
      </c>
      <c r="E402" s="3">
        <v>11</v>
      </c>
      <c r="F402" s="3" t="str">
        <f>HYPERLINK("https://www.boe.es/gazeta/dias/1810/09/20/pdfs/GMD-1810-263.pdf","Abrir PDF")</f>
        <v>Abrir PDF</v>
      </c>
    </row>
    <row r="403" spans="1:6" ht="30.95" customHeight="1">
      <c r="A403" s="5">
        <v>-32608</v>
      </c>
      <c r="B403" s="2" t="s">
        <v>781</v>
      </c>
      <c r="C403" s="2" t="s">
        <v>23188</v>
      </c>
      <c r="D403" s="3">
        <v>8</v>
      </c>
      <c r="E403" s="3">
        <v>27</v>
      </c>
      <c r="F403" s="3" t="str">
        <f>HYPERLINK("https://www.boe.es/gazeta/dias/1810/09/20/pdfs/GEI-1810-70.pdf","Abrir PDF")</f>
        <v>Abrir PDF</v>
      </c>
    </row>
    <row r="404" spans="1:6" ht="30.95" customHeight="1">
      <c r="A404" s="5">
        <v>-32607</v>
      </c>
      <c r="B404" s="2" t="s">
        <v>6044</v>
      </c>
      <c r="C404" s="2" t="s">
        <v>23189</v>
      </c>
      <c r="D404" s="3">
        <v>4</v>
      </c>
      <c r="E404" s="3">
        <v>11</v>
      </c>
      <c r="F404" s="3" t="str">
        <f>HYPERLINK("https://www.boe.es/gazeta/dias/1810/09/21/pdfs/GMD-1810-264.pdf","Abrir PDF")</f>
        <v>Abrir PDF</v>
      </c>
    </row>
    <row r="405" spans="1:6" ht="30.95" customHeight="1">
      <c r="A405" s="5">
        <v>-32606</v>
      </c>
      <c r="B405" s="2" t="s">
        <v>1676</v>
      </c>
      <c r="C405" s="2" t="s">
        <v>23190</v>
      </c>
      <c r="D405" s="3">
        <v>4</v>
      </c>
      <c r="E405" s="3">
        <v>29</v>
      </c>
      <c r="F405" s="3" t="str">
        <f>HYPERLINK("https://www.boe.es/gazeta/dias/1810/09/22/pdfs/GMD-1810-265.pdf","Abrir PDF")</f>
        <v>Abrir PDF</v>
      </c>
    </row>
    <row r="406" spans="1:6" ht="30.95" customHeight="1">
      <c r="A406" s="5">
        <v>-32606</v>
      </c>
      <c r="B406" s="2" t="s">
        <v>3743</v>
      </c>
      <c r="C406" s="2" t="s">
        <v>23191</v>
      </c>
      <c r="D406" s="3">
        <v>8</v>
      </c>
      <c r="E406" s="3">
        <v>2</v>
      </c>
      <c r="F406" s="3" t="str">
        <f>HYPERLINK("https://www.boe.es/gazeta/dias/1810/09/22/pdfs/GEI-1810-71.pdf","Abrir PDF")</f>
        <v>Abrir PDF</v>
      </c>
    </row>
    <row r="407" spans="1:6" ht="30.95" customHeight="1">
      <c r="A407" s="5">
        <v>-32605</v>
      </c>
      <c r="B407" s="2" t="s">
        <v>4823</v>
      </c>
      <c r="C407" s="2" t="s">
        <v>23192</v>
      </c>
      <c r="D407" s="3">
        <v>4</v>
      </c>
      <c r="E407" s="3">
        <v>3</v>
      </c>
      <c r="F407" s="3" t="str">
        <f>HYPERLINK("https://www.boe.es/gazeta/dias/1810/09/23/pdfs/GMD-1810-266.pdf","Abrir PDF")</f>
        <v>Abrir PDF</v>
      </c>
    </row>
    <row r="408" spans="1:6" ht="30.95" customHeight="1">
      <c r="A408" s="5">
        <v>-32604</v>
      </c>
      <c r="B408" s="2" t="s">
        <v>2233</v>
      </c>
      <c r="C408" s="2" t="s">
        <v>23193</v>
      </c>
      <c r="D408" s="3">
        <v>4</v>
      </c>
      <c r="E408" s="3">
        <v>7</v>
      </c>
      <c r="F408" s="3" t="str">
        <f>HYPERLINK("https://www.boe.es/gazeta/dias/1810/09/24/pdfs/GMD-1810-267.pdf","Abrir PDF")</f>
        <v>Abrir PDF</v>
      </c>
    </row>
    <row r="409" spans="1:6" ht="30.95" customHeight="1">
      <c r="A409" s="5">
        <v>-32603</v>
      </c>
      <c r="B409" s="2" t="s">
        <v>9233</v>
      </c>
      <c r="C409" s="2" t="s">
        <v>23194</v>
      </c>
      <c r="D409" s="3">
        <v>4</v>
      </c>
      <c r="E409" s="3">
        <v>2</v>
      </c>
      <c r="F409" s="3" t="str">
        <f>HYPERLINK("https://www.boe.es/gazeta/dias/1810/09/25/pdfs/GMD-1810-268.pdf","Abrir PDF")</f>
        <v>Abrir PDF</v>
      </c>
    </row>
    <row r="410" spans="1:6" ht="30.95" customHeight="1">
      <c r="A410" s="5">
        <v>-32603</v>
      </c>
      <c r="B410" s="2" t="s">
        <v>2163</v>
      </c>
      <c r="C410" s="2" t="s">
        <v>23195</v>
      </c>
      <c r="D410" s="3">
        <v>8</v>
      </c>
      <c r="E410" s="3">
        <v>38</v>
      </c>
      <c r="F410" s="3" t="str">
        <f>HYPERLINK("https://www.boe.es/gazeta/dias/1810/09/25/pdfs/GEI-1810-72.pdf","Abrir PDF")</f>
        <v>Abrir PDF</v>
      </c>
    </row>
    <row r="411" spans="1:6" ht="30.95" customHeight="1">
      <c r="A411" s="5">
        <v>-32602</v>
      </c>
      <c r="B411" s="2" t="s">
        <v>2976</v>
      </c>
      <c r="C411" s="2" t="s">
        <v>23196</v>
      </c>
      <c r="D411" s="3">
        <v>4</v>
      </c>
      <c r="E411" s="3">
        <v>2</v>
      </c>
      <c r="F411" s="3" t="str">
        <f>HYPERLINK("https://www.boe.es/gazeta/dias/1810/09/26/pdfs/GMD-1810-269.pdf","Abrir PDF")</f>
        <v>Abrir PDF</v>
      </c>
    </row>
    <row r="412" spans="1:6" ht="30.95" customHeight="1">
      <c r="A412" s="5">
        <v>-32601</v>
      </c>
      <c r="B412" s="2" t="s">
        <v>10916</v>
      </c>
      <c r="C412" s="2" t="s">
        <v>23197</v>
      </c>
      <c r="D412" s="3">
        <v>4</v>
      </c>
      <c r="E412" s="3">
        <v>7</v>
      </c>
      <c r="F412" s="3" t="str">
        <f>HYPERLINK("https://www.boe.es/gazeta/dias/1810/09/27/pdfs/GMD-1810-270.pdf","Abrir PDF")</f>
        <v>Abrir PDF</v>
      </c>
    </row>
    <row r="413" spans="1:6" ht="30.95" customHeight="1">
      <c r="A413" s="5">
        <v>-32601</v>
      </c>
      <c r="B413" s="2" t="s">
        <v>2181</v>
      </c>
      <c r="C413" s="2" t="s">
        <v>23198</v>
      </c>
      <c r="D413" s="3">
        <v>8</v>
      </c>
      <c r="E413" s="3">
        <v>8</v>
      </c>
      <c r="F413" s="3" t="str">
        <f>HYPERLINK("https://www.boe.es/gazeta/dias/1810/09/27/pdfs/GEI-1810-73.pdf","Abrir PDF")</f>
        <v>Abrir PDF</v>
      </c>
    </row>
    <row r="414" spans="1:6" ht="30.95" customHeight="1">
      <c r="A414" s="5">
        <v>-32601</v>
      </c>
      <c r="B414" s="2" t="s">
        <v>392</v>
      </c>
      <c r="C414" s="2" t="s">
        <v>23199</v>
      </c>
      <c r="D414" s="3">
        <v>4</v>
      </c>
      <c r="E414" s="3">
        <v>89</v>
      </c>
      <c r="F414" s="3" t="str">
        <f>HYPERLINK("https://www.boe.es/gazeta/dias/1810/09/27/pdfs/GEI-1810-74E.pdf","Abrir PDF")</f>
        <v>Abrir PDF</v>
      </c>
    </row>
    <row r="415" spans="1:6" ht="30.95" customHeight="1">
      <c r="A415" s="5">
        <v>-32600</v>
      </c>
      <c r="B415" s="2" t="s">
        <v>1679</v>
      </c>
      <c r="C415" s="2" t="s">
        <v>23200</v>
      </c>
      <c r="D415" s="3">
        <v>4</v>
      </c>
      <c r="E415" s="3">
        <v>4</v>
      </c>
      <c r="F415" s="3" t="str">
        <f>HYPERLINK("https://www.boe.es/gazeta/dias/1810/09/28/pdfs/GMD-1810-271.pdf","Abrir PDF")</f>
        <v>Abrir PDF</v>
      </c>
    </row>
    <row r="416" spans="1:6" ht="30.95" customHeight="1">
      <c r="A416" s="5">
        <v>-32599</v>
      </c>
      <c r="B416" s="2" t="s">
        <v>1586</v>
      </c>
      <c r="C416" s="2" t="s">
        <v>23201</v>
      </c>
      <c r="D416" s="3">
        <v>4</v>
      </c>
      <c r="E416" s="3">
        <v>15</v>
      </c>
      <c r="F416" s="3" t="str">
        <f>HYPERLINK("https://www.boe.es/gazeta/dias/1810/09/29/pdfs/GMD-1810-272.pdf","Abrir PDF")</f>
        <v>Abrir PDF</v>
      </c>
    </row>
    <row r="417" spans="1:6" ht="30.95" customHeight="1">
      <c r="A417" s="5">
        <v>-32599</v>
      </c>
      <c r="B417" s="2" t="s">
        <v>662</v>
      </c>
      <c r="C417" s="2" t="s">
        <v>23202</v>
      </c>
      <c r="D417" s="3">
        <v>12</v>
      </c>
      <c r="E417" s="3">
        <v>39</v>
      </c>
      <c r="F417" s="3" t="str">
        <f>HYPERLINK("https://www.boe.es/gazeta/dias/1810/09/29/pdfs/GMD-C-1810-272.pdf","Abrir PDF")</f>
        <v>Abrir PDF</v>
      </c>
    </row>
    <row r="418" spans="1:6" ht="30.95" customHeight="1">
      <c r="A418" s="5">
        <v>-32599</v>
      </c>
      <c r="B418" s="2" t="s">
        <v>6642</v>
      </c>
      <c r="C418" s="2" t="s">
        <v>23203</v>
      </c>
      <c r="D418" s="3">
        <v>8</v>
      </c>
      <c r="E418" s="3">
        <v>13</v>
      </c>
      <c r="F418" s="3" t="str">
        <f>HYPERLINK("https://www.boe.es/gazeta/dias/1810/09/29/pdfs/GEI-1810-75.pdf","Abrir PDF")</f>
        <v>Abrir PDF</v>
      </c>
    </row>
    <row r="419" spans="1:6" ht="30.95" customHeight="1">
      <c r="A419" s="5">
        <v>-32598</v>
      </c>
      <c r="B419" s="2" t="s">
        <v>6961</v>
      </c>
      <c r="C419" s="2" t="s">
        <v>23204</v>
      </c>
      <c r="D419" s="3">
        <v>4</v>
      </c>
      <c r="E419" s="3">
        <v>10</v>
      </c>
      <c r="F419" s="3" t="str">
        <f>HYPERLINK("https://www.boe.es/gazeta/dias/1810/09/30/pdfs/GMD-1810-273.pdf","Abrir PDF")</f>
        <v>Abrir PDF</v>
      </c>
    </row>
    <row r="420" spans="1:6" ht="30.95" customHeight="1">
      <c r="A420" s="5">
        <v>-32597</v>
      </c>
      <c r="B420" s="2" t="s">
        <v>2506</v>
      </c>
      <c r="C420" s="2" t="s">
        <v>23205</v>
      </c>
      <c r="D420" s="3">
        <v>4</v>
      </c>
      <c r="E420" s="3">
        <v>9</v>
      </c>
      <c r="F420" s="3" t="str">
        <f>HYPERLINK("https://www.boe.es/gazeta/dias/1810/10/01/pdfs/GMD-1810-274.pdf","Abrir PDF")</f>
        <v>Abrir PDF</v>
      </c>
    </row>
    <row r="421" spans="1:6" ht="30.95" customHeight="1">
      <c r="A421" s="5">
        <v>-32596</v>
      </c>
      <c r="B421" s="2" t="s">
        <v>1311</v>
      </c>
      <c r="C421" s="2" t="s">
        <v>23206</v>
      </c>
      <c r="D421" s="3">
        <v>4</v>
      </c>
      <c r="E421" s="3">
        <v>21</v>
      </c>
      <c r="F421" s="3" t="str">
        <f>HYPERLINK("https://www.boe.es/gazeta/dias/1810/10/02/pdfs/GMD-1810-275.pdf","Abrir PDF")</f>
        <v>Abrir PDF</v>
      </c>
    </row>
    <row r="422" spans="1:6" ht="30.95" customHeight="1">
      <c r="A422" s="5">
        <v>-32596</v>
      </c>
      <c r="B422" s="2" t="s">
        <v>248</v>
      </c>
      <c r="C422" s="2" t="s">
        <v>23207</v>
      </c>
      <c r="D422" s="3">
        <v>8</v>
      </c>
      <c r="E422" s="3">
        <v>11</v>
      </c>
      <c r="F422" s="3" t="str">
        <f>HYPERLINK("https://www.boe.es/gazeta/dias/1810/10/02/pdfs/GEI-1810-76.pdf","Abrir PDF")</f>
        <v>Abrir PDF</v>
      </c>
    </row>
    <row r="423" spans="1:6" ht="30.95" customHeight="1">
      <c r="A423" s="5">
        <v>-32595</v>
      </c>
      <c r="B423" s="2" t="s">
        <v>700</v>
      </c>
      <c r="C423" s="2" t="s">
        <v>23208</v>
      </c>
      <c r="D423" s="3">
        <v>4</v>
      </c>
      <c r="E423" s="3">
        <v>33</v>
      </c>
      <c r="F423" s="3" t="str">
        <f>HYPERLINK("https://www.boe.es/gazeta/dias/1810/10/03/pdfs/GMD-1810-276.pdf","Abrir PDF")</f>
        <v>Abrir PDF</v>
      </c>
    </row>
    <row r="424" spans="1:6" ht="30.95" customHeight="1">
      <c r="A424" s="5">
        <v>-32594</v>
      </c>
      <c r="B424" s="2" t="s">
        <v>1885</v>
      </c>
      <c r="C424" s="2" t="s">
        <v>23209</v>
      </c>
      <c r="D424" s="3">
        <v>4</v>
      </c>
      <c r="E424" s="3">
        <v>6</v>
      </c>
      <c r="F424" s="3" t="str">
        <f>HYPERLINK("https://www.boe.es/gazeta/dias/1810/10/04/pdfs/GMD-1810-277.pdf","Abrir PDF")</f>
        <v>Abrir PDF</v>
      </c>
    </row>
    <row r="425" spans="1:6" ht="30.95" customHeight="1">
      <c r="A425" s="5">
        <v>-32594</v>
      </c>
      <c r="B425" s="2" t="s">
        <v>885</v>
      </c>
      <c r="C425" s="2" t="s">
        <v>23210</v>
      </c>
      <c r="D425" s="3">
        <v>8</v>
      </c>
      <c r="E425" s="3">
        <v>8</v>
      </c>
      <c r="F425" s="3" t="str">
        <f>HYPERLINK("https://www.boe.es/gazeta/dias/1810/10/04/pdfs/GEI-1810-77.pdf","Abrir PDF")</f>
        <v>Abrir PDF</v>
      </c>
    </row>
    <row r="426" spans="1:6" ht="30.95" customHeight="1">
      <c r="A426" s="5">
        <v>-32593</v>
      </c>
      <c r="B426" s="2" t="s">
        <v>12153</v>
      </c>
      <c r="C426" s="2" t="s">
        <v>23211</v>
      </c>
      <c r="D426" s="3">
        <v>4</v>
      </c>
      <c r="E426" s="3">
        <v>7</v>
      </c>
      <c r="F426" s="3" t="str">
        <f>HYPERLINK("https://www.boe.es/gazeta/dias/1810/10/05/pdfs/GMD-1810-278.pdf","Abrir PDF")</f>
        <v>Abrir PDF</v>
      </c>
    </row>
    <row r="427" spans="1:6" ht="30.95" customHeight="1">
      <c r="A427" s="5">
        <v>-32592</v>
      </c>
      <c r="B427" s="2" t="s">
        <v>2782</v>
      </c>
      <c r="C427" s="2" t="s">
        <v>23212</v>
      </c>
      <c r="D427" s="3">
        <v>4</v>
      </c>
      <c r="E427" s="3">
        <v>10</v>
      </c>
      <c r="F427" s="3" t="str">
        <f>HYPERLINK("https://www.boe.es/gazeta/dias/1810/10/06/pdfs/GMD-1810-279.pdf","Abrir PDF")</f>
        <v>Abrir PDF</v>
      </c>
    </row>
    <row r="428" spans="1:6" ht="30.95" customHeight="1">
      <c r="A428" s="5">
        <v>-32592</v>
      </c>
      <c r="B428" s="2" t="s">
        <v>771</v>
      </c>
      <c r="C428" s="2" t="s">
        <v>23213</v>
      </c>
      <c r="D428" s="3">
        <v>8</v>
      </c>
      <c r="E428" s="3">
        <v>9</v>
      </c>
      <c r="F428" s="3" t="str">
        <f>HYPERLINK("https://www.boe.es/gazeta/dias/1810/10/06/pdfs/GEI-1810-78.pdf","Abrir PDF")</f>
        <v>Abrir PDF</v>
      </c>
    </row>
    <row r="429" spans="1:6" ht="30.95" customHeight="1">
      <c r="A429" s="5">
        <v>-32592</v>
      </c>
      <c r="B429" s="2" t="s">
        <v>7191</v>
      </c>
      <c r="C429" s="2" t="s">
        <v>23214</v>
      </c>
      <c r="D429" s="3">
        <v>8</v>
      </c>
      <c r="E429" s="3">
        <v>2</v>
      </c>
      <c r="F429" s="3" t="str">
        <f>HYPERLINK("https://www.boe.es/gazeta/dias/1810/10/06/pdfs/GEI-D-1810-78.pdf","Abrir PDF")</f>
        <v>Abrir PDF</v>
      </c>
    </row>
    <row r="430" spans="1:6" ht="30.95" customHeight="1">
      <c r="A430" s="5">
        <v>-32591</v>
      </c>
      <c r="B430" s="2" t="s">
        <v>377</v>
      </c>
      <c r="C430" s="2" t="s">
        <v>23215</v>
      </c>
      <c r="D430" s="3">
        <v>4</v>
      </c>
      <c r="E430" s="3">
        <v>81</v>
      </c>
      <c r="F430" s="3" t="str">
        <f>HYPERLINK("https://www.boe.es/gazeta/dias/1810/10/07/pdfs/GMD-1810-280.pdf","Abrir PDF")</f>
        <v>Abrir PDF</v>
      </c>
    </row>
    <row r="431" spans="1:6" ht="30.95" customHeight="1">
      <c r="A431" s="5">
        <v>-32590</v>
      </c>
      <c r="B431" s="2" t="s">
        <v>4283</v>
      </c>
      <c r="C431" s="2" t="s">
        <v>23216</v>
      </c>
      <c r="D431" s="3">
        <v>4</v>
      </c>
      <c r="E431" s="3">
        <v>6</v>
      </c>
      <c r="F431" s="3" t="str">
        <f>HYPERLINK("https://www.boe.es/gazeta/dias/1810/10/08/pdfs/GMD-1810-281.pdf","Abrir PDF")</f>
        <v>Abrir PDF</v>
      </c>
    </row>
    <row r="432" spans="1:6" ht="30.95" customHeight="1">
      <c r="A432" s="5">
        <v>-32589</v>
      </c>
      <c r="B432" s="2" t="s">
        <v>2356</v>
      </c>
      <c r="C432" s="2" t="s">
        <v>23217</v>
      </c>
      <c r="D432" s="3">
        <v>4</v>
      </c>
      <c r="E432" s="3">
        <v>2</v>
      </c>
      <c r="F432" s="3" t="str">
        <f>HYPERLINK("https://www.boe.es/gazeta/dias/1810/10/09/pdfs/GMD-1810-282.pdf","Abrir PDF")</f>
        <v>Abrir PDF</v>
      </c>
    </row>
    <row r="433" spans="1:6" ht="30.95" customHeight="1">
      <c r="A433" s="5">
        <v>-32589</v>
      </c>
      <c r="B433" s="2" t="s">
        <v>3026</v>
      </c>
      <c r="C433" s="2" t="s">
        <v>23218</v>
      </c>
      <c r="D433" s="3">
        <v>8</v>
      </c>
      <c r="E433" s="3">
        <v>15</v>
      </c>
      <c r="F433" s="3" t="str">
        <f>HYPERLINK("https://www.boe.es/gazeta/dias/1810/10/09/pdfs/GEI-1810-79.pdf","Abrir PDF")</f>
        <v>Abrir PDF</v>
      </c>
    </row>
    <row r="434" spans="1:6" ht="30.95" customHeight="1">
      <c r="A434" s="5">
        <v>-32588</v>
      </c>
      <c r="B434" s="2" t="s">
        <v>15591</v>
      </c>
      <c r="C434" s="2" t="s">
        <v>23219</v>
      </c>
      <c r="D434" s="3">
        <v>4</v>
      </c>
      <c r="E434" s="3">
        <v>1</v>
      </c>
      <c r="F434" s="3" t="str">
        <f>HYPERLINK("https://www.boe.es/gazeta/dias/1810/10/10/pdfs/GMD-1810-283.pdf","Abrir PDF")</f>
        <v>Abrir PDF</v>
      </c>
    </row>
    <row r="435" spans="1:6" ht="30.95" customHeight="1">
      <c r="A435" s="5">
        <v>-32587</v>
      </c>
      <c r="B435" s="2" t="s">
        <v>1504</v>
      </c>
      <c r="C435" s="2" t="s">
        <v>23220</v>
      </c>
      <c r="D435" s="3">
        <v>4</v>
      </c>
      <c r="E435" s="3">
        <v>7</v>
      </c>
      <c r="F435" s="3" t="str">
        <f>HYPERLINK("https://www.boe.es/gazeta/dias/1810/10/11/pdfs/GMD-1810-284.pdf","Abrir PDF")</f>
        <v>Abrir PDF</v>
      </c>
    </row>
    <row r="436" spans="1:6" ht="30.95" customHeight="1">
      <c r="A436" s="5">
        <v>-32587</v>
      </c>
      <c r="B436" s="2" t="s">
        <v>103</v>
      </c>
      <c r="C436" s="2" t="s">
        <v>23221</v>
      </c>
      <c r="D436" s="3">
        <v>8</v>
      </c>
      <c r="E436" s="3">
        <v>19</v>
      </c>
      <c r="F436" s="3" t="str">
        <f>HYPERLINK("https://www.boe.es/gazeta/dias/1810/10/11/pdfs/GEI-1810-80.pdf","Abrir PDF")</f>
        <v>Abrir PDF</v>
      </c>
    </row>
    <row r="437" spans="1:6" ht="30.95" customHeight="1">
      <c r="A437" s="5">
        <v>-32586</v>
      </c>
      <c r="B437" s="2" t="s">
        <v>7249</v>
      </c>
      <c r="C437" s="2" t="s">
        <v>23222</v>
      </c>
      <c r="D437" s="3">
        <v>4</v>
      </c>
      <c r="E437" s="3">
        <v>2</v>
      </c>
      <c r="F437" s="3" t="str">
        <f>HYPERLINK("https://www.boe.es/gazeta/dias/1810/10/12/pdfs/GMD-1810-285.pdf","Abrir PDF")</f>
        <v>Abrir PDF</v>
      </c>
    </row>
    <row r="438" spans="1:6" ht="30.95" customHeight="1">
      <c r="A438" s="5">
        <v>-32585</v>
      </c>
      <c r="B438" s="2" t="s">
        <v>10997</v>
      </c>
      <c r="C438" s="2" t="s">
        <v>23223</v>
      </c>
      <c r="D438" s="3">
        <v>4</v>
      </c>
      <c r="E438" s="3">
        <v>5</v>
      </c>
      <c r="F438" s="3" t="str">
        <f>HYPERLINK("https://www.boe.es/gazeta/dias/1810/10/13/pdfs/GMD-1810-286.pdf","Abrir PDF")</f>
        <v>Abrir PDF</v>
      </c>
    </row>
    <row r="439" spans="1:6" ht="30.95" customHeight="1">
      <c r="A439" s="5">
        <v>-32585</v>
      </c>
      <c r="B439" s="2" t="s">
        <v>260</v>
      </c>
      <c r="C439" s="2" t="s">
        <v>23224</v>
      </c>
      <c r="D439" s="3">
        <v>8</v>
      </c>
      <c r="E439" s="3">
        <v>12</v>
      </c>
      <c r="F439" s="3" t="str">
        <f>HYPERLINK("https://www.boe.es/gazeta/dias/1810/10/13/pdfs/GEI-1810-81.pdf","Abrir PDF")</f>
        <v>Abrir PDF</v>
      </c>
    </row>
    <row r="440" spans="1:6" ht="30.95" customHeight="1">
      <c r="A440" s="5">
        <v>-32584</v>
      </c>
      <c r="B440" s="2" t="s">
        <v>1560</v>
      </c>
      <c r="C440" s="2" t="s">
        <v>23225</v>
      </c>
      <c r="D440" s="3">
        <v>4</v>
      </c>
      <c r="E440" s="3">
        <v>32</v>
      </c>
      <c r="F440" s="3" t="str">
        <f>HYPERLINK("https://www.boe.es/gazeta/dias/1810/10/14/pdfs/GMD-1810-287.pdf","Abrir PDF")</f>
        <v>Abrir PDF</v>
      </c>
    </row>
    <row r="441" spans="1:6" ht="30.95" customHeight="1">
      <c r="A441" s="5">
        <v>-32583</v>
      </c>
      <c r="B441" s="2" t="s">
        <v>45</v>
      </c>
      <c r="C441" s="2" t="s">
        <v>23226</v>
      </c>
      <c r="D441" s="3">
        <v>4</v>
      </c>
      <c r="E441" s="3">
        <v>6</v>
      </c>
      <c r="F441" s="3" t="str">
        <f>HYPERLINK("https://www.boe.es/gazeta/dias/1810/10/15/pdfs/GMD-1810-288.pdf","Abrir PDF")</f>
        <v>Abrir PDF</v>
      </c>
    </row>
    <row r="442" spans="1:6" ht="30.95" customHeight="1">
      <c r="A442" s="5">
        <v>-32582</v>
      </c>
      <c r="B442" s="2" t="s">
        <v>3642</v>
      </c>
      <c r="C442" s="2" t="s">
        <v>23227</v>
      </c>
      <c r="D442" s="3">
        <v>4</v>
      </c>
      <c r="E442" s="3">
        <v>2</v>
      </c>
      <c r="F442" s="3" t="str">
        <f>HYPERLINK("https://www.boe.es/gazeta/dias/1810/10/16/pdfs/GMD-1810-289.pdf","Abrir PDF")</f>
        <v>Abrir PDF</v>
      </c>
    </row>
    <row r="443" spans="1:6" ht="30.95" customHeight="1">
      <c r="A443" s="5">
        <v>-32582</v>
      </c>
      <c r="B443" s="2" t="s">
        <v>3849</v>
      </c>
      <c r="C443" s="2" t="s">
        <v>23228</v>
      </c>
      <c r="D443" s="3">
        <v>8</v>
      </c>
      <c r="E443" s="3">
        <v>14</v>
      </c>
      <c r="F443" s="3" t="str">
        <f>HYPERLINK("https://www.boe.es/gazeta/dias/1810/10/16/pdfs/GEI-1810-82.pdf","Abrir PDF")</f>
        <v>Abrir PDF</v>
      </c>
    </row>
    <row r="444" spans="1:6" ht="30.95" customHeight="1">
      <c r="A444" s="5">
        <v>-32581</v>
      </c>
      <c r="B444" s="2" t="s">
        <v>6102</v>
      </c>
      <c r="C444" s="2" t="s">
        <v>23229</v>
      </c>
      <c r="D444" s="3">
        <v>4</v>
      </c>
      <c r="E444" s="3">
        <v>7</v>
      </c>
      <c r="F444" s="3" t="str">
        <f>HYPERLINK("https://www.boe.es/gazeta/dias/1810/10/17/pdfs/GMD-1810-290.pdf","Abrir PDF")</f>
        <v>Abrir PDF</v>
      </c>
    </row>
    <row r="445" spans="1:6" ht="30.95" customHeight="1">
      <c r="A445" s="5">
        <v>-32580</v>
      </c>
      <c r="B445" s="2" t="s">
        <v>833</v>
      </c>
      <c r="C445" s="2" t="s">
        <v>23230</v>
      </c>
      <c r="D445" s="3">
        <v>4</v>
      </c>
      <c r="E445" s="3">
        <v>8</v>
      </c>
      <c r="F445" s="3" t="str">
        <f>HYPERLINK("https://www.boe.es/gazeta/dias/1810/10/18/pdfs/GMD-1810-291.pdf","Abrir PDF")</f>
        <v>Abrir PDF</v>
      </c>
    </row>
    <row r="446" spans="1:6" ht="30.95" customHeight="1">
      <c r="A446" s="5">
        <v>-32580</v>
      </c>
      <c r="B446" s="2" t="s">
        <v>2508</v>
      </c>
      <c r="C446" s="2" t="s">
        <v>23231</v>
      </c>
      <c r="D446" s="3">
        <v>8</v>
      </c>
      <c r="E446" s="3">
        <v>15</v>
      </c>
      <c r="F446" s="3" t="str">
        <f>HYPERLINK("https://www.boe.es/gazeta/dias/1810/10/18/pdfs/GEI-1810-83.pdf","Abrir PDF")</f>
        <v>Abrir PDF</v>
      </c>
    </row>
    <row r="447" spans="1:6" ht="30.95" customHeight="1">
      <c r="A447" s="5">
        <v>-32579</v>
      </c>
      <c r="B447" s="2" t="s">
        <v>6949</v>
      </c>
      <c r="C447" s="2" t="s">
        <v>23232</v>
      </c>
      <c r="D447" s="3">
        <v>4</v>
      </c>
      <c r="E447" s="3">
        <v>5</v>
      </c>
      <c r="F447" s="3" t="str">
        <f>HYPERLINK("https://www.boe.es/gazeta/dias/1810/10/19/pdfs/GMD-1810-292.pdf","Abrir PDF")</f>
        <v>Abrir PDF</v>
      </c>
    </row>
    <row r="448" spans="1:6" ht="30.95" customHeight="1">
      <c r="A448" s="5">
        <v>-32578</v>
      </c>
      <c r="B448" s="2" t="s">
        <v>7073</v>
      </c>
      <c r="C448" s="2" t="s">
        <v>23233</v>
      </c>
      <c r="D448" s="3">
        <v>4</v>
      </c>
      <c r="E448" s="3">
        <v>11</v>
      </c>
      <c r="F448" s="3" t="str">
        <f>HYPERLINK("https://www.boe.es/gazeta/dias/1810/10/20/pdfs/GMD-1810-293.pdf","Abrir PDF")</f>
        <v>Abrir PDF</v>
      </c>
    </row>
    <row r="449" spans="1:6" ht="30.95" customHeight="1">
      <c r="A449" s="5">
        <v>-32578</v>
      </c>
      <c r="B449" s="2" t="s">
        <v>2333</v>
      </c>
      <c r="C449" s="2" t="s">
        <v>23234</v>
      </c>
      <c r="D449" s="3">
        <v>8</v>
      </c>
      <c r="E449" s="3">
        <v>29</v>
      </c>
      <c r="F449" s="3" t="str">
        <f>HYPERLINK("https://www.boe.es/gazeta/dias/1810/10/20/pdfs/GEI-1810-84.pdf","Abrir PDF")</f>
        <v>Abrir PDF</v>
      </c>
    </row>
    <row r="450" spans="1:6" ht="30.95" customHeight="1">
      <c r="A450" s="5">
        <v>-32577</v>
      </c>
      <c r="B450" s="2" t="s">
        <v>2576</v>
      </c>
      <c r="C450" s="2" t="s">
        <v>23235</v>
      </c>
      <c r="D450" s="3">
        <v>4</v>
      </c>
      <c r="E450" s="3">
        <v>6</v>
      </c>
      <c r="F450" s="3" t="str">
        <f>HYPERLINK("https://www.boe.es/gazeta/dias/1810/10/21/pdfs/GMD-1810-294.pdf","Abrir PDF")</f>
        <v>Abrir PDF</v>
      </c>
    </row>
    <row r="451" spans="1:6" ht="30.95" customHeight="1">
      <c r="A451" s="5">
        <v>-32576</v>
      </c>
      <c r="B451" s="2" t="s">
        <v>447</v>
      </c>
      <c r="C451" s="2" t="s">
        <v>23236</v>
      </c>
      <c r="D451" s="3">
        <v>4</v>
      </c>
      <c r="E451" s="3">
        <v>8</v>
      </c>
      <c r="F451" s="3" t="str">
        <f>HYPERLINK("https://www.boe.es/gazeta/dias/1810/10/22/pdfs/GMD-1810-295.pdf","Abrir PDF")</f>
        <v>Abrir PDF</v>
      </c>
    </row>
    <row r="452" spans="1:6" ht="30.95" customHeight="1">
      <c r="A452" s="5">
        <v>-32575</v>
      </c>
      <c r="B452" s="2" t="s">
        <v>734</v>
      </c>
      <c r="C452" s="2" t="s">
        <v>23237</v>
      </c>
      <c r="D452" s="3">
        <v>4</v>
      </c>
      <c r="E452" s="3">
        <v>9</v>
      </c>
      <c r="F452" s="3" t="str">
        <f>HYPERLINK("https://www.boe.es/gazeta/dias/1810/10/23/pdfs/GMD-1810-296.pdf","Abrir PDF")</f>
        <v>Abrir PDF</v>
      </c>
    </row>
    <row r="453" spans="1:6" ht="30.95" customHeight="1">
      <c r="A453" s="5">
        <v>-32575</v>
      </c>
      <c r="B453" s="2" t="s">
        <v>135</v>
      </c>
      <c r="C453" s="2" t="s">
        <v>23238</v>
      </c>
      <c r="D453" s="3">
        <v>12</v>
      </c>
      <c r="E453" s="3">
        <v>124</v>
      </c>
      <c r="F453" s="3" t="str">
        <f>HYPERLINK("https://www.boe.es/gazeta/dias/1810/10/23/pdfs/GEI-1810-85.pdf","Abrir PDF")</f>
        <v>Abrir PDF</v>
      </c>
    </row>
    <row r="454" spans="1:6" ht="30.95" customHeight="1">
      <c r="A454" s="5">
        <v>-32574</v>
      </c>
      <c r="B454" s="2" t="s">
        <v>9540</v>
      </c>
      <c r="C454" s="2" t="s">
        <v>23239</v>
      </c>
      <c r="D454" s="3">
        <v>4</v>
      </c>
      <c r="E454" s="3">
        <v>6</v>
      </c>
      <c r="F454" s="3" t="str">
        <f>HYPERLINK("https://www.boe.es/gazeta/dias/1810/10/24/pdfs/GMD-1810-297.pdf","Abrir PDF")</f>
        <v>Abrir PDF</v>
      </c>
    </row>
    <row r="455" spans="1:6" ht="30.95" customHeight="1">
      <c r="A455" s="5">
        <v>-32573</v>
      </c>
      <c r="B455" s="2" t="s">
        <v>1393</v>
      </c>
      <c r="C455" s="2" t="s">
        <v>23240</v>
      </c>
      <c r="D455" s="3">
        <v>4</v>
      </c>
      <c r="E455" s="3">
        <v>1</v>
      </c>
      <c r="F455" s="3" t="str">
        <f>HYPERLINK("https://www.boe.es/gazeta/dias/1810/10/25/pdfs/GMD-1810-298.pdf","Abrir PDF")</f>
        <v>Abrir PDF</v>
      </c>
    </row>
    <row r="456" spans="1:6" ht="30.95" customHeight="1">
      <c r="A456" s="5">
        <v>-32573</v>
      </c>
      <c r="B456" s="2" t="s">
        <v>3120</v>
      </c>
      <c r="C456" s="2" t="s">
        <v>23241</v>
      </c>
      <c r="D456" s="3">
        <v>8</v>
      </c>
      <c r="E456" s="3">
        <v>15</v>
      </c>
      <c r="F456" s="3" t="str">
        <f>HYPERLINK("https://www.boe.es/gazeta/dias/1810/10/25/pdfs/GEI-1810-86.pdf","Abrir PDF")</f>
        <v>Abrir PDF</v>
      </c>
    </row>
    <row r="457" spans="1:6" ht="30.95" customHeight="1">
      <c r="A457" s="5">
        <v>-32572</v>
      </c>
      <c r="B457" s="2" t="s">
        <v>2967</v>
      </c>
      <c r="C457" s="2" t="s">
        <v>23242</v>
      </c>
      <c r="D457" s="3">
        <v>4</v>
      </c>
      <c r="E457" s="3">
        <v>7</v>
      </c>
      <c r="F457" s="3" t="str">
        <f>HYPERLINK("https://www.boe.es/gazeta/dias/1810/10/26/pdfs/GMD-1810-299.pdf","Abrir PDF")</f>
        <v>Abrir PDF</v>
      </c>
    </row>
    <row r="458" spans="1:6" ht="30.95" customHeight="1">
      <c r="A458" s="5">
        <v>-32571</v>
      </c>
      <c r="B458" s="2" t="s">
        <v>6811</v>
      </c>
      <c r="C458" s="2" t="s">
        <v>23243</v>
      </c>
      <c r="D458" s="3">
        <v>4</v>
      </c>
      <c r="E458" s="3">
        <v>5</v>
      </c>
      <c r="F458" s="3" t="str">
        <f>HYPERLINK("https://www.boe.es/gazeta/dias/1810/10/27/pdfs/GMD-1810-300.pdf","Abrir PDF")</f>
        <v>Abrir PDF</v>
      </c>
    </row>
    <row r="459" spans="1:6" ht="30.95" customHeight="1">
      <c r="A459" s="5">
        <v>-32571</v>
      </c>
      <c r="B459" s="2" t="s">
        <v>737</v>
      </c>
      <c r="C459" s="2" t="s">
        <v>23244</v>
      </c>
      <c r="D459" s="3">
        <v>8</v>
      </c>
      <c r="E459" s="3">
        <v>23</v>
      </c>
      <c r="F459" s="3" t="str">
        <f>HYPERLINK("https://www.boe.es/gazeta/dias/1810/10/27/pdfs/GEI-1810-87.pdf","Abrir PDF")</f>
        <v>Abrir PDF</v>
      </c>
    </row>
    <row r="460" spans="1:6" ht="30.95" customHeight="1">
      <c r="A460" s="5">
        <v>-32570</v>
      </c>
      <c r="B460" s="2" t="s">
        <v>13171</v>
      </c>
      <c r="C460" s="2" t="s">
        <v>23245</v>
      </c>
      <c r="D460" s="3">
        <v>4</v>
      </c>
      <c r="E460" s="3">
        <v>1</v>
      </c>
      <c r="F460" s="3" t="str">
        <f>HYPERLINK("https://www.boe.es/gazeta/dias/1810/10/28/pdfs/GMD-1810-301.pdf","Abrir PDF")</f>
        <v>Abrir PDF</v>
      </c>
    </row>
    <row r="461" spans="1:6" ht="30.95" customHeight="1">
      <c r="A461" s="5">
        <v>-32569</v>
      </c>
      <c r="B461" s="2" t="s">
        <v>421</v>
      </c>
      <c r="C461" s="2" t="s">
        <v>23246</v>
      </c>
      <c r="D461" s="3">
        <v>4</v>
      </c>
      <c r="E461" s="3">
        <v>29</v>
      </c>
      <c r="F461" s="3" t="str">
        <f>HYPERLINK("https://www.boe.es/gazeta/dias/1810/10/29/pdfs/GMD-1810-302.pdf","Abrir PDF")</f>
        <v>Abrir PDF</v>
      </c>
    </row>
    <row r="462" spans="1:6" ht="30.95" customHeight="1">
      <c r="A462" s="5">
        <v>-32568</v>
      </c>
      <c r="B462" s="2" t="s">
        <v>1233</v>
      </c>
      <c r="C462" s="2" t="s">
        <v>23247</v>
      </c>
      <c r="D462" s="3">
        <v>4</v>
      </c>
      <c r="E462" s="3">
        <v>33</v>
      </c>
      <c r="F462" s="3" t="str">
        <f>HYPERLINK("https://www.boe.es/gazeta/dias/1810/10/30/pdfs/GMD-1810-303.pdf","Abrir PDF")</f>
        <v>Abrir PDF</v>
      </c>
    </row>
    <row r="463" spans="1:6" ht="30.95" customHeight="1">
      <c r="A463" s="5">
        <v>-32568</v>
      </c>
      <c r="B463" s="2" t="s">
        <v>683</v>
      </c>
      <c r="C463" s="2" t="s">
        <v>23248</v>
      </c>
      <c r="D463" s="3">
        <v>12</v>
      </c>
      <c r="E463" s="3">
        <v>32</v>
      </c>
      <c r="F463" s="3" t="str">
        <f>HYPERLINK("https://www.boe.es/gazeta/dias/1810/10/30/pdfs/GEI-1810-88.pdf","Abrir PDF")</f>
        <v>Abrir PDF</v>
      </c>
    </row>
    <row r="464" spans="1:6" ht="30.95" customHeight="1">
      <c r="A464" s="5">
        <v>-32567</v>
      </c>
      <c r="B464" s="2" t="s">
        <v>741</v>
      </c>
      <c r="C464" s="2" t="s">
        <v>23249</v>
      </c>
      <c r="D464" s="3">
        <v>4</v>
      </c>
      <c r="E464" s="3">
        <v>3</v>
      </c>
      <c r="F464" s="3" t="str">
        <f>HYPERLINK("https://www.boe.es/gazeta/dias/1810/10/31/pdfs/GMD-1810-304.pdf","Abrir PDF")</f>
        <v>Abrir PDF</v>
      </c>
    </row>
    <row r="465" spans="1:6" ht="30.95" customHeight="1">
      <c r="A465" s="5">
        <v>-32566</v>
      </c>
      <c r="B465" s="2" t="s">
        <v>405</v>
      </c>
      <c r="C465" s="2" t="s">
        <v>23250</v>
      </c>
      <c r="D465" s="3">
        <v>4</v>
      </c>
      <c r="E465" s="3">
        <v>75</v>
      </c>
      <c r="F465" s="3" t="str">
        <f>HYPERLINK("https://www.boe.es/gazeta/dias/1810/11/01/pdfs/GMD-1810-305.pdf","Abrir PDF")</f>
        <v>Abrir PDF</v>
      </c>
    </row>
    <row r="466" spans="1:6" ht="30.95" customHeight="1">
      <c r="A466" s="5">
        <v>-32566</v>
      </c>
      <c r="B466" s="2" t="s">
        <v>649</v>
      </c>
      <c r="C466" s="2" t="s">
        <v>23251</v>
      </c>
      <c r="D466" s="3">
        <v>8</v>
      </c>
      <c r="E466" s="3">
        <v>21</v>
      </c>
      <c r="F466" s="3" t="str">
        <f>HYPERLINK("https://www.boe.es/gazeta/dias/1810/11/01/pdfs/GEI-1810-89.pdf","Abrir PDF")</f>
        <v>Abrir PDF</v>
      </c>
    </row>
    <row r="467" spans="1:6" ht="30.95" customHeight="1">
      <c r="A467" s="5">
        <v>-32565</v>
      </c>
      <c r="B467" s="2" t="s">
        <v>743</v>
      </c>
      <c r="C467" s="2" t="s">
        <v>23252</v>
      </c>
      <c r="D467" s="3">
        <v>4</v>
      </c>
      <c r="E467" s="3">
        <v>22</v>
      </c>
      <c r="F467" s="3" t="str">
        <f>HYPERLINK("https://www.boe.es/gazeta/dias/1810/11/02/pdfs/GMD-1810-306.pdf","Abrir PDF")</f>
        <v>Abrir PDF</v>
      </c>
    </row>
    <row r="468" spans="1:6" ht="30.95" customHeight="1">
      <c r="A468" s="5">
        <v>-32564</v>
      </c>
      <c r="B468" s="2" t="s">
        <v>1604</v>
      </c>
      <c r="C468" s="2" t="s">
        <v>23253</v>
      </c>
      <c r="D468" s="3">
        <v>4</v>
      </c>
      <c r="E468" s="3">
        <v>21</v>
      </c>
      <c r="F468" s="3" t="str">
        <f>HYPERLINK("https://www.boe.es/gazeta/dias/1810/11/03/pdfs/GMD-1810-307.pdf","Abrir PDF")</f>
        <v>Abrir PDF</v>
      </c>
    </row>
    <row r="469" spans="1:6" ht="30.95" customHeight="1">
      <c r="A469" s="5">
        <v>-32564</v>
      </c>
      <c r="B469" s="2" t="s">
        <v>108</v>
      </c>
      <c r="C469" s="2" t="s">
        <v>23254</v>
      </c>
      <c r="D469" s="3">
        <v>8</v>
      </c>
      <c r="E469" s="3">
        <v>15</v>
      </c>
      <c r="F469" s="3" t="str">
        <f>HYPERLINK("https://www.boe.es/gazeta/dias/1810/11/03/pdfs/GEI-1810-90.pdf","Abrir PDF")</f>
        <v>Abrir PDF</v>
      </c>
    </row>
    <row r="470" spans="1:6" ht="30.95" customHeight="1">
      <c r="A470" s="5">
        <v>-32563</v>
      </c>
      <c r="B470" s="2" t="s">
        <v>535</v>
      </c>
      <c r="C470" s="2" t="s">
        <v>23255</v>
      </c>
      <c r="D470" s="3">
        <v>28</v>
      </c>
      <c r="E470" s="3">
        <v>68</v>
      </c>
      <c r="F470" s="3" t="str">
        <f>HYPERLINK("https://www.boe.es/gazeta/dias/1810/11/04/pdfs/GMD-1810-308.pdf","Abrir PDF")</f>
        <v>Abrir PDF</v>
      </c>
    </row>
    <row r="471" spans="1:6" ht="30.95" customHeight="1">
      <c r="A471" s="5">
        <v>-32562</v>
      </c>
      <c r="B471" s="2" t="s">
        <v>1186</v>
      </c>
      <c r="C471" s="2" t="s">
        <v>23256</v>
      </c>
      <c r="D471" s="3">
        <v>4</v>
      </c>
      <c r="E471" s="3">
        <v>50</v>
      </c>
      <c r="F471" s="3" t="str">
        <f>HYPERLINK("https://www.boe.es/gazeta/dias/1810/11/05/pdfs/GMD-1810-309.pdf","Abrir PDF")</f>
        <v>Abrir PDF</v>
      </c>
    </row>
    <row r="472" spans="1:6" ht="30.95" customHeight="1">
      <c r="A472" s="5">
        <v>-32561</v>
      </c>
      <c r="B472" s="2" t="s">
        <v>3469</v>
      </c>
      <c r="C472" s="2" t="s">
        <v>23257</v>
      </c>
      <c r="D472" s="3">
        <v>4</v>
      </c>
      <c r="E472" s="3">
        <v>8</v>
      </c>
      <c r="F472" s="3" t="str">
        <f>HYPERLINK("https://www.boe.es/gazeta/dias/1810/11/06/pdfs/GMD-1810-310.pdf","Abrir PDF")</f>
        <v>Abrir PDF</v>
      </c>
    </row>
    <row r="473" spans="1:6" ht="30.95" customHeight="1">
      <c r="A473" s="5">
        <v>-32561</v>
      </c>
      <c r="B473" s="2" t="s">
        <v>273</v>
      </c>
      <c r="C473" s="2" t="s">
        <v>23258</v>
      </c>
      <c r="D473" s="3">
        <v>8</v>
      </c>
      <c r="E473" s="3">
        <v>16</v>
      </c>
      <c r="F473" s="3" t="str">
        <f>HYPERLINK("https://www.boe.es/gazeta/dias/1810/11/06/pdfs/GEI-1810-91.pdf","Abrir PDF")</f>
        <v>Abrir PDF</v>
      </c>
    </row>
    <row r="474" spans="1:6" ht="30.95" customHeight="1">
      <c r="A474" s="5">
        <v>-32560</v>
      </c>
      <c r="B474" s="2" t="s">
        <v>4111</v>
      </c>
      <c r="C474" s="2" t="s">
        <v>23259</v>
      </c>
      <c r="D474" s="3">
        <v>4</v>
      </c>
      <c r="E474" s="3">
        <v>6</v>
      </c>
      <c r="F474" s="3" t="str">
        <f>HYPERLINK("https://www.boe.es/gazeta/dias/1810/11/07/pdfs/GMD-1810-311.pdf","Abrir PDF")</f>
        <v>Abrir PDF</v>
      </c>
    </row>
    <row r="475" spans="1:6" ht="30.95" customHeight="1">
      <c r="A475" s="5">
        <v>-32559</v>
      </c>
      <c r="B475" s="2" t="s">
        <v>2260</v>
      </c>
      <c r="C475" s="2" t="s">
        <v>23260</v>
      </c>
      <c r="D475" s="3">
        <v>4</v>
      </c>
      <c r="E475" s="3">
        <v>14</v>
      </c>
      <c r="F475" s="3" t="str">
        <f>HYPERLINK("https://www.boe.es/gazeta/dias/1810/11/08/pdfs/GMD-1810-312.pdf","Abrir PDF")</f>
        <v>Abrir PDF</v>
      </c>
    </row>
    <row r="476" spans="1:6" ht="30.95" customHeight="1">
      <c r="A476" s="5">
        <v>-32559</v>
      </c>
      <c r="B476" s="2" t="s">
        <v>3062</v>
      </c>
      <c r="C476" s="2" t="s">
        <v>23261</v>
      </c>
      <c r="D476" s="3">
        <v>8</v>
      </c>
      <c r="E476" s="3">
        <v>16</v>
      </c>
      <c r="F476" s="3" t="str">
        <f>HYPERLINK("https://www.boe.es/gazeta/dias/1810/11/08/pdfs/GEI-1810-92.pdf","Abrir PDF")</f>
        <v>Abrir PDF</v>
      </c>
    </row>
    <row r="477" spans="1:6" ht="30.95" customHeight="1">
      <c r="A477" s="5">
        <v>-32558</v>
      </c>
      <c r="B477" s="2" t="s">
        <v>241</v>
      </c>
      <c r="C477" s="2" t="s">
        <v>23262</v>
      </c>
      <c r="D477" s="3">
        <v>4</v>
      </c>
      <c r="E477" s="3">
        <v>8</v>
      </c>
      <c r="F477" s="3" t="str">
        <f>HYPERLINK("https://www.boe.es/gazeta/dias/1810/11/09/pdfs/GMD-1810-313.pdf","Abrir PDF")</f>
        <v>Abrir PDF</v>
      </c>
    </row>
    <row r="478" spans="1:6" ht="30.95" customHeight="1">
      <c r="A478" s="5">
        <v>-32557</v>
      </c>
      <c r="B478" s="2" t="s">
        <v>8182</v>
      </c>
      <c r="C478" s="2" t="s">
        <v>23263</v>
      </c>
      <c r="D478" s="3">
        <v>4</v>
      </c>
      <c r="E478" s="3">
        <v>13</v>
      </c>
      <c r="F478" s="3" t="str">
        <f>HYPERLINK("https://www.boe.es/gazeta/dias/1810/11/10/pdfs/GMD-1810-314.pdf","Abrir PDF")</f>
        <v>Abrir PDF</v>
      </c>
    </row>
    <row r="479" spans="1:6" ht="30.95" customHeight="1">
      <c r="A479" s="5">
        <v>-32557</v>
      </c>
      <c r="B479" s="2" t="s">
        <v>837</v>
      </c>
      <c r="C479" s="2" t="s">
        <v>23264</v>
      </c>
      <c r="D479" s="3">
        <v>8</v>
      </c>
      <c r="E479" s="3">
        <v>48</v>
      </c>
      <c r="F479" s="3" t="str">
        <f>HYPERLINK("https://www.boe.es/gazeta/dias/1810/11/10/pdfs/GEI-1810-93.pdf","Abrir PDF")</f>
        <v>Abrir PDF</v>
      </c>
    </row>
    <row r="480" spans="1:6" ht="30.95" customHeight="1">
      <c r="A480" s="5">
        <v>-32556</v>
      </c>
      <c r="B480" s="2" t="s">
        <v>799</v>
      </c>
      <c r="C480" s="2" t="s">
        <v>23265</v>
      </c>
      <c r="D480" s="3">
        <v>4</v>
      </c>
      <c r="E480" s="3">
        <v>14</v>
      </c>
      <c r="F480" s="3" t="str">
        <f>HYPERLINK("https://www.boe.es/gazeta/dias/1810/11/11/pdfs/GMD-1810-315.pdf","Abrir PDF")</f>
        <v>Abrir PDF</v>
      </c>
    </row>
    <row r="481" spans="1:6" ht="30.95" customHeight="1">
      <c r="A481" s="5">
        <v>-32555</v>
      </c>
      <c r="B481" s="2" t="s">
        <v>10237</v>
      </c>
      <c r="C481" s="2" t="s">
        <v>23266</v>
      </c>
      <c r="D481" s="3">
        <v>4</v>
      </c>
      <c r="E481" s="3">
        <v>2</v>
      </c>
      <c r="F481" s="3" t="str">
        <f>HYPERLINK("https://www.boe.es/gazeta/dias/1810/11/12/pdfs/GMD-1810-316.pdf","Abrir PDF")</f>
        <v>Abrir PDF</v>
      </c>
    </row>
    <row r="482" spans="1:6" ht="30.95" customHeight="1">
      <c r="A482" s="5">
        <v>-32554</v>
      </c>
      <c r="B482" s="2" t="s">
        <v>990</v>
      </c>
      <c r="C482" s="2" t="s">
        <v>23267</v>
      </c>
      <c r="D482" s="3">
        <v>4</v>
      </c>
      <c r="E482" s="3">
        <v>3</v>
      </c>
      <c r="F482" s="3" t="str">
        <f>HYPERLINK("https://www.boe.es/gazeta/dias/1810/11/13/pdfs/GMD-1810-317.pdf","Abrir PDF")</f>
        <v>Abrir PDF</v>
      </c>
    </row>
    <row r="483" spans="1:6" ht="30.95" customHeight="1">
      <c r="A483" s="5">
        <v>-32554</v>
      </c>
      <c r="B483" s="2" t="s">
        <v>5190</v>
      </c>
      <c r="C483" s="2" t="s">
        <v>23268</v>
      </c>
      <c r="D483" s="3">
        <v>8</v>
      </c>
      <c r="E483" s="3">
        <v>12</v>
      </c>
      <c r="F483" s="3" t="str">
        <f>HYPERLINK("https://www.boe.es/gazeta/dias/1810/11/13/pdfs/GEI-1810-94.pdf","Abrir PDF")</f>
        <v>Abrir PDF</v>
      </c>
    </row>
    <row r="484" spans="1:6" ht="30.95" customHeight="1">
      <c r="A484" s="5">
        <v>-32553</v>
      </c>
      <c r="B484" s="2" t="s">
        <v>2276</v>
      </c>
      <c r="C484" s="2" t="s">
        <v>23269</v>
      </c>
      <c r="D484" s="3">
        <v>4</v>
      </c>
      <c r="E484" s="3">
        <v>10</v>
      </c>
      <c r="F484" s="3" t="str">
        <f>HYPERLINK("https://www.boe.es/gazeta/dias/1810/11/14/pdfs/GMD-1810-318.pdf","Abrir PDF")</f>
        <v>Abrir PDF</v>
      </c>
    </row>
    <row r="485" spans="1:6" ht="30.95" customHeight="1">
      <c r="A485" s="5">
        <v>-32552</v>
      </c>
      <c r="B485" s="2" t="s">
        <v>234</v>
      </c>
      <c r="C485" s="2" t="s">
        <v>23270</v>
      </c>
      <c r="D485" s="3">
        <v>4</v>
      </c>
      <c r="E485" s="3">
        <v>13</v>
      </c>
      <c r="F485" s="3" t="str">
        <f>HYPERLINK("https://www.boe.es/gazeta/dias/1810/11/15/pdfs/GMD-1810-319.pdf","Abrir PDF")</f>
        <v>Abrir PDF</v>
      </c>
    </row>
    <row r="486" spans="1:6" ht="30.95" customHeight="1">
      <c r="A486" s="5">
        <v>-32552</v>
      </c>
      <c r="B486" s="2" t="s">
        <v>8165</v>
      </c>
      <c r="C486" s="2" t="s">
        <v>23271</v>
      </c>
      <c r="D486" s="3">
        <v>8</v>
      </c>
      <c r="E486" s="3">
        <v>3</v>
      </c>
      <c r="F486" s="3" t="str">
        <f>HYPERLINK("https://www.boe.es/gazeta/dias/1810/11/15/pdfs/GEI-1810-95.pdf","Abrir PDF")</f>
        <v>Abrir PDF</v>
      </c>
    </row>
    <row r="487" spans="1:6" ht="30.95" customHeight="1">
      <c r="A487" s="5">
        <v>-32551</v>
      </c>
      <c r="B487" s="2" t="s">
        <v>968</v>
      </c>
      <c r="C487" s="2" t="s">
        <v>23272</v>
      </c>
      <c r="D487" s="3">
        <v>4</v>
      </c>
      <c r="E487" s="3">
        <v>5</v>
      </c>
      <c r="F487" s="3" t="str">
        <f>HYPERLINK("https://www.boe.es/gazeta/dias/1810/11/16/pdfs/GMD-1810-320.pdf","Abrir PDF")</f>
        <v>Abrir PDF</v>
      </c>
    </row>
    <row r="488" spans="1:6" ht="30.95" customHeight="1">
      <c r="A488" s="5">
        <v>-32550</v>
      </c>
      <c r="B488" s="2" t="s">
        <v>4222</v>
      </c>
      <c r="C488" s="2" t="s">
        <v>23273</v>
      </c>
      <c r="D488" s="3">
        <v>4</v>
      </c>
      <c r="E488" s="3">
        <v>3</v>
      </c>
      <c r="F488" s="3" t="str">
        <f>HYPERLINK("https://www.boe.es/gazeta/dias/1810/11/17/pdfs/GMD-1810-321.pdf","Abrir PDF")</f>
        <v>Abrir PDF</v>
      </c>
    </row>
    <row r="489" spans="1:6" ht="30.95" customHeight="1">
      <c r="A489" s="5">
        <v>-32550</v>
      </c>
      <c r="B489" s="2" t="s">
        <v>23274</v>
      </c>
      <c r="C489" s="2" t="s">
        <v>23275</v>
      </c>
      <c r="D489" s="3">
        <v>4</v>
      </c>
      <c r="E489" s="3">
        <v>0</v>
      </c>
      <c r="F489" s="3" t="str">
        <f>HYPERLINK("https://www.boe.es/gazeta/dias/1810/11/17/pdfs/GMD-C-1810-321.pdf","Abrir PDF")</f>
        <v>Abrir PDF</v>
      </c>
    </row>
    <row r="490" spans="1:6" ht="30.95" customHeight="1">
      <c r="A490" s="5">
        <v>-32550</v>
      </c>
      <c r="B490" s="2" t="s">
        <v>1472</v>
      </c>
      <c r="C490" s="2" t="s">
        <v>23276</v>
      </c>
      <c r="D490" s="3">
        <v>8</v>
      </c>
      <c r="E490" s="3">
        <v>40</v>
      </c>
      <c r="F490" s="3" t="str">
        <f>HYPERLINK("https://www.boe.es/gazeta/dias/1810/11/17/pdfs/GEI-1810-96.pdf","Abrir PDF")</f>
        <v>Abrir PDF</v>
      </c>
    </row>
    <row r="491" spans="1:6" ht="30.95" customHeight="1">
      <c r="A491" s="5">
        <v>-32549</v>
      </c>
      <c r="B491" s="2" t="s">
        <v>1237</v>
      </c>
      <c r="C491" s="2" t="s">
        <v>23277</v>
      </c>
      <c r="D491" s="3">
        <v>4</v>
      </c>
      <c r="E491" s="3">
        <v>10</v>
      </c>
      <c r="F491" s="3" t="str">
        <f>HYPERLINK("https://www.boe.es/gazeta/dias/1810/11/18/pdfs/GMD-1810-322.pdf","Abrir PDF")</f>
        <v>Abrir PDF</v>
      </c>
    </row>
    <row r="492" spans="1:6" ht="30.95" customHeight="1">
      <c r="A492" s="5">
        <v>-32548</v>
      </c>
      <c r="B492" s="2" t="s">
        <v>19849</v>
      </c>
      <c r="C492" s="2" t="s">
        <v>23278</v>
      </c>
      <c r="D492" s="3">
        <v>4</v>
      </c>
      <c r="E492" s="3">
        <v>1</v>
      </c>
      <c r="F492" s="3" t="str">
        <f>HYPERLINK("https://www.boe.es/gazeta/dias/1810/11/19/pdfs/GMD-1810-323.pdf","Abrir PDF")</f>
        <v>Abrir PDF</v>
      </c>
    </row>
    <row r="493" spans="1:6" ht="30.95" customHeight="1">
      <c r="A493" s="5">
        <v>-32547</v>
      </c>
      <c r="B493" s="2" t="s">
        <v>14328</v>
      </c>
      <c r="C493" s="2" t="s">
        <v>23279</v>
      </c>
      <c r="D493" s="3">
        <v>4</v>
      </c>
      <c r="E493" s="3">
        <v>2</v>
      </c>
      <c r="F493" s="3" t="str">
        <f>HYPERLINK("https://www.boe.es/gazeta/dias/1810/11/20/pdfs/GMD-1810-324.pdf","Abrir PDF")</f>
        <v>Abrir PDF</v>
      </c>
    </row>
    <row r="494" spans="1:6" ht="30.95" customHeight="1">
      <c r="A494" s="5">
        <v>-32547</v>
      </c>
      <c r="B494" s="2" t="s">
        <v>407</v>
      </c>
      <c r="C494" s="2" t="s">
        <v>23280</v>
      </c>
      <c r="D494" s="3">
        <v>8</v>
      </c>
      <c r="E494" s="3">
        <v>25</v>
      </c>
      <c r="F494" s="3" t="str">
        <f>HYPERLINK("https://www.boe.es/gazeta/dias/1810/11/20/pdfs/GEI-1810-97.pdf","Abrir PDF")</f>
        <v>Abrir PDF</v>
      </c>
    </row>
    <row r="495" spans="1:6" ht="30.95" customHeight="1">
      <c r="A495" s="5">
        <v>-32546</v>
      </c>
      <c r="B495" s="2" t="s">
        <v>2222</v>
      </c>
      <c r="C495" s="2" t="s">
        <v>23281</v>
      </c>
      <c r="D495" s="3">
        <v>4</v>
      </c>
      <c r="E495" s="3">
        <v>6</v>
      </c>
      <c r="F495" s="3" t="str">
        <f>HYPERLINK("https://www.boe.es/gazeta/dias/1810/11/21/pdfs/GMD-1810-325.pdf","Abrir PDF")</f>
        <v>Abrir PDF</v>
      </c>
    </row>
    <row r="496" spans="1:6" ht="30.95" customHeight="1">
      <c r="A496" s="5">
        <v>-32545</v>
      </c>
      <c r="B496" s="2" t="s">
        <v>2807</v>
      </c>
      <c r="C496" s="2" t="s">
        <v>23282</v>
      </c>
      <c r="D496" s="3">
        <v>4</v>
      </c>
      <c r="E496" s="3">
        <v>5</v>
      </c>
      <c r="F496" s="3" t="str">
        <f>HYPERLINK("https://www.boe.es/gazeta/dias/1810/11/22/pdfs/GMD-1810-326.pdf","Abrir PDF")</f>
        <v>Abrir PDF</v>
      </c>
    </row>
    <row r="497" spans="1:6" ht="30.95" customHeight="1">
      <c r="A497" s="5">
        <v>-32545</v>
      </c>
      <c r="B497" s="2" t="s">
        <v>165</v>
      </c>
      <c r="C497" s="2" t="s">
        <v>23283</v>
      </c>
      <c r="D497" s="3">
        <v>8</v>
      </c>
      <c r="E497" s="3">
        <v>83</v>
      </c>
      <c r="F497" s="3" t="str">
        <f>HYPERLINK("https://www.boe.es/gazeta/dias/1810/11/22/pdfs/GEI-1810-98.pdf","Abrir PDF")</f>
        <v>Abrir PDF</v>
      </c>
    </row>
    <row r="498" spans="1:6" ht="30.95" customHeight="1">
      <c r="A498" s="5">
        <v>-32544</v>
      </c>
      <c r="B498" s="2" t="s">
        <v>1239</v>
      </c>
      <c r="C498" s="2" t="s">
        <v>23284</v>
      </c>
      <c r="D498" s="3">
        <v>4</v>
      </c>
      <c r="E498" s="3">
        <v>22</v>
      </c>
      <c r="F498" s="3" t="str">
        <f>HYPERLINK("https://www.boe.es/gazeta/dias/1810/11/23/pdfs/GMD-1810-327.pdf","Abrir PDF")</f>
        <v>Abrir PDF</v>
      </c>
    </row>
    <row r="499" spans="1:6" ht="30.95" customHeight="1">
      <c r="A499" s="5">
        <v>-32543</v>
      </c>
      <c r="B499" s="2" t="s">
        <v>4082</v>
      </c>
      <c r="C499" s="2" t="s">
        <v>23285</v>
      </c>
      <c r="D499" s="3">
        <v>8</v>
      </c>
      <c r="E499" s="3">
        <v>4</v>
      </c>
      <c r="F499" s="3" t="str">
        <f>HYPERLINK("https://www.boe.es/gazeta/dias/1810/11/24/pdfs/GMD-1810-328.pdf","Abrir PDF")</f>
        <v>Abrir PDF</v>
      </c>
    </row>
    <row r="500" spans="1:6" ht="30.95" customHeight="1">
      <c r="A500" s="5">
        <v>-32543</v>
      </c>
      <c r="B500" s="2" t="s">
        <v>69</v>
      </c>
      <c r="C500" s="2" t="s">
        <v>23286</v>
      </c>
      <c r="D500" s="3">
        <v>8</v>
      </c>
      <c r="E500" s="3">
        <v>105</v>
      </c>
      <c r="F500" s="3" t="str">
        <f>HYPERLINK("https://www.boe.es/gazeta/dias/1810/11/24/pdfs/GEI-1810-99.pdf","Abrir PDF")</f>
        <v>Abrir PDF</v>
      </c>
    </row>
    <row r="501" spans="1:6" ht="30.95" customHeight="1">
      <c r="A501" s="5">
        <v>-32542</v>
      </c>
      <c r="B501" s="2" t="s">
        <v>6175</v>
      </c>
      <c r="C501" s="2" t="s">
        <v>23287</v>
      </c>
      <c r="D501" s="3">
        <v>4</v>
      </c>
      <c r="E501" s="3">
        <v>8</v>
      </c>
      <c r="F501" s="3" t="str">
        <f>HYPERLINK("https://www.boe.es/gazeta/dias/1810/11/25/pdfs/GMD-1810-329.pdf","Abrir PDF")</f>
        <v>Abrir PDF</v>
      </c>
    </row>
    <row r="502" spans="1:6" ht="30.95" customHeight="1">
      <c r="A502" s="5">
        <v>-32541</v>
      </c>
      <c r="B502" s="2" t="s">
        <v>748</v>
      </c>
      <c r="C502" s="2" t="s">
        <v>23288</v>
      </c>
      <c r="D502" s="3">
        <v>4</v>
      </c>
      <c r="E502" s="3">
        <v>15</v>
      </c>
      <c r="F502" s="3" t="str">
        <f>HYPERLINK("https://www.boe.es/gazeta/dias/1810/11/26/pdfs/GMD-1810-330.pdf","Abrir PDF")</f>
        <v>Abrir PDF</v>
      </c>
    </row>
    <row r="503" spans="1:6" ht="30.95" customHeight="1">
      <c r="A503" s="5">
        <v>-32540</v>
      </c>
      <c r="B503" s="2" t="s">
        <v>255</v>
      </c>
      <c r="C503" s="2" t="s">
        <v>23289</v>
      </c>
      <c r="D503" s="3">
        <v>4</v>
      </c>
      <c r="E503" s="3">
        <v>8</v>
      </c>
      <c r="F503" s="3" t="str">
        <f>HYPERLINK("https://www.boe.es/gazeta/dias/1810/11/27/pdfs/GMD-1810-331.pdf","Abrir PDF")</f>
        <v>Abrir PDF</v>
      </c>
    </row>
    <row r="504" spans="1:6" ht="30.95" customHeight="1">
      <c r="A504" s="5">
        <v>-32540</v>
      </c>
      <c r="B504" s="2" t="s">
        <v>3590</v>
      </c>
      <c r="C504" s="2" t="s">
        <v>23290</v>
      </c>
      <c r="D504" s="3">
        <v>8</v>
      </c>
      <c r="E504" s="3">
        <v>7</v>
      </c>
      <c r="F504" s="3" t="str">
        <f>HYPERLINK("https://www.boe.es/gazeta/dias/1810/11/27/pdfs/GEI-1810-100.pdf","Abrir PDF")</f>
        <v>Abrir PDF</v>
      </c>
    </row>
    <row r="505" spans="1:6" ht="30.95" customHeight="1">
      <c r="A505" s="5">
        <v>-32539</v>
      </c>
      <c r="B505" s="2" t="s">
        <v>11216</v>
      </c>
      <c r="C505" s="2" t="s">
        <v>23291</v>
      </c>
      <c r="D505" s="3">
        <v>4</v>
      </c>
      <c r="E505" s="3">
        <v>9</v>
      </c>
      <c r="F505" s="3" t="str">
        <f>HYPERLINK("https://www.boe.es/gazeta/dias/1810/11/28/pdfs/GMD-1810-332.pdf","Abrir PDF")</f>
        <v>Abrir PDF</v>
      </c>
    </row>
    <row r="506" spans="1:6" ht="30.95" customHeight="1">
      <c r="A506" s="5">
        <v>-32538</v>
      </c>
      <c r="B506" s="2" t="s">
        <v>17740</v>
      </c>
      <c r="C506" s="2" t="s">
        <v>23292</v>
      </c>
      <c r="D506" s="3">
        <v>4</v>
      </c>
      <c r="E506" s="3">
        <v>4</v>
      </c>
      <c r="F506" s="3" t="str">
        <f>HYPERLINK("https://www.boe.es/gazeta/dias/1810/11/29/pdfs/GMD-1810-333.pdf","Abrir PDF")</f>
        <v>Abrir PDF</v>
      </c>
    </row>
    <row r="507" spans="1:6" ht="30.95" customHeight="1">
      <c r="A507" s="5">
        <v>-32538</v>
      </c>
      <c r="B507" s="2" t="s">
        <v>1949</v>
      </c>
      <c r="C507" s="2" t="s">
        <v>23293</v>
      </c>
      <c r="D507" s="3">
        <v>8</v>
      </c>
      <c r="E507" s="3">
        <v>22</v>
      </c>
      <c r="F507" s="3" t="str">
        <f>HYPERLINK("https://www.boe.es/gazeta/dias/1810/11/29/pdfs/GEI-1810-101.pdf","Abrir PDF")</f>
        <v>Abrir PDF</v>
      </c>
    </row>
    <row r="508" spans="1:6" ht="30.95" customHeight="1">
      <c r="A508" s="5">
        <v>-32537</v>
      </c>
      <c r="B508" s="2" t="s">
        <v>1091</v>
      </c>
      <c r="C508" s="2" t="s">
        <v>23294</v>
      </c>
      <c r="D508" s="3">
        <v>4</v>
      </c>
      <c r="E508" s="3">
        <v>31</v>
      </c>
      <c r="F508" s="3" t="str">
        <f>HYPERLINK("https://www.boe.es/gazeta/dias/1810/11/30/pdfs/GMD-1810-334.pdf","Abrir PDF")</f>
        <v>Abrir PDF</v>
      </c>
    </row>
    <row r="509" spans="1:6" ht="30.95" customHeight="1">
      <c r="A509" s="5">
        <v>-32536</v>
      </c>
      <c r="B509" s="2" t="s">
        <v>1150</v>
      </c>
      <c r="C509" s="2" t="s">
        <v>23295</v>
      </c>
      <c r="D509" s="3">
        <v>4</v>
      </c>
      <c r="E509" s="3">
        <v>3</v>
      </c>
      <c r="F509" s="3" t="str">
        <f>HYPERLINK("https://www.boe.es/gazeta/dias/1810/12/01/pdfs/GMD-1810-335.pdf","Abrir PDF")</f>
        <v>Abrir PDF</v>
      </c>
    </row>
    <row r="510" spans="1:6" ht="30.95" customHeight="1">
      <c r="A510" s="5">
        <v>-32536</v>
      </c>
      <c r="B510" s="2" t="s">
        <v>9556</v>
      </c>
      <c r="C510" s="2" t="s">
        <v>23296</v>
      </c>
      <c r="D510" s="3">
        <v>8</v>
      </c>
      <c r="E510" s="3">
        <v>5</v>
      </c>
      <c r="F510" s="3" t="str">
        <f>HYPERLINK("https://www.boe.es/gazeta/dias/1810/12/01/pdfs/GEI-1810-102.pdf","Abrir PDF")</f>
        <v>Abrir PDF</v>
      </c>
    </row>
    <row r="511" spans="1:6" ht="30.95" customHeight="1">
      <c r="A511" s="5">
        <v>-32535</v>
      </c>
      <c r="B511" s="2" t="s">
        <v>3440</v>
      </c>
      <c r="C511" s="2" t="s">
        <v>23297</v>
      </c>
      <c r="D511" s="3">
        <v>4</v>
      </c>
      <c r="E511" s="3">
        <v>8</v>
      </c>
      <c r="F511" s="3" t="str">
        <f>HYPERLINK("https://www.boe.es/gazeta/dias/1810/12/02/pdfs/GMD-1810-336.pdf","Abrir PDF")</f>
        <v>Abrir PDF</v>
      </c>
    </row>
    <row r="512" spans="1:6" ht="30.95" customHeight="1">
      <c r="A512" s="5">
        <v>-32534</v>
      </c>
      <c r="B512" s="2" t="s">
        <v>2242</v>
      </c>
      <c r="C512" s="2" t="s">
        <v>23298</v>
      </c>
      <c r="D512" s="3">
        <v>4</v>
      </c>
      <c r="E512" s="3">
        <v>12</v>
      </c>
      <c r="F512" s="3" t="str">
        <f>HYPERLINK("https://www.boe.es/gazeta/dias/1810/12/03/pdfs/GMD-1810-337.pdf","Abrir PDF")</f>
        <v>Abrir PDF</v>
      </c>
    </row>
    <row r="513" spans="1:6" ht="30.95" customHeight="1">
      <c r="A513" s="5">
        <v>-32533</v>
      </c>
      <c r="B513" s="2" t="s">
        <v>4294</v>
      </c>
      <c r="C513" s="2" t="s">
        <v>23299</v>
      </c>
      <c r="D513" s="3">
        <v>4</v>
      </c>
      <c r="E513" s="3">
        <v>5</v>
      </c>
      <c r="F513" s="3" t="str">
        <f>HYPERLINK("https://www.boe.es/gazeta/dias/1810/12/04/pdfs/GMD-1810-338.pdf","Abrir PDF")</f>
        <v>Abrir PDF</v>
      </c>
    </row>
    <row r="514" spans="1:6" ht="30.95" customHeight="1">
      <c r="A514" s="5">
        <v>-32533</v>
      </c>
      <c r="B514" s="2" t="s">
        <v>1357</v>
      </c>
      <c r="C514" s="2" t="s">
        <v>23300</v>
      </c>
      <c r="D514" s="3">
        <v>8</v>
      </c>
      <c r="E514" s="3">
        <v>42</v>
      </c>
      <c r="F514" s="3" t="str">
        <f>HYPERLINK("https://www.boe.es/gazeta/dias/1810/12/04/pdfs/GEI-1810-103.pdf","Abrir PDF")</f>
        <v>Abrir PDF</v>
      </c>
    </row>
    <row r="515" spans="1:6" ht="30.95" customHeight="1">
      <c r="A515" s="5">
        <v>-32532</v>
      </c>
      <c r="B515" s="2" t="s">
        <v>4481</v>
      </c>
      <c r="C515" s="2" t="s">
        <v>23301</v>
      </c>
      <c r="D515" s="3">
        <v>4</v>
      </c>
      <c r="E515" s="3">
        <v>2</v>
      </c>
      <c r="F515" s="3" t="str">
        <f>HYPERLINK("https://www.boe.es/gazeta/dias/1810/12/05/pdfs/GMD-1810-339.pdf","Abrir PDF")</f>
        <v>Abrir PDF</v>
      </c>
    </row>
    <row r="516" spans="1:6" ht="30.95" customHeight="1">
      <c r="A516" s="5">
        <v>-32531</v>
      </c>
      <c r="B516" s="2" t="s">
        <v>2023</v>
      </c>
      <c r="C516" s="2" t="s">
        <v>23302</v>
      </c>
      <c r="D516" s="3">
        <v>4</v>
      </c>
      <c r="E516" s="3">
        <v>31</v>
      </c>
      <c r="F516" s="3" t="str">
        <f>HYPERLINK("https://www.boe.es/gazeta/dias/1810/12/06/pdfs/GMD-1810-340.pdf","Abrir PDF")</f>
        <v>Abrir PDF</v>
      </c>
    </row>
    <row r="517" spans="1:6" ht="30.95" customHeight="1">
      <c r="A517" s="5">
        <v>-32531</v>
      </c>
      <c r="B517" s="2" t="s">
        <v>2483</v>
      </c>
      <c r="C517" s="2" t="s">
        <v>23303</v>
      </c>
      <c r="D517" s="3">
        <v>8</v>
      </c>
      <c r="E517" s="3">
        <v>21</v>
      </c>
      <c r="F517" s="3" t="str">
        <f>HYPERLINK("https://www.boe.es/gazeta/dias/1810/12/06/pdfs/GEI-1810-104.pdf","Abrir PDF")</f>
        <v>Abrir PDF</v>
      </c>
    </row>
    <row r="518" spans="1:6" ht="30.95" customHeight="1">
      <c r="A518" s="5">
        <v>-32530</v>
      </c>
      <c r="B518" s="2" t="s">
        <v>11723</v>
      </c>
      <c r="C518" s="2" t="s">
        <v>23304</v>
      </c>
      <c r="D518" s="3">
        <v>4</v>
      </c>
      <c r="E518" s="3">
        <v>2</v>
      </c>
      <c r="F518" s="3" t="str">
        <f>HYPERLINK("https://www.boe.es/gazeta/dias/1810/12/07/pdfs/GMD-1810-341.pdf","Abrir PDF")</f>
        <v>Abrir PDF</v>
      </c>
    </row>
    <row r="519" spans="1:6" ht="30.95" customHeight="1">
      <c r="A519" s="5">
        <v>-32529</v>
      </c>
      <c r="B519" s="2" t="s">
        <v>3700</v>
      </c>
      <c r="C519" s="2" t="s">
        <v>23305</v>
      </c>
      <c r="D519" s="3">
        <v>4</v>
      </c>
      <c r="E519" s="3">
        <v>13</v>
      </c>
      <c r="F519" s="3" t="str">
        <f>HYPERLINK("https://www.boe.es/gazeta/dias/1810/12/08/pdfs/GMD-1810-342.pdf","Abrir PDF")</f>
        <v>Abrir PDF</v>
      </c>
    </row>
    <row r="520" spans="1:6" ht="30.95" customHeight="1">
      <c r="A520" s="5">
        <v>-32529</v>
      </c>
      <c r="B520" s="2" t="s">
        <v>112</v>
      </c>
      <c r="C520" s="2" t="s">
        <v>23306</v>
      </c>
      <c r="D520" s="3">
        <v>8</v>
      </c>
      <c r="E520" s="3">
        <v>15</v>
      </c>
      <c r="F520" s="3" t="str">
        <f>HYPERLINK("https://www.boe.es/gazeta/dias/1810/12/08/pdfs/GEI-1810-105.pdf","Abrir PDF")</f>
        <v>Abrir PDF</v>
      </c>
    </row>
    <row r="521" spans="1:6" ht="30.95" customHeight="1">
      <c r="A521" s="5">
        <v>-32528</v>
      </c>
      <c r="B521" s="2" t="s">
        <v>3058</v>
      </c>
      <c r="C521" s="2" t="s">
        <v>23307</v>
      </c>
      <c r="D521" s="3">
        <v>4</v>
      </c>
      <c r="E521" s="3">
        <v>29</v>
      </c>
      <c r="F521" s="3" t="str">
        <f>HYPERLINK("https://www.boe.es/gazeta/dias/1810/12/09/pdfs/GMD-1810-343.pdf","Abrir PDF")</f>
        <v>Abrir PDF</v>
      </c>
    </row>
    <row r="522" spans="1:6" ht="30.95" customHeight="1">
      <c r="A522" s="5">
        <v>-32527</v>
      </c>
      <c r="B522" s="2" t="s">
        <v>8069</v>
      </c>
      <c r="C522" s="2" t="s">
        <v>23308</v>
      </c>
      <c r="D522" s="3">
        <v>4</v>
      </c>
      <c r="E522" s="3">
        <v>5</v>
      </c>
      <c r="F522" s="3" t="str">
        <f>HYPERLINK("https://www.boe.es/gazeta/dias/1810/12/10/pdfs/GMD-1810-344.pdf","Abrir PDF")</f>
        <v>Abrir PDF</v>
      </c>
    </row>
    <row r="523" spans="1:6" ht="30.95" customHeight="1">
      <c r="A523" s="5">
        <v>-32526</v>
      </c>
      <c r="B523" s="2" t="s">
        <v>4340</v>
      </c>
      <c r="C523" s="2" t="s">
        <v>23309</v>
      </c>
      <c r="D523" s="3">
        <v>4</v>
      </c>
      <c r="E523" s="3">
        <v>3</v>
      </c>
      <c r="F523" s="3" t="str">
        <f>HYPERLINK("https://www.boe.es/gazeta/dias/1810/12/11/pdfs/GMD-1810-345.pdf","Abrir PDF")</f>
        <v>Abrir PDF</v>
      </c>
    </row>
    <row r="524" spans="1:6" ht="30.95" customHeight="1">
      <c r="A524" s="5">
        <v>-32526</v>
      </c>
      <c r="B524" s="2" t="s">
        <v>530</v>
      </c>
      <c r="C524" s="2" t="s">
        <v>23310</v>
      </c>
      <c r="D524" s="3">
        <v>8</v>
      </c>
      <c r="E524" s="3">
        <v>109</v>
      </c>
      <c r="F524" s="3" t="str">
        <f>HYPERLINK("https://www.boe.es/gazeta/dias/1810/12/11/pdfs/GEI-1810-106.pdf","Abrir PDF")</f>
        <v>Abrir PDF</v>
      </c>
    </row>
    <row r="525" spans="1:6" ht="30.95" customHeight="1">
      <c r="A525" s="5">
        <v>-32525</v>
      </c>
      <c r="B525" s="2" t="s">
        <v>9404</v>
      </c>
      <c r="C525" s="2" t="s">
        <v>23311</v>
      </c>
      <c r="D525" s="3">
        <v>4</v>
      </c>
      <c r="E525" s="3">
        <v>3</v>
      </c>
      <c r="F525" s="3" t="str">
        <f>HYPERLINK("https://www.boe.es/gazeta/dias/1810/12/12/pdfs/GMD-1810-346.pdf","Abrir PDF")</f>
        <v>Abrir PDF</v>
      </c>
    </row>
    <row r="526" spans="1:6" ht="30.95" customHeight="1">
      <c r="A526" s="5">
        <v>-32524</v>
      </c>
      <c r="B526" s="2" t="s">
        <v>9336</v>
      </c>
      <c r="C526" s="2" t="s">
        <v>23312</v>
      </c>
      <c r="D526" s="3">
        <v>4</v>
      </c>
      <c r="E526" s="3">
        <v>3</v>
      </c>
      <c r="F526" s="3" t="str">
        <f>HYPERLINK("https://www.boe.es/gazeta/dias/1810/12/13/pdfs/GMD-1810-347.pdf","Abrir PDF")</f>
        <v>Abrir PDF</v>
      </c>
    </row>
    <row r="527" spans="1:6" ht="30.95" customHeight="1">
      <c r="A527" s="5">
        <v>-32524</v>
      </c>
      <c r="B527" s="2" t="s">
        <v>281</v>
      </c>
      <c r="C527" s="2" t="s">
        <v>23313</v>
      </c>
      <c r="D527" s="3">
        <v>8</v>
      </c>
      <c r="E527" s="3">
        <v>16</v>
      </c>
      <c r="F527" s="3" t="str">
        <f>HYPERLINK("https://www.boe.es/gazeta/dias/1810/12/13/pdfs/GEI-1810-107.pdf","Abrir PDF")</f>
        <v>Abrir PDF</v>
      </c>
    </row>
    <row r="528" spans="1:6" ht="30.95" customHeight="1">
      <c r="A528" s="5">
        <v>-32523</v>
      </c>
      <c r="B528" s="2" t="s">
        <v>1484</v>
      </c>
      <c r="C528" s="2" t="s">
        <v>23314</v>
      </c>
      <c r="D528" s="3">
        <v>4</v>
      </c>
      <c r="E528" s="3">
        <v>6</v>
      </c>
      <c r="F528" s="3" t="str">
        <f>HYPERLINK("https://www.boe.es/gazeta/dias/1810/12/14/pdfs/GMD-1810-348.pdf","Abrir PDF")</f>
        <v>Abrir PDF</v>
      </c>
    </row>
    <row r="529" spans="1:6" ht="30.95" customHeight="1">
      <c r="A529" s="5">
        <v>-32522</v>
      </c>
      <c r="B529" s="2" t="s">
        <v>1168</v>
      </c>
      <c r="C529" s="2" t="s">
        <v>23315</v>
      </c>
      <c r="D529" s="3">
        <v>4</v>
      </c>
      <c r="E529" s="3">
        <v>18</v>
      </c>
      <c r="F529" s="3" t="str">
        <f>HYPERLINK("https://www.boe.es/gazeta/dias/1810/12/15/pdfs/GMD-1810-349.pdf","Abrir PDF")</f>
        <v>Abrir PDF</v>
      </c>
    </row>
    <row r="530" spans="1:6" ht="30.95" customHeight="1">
      <c r="A530" s="5">
        <v>-32522</v>
      </c>
      <c r="B530" s="2" t="s">
        <v>3137</v>
      </c>
      <c r="C530" s="2" t="s">
        <v>23316</v>
      </c>
      <c r="D530" s="3">
        <v>8</v>
      </c>
      <c r="E530" s="3">
        <v>11</v>
      </c>
      <c r="F530" s="3" t="str">
        <f>HYPERLINK("https://www.boe.es/gazeta/dias/1810/12/15/pdfs/GEI-1810-108.pdf","Abrir PDF")</f>
        <v>Abrir PDF</v>
      </c>
    </row>
    <row r="531" spans="1:6" ht="30.95" customHeight="1">
      <c r="A531" s="5">
        <v>-32521</v>
      </c>
      <c r="B531" s="2" t="s">
        <v>3569</v>
      </c>
      <c r="C531" s="2" t="s">
        <v>23317</v>
      </c>
      <c r="D531" s="3">
        <v>4</v>
      </c>
      <c r="E531" s="3">
        <v>7</v>
      </c>
      <c r="F531" s="3" t="str">
        <f>HYPERLINK("https://www.boe.es/gazeta/dias/1810/12/16/pdfs/GMD-1810-350.pdf","Abrir PDF")</f>
        <v>Abrir PDF</v>
      </c>
    </row>
    <row r="532" spans="1:6" ht="30.95" customHeight="1">
      <c r="A532" s="5">
        <v>-32520</v>
      </c>
      <c r="B532" s="2" t="s">
        <v>2109</v>
      </c>
      <c r="C532" s="2" t="s">
        <v>23318</v>
      </c>
      <c r="D532" s="3">
        <v>4</v>
      </c>
      <c r="E532" s="3">
        <v>21</v>
      </c>
      <c r="F532" s="3" t="str">
        <f>HYPERLINK("https://www.boe.es/gazeta/dias/1810/12/17/pdfs/GMD-1810-351.pdf","Abrir PDF")</f>
        <v>Abrir PDF</v>
      </c>
    </row>
    <row r="533" spans="1:6" ht="30.95" customHeight="1">
      <c r="A533" s="5">
        <v>-32519</v>
      </c>
      <c r="B533" s="2" t="s">
        <v>13448</v>
      </c>
      <c r="C533" s="2" t="s">
        <v>23319</v>
      </c>
      <c r="D533" s="3">
        <v>4</v>
      </c>
      <c r="E533" s="3">
        <v>1</v>
      </c>
      <c r="F533" s="3" t="str">
        <f>HYPERLINK("https://www.boe.es/gazeta/dias/1810/12/18/pdfs/GMD-1810-352.pdf","Abrir PDF")</f>
        <v>Abrir PDF</v>
      </c>
    </row>
    <row r="534" spans="1:6" ht="30.95" customHeight="1">
      <c r="A534" s="5">
        <v>-32519</v>
      </c>
      <c r="B534" s="2" t="s">
        <v>2299</v>
      </c>
      <c r="C534" s="2" t="s">
        <v>23320</v>
      </c>
      <c r="D534" s="3">
        <v>8</v>
      </c>
      <c r="E534" s="3">
        <v>17</v>
      </c>
      <c r="F534" s="3" t="str">
        <f>HYPERLINK("https://www.boe.es/gazeta/dias/1810/12/18/pdfs/GEI-1810-109.pdf","Abrir PDF")</f>
        <v>Abrir PDF</v>
      </c>
    </row>
    <row r="535" spans="1:6" ht="30.95" customHeight="1">
      <c r="A535" s="5">
        <v>-32518</v>
      </c>
      <c r="B535" s="2" t="s">
        <v>15073</v>
      </c>
      <c r="C535" s="2" t="s">
        <v>23321</v>
      </c>
      <c r="D535" s="3">
        <v>4</v>
      </c>
      <c r="E535" s="3">
        <v>2</v>
      </c>
      <c r="F535" s="3" t="str">
        <f>HYPERLINK("https://www.boe.es/gazeta/dias/1810/12/19/pdfs/GMD-1810-353.pdf","Abrir PDF")</f>
        <v>Abrir PDF</v>
      </c>
    </row>
    <row r="536" spans="1:6" ht="30.95" customHeight="1">
      <c r="A536" s="5">
        <v>-32517</v>
      </c>
      <c r="B536" s="2" t="s">
        <v>979</v>
      </c>
      <c r="C536" s="2" t="s">
        <v>23322</v>
      </c>
      <c r="D536" s="3">
        <v>4</v>
      </c>
      <c r="E536" s="3">
        <v>9</v>
      </c>
      <c r="F536" s="3" t="str">
        <f>HYPERLINK("https://www.boe.es/gazeta/dias/1810/12/20/pdfs/GMD-1810-354.pdf","Abrir PDF")</f>
        <v>Abrir PDF</v>
      </c>
    </row>
    <row r="537" spans="1:6" ht="30.95" customHeight="1">
      <c r="A537" s="5">
        <v>-32517</v>
      </c>
      <c r="B537" s="2" t="s">
        <v>566</v>
      </c>
      <c r="C537" s="2" t="s">
        <v>23323</v>
      </c>
      <c r="D537" s="3">
        <v>8</v>
      </c>
      <c r="E537" s="3">
        <v>53</v>
      </c>
      <c r="F537" s="3" t="str">
        <f>HYPERLINK("https://www.boe.es/gazeta/dias/1810/12/20/pdfs/GEI-1810-110.pdf","Abrir PDF")</f>
        <v>Abrir PDF</v>
      </c>
    </row>
    <row r="538" spans="1:6" ht="30.95" customHeight="1">
      <c r="A538" s="5">
        <v>-32516</v>
      </c>
      <c r="B538" s="2" t="s">
        <v>425</v>
      </c>
      <c r="C538" s="2" t="s">
        <v>23324</v>
      </c>
      <c r="D538" s="3">
        <v>4</v>
      </c>
      <c r="E538" s="3">
        <v>4</v>
      </c>
      <c r="F538" s="3" t="str">
        <f>HYPERLINK("https://www.boe.es/gazeta/dias/1810/12/21/pdfs/GMD-1810-355.pdf","Abrir PDF")</f>
        <v>Abrir PDF</v>
      </c>
    </row>
    <row r="539" spans="1:6" ht="30.95" customHeight="1">
      <c r="A539" s="5">
        <v>-32515</v>
      </c>
      <c r="B539" s="2" t="s">
        <v>745</v>
      </c>
      <c r="C539" s="2" t="s">
        <v>23325</v>
      </c>
      <c r="D539" s="3">
        <v>4</v>
      </c>
      <c r="E539" s="3">
        <v>9</v>
      </c>
      <c r="F539" s="3" t="str">
        <f>HYPERLINK("https://www.boe.es/gazeta/dias/1810/12/22/pdfs/GMD-1810-356.pdf","Abrir PDF")</f>
        <v>Abrir PDF</v>
      </c>
    </row>
    <row r="540" spans="1:6" ht="30.95" customHeight="1">
      <c r="A540" s="5">
        <v>-32515</v>
      </c>
      <c r="B540" s="2" t="s">
        <v>351</v>
      </c>
      <c r="C540" s="2" t="s">
        <v>23326</v>
      </c>
      <c r="D540" s="3">
        <v>8</v>
      </c>
      <c r="E540" s="3">
        <v>66</v>
      </c>
      <c r="F540" s="3" t="str">
        <f>HYPERLINK("https://www.boe.es/gazeta/dias/1810/12/22/pdfs/GEI-1810-111.pdf","Abrir PDF")</f>
        <v>Abrir PDF</v>
      </c>
    </row>
    <row r="541" spans="1:6" ht="30.95" customHeight="1">
      <c r="A541" s="5">
        <v>-32514</v>
      </c>
      <c r="B541" s="2" t="s">
        <v>3658</v>
      </c>
      <c r="C541" s="2" t="s">
        <v>23327</v>
      </c>
      <c r="D541" s="3">
        <v>4</v>
      </c>
      <c r="E541" s="3">
        <v>8</v>
      </c>
      <c r="F541" s="3" t="str">
        <f>HYPERLINK("https://www.boe.es/gazeta/dias/1810/12/23/pdfs/GMD-1810-357.pdf","Abrir PDF")</f>
        <v>Abrir PDF</v>
      </c>
    </row>
    <row r="542" spans="1:6" ht="30.95" customHeight="1">
      <c r="A542" s="5">
        <v>-32513</v>
      </c>
      <c r="B542" s="2" t="s">
        <v>3702</v>
      </c>
      <c r="C542" s="2" t="s">
        <v>23328</v>
      </c>
      <c r="D542" s="3">
        <v>4</v>
      </c>
      <c r="E542" s="3">
        <v>7</v>
      </c>
      <c r="F542" s="3" t="str">
        <f>HYPERLINK("https://www.boe.es/gazeta/dias/1810/12/24/pdfs/GMD-1810-358.pdf","Abrir PDF")</f>
        <v>Abrir PDF</v>
      </c>
    </row>
    <row r="543" spans="1:6" ht="30.95" customHeight="1">
      <c r="A543" s="5">
        <v>-32512</v>
      </c>
      <c r="B543" s="2" t="s">
        <v>2731</v>
      </c>
      <c r="C543" s="2" t="s">
        <v>23329</v>
      </c>
      <c r="D543" s="3">
        <v>4</v>
      </c>
      <c r="E543" s="3">
        <v>4</v>
      </c>
      <c r="F543" s="3" t="str">
        <f>HYPERLINK("https://www.boe.es/gazeta/dias/1810/12/25/pdfs/GMD-1810-359.pdf","Abrir PDF")</f>
        <v>Abrir PDF</v>
      </c>
    </row>
    <row r="544" spans="1:6" ht="30.95" customHeight="1">
      <c r="A544" s="5">
        <v>-32512</v>
      </c>
      <c r="B544" s="2" t="s">
        <v>1920</v>
      </c>
      <c r="C544" s="2" t="s">
        <v>23330</v>
      </c>
      <c r="D544" s="3">
        <v>8</v>
      </c>
      <c r="E544" s="3">
        <v>13</v>
      </c>
      <c r="F544" s="3" t="str">
        <f>HYPERLINK("https://www.boe.es/gazeta/dias/1810/12/25/pdfs/GEI-1810-112.pdf","Abrir PDF")</f>
        <v>Abrir PDF</v>
      </c>
    </row>
    <row r="545" spans="1:6" ht="30.95" customHeight="1">
      <c r="A545" s="5">
        <v>-32511</v>
      </c>
      <c r="B545" s="2" t="s">
        <v>482</v>
      </c>
      <c r="C545" s="2" t="s">
        <v>23331</v>
      </c>
      <c r="D545" s="3">
        <v>4</v>
      </c>
      <c r="E545" s="3">
        <v>6</v>
      </c>
      <c r="F545" s="3" t="str">
        <f>HYPERLINK("https://www.boe.es/gazeta/dias/1810/12/26/pdfs/GMD-1810-360.pdf","Abrir PDF")</f>
        <v>Abrir PDF</v>
      </c>
    </row>
    <row r="546" spans="1:6" ht="30.95" customHeight="1">
      <c r="A546" s="5">
        <v>-32510</v>
      </c>
      <c r="B546" s="2" t="s">
        <v>9898</v>
      </c>
      <c r="C546" s="2" t="s">
        <v>23332</v>
      </c>
      <c r="D546" s="3">
        <v>4</v>
      </c>
      <c r="E546" s="3">
        <v>3</v>
      </c>
      <c r="F546" s="3" t="str">
        <f>HYPERLINK("https://www.boe.es/gazeta/dias/1810/12/27/pdfs/GMD-1810-361.pdf","Abrir PDF")</f>
        <v>Abrir PDF</v>
      </c>
    </row>
    <row r="547" spans="1:6" ht="30.95" customHeight="1">
      <c r="A547" s="5">
        <v>-32510</v>
      </c>
      <c r="B547" s="2" t="s">
        <v>1955</v>
      </c>
      <c r="C547" s="2" t="s">
        <v>23333</v>
      </c>
      <c r="D547" s="3">
        <v>8</v>
      </c>
      <c r="E547" s="3">
        <v>18</v>
      </c>
      <c r="F547" s="3" t="str">
        <f>HYPERLINK("https://www.boe.es/gazeta/dias/1810/12/27/pdfs/GEI-1810-113.pdf","Abrir PDF")</f>
        <v>Abrir PDF</v>
      </c>
    </row>
    <row r="548" spans="1:6" ht="30.95" customHeight="1">
      <c r="A548" s="5">
        <v>-32509</v>
      </c>
      <c r="B548" s="2" t="s">
        <v>212</v>
      </c>
      <c r="C548" s="2" t="s">
        <v>23334</v>
      </c>
      <c r="D548" s="3">
        <v>4</v>
      </c>
      <c r="E548" s="3">
        <v>40</v>
      </c>
      <c r="F548" s="3" t="str">
        <f>HYPERLINK("https://www.boe.es/gazeta/dias/1810/12/28/pdfs/GMD-1810-362.pdf","Abrir PDF")</f>
        <v>Abrir PDF</v>
      </c>
    </row>
    <row r="549" spans="1:6" ht="30.95" customHeight="1">
      <c r="A549" s="5">
        <v>-32508</v>
      </c>
      <c r="B549" s="2" t="s">
        <v>2609</v>
      </c>
      <c r="C549" s="2" t="s">
        <v>23335</v>
      </c>
      <c r="D549" s="3">
        <v>4</v>
      </c>
      <c r="E549" s="3">
        <v>11</v>
      </c>
      <c r="F549" s="3" t="str">
        <f>HYPERLINK("https://www.boe.es/gazeta/dias/1810/12/29/pdfs/GMD-1810-363.pdf","Abrir PDF")</f>
        <v>Abrir PDF</v>
      </c>
    </row>
    <row r="550" spans="1:6" ht="30.95" customHeight="1">
      <c r="A550" s="5">
        <v>-32508</v>
      </c>
      <c r="B550" s="2" t="s">
        <v>864</v>
      </c>
      <c r="C550" s="2" t="s">
        <v>23336</v>
      </c>
      <c r="D550" s="3">
        <v>8</v>
      </c>
      <c r="E550" s="3">
        <v>50</v>
      </c>
      <c r="F550" s="3" t="str">
        <f>HYPERLINK("https://www.boe.es/gazeta/dias/1810/12/29/pdfs/GEI-1810-114.pdf","Abrir PDF")</f>
        <v>Abrir PDF</v>
      </c>
    </row>
    <row r="551" spans="1:6" ht="30.95" customHeight="1">
      <c r="A551" s="5">
        <v>-32507</v>
      </c>
      <c r="B551" s="2" t="s">
        <v>11205</v>
      </c>
      <c r="C551" s="2" t="s">
        <v>23337</v>
      </c>
      <c r="D551" s="3">
        <v>4</v>
      </c>
      <c r="E551" s="3">
        <v>5</v>
      </c>
      <c r="F551" s="3" t="str">
        <f>HYPERLINK("https://www.boe.es/gazeta/dias/1810/12/30/pdfs/GMD-1810-364.pdf","Abrir PDF")</f>
        <v>Abrir PDF</v>
      </c>
    </row>
    <row r="552" spans="1:6" ht="30.95" customHeight="1">
      <c r="A552" s="5">
        <v>-32506</v>
      </c>
      <c r="B552" s="2" t="s">
        <v>7076</v>
      </c>
      <c r="C552" s="2" t="s">
        <v>23338</v>
      </c>
      <c r="D552" s="3">
        <v>4</v>
      </c>
      <c r="E552" s="3">
        <v>13</v>
      </c>
      <c r="F552" s="3" t="str">
        <f>HYPERLINK("https://www.boe.es/gazeta/dias/1810/12/31/pdfs/GMD-1810-365.pdf","Abrir PDF")</f>
        <v>Abrir PDF</v>
      </c>
    </row>
    <row r="555" spans="1:6" ht="24" customHeight="1">
      <c r="A555" s="12" t="s">
        <v>23339</v>
      </c>
      <c r="B555" s="12"/>
      <c r="C555" s="12"/>
      <c r="D555" s="12"/>
      <c r="E555" s="12"/>
      <c r="F555" s="12"/>
    </row>
    <row r="556" spans="1:6" ht="42" customHeight="1">
      <c r="A556" s="6" t="s">
        <v>23340</v>
      </c>
      <c r="B556" s="13" t="s">
        <v>23341</v>
      </c>
      <c r="C556" s="13"/>
      <c r="D556" s="13"/>
      <c r="E556" s="13"/>
      <c r="F556" s="13"/>
    </row>
    <row r="557" spans="1:6" ht="42" customHeight="1">
      <c r="A557" s="6" t="s">
        <v>23342</v>
      </c>
      <c r="B557" s="13" t="s">
        <v>23343</v>
      </c>
      <c r="C557" s="13"/>
      <c r="D557" s="13"/>
      <c r="E557" s="13"/>
      <c r="F557" s="13"/>
    </row>
    <row r="558" spans="1:6" ht="42" customHeight="1">
      <c r="A558" s="6" t="s">
        <v>23344</v>
      </c>
      <c r="B558" s="13" t="s">
        <v>23345</v>
      </c>
      <c r="C558" s="13"/>
      <c r="D558" s="13"/>
      <c r="E558" s="13"/>
      <c r="F558" s="13"/>
    </row>
    <row r="559" spans="1:6" ht="42" customHeight="1">
      <c r="A559" s="6" t="s">
        <v>23346</v>
      </c>
      <c r="B559" s="13" t="s">
        <v>23347</v>
      </c>
      <c r="C559" s="13"/>
      <c r="D559" s="13"/>
      <c r="E559" s="13"/>
      <c r="F559" s="13"/>
    </row>
    <row r="560" spans="1:6" ht="42" customHeight="1">
      <c r="A560" s="6" t="s">
        <v>23348</v>
      </c>
      <c r="B560" s="13" t="s">
        <v>23349</v>
      </c>
      <c r="C560" s="13"/>
      <c r="D560" s="13"/>
      <c r="E560" s="13"/>
      <c r="F560" s="13"/>
    </row>
    <row r="561" spans="1:6" ht="42" customHeight="1">
      <c r="A561" s="6" t="s">
        <v>10</v>
      </c>
      <c r="B561" s="13" t="s">
        <v>23350</v>
      </c>
      <c r="C561" s="13"/>
      <c r="D561" s="13"/>
      <c r="E561" s="13"/>
      <c r="F561" s="13"/>
    </row>
    <row r="562" spans="1:6" ht="42" customHeight="1">
      <c r="A562" s="6" t="s">
        <v>23351</v>
      </c>
      <c r="B562" s="13" t="s">
        <v>23352</v>
      </c>
      <c r="C562" s="13"/>
      <c r="D562" s="13"/>
      <c r="E562" s="13"/>
      <c r="F562" s="13"/>
    </row>
    <row r="563" spans="1:6" ht="42" customHeight="1">
      <c r="A563" s="6" t="s">
        <v>23353</v>
      </c>
      <c r="B563" s="13" t="s">
        <v>23354</v>
      </c>
      <c r="C563" s="13"/>
      <c r="D563" s="13"/>
      <c r="E563" s="13"/>
      <c r="F563" s="13"/>
    </row>
    <row r="564" spans="1:6" ht="42" customHeight="1">
      <c r="A564" s="6" t="s">
        <v>23355</v>
      </c>
      <c r="B564" s="13" t="s">
        <v>23356</v>
      </c>
      <c r="C564" s="13"/>
      <c r="D564" s="13"/>
      <c r="E564" s="13"/>
      <c r="F564" s="13"/>
    </row>
  </sheetData>
  <mergeCells count="12">
    <mergeCell ref="B563:F563"/>
    <mergeCell ref="B564:F564"/>
    <mergeCell ref="B558:F558"/>
    <mergeCell ref="B559:F559"/>
    <mergeCell ref="B560:F560"/>
    <mergeCell ref="B561:F561"/>
    <mergeCell ref="B562:F562"/>
    <mergeCell ref="A1:F1"/>
    <mergeCell ref="A2:F2"/>
    <mergeCell ref="A555:F555"/>
    <mergeCell ref="B556:F556"/>
    <mergeCell ref="B557:F557"/>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2026-09-26T21:56:55Z</dcterms:created>
  <dcterms:modified xsi:type="dcterms:W3CDTF">2026-09-26T21:56:56Z</dcterms:modified>
</cp:coreProperties>
</file>